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384"/>
  </bookViews>
  <sheets>
    <sheet name="NAV EV" sheetId="1" r:id="rId1"/>
    <sheet name="Non-Current Assets" sheetId="3" r:id="rId2"/>
    <sheet name="Equity &amp; Liabilities" sheetId="8" r:id="rId3"/>
    <sheet name="Current Assets" sheetId="7" r:id="rId4"/>
    <sheet name="Non Current -CWIP- I" sheetId="20" r:id="rId5"/>
    <sheet name="Summary" sheetId="16" r:id="rId6"/>
    <sheet name="Non Current Financial Asset- I" sheetId="21" r:id="rId7"/>
    <sheet name="Inventories - II" sheetId="11" r:id="rId8"/>
    <sheet name="Trade Receivables - III" sheetId="12" r:id="rId9"/>
    <sheet name="C&amp;CE and Bank Bal. - IV" sheetId="13" r:id="rId10"/>
    <sheet name="Financial Assets- V" sheetId="14" r:id="rId11"/>
    <sheet name="Other Current Assest-VI" sheetId="15" r:id="rId12"/>
    <sheet name="Sheet1" sheetId="9" state="hidden" r:id="rId13"/>
    <sheet name="Sheet2" sheetId="10" state="hidden" r:id="rId14"/>
  </sheets>
  <externalReferences>
    <externalReference r:id="rId15"/>
  </externalReferences>
  <calcPr calcId="152511"/>
</workbook>
</file>

<file path=xl/calcChain.xml><?xml version="1.0" encoding="utf-8"?>
<calcChain xmlns="http://schemas.openxmlformats.org/spreadsheetml/2006/main">
  <c r="H48" i="3" l="1"/>
  <c r="E24" i="1" s="1"/>
  <c r="E10" i="1"/>
  <c r="H18" i="3"/>
  <c r="E80" i="1" l="1"/>
  <c r="E79" i="1"/>
  <c r="E30" i="1"/>
  <c r="E27" i="1"/>
  <c r="E21" i="1"/>
  <c r="H41" i="3"/>
  <c r="H22" i="3"/>
  <c r="H29" i="3"/>
  <c r="H27" i="3"/>
  <c r="H26" i="3"/>
  <c r="H25" i="3"/>
  <c r="E68" i="7"/>
  <c r="C68" i="7"/>
  <c r="E65" i="7"/>
  <c r="E64" i="7"/>
  <c r="E61" i="7"/>
  <c r="E59" i="7"/>
  <c r="E58" i="7"/>
  <c r="E52" i="7"/>
  <c r="E47" i="7"/>
  <c r="E46" i="7"/>
  <c r="E45" i="7"/>
  <c r="E44" i="7"/>
  <c r="E37" i="7"/>
  <c r="E36" i="7"/>
  <c r="E31" i="7"/>
  <c r="E30" i="7"/>
  <c r="E22" i="7"/>
  <c r="E21" i="7"/>
  <c r="E20" i="7"/>
  <c r="E15" i="7"/>
  <c r="E14" i="7"/>
  <c r="E13" i="7"/>
  <c r="E12" i="7"/>
  <c r="E11" i="7"/>
  <c r="C11" i="7"/>
  <c r="E10" i="7"/>
  <c r="E9" i="7"/>
  <c r="E23" i="7" l="1"/>
  <c r="E6" i="12"/>
  <c r="F7" i="12" l="1"/>
  <c r="G7" i="12"/>
  <c r="E7" i="12"/>
  <c r="G6" i="12" l="1"/>
  <c r="F5" i="12"/>
  <c r="F6" i="12"/>
  <c r="F12" i="15" l="1"/>
  <c r="G17" i="15" l="1"/>
  <c r="E17" i="15"/>
  <c r="F19" i="15"/>
  <c r="G19" i="15"/>
  <c r="G13" i="15"/>
  <c r="F13" i="15"/>
  <c r="E13" i="15"/>
  <c r="E12" i="15"/>
  <c r="G11" i="14"/>
  <c r="F11" i="14"/>
  <c r="G10" i="14"/>
  <c r="F10" i="14"/>
  <c r="G7" i="14"/>
  <c r="F7" i="14"/>
  <c r="E7" i="14"/>
  <c r="D8" i="13"/>
  <c r="I12" i="11"/>
  <c r="H12" i="11"/>
  <c r="G12" i="11"/>
  <c r="I11" i="11"/>
  <c r="H11" i="11"/>
  <c r="G11" i="11"/>
  <c r="I10" i="11"/>
  <c r="H10" i="11"/>
  <c r="G10" i="11"/>
  <c r="I8" i="11"/>
  <c r="H8" i="11"/>
  <c r="G8" i="11"/>
  <c r="H7" i="11"/>
  <c r="G7" i="11"/>
  <c r="I6" i="11"/>
  <c r="G6" i="11"/>
  <c r="I5" i="11"/>
  <c r="H5" i="11"/>
  <c r="G5" i="11"/>
  <c r="G10" i="21"/>
  <c r="F10" i="21"/>
  <c r="E10" i="21"/>
  <c r="H31" i="12" l="1"/>
  <c r="C6" i="12"/>
  <c r="H6" i="11"/>
  <c r="O5" i="11" l="1"/>
  <c r="E10" i="14" l="1"/>
  <c r="F8" i="13"/>
  <c r="E8" i="13"/>
  <c r="D14" i="13"/>
  <c r="F10" i="13" l="1"/>
  <c r="E10" i="13"/>
  <c r="C10" i="21" l="1"/>
  <c r="E19" i="15" l="1"/>
  <c r="F13" i="13"/>
  <c r="E13" i="13"/>
  <c r="F14" i="13"/>
  <c r="E14" i="13"/>
  <c r="G9" i="20" l="1"/>
  <c r="F9" i="20"/>
  <c r="G8" i="20"/>
  <c r="F8" i="20"/>
  <c r="G6" i="20"/>
  <c r="F6" i="20"/>
  <c r="E14" i="14" l="1"/>
  <c r="D14" i="14"/>
  <c r="D15" i="14" s="1"/>
  <c r="E8" i="20"/>
  <c r="E9" i="20"/>
  <c r="E7" i="20"/>
  <c r="I35" i="20"/>
  <c r="H35" i="20"/>
  <c r="G35" i="20"/>
  <c r="F35" i="20"/>
  <c r="G12" i="21"/>
  <c r="G6" i="16" s="1"/>
  <c r="F12" i="21"/>
  <c r="F6" i="16" s="1"/>
  <c r="C12" i="21"/>
  <c r="D6" i="16" s="1"/>
  <c r="G12" i="15"/>
  <c r="F17" i="15"/>
  <c r="G14" i="15"/>
  <c r="F14" i="15"/>
  <c r="G15" i="15"/>
  <c r="F15" i="15"/>
  <c r="E6" i="20"/>
  <c r="C9" i="20"/>
  <c r="C8" i="20"/>
  <c r="C7" i="20"/>
  <c r="C6" i="20"/>
  <c r="C10" i="20" s="1"/>
  <c r="E15" i="14" l="1"/>
  <c r="F14" i="14"/>
  <c r="F15" i="14" s="1"/>
  <c r="G14" i="14"/>
  <c r="G15" i="14" s="1"/>
  <c r="F7" i="20"/>
  <c r="F10" i="20" s="1"/>
  <c r="G7" i="20"/>
  <c r="G10" i="20" s="1"/>
  <c r="E10" i="20"/>
  <c r="E12" i="21"/>
  <c r="E6" i="16" s="1"/>
  <c r="G20" i="15" l="1"/>
  <c r="J69" i="10" l="1"/>
  <c r="I69" i="10"/>
  <c r="H69" i="10"/>
  <c r="G69" i="10"/>
  <c r="F69" i="10"/>
  <c r="E69" i="10"/>
  <c r="V4" i="10"/>
  <c r="U4" i="10"/>
  <c r="T4" i="10"/>
  <c r="S4" i="10"/>
  <c r="R4" i="10"/>
  <c r="Q4" i="10"/>
  <c r="P4" i="10"/>
  <c r="O4" i="10"/>
  <c r="N4" i="10"/>
  <c r="M4" i="10"/>
  <c r="L4" i="10"/>
  <c r="K4" i="10"/>
  <c r="J4" i="10"/>
  <c r="I4" i="10"/>
  <c r="H4" i="10"/>
  <c r="G4" i="10"/>
  <c r="F4" i="10"/>
  <c r="E4" i="10"/>
  <c r="D4" i="10"/>
  <c r="E57" i="9"/>
  <c r="D57" i="9"/>
  <c r="E53" i="9"/>
  <c r="D53" i="9"/>
  <c r="E51" i="9"/>
  <c r="E46" i="9"/>
  <c r="D46" i="9"/>
  <c r="E44" i="9"/>
  <c r="E42" i="9"/>
  <c r="D42" i="9"/>
  <c r="E38" i="9"/>
  <c r="D38" i="9"/>
  <c r="E37" i="9"/>
  <c r="E36" i="9"/>
  <c r="D36" i="9"/>
  <c r="AD7" i="9"/>
  <c r="D21" i="15"/>
  <c r="D11" i="16" s="1"/>
  <c r="F20" i="15"/>
  <c r="D19" i="15"/>
  <c r="D17" i="15"/>
  <c r="G16" i="15"/>
  <c r="F16" i="15"/>
  <c r="E15" i="15"/>
  <c r="D15" i="15"/>
  <c r="E14" i="15"/>
  <c r="D14" i="15"/>
  <c r="D13" i="15"/>
  <c r="D12" i="15"/>
  <c r="G10" i="15"/>
  <c r="G21" i="15" s="1"/>
  <c r="G11" i="16" s="1"/>
  <c r="F10" i="15"/>
  <c r="F21" i="15" s="1"/>
  <c r="F11" i="16" s="1"/>
  <c r="E10" i="15"/>
  <c r="D10" i="15"/>
  <c r="G9" i="15"/>
  <c r="F9" i="15"/>
  <c r="E9" i="15"/>
  <c r="G7" i="15"/>
  <c r="D11" i="14"/>
  <c r="E11" i="14" s="1"/>
  <c r="D10" i="14"/>
  <c r="E8" i="14"/>
  <c r="D8" i="14"/>
  <c r="D7" i="14"/>
  <c r="D15" i="13"/>
  <c r="C15" i="13"/>
  <c r="F15" i="13"/>
  <c r="E15" i="13"/>
  <c r="C14" i="13"/>
  <c r="D13" i="13"/>
  <c r="C13" i="13"/>
  <c r="F11" i="13"/>
  <c r="E11" i="13"/>
  <c r="D11" i="13"/>
  <c r="C11" i="13"/>
  <c r="D9" i="16" s="1"/>
  <c r="D10" i="13"/>
  <c r="C10" i="13"/>
  <c r="C8" i="13"/>
  <c r="C10" i="12"/>
  <c r="C7" i="12"/>
  <c r="E5" i="12"/>
  <c r="C5" i="12"/>
  <c r="C9" i="12" s="1"/>
  <c r="C11" i="12" s="1"/>
  <c r="D8" i="16" s="1"/>
  <c r="I13" i="11"/>
  <c r="G7" i="16" s="1"/>
  <c r="H13" i="11"/>
  <c r="F7" i="16" s="1"/>
  <c r="D13" i="11"/>
  <c r="F12" i="11"/>
  <c r="F11" i="11"/>
  <c r="F10" i="11"/>
  <c r="F8" i="11"/>
  <c r="F7" i="11"/>
  <c r="F6" i="11"/>
  <c r="F5" i="11"/>
  <c r="F13" i="11" s="1"/>
  <c r="D7" i="16" s="1"/>
  <c r="D65" i="7"/>
  <c r="C65" i="7"/>
  <c r="D64" i="7"/>
  <c r="C64" i="7"/>
  <c r="C61" i="7"/>
  <c r="D61" i="7" s="1"/>
  <c r="D59" i="7"/>
  <c r="C59" i="7"/>
  <c r="D58" i="7"/>
  <c r="C58" i="7"/>
  <c r="D52" i="7"/>
  <c r="D53" i="7" s="1"/>
  <c r="C52" i="7"/>
  <c r="C53" i="7" s="1"/>
  <c r="D35" i="1" s="1"/>
  <c r="D47" i="7"/>
  <c r="C47" i="7"/>
  <c r="D46" i="7"/>
  <c r="C46" i="7"/>
  <c r="D45" i="7"/>
  <c r="C45" i="7"/>
  <c r="D44" i="7"/>
  <c r="C44" i="7"/>
  <c r="D37" i="7"/>
  <c r="C37" i="7"/>
  <c r="D36" i="7"/>
  <c r="C36" i="7"/>
  <c r="D31" i="7"/>
  <c r="C31" i="7"/>
  <c r="D30" i="7"/>
  <c r="C30" i="7"/>
  <c r="D24" i="7"/>
  <c r="E24" i="7" s="1"/>
  <c r="C24" i="7"/>
  <c r="D22" i="7"/>
  <c r="C22" i="7"/>
  <c r="D21" i="7"/>
  <c r="C21" i="7"/>
  <c r="D20" i="7"/>
  <c r="C20" i="7"/>
  <c r="D15" i="7"/>
  <c r="C15" i="7"/>
  <c r="D14" i="7"/>
  <c r="C14" i="7"/>
  <c r="D13" i="7"/>
  <c r="C13" i="7"/>
  <c r="D12" i="7"/>
  <c r="C12" i="7"/>
  <c r="D11" i="7"/>
  <c r="D10" i="7"/>
  <c r="C10" i="7"/>
  <c r="C9" i="7"/>
  <c r="D9" i="7" s="1"/>
  <c r="H184" i="8"/>
  <c r="E184" i="8"/>
  <c r="H182" i="8"/>
  <c r="E182" i="8"/>
  <c r="H180" i="8"/>
  <c r="E180" i="8"/>
  <c r="H178" i="8"/>
  <c r="E178" i="8"/>
  <c r="H176" i="8"/>
  <c r="H175" i="8"/>
  <c r="H173" i="8"/>
  <c r="H172" i="8"/>
  <c r="E172" i="8"/>
  <c r="H171" i="8"/>
  <c r="E171" i="8"/>
  <c r="H166" i="8"/>
  <c r="E166" i="8"/>
  <c r="H165" i="8"/>
  <c r="E165" i="8"/>
  <c r="H164" i="8"/>
  <c r="E164" i="8"/>
  <c r="H163" i="8"/>
  <c r="E163" i="8"/>
  <c r="H161" i="8"/>
  <c r="E161" i="8"/>
  <c r="H160" i="8"/>
  <c r="E160" i="8"/>
  <c r="H156" i="8"/>
  <c r="E156" i="8"/>
  <c r="H155" i="8"/>
  <c r="E155" i="8"/>
  <c r="H154" i="8"/>
  <c r="H153" i="8"/>
  <c r="E153" i="8"/>
  <c r="H150" i="8"/>
  <c r="E150" i="8"/>
  <c r="H149" i="8"/>
  <c r="E149" i="8"/>
  <c r="H148" i="8"/>
  <c r="E148" i="8"/>
  <c r="H144" i="8"/>
  <c r="E144" i="8"/>
  <c r="H143" i="8"/>
  <c r="E143" i="8"/>
  <c r="H141" i="8"/>
  <c r="E141" i="8"/>
  <c r="H139" i="8"/>
  <c r="E139" i="8"/>
  <c r="H137" i="8"/>
  <c r="E137" i="8"/>
  <c r="H132" i="8"/>
  <c r="E132" i="8"/>
  <c r="H130" i="8"/>
  <c r="E130" i="8"/>
  <c r="H129" i="8"/>
  <c r="H128" i="8"/>
  <c r="H127" i="8"/>
  <c r="H125" i="8"/>
  <c r="E125" i="8"/>
  <c r="H124" i="8"/>
  <c r="E124" i="8"/>
  <c r="H120" i="8"/>
  <c r="E120" i="8"/>
  <c r="H119" i="8"/>
  <c r="H118" i="8"/>
  <c r="H117" i="8"/>
  <c r="H116" i="8"/>
  <c r="E116" i="8"/>
  <c r="H115" i="8"/>
  <c r="E115" i="8"/>
  <c r="H114" i="8"/>
  <c r="H113" i="8"/>
  <c r="E113" i="8"/>
  <c r="H109" i="8"/>
  <c r="E109" i="8"/>
  <c r="H107" i="8"/>
  <c r="H106" i="8"/>
  <c r="H104" i="8"/>
  <c r="H103" i="8"/>
  <c r="H102" i="8"/>
  <c r="E102" i="8"/>
  <c r="H97" i="8"/>
  <c r="E97" i="8"/>
  <c r="H96" i="8"/>
  <c r="H95" i="8"/>
  <c r="E95" i="8"/>
  <c r="H94" i="8"/>
  <c r="E94" i="8"/>
  <c r="H91" i="8"/>
  <c r="E91" i="8"/>
  <c r="H90" i="8"/>
  <c r="E90" i="8"/>
  <c r="H88" i="8"/>
  <c r="H86" i="8"/>
  <c r="E86" i="8"/>
  <c r="H85" i="8"/>
  <c r="H84" i="8"/>
  <c r="H78" i="8"/>
  <c r="E78" i="8"/>
  <c r="H75" i="8"/>
  <c r="E75" i="8"/>
  <c r="H74" i="8"/>
  <c r="E74" i="8"/>
  <c r="H73" i="8"/>
  <c r="E73" i="8"/>
  <c r="H72" i="8"/>
  <c r="E72" i="8"/>
  <c r="H67" i="8"/>
  <c r="E67" i="8"/>
  <c r="H66" i="8"/>
  <c r="H65" i="8"/>
  <c r="H64" i="8"/>
  <c r="H63" i="8"/>
  <c r="H61" i="8"/>
  <c r="E61" i="8"/>
  <c r="H60" i="8"/>
  <c r="H59" i="8"/>
  <c r="E59" i="8"/>
  <c r="H58" i="8"/>
  <c r="E58" i="8"/>
  <c r="H55" i="8"/>
  <c r="E55" i="8"/>
  <c r="H53" i="8"/>
  <c r="H52" i="8"/>
  <c r="H51" i="8"/>
  <c r="H50" i="8"/>
  <c r="H49" i="8"/>
  <c r="H48" i="8"/>
  <c r="H47" i="8"/>
  <c r="E47" i="8"/>
  <c r="H44" i="8"/>
  <c r="E44" i="8"/>
  <c r="H43" i="8"/>
  <c r="H42" i="8"/>
  <c r="H41" i="8"/>
  <c r="H38" i="8"/>
  <c r="E38" i="8"/>
  <c r="H37" i="8"/>
  <c r="H36" i="8"/>
  <c r="H35" i="8"/>
  <c r="E35" i="8"/>
  <c r="H32" i="8"/>
  <c r="E32" i="8"/>
  <c r="H31" i="8"/>
  <c r="H30" i="8"/>
  <c r="H29" i="8"/>
  <c r="H26" i="8"/>
  <c r="E26" i="8"/>
  <c r="H24" i="8"/>
  <c r="H22" i="8"/>
  <c r="H21" i="8"/>
  <c r="E21" i="8"/>
  <c r="H16" i="8"/>
  <c r="E16" i="8"/>
  <c r="H15" i="8"/>
  <c r="E15" i="8"/>
  <c r="H13" i="8"/>
  <c r="E13" i="8"/>
  <c r="H12" i="8"/>
  <c r="E12" i="8"/>
  <c r="H11" i="8"/>
  <c r="E11" i="8"/>
  <c r="F48" i="3"/>
  <c r="E48" i="3"/>
  <c r="H43" i="3"/>
  <c r="F43" i="3"/>
  <c r="E43" i="3"/>
  <c r="H42" i="3"/>
  <c r="F41" i="3"/>
  <c r="E41" i="3"/>
  <c r="H40" i="3"/>
  <c r="H39" i="3"/>
  <c r="H38" i="3"/>
  <c r="H37" i="3"/>
  <c r="F31" i="3"/>
  <c r="E31" i="3"/>
  <c r="H30" i="3"/>
  <c r="F30" i="3"/>
  <c r="E30" i="3"/>
  <c r="F29" i="3"/>
  <c r="E29" i="3"/>
  <c r="H28" i="3"/>
  <c r="F28" i="3"/>
  <c r="E28" i="3"/>
  <c r="F27" i="3"/>
  <c r="E27" i="3"/>
  <c r="F26" i="3"/>
  <c r="E26" i="3"/>
  <c r="F25" i="3"/>
  <c r="E25" i="3"/>
  <c r="F22" i="3"/>
  <c r="E22" i="3"/>
  <c r="F18" i="3"/>
  <c r="E18" i="3"/>
  <c r="F17" i="3"/>
  <c r="E17" i="3"/>
  <c r="F16" i="3"/>
  <c r="E16" i="3"/>
  <c r="F15" i="3"/>
  <c r="E15" i="3"/>
  <c r="F14" i="3"/>
  <c r="E14" i="3"/>
  <c r="F13" i="3"/>
  <c r="E13" i="3"/>
  <c r="F12" i="3"/>
  <c r="E12" i="3"/>
  <c r="F11" i="3"/>
  <c r="E11" i="3"/>
  <c r="F10" i="3"/>
  <c r="E10" i="3"/>
  <c r="B9" i="3"/>
  <c r="E81" i="1"/>
  <c r="D80" i="1"/>
  <c r="D79" i="1"/>
  <c r="E76" i="1"/>
  <c r="D76" i="1"/>
  <c r="E74" i="1"/>
  <c r="D74" i="1"/>
  <c r="E72" i="1"/>
  <c r="D72" i="1"/>
  <c r="E71" i="1"/>
  <c r="D71" i="1"/>
  <c r="E70" i="1"/>
  <c r="D70" i="1"/>
  <c r="E69" i="1"/>
  <c r="D69" i="1"/>
  <c r="E68" i="1"/>
  <c r="D68" i="1"/>
  <c r="E65" i="1"/>
  <c r="D65" i="1"/>
  <c r="E61" i="1"/>
  <c r="D61" i="1"/>
  <c r="E60" i="1"/>
  <c r="D60" i="1"/>
  <c r="E59" i="1"/>
  <c r="D59" i="1"/>
  <c r="E58" i="1"/>
  <c r="D58" i="1"/>
  <c r="E57" i="1"/>
  <c r="D57" i="1"/>
  <c r="E52" i="1"/>
  <c r="D52" i="1"/>
  <c r="E47" i="1"/>
  <c r="D47" i="1"/>
  <c r="E46" i="1"/>
  <c r="D46" i="1"/>
  <c r="E44" i="1"/>
  <c r="D44" i="1"/>
  <c r="D21" i="1"/>
  <c r="D11" i="1"/>
  <c r="D10" i="1"/>
  <c r="D24" i="1" s="1"/>
  <c r="H31" i="3" l="1"/>
  <c r="F24" i="1" s="1"/>
  <c r="E11" i="1"/>
  <c r="C60" i="7"/>
  <c r="C62" i="7" s="1"/>
  <c r="C23" i="7"/>
  <c r="C25" i="7" s="1"/>
  <c r="D30" i="1" s="1"/>
  <c r="D39" i="7"/>
  <c r="C39" i="7"/>
  <c r="D32" i="1" s="1"/>
  <c r="E53" i="7"/>
  <c r="E35" i="1" s="1"/>
  <c r="D32" i="7"/>
  <c r="C66" i="7"/>
  <c r="C16" i="7"/>
  <c r="D27" i="1" s="1"/>
  <c r="D48" i="7"/>
  <c r="D60" i="7"/>
  <c r="D62" i="7" s="1"/>
  <c r="F59" i="7"/>
  <c r="D23" i="7"/>
  <c r="D25" i="7" s="1"/>
  <c r="E60" i="7"/>
  <c r="C32" i="7"/>
  <c r="D31" i="1" s="1"/>
  <c r="C48" i="7"/>
  <c r="D34" i="1" s="1"/>
  <c r="D66" i="7"/>
  <c r="D68" i="7" s="1"/>
  <c r="D36" i="1"/>
  <c r="E16" i="7"/>
  <c r="E25" i="7"/>
  <c r="F61" i="7"/>
  <c r="D16" i="7"/>
  <c r="E32" i="7"/>
  <c r="E31" i="1" s="1"/>
  <c r="E39" i="7"/>
  <c r="E32" i="1" s="1"/>
  <c r="E48" i="7"/>
  <c r="E34" i="1" s="1"/>
  <c r="F65" i="7"/>
  <c r="E66" i="7"/>
  <c r="E21" i="15"/>
  <c r="E11" i="16" s="1"/>
  <c r="D12" i="14"/>
  <c r="D10" i="16" s="1"/>
  <c r="G12" i="14"/>
  <c r="G10" i="16" s="1"/>
  <c r="F12" i="14"/>
  <c r="F10" i="16" s="1"/>
  <c r="E9" i="16"/>
  <c r="G9" i="16"/>
  <c r="F9" i="16"/>
  <c r="G5" i="12"/>
  <c r="G9" i="12" s="1"/>
  <c r="F9" i="12"/>
  <c r="F11" i="12" s="1"/>
  <c r="F8" i="16" s="1"/>
  <c r="E9" i="12"/>
  <c r="E11" i="12" s="1"/>
  <c r="E8" i="16" s="1"/>
  <c r="E12" i="14"/>
  <c r="E10" i="16" s="1"/>
  <c r="D12" i="16"/>
  <c r="G13" i="11"/>
  <c r="E7" i="16" s="1"/>
  <c r="D37" i="1" l="1"/>
  <c r="D39" i="1" s="1"/>
  <c r="D71" i="7"/>
  <c r="C71" i="7"/>
  <c r="E62" i="7"/>
  <c r="E36" i="1" s="1"/>
  <c r="E37" i="1" s="1"/>
  <c r="E39" i="1" s="1"/>
  <c r="E83" i="1" s="1"/>
  <c r="E12" i="16"/>
  <c r="F12" i="16"/>
  <c r="G11" i="12"/>
  <c r="G8" i="16"/>
  <c r="G12" i="16" s="1"/>
  <c r="E71" i="7" l="1"/>
</calcChain>
</file>

<file path=xl/comments1.xml><?xml version="1.0" encoding="utf-8"?>
<comments xmlns="http://schemas.openxmlformats.org/spreadsheetml/2006/main">
  <authors>
    <author>Author</author>
  </authors>
  <commentList>
    <comment ref="E80" authorId="0" shapeId="0">
      <text>
        <r>
          <rPr>
            <b/>
            <sz val="9"/>
            <color indexed="81"/>
            <rFont val="Tahoma"/>
            <family val="2"/>
          </rPr>
          <t>Author:</t>
        </r>
        <r>
          <rPr>
            <sz val="9"/>
            <color indexed="81"/>
            <rFont val="Tahoma"/>
            <family val="2"/>
          </rPr>
          <t xml:space="preserve">
We have considered 40% of the total contigent liab. Provided by the client, since, the company is under stress and there are various items included in the con. Liab. Which need not to be considered in the calculation of NAV.</t>
        </r>
      </text>
    </comment>
  </commentList>
</comments>
</file>

<file path=xl/comments2.xml><?xml version="1.0" encoding="utf-8"?>
<comments xmlns="http://schemas.openxmlformats.org/spreadsheetml/2006/main">
  <authors>
    <author>Author</author>
  </authors>
  <commentList>
    <comment ref="F41" authorId="0" shapeId="0">
      <text>
        <r>
          <rPr>
            <b/>
            <sz val="9"/>
            <color indexed="81"/>
            <rFont val="Tahoma"/>
            <family val="2"/>
          </rPr>
          <t>Author:</t>
        </r>
        <r>
          <rPr>
            <sz val="9"/>
            <color indexed="81"/>
            <rFont val="Tahoma"/>
            <family val="2"/>
          </rPr>
          <t xml:space="preserve">
4.7504
These depostis made towards rental deposit and with Govt authorities towards various facilities like electricity deposit, water deposit,NALA, EMD Drip Irrigation, telephone, power, as per court order in case of Tecnimont Spa etc which are un-realisable. The rental deposits will be settled against the rent payable of Rs 1.33 Crs as on 31 March 2022. The deposits with statutory authorities towards NALA TAX, outstanding of Rs 68 Lakhs, which is more than the deposit and can not be realized.</t>
        </r>
      </text>
    </comment>
  </commentList>
</comments>
</file>

<file path=xl/comments3.xml><?xml version="1.0" encoding="utf-8"?>
<comments xmlns="http://schemas.openxmlformats.org/spreadsheetml/2006/main">
  <authors>
    <author>Author</author>
  </authors>
  <commentList>
    <comment ref="D9" authorId="0" shapeId="0">
      <text>
        <r>
          <rPr>
            <b/>
            <sz val="9"/>
            <color indexed="81"/>
            <rFont val="Tahoma"/>
            <family val="2"/>
          </rPr>
          <t>Author:</t>
        </r>
        <r>
          <rPr>
            <sz val="9"/>
            <color indexed="81"/>
            <rFont val="Tahoma"/>
            <family val="2"/>
          </rPr>
          <t xml:space="preserve">
Adjustment = 0.83(MI &amp; MIH)+3.18(CFGP)
a) material beyond age of &gt;720 days
b) Material received on Job work basis to process and deliver back the processed material to the customer. Therefore there is no title to the company on this material, hence not considered.(given in the standalone B/S Note no. 6)</t>
        </r>
      </text>
    </comment>
    <comment ref="D10" authorId="0" shapeId="0">
      <text>
        <r>
          <rPr>
            <b/>
            <sz val="9"/>
            <color indexed="81"/>
            <rFont val="Tahoma"/>
            <family val="2"/>
          </rPr>
          <t>Author:</t>
        </r>
        <r>
          <rPr>
            <sz val="9"/>
            <color indexed="81"/>
            <rFont val="Tahoma"/>
            <family val="2"/>
          </rPr>
          <t xml:space="preserve">
4.46
The materials have got damaged due to floods in October 2020, damaged packaging etc. This includes expired / obsolete / sale return (more than 2-3 years old) and leaky material which are not suitable for sale. Necessary provision is made in the books of account.</t>
        </r>
      </text>
    </comment>
    <comment ref="D11" authorId="0" shapeId="0">
      <text>
        <r>
          <rPr>
            <b/>
            <sz val="9"/>
            <color indexed="81"/>
            <rFont val="Tahoma"/>
            <family val="2"/>
          </rPr>
          <t>Author:</t>
        </r>
        <r>
          <rPr>
            <sz val="9"/>
            <color indexed="81"/>
            <rFont val="Tahoma"/>
            <family val="2"/>
          </rPr>
          <t xml:space="preserve">
15.72(KKD)+1.24(MI&amp;MIH)
On sale of 15.72 Crores finished goods, the subsidy component will be earmarked towards Gas pool and Gas supply dues basis Escrow Agreement and OM from Govt of India. The GAIL dues towards gas pool and gas supply is higher than the subsidy receivable as of 31 March 2022. 
This also includes 1.24 Crores, which is damaged / obsolete / faded material, which are not salable condition and hence the value of material beyond 720 days has not considered.</t>
        </r>
      </text>
    </comment>
    <comment ref="D12" authorId="0" shapeId="0">
      <text>
        <r>
          <rPr>
            <b/>
            <sz val="9"/>
            <color indexed="81"/>
            <rFont val="Tahoma"/>
            <family val="2"/>
          </rPr>
          <t>Author:</t>
        </r>
        <r>
          <rPr>
            <sz val="9"/>
            <color indexed="81"/>
            <rFont val="Tahoma"/>
            <family val="2"/>
          </rPr>
          <t xml:space="preserve">
4.07(MI&amp;MIH)+4.00(MKTG &amp; OTHERS)
a) Rs. 4.07 Crs. material beyond age of &gt;720 days
b) The materials have got damaged due to floods in Oct,20, damaged packaging etc. 
This includes expired / obsolete / sale return (more than 2-3 years old) and leaky material which are not suitable for sale. Necessary provision is made in the books of account.</t>
        </r>
      </text>
    </comment>
    <comment ref="D13" authorId="0" shapeId="0">
      <text>
        <r>
          <rPr>
            <b/>
            <sz val="9"/>
            <color indexed="81"/>
            <rFont val="Tahoma"/>
            <family val="2"/>
          </rPr>
          <t>Author:</t>
        </r>
        <r>
          <rPr>
            <sz val="9"/>
            <color indexed="81"/>
            <rFont val="Tahoma"/>
            <family val="2"/>
          </rPr>
          <t xml:space="preserve">
0.89(MKTG &amp; OTHERS)+0.01(MI)
a) The packing materials are obsolete as there are changes in MRP / FCO contents printed on the bags of various products.   Further an amount of Rs 0.89 Crs worth of packing material fall under aging of between 180 to 720 days. Hence, this packing materials are unusable.
b) Material beyond age of &gt;720 days</t>
        </r>
      </text>
    </comment>
    <comment ref="D14" authorId="0" shapeId="0">
      <text>
        <r>
          <rPr>
            <b/>
            <sz val="9"/>
            <color indexed="81"/>
            <rFont val="Tahoma"/>
            <family val="2"/>
          </rPr>
          <t>Author:</t>
        </r>
        <r>
          <rPr>
            <sz val="9"/>
            <color indexed="81"/>
            <rFont val="Tahoma"/>
            <family val="2"/>
          </rPr>
          <t xml:space="preserve">
4.35(KKD)
The plant opex and capex has not been taken up timely. Most of the spares &amp; consumbales are specific / customised for the plant.  Out of this, Rs 4.35 Crs worth of spares fall under the aging of more than 730 days. Hence realisable value has been considered minimum.</t>
        </r>
      </text>
    </comment>
    <comment ref="D20" authorId="0" shapeId="0">
      <text>
        <r>
          <rPr>
            <b/>
            <sz val="9"/>
            <color indexed="81"/>
            <rFont val="Tahoma"/>
            <family val="2"/>
          </rPr>
          <t>Author: 442.79</t>
        </r>
        <r>
          <rPr>
            <sz val="9"/>
            <color indexed="81"/>
            <rFont val="Tahoma"/>
            <family val="2"/>
          </rPr>
          <t xml:space="preserve">
The Gas pool and Gas supply outstanding to GAIL as on 31 March 2021 is Rs 662.88 Crs, correspondingly the Subsidy receivable is Rs 442.79 crores.
The subsidy on sale of finished goods of urea Rs 20.18 crores upon receipt from Department of Fertilizers will be distributed towards Gas pool fund dues and Gas supply dues basis Escrow Agreement and Office Memorandum. Hence the subsidy from sale of finished goods of urea is also not available to the Company, accordingly, cannot be considered as current asset available to the Company.
As per Gas Pooling Policy, in case of failure of payment by a Company within the due date, DOF, GOI is having a right to recover the same from the subsidy payable to the Company and directly pay to Pool Fund Account, with interest @15% p.a.
Govt OM to GAIL communicates that any dues towards Gas supply will be paid to GAIL directly out of subsidy payable to NFCL and will not be credited to the Escrow account.
</t>
        </r>
        <r>
          <rPr>
            <b/>
            <sz val="9"/>
            <color indexed="81"/>
            <rFont val="Tahoma"/>
            <family val="2"/>
          </rPr>
          <t xml:space="preserve">Subsidy receivable is not realisable by the Company as the priority charge over subsidy receivable has been given by the lenders to Government of India towards Gas pool dues and to GAIL towards gas supplies dues and hence cannot be considered as current assets.
Author:
6.26Cr + 0.56
0.56 
</t>
        </r>
        <r>
          <rPr>
            <sz val="9"/>
            <color indexed="81"/>
            <rFont val="Tahoma"/>
            <family val="2"/>
          </rPr>
          <t xml:space="preserve">NFCL has signed a contract with GOI Ministry of Agriculture and Farmers Welfare in 2016 to build eNAM, implement eNAM in selected mandis, train Mandi Officials, Farmers and Traders in the catchment area of the Mandis, operate and maintain eNAM. The contract was expired in July 21.
NFCL has closed the Agri informatics division in FY18-19 due to financial stress and outsourced the work to 3rd party vendors to avoid liabilities. As per the contract, if NFCL is not able to perform, then there is a Liability that would accrue to NFCL.
The vendor is executing the project and bearing all the expenses and interacting with the Govt for the project and the collection of dues. The vendor is a certified subcontractor as per the contract with SFAC. 
</t>
        </r>
        <r>
          <rPr>
            <b/>
            <sz val="9"/>
            <color indexed="81"/>
            <rFont val="Tahoma"/>
            <family val="2"/>
          </rPr>
          <t>The work is fully financed, executed and certified by the vendor for the amounts to be released by SFAC, therefore the Company has no access to the dues and has not considered it realisable.</t>
        </r>
        <r>
          <rPr>
            <sz val="9"/>
            <color indexed="81"/>
            <rFont val="Tahoma"/>
            <family val="2"/>
          </rPr>
          <t xml:space="preserve">
</t>
        </r>
      </text>
    </comment>
    <comment ref="D21" authorId="0" shapeId="0">
      <text>
        <r>
          <rPr>
            <b/>
            <sz val="9"/>
            <color indexed="81"/>
            <rFont val="Tahoma"/>
            <family val="2"/>
          </rPr>
          <t>Author:</t>
        </r>
        <r>
          <rPr>
            <sz val="9"/>
            <color indexed="81"/>
            <rFont val="Tahoma"/>
            <family val="2"/>
          </rPr>
          <t xml:space="preserve">
a) Other receivables include Rs 36 Crs from Micro Irrigation division, out of which Rs 28 Crs are more than 2 years. Micro Irrigation business has got affected in the last three years. The Micro Irrigation business is closed for the around four years due to non-availability of working capital.  The funds from the state government are being released on basis of new supplies (which the company has stopped). In addition, the Company owes dues around Rs  372 Crs towards water charges to AP government, where the Company has majority of dues. We expect the Govt would adjust the dues against payables as and when payment to NFCL is approved.  
b) MKTG Division (Urea and other products): The receivable from this division is Rs 6 Crs, out of this majority of receivables (presently urea is being sold on cash basis / few days credit basis in case of non-season) is from other products which were overdue by more than 3 years. The other products business is closed due to non-availability of working capital.  The majority of these receivables which are more than 3 years are related to closed operations of past other traded fertilizer business, the chance of recoverability is highly doubtful, and these receivables were also impaired basis ageing.  </t>
        </r>
      </text>
    </comment>
    <comment ref="D30" authorId="0" shapeId="0">
      <text>
        <r>
          <rPr>
            <b/>
            <sz val="9"/>
            <color indexed="81"/>
            <rFont val="Tahoma"/>
            <family val="2"/>
          </rPr>
          <t>Author:</t>
        </r>
        <r>
          <rPr>
            <sz val="9"/>
            <color indexed="81"/>
            <rFont val="Tahoma"/>
            <family val="2"/>
          </rPr>
          <t xml:space="preserve">
19.56Cr
Subsidy payable to GAIL upon Gail approval was earmarked by IDBI, basis Govt’s OM and GAIL’s approval, to utilise the subsidy amount originally due to GAIL for second unit start-up expenses and the subsidy if not used for the purposes for which it was earmarked, it will be paid to GAIL towards their overdues. Hence cannot be considered as current asset.
Priority charge is already with GAIL for the entire subsidy amount including the above Rs 19.56 Crs, which was subsidy paid to NFCL on priority basis for restart of 2nd plant. 
R</t>
        </r>
        <r>
          <rPr>
            <b/>
            <sz val="9"/>
            <color indexed="81"/>
            <rFont val="Tahoma"/>
            <family val="2"/>
          </rPr>
          <t xml:space="preserve">s 1.03 Cr </t>
        </r>
        <r>
          <rPr>
            <sz val="9"/>
            <color indexed="81"/>
            <rFont val="Tahoma"/>
            <family val="2"/>
          </rPr>
          <t>is with ICICI Bank, which is the Cut back sharing from IDBI Bank transferred in the month of Mar'22, hence can not be considered as current asset available for the Company.</t>
        </r>
      </text>
    </comment>
    <comment ref="D37" authorId="0" shapeId="0">
      <text>
        <r>
          <rPr>
            <b/>
            <sz val="9"/>
            <color indexed="81"/>
            <rFont val="Tahoma"/>
            <family val="2"/>
          </rPr>
          <t>Author:</t>
        </r>
        <r>
          <rPr>
            <sz val="9"/>
            <color indexed="81"/>
            <rFont val="Tahoma"/>
            <family val="2"/>
          </rPr>
          <t xml:space="preserve">
(14+6)Cr 
An award was given against the company by a London Court of international arbitration for breach of contract in favour of a foreign supplier, M/s Key Trade.  Basis the award, Key trade filed an execution petition in the Hon’ble High Court of Telangana along with a petition to attach certain properties. Accordingly, the Hon’ble High Court of Telangana attached the properties. Aggrieved by this order, the Company filed an SLP in the Supreme Court of India and the same was dismissed.
Meanwhile IDBI bank filed a claim petition in the High Court of Telangana stating that the properties attached by high court were already mortgaged to the banks and cannot be attached.
While the matter is pending during arguments, the Honble High Court of Telangana directed the Company to earmark an amount of Rs 20 Crs. </t>
        </r>
        <r>
          <rPr>
            <b/>
            <sz val="9"/>
            <color indexed="81"/>
            <rFont val="Tahoma"/>
            <family val="2"/>
          </rPr>
          <t>Accordingly, the banks IDBI and SBI (Rs 14 crores and Rs 6 crores respectively) to the extent of Rs 20 Crs</t>
        </r>
        <r>
          <rPr>
            <sz val="9"/>
            <color indexed="81"/>
            <rFont val="Tahoma"/>
            <family val="2"/>
          </rPr>
          <t xml:space="preserve"> Leander the amounts in favour of Keytrade and the same was informed to High Court of Telangana. 
</t>
        </r>
        <r>
          <rPr>
            <b/>
            <sz val="9"/>
            <color indexed="81"/>
            <rFont val="Tahoma"/>
            <family val="2"/>
          </rPr>
          <t>The Supreme Court has already adjudicated the award of the London Arbitration Court, the lenders or the Company does not have any legal basis to assume right over the leaned amount of Rs 20 Crs. Hence it cannot be considered as current asset.</t>
        </r>
      </text>
    </comment>
    <comment ref="D45" authorId="0" shapeId="0">
      <text>
        <r>
          <rPr>
            <b/>
            <sz val="9"/>
            <color indexed="81"/>
            <rFont val="Tahoma"/>
            <family val="2"/>
          </rPr>
          <t>Author:</t>
        </r>
        <r>
          <rPr>
            <sz val="9"/>
            <color indexed="81"/>
            <rFont val="Tahoma"/>
            <family val="2"/>
          </rPr>
          <t xml:space="preserve">
6.26Cr + 0.56
6.26 
NFCL has signed a contract with GOI Ministry of Agriculture and Farmers Welfare in 2016 to build eNAM, implement eNAM in selected mandis, train Mandi Officials, Farmers and Traders in the catchment area of the Mandis, operate and maintain eNAM. The contract was expired in July 21.
NFCL has closed the Agri informatics division in FY18-19 due to financial stress and outsourced the work to 3rd party vendors to avoid liabilities. As per the contract, if NFCL is not able to perform, then there is a Liability that would accrue to NFCL for an amount of about Rs 120 Crs.
The vendor is executing the project and bearing all the expenses and interacting with the Govt for the project and the collection of dues. The vendor is a certified subcontractor as per the contract with SFAC. 
</t>
        </r>
        <r>
          <rPr>
            <b/>
            <sz val="9"/>
            <color indexed="81"/>
            <rFont val="Tahoma"/>
            <family val="2"/>
          </rPr>
          <t>The work is fully financed, executed and certified by the vendor for the amounts to be released by SFAC, therefore the Company has no access to the dues and has not considered it realisable.</t>
        </r>
        <r>
          <rPr>
            <sz val="9"/>
            <color indexed="81"/>
            <rFont val="Tahoma"/>
            <family val="2"/>
          </rPr>
          <t xml:space="preserve">
</t>
        </r>
      </text>
    </comment>
    <comment ref="D46" authorId="0" shapeId="0">
      <text>
        <r>
          <rPr>
            <b/>
            <sz val="9"/>
            <color indexed="81"/>
            <rFont val="Tahoma"/>
            <family val="2"/>
          </rPr>
          <t>Author:</t>
        </r>
        <r>
          <rPr>
            <sz val="9"/>
            <color indexed="81"/>
            <rFont val="Tahoma"/>
            <family val="2"/>
          </rPr>
          <t xml:space="preserve">
52.67CR
These depostis made towards rental deposit and with Govt authorities towards various facilities like electricity deposit, water deposit,NALA, EMD Drip Irrigation, telephone, power, as per court order in case of Tecnimont Spa etc which are un-realisable. The rental deposits will be settled against the rent payable of Rs 1.33 Crs as on 31 March 2022. The deposits with statutory authorities towards NALA TAX, outstanding of Rs 68 Lakhs, which is more than the deposit and can not be realized.</t>
        </r>
      </text>
    </comment>
    <comment ref="D58" authorId="0" shapeId="0">
      <text>
        <r>
          <rPr>
            <b/>
            <sz val="9"/>
            <color indexed="81"/>
            <rFont val="Tahoma"/>
            <family val="2"/>
          </rPr>
          <t>hp:</t>
        </r>
        <r>
          <rPr>
            <sz val="9"/>
            <color indexed="81"/>
            <rFont val="Tahoma"/>
            <family val="2"/>
          </rPr>
          <t xml:space="preserve"> 47.26Cr 
NFCL is having Un utilized Accumulated ITC amount under GST law of Rs. 47.26 Crs as on 31-03-2022 as per the Audited Financial Statements and Books of Account. Since this amount can not be claimed from GST authorities except utilisation towards output tax, hence, this amount cannot be considered as current asset available to the Company.
For 4.64Cr check sheet</t>
        </r>
        <r>
          <rPr>
            <b/>
            <sz val="9"/>
            <color indexed="81"/>
            <rFont val="Tahoma"/>
            <family val="2"/>
          </rPr>
          <t xml:space="preserve"> Advance Details 31 March 2022
</t>
        </r>
        <r>
          <rPr>
            <sz val="9"/>
            <color indexed="81"/>
            <rFont val="Tahoma"/>
            <family val="2"/>
          </rPr>
          <t xml:space="preserve">
- These advances made towards railway freight for the movement of goods in the 1st week of April 22
- These advance made for IT related services, insurance and others and the same will be settled, hence can not be considred as realisable.
- Advances given for packing material, chemicals, neem oil, plant maintenace etc. Vendor supply the material in the first qtr of June 2022, hence can not be realisable.
- These advances will be settled up on submission of invoices by the dealers.
- As per the Accounting standards, the debit balances in payable account is shown under "Grossing Up" , which can not be realisable.</t>
        </r>
      </text>
    </comment>
    <comment ref="D64" authorId="0" shapeId="0">
      <text>
        <r>
          <rPr>
            <b/>
            <sz val="9"/>
            <color indexed="81"/>
            <rFont val="Tahoma"/>
            <family val="2"/>
          </rPr>
          <t>Author:</t>
        </r>
        <r>
          <rPr>
            <sz val="9"/>
            <color indexed="81"/>
            <rFont val="Tahoma"/>
            <family val="2"/>
          </rPr>
          <t xml:space="preserve">
7.59Cr 
This is related to insurance premium paid for various policies and GAIL bank guarantee charges recovered by IDBI Bank for a period of one year, grouped under prepaid expenses. No cash is realisable, hence can not be considered as current asset</t>
        </r>
      </text>
    </comment>
  </commentList>
</comments>
</file>

<file path=xl/comments4.xml><?xml version="1.0" encoding="utf-8"?>
<comments xmlns="http://schemas.openxmlformats.org/spreadsheetml/2006/main">
  <authors>
    <author>Author</author>
  </authors>
  <commentList>
    <comment ref="E10" authorId="0" shapeId="0">
      <text>
        <r>
          <rPr>
            <b/>
            <sz val="9"/>
            <color indexed="81"/>
            <rFont val="Tahoma"/>
            <family val="2"/>
          </rPr>
          <t>Author:</t>
        </r>
        <r>
          <rPr>
            <sz val="9"/>
            <color indexed="81"/>
            <rFont val="Tahoma"/>
            <family val="2"/>
          </rPr>
          <t xml:space="preserve">
4.7504
These depostis made towards rental deposit and with Govt authorities towards various facilities like electricity deposit, water deposit,NALA, EMD Drip Irrigation, telephone, power, as per court order in case of Tecnimont Spa etc which are un-realisable. The rental deposits will be settled against the rent payable of Rs 1.33 Crs as on 31 March 2022. The deposits with statutory authorities towards NALA TAX, outstanding of Rs 68 Lakhs, which is more than the deposit and can not be realized.</t>
        </r>
      </text>
    </comment>
  </commentList>
</comments>
</file>

<file path=xl/comments5.xml><?xml version="1.0" encoding="utf-8"?>
<comments xmlns="http://schemas.openxmlformats.org/spreadsheetml/2006/main">
  <authors>
    <author>Author</author>
  </authors>
  <commentList>
    <comment ref="G5" authorId="0" shapeId="0">
      <text>
        <r>
          <rPr>
            <b/>
            <sz val="9"/>
            <color indexed="81"/>
            <rFont val="Tahoma"/>
            <family val="2"/>
          </rPr>
          <t>Author:</t>
        </r>
        <r>
          <rPr>
            <sz val="9"/>
            <color indexed="81"/>
            <rFont val="Tahoma"/>
            <family val="2"/>
          </rPr>
          <t xml:space="preserve">
4.46
The materials have got damaged due to floods in October 2020, damaged packaging etc. This includes expired / obsolete / sale return (more than 2-3 years old) and leaky material which are not suitable for sale. Necessary provision is made in the books of account.</t>
        </r>
      </text>
    </comment>
    <comment ref="G6" authorId="0" shapeId="0">
      <text>
        <r>
          <rPr>
            <b/>
            <sz val="9"/>
            <color indexed="81"/>
            <rFont val="Tahoma"/>
            <family val="2"/>
          </rPr>
          <t>Author:</t>
        </r>
        <r>
          <rPr>
            <sz val="9"/>
            <color indexed="81"/>
            <rFont val="Tahoma"/>
            <family val="2"/>
          </rPr>
          <t xml:space="preserve">
4.46
The materials have got damaged due to floods in October 2020, damaged packaging etc. This includes expired / obsolete / sale return (more than 2-3 years old) and leaky material which are not suitable for sale. Necessary provision is made in the books of account.</t>
        </r>
      </text>
    </comment>
    <comment ref="G7" authorId="0" shapeId="0">
      <text>
        <r>
          <rPr>
            <b/>
            <sz val="9"/>
            <color indexed="81"/>
            <rFont val="Tahoma"/>
            <family val="2"/>
          </rPr>
          <t>Author:</t>
        </r>
        <r>
          <rPr>
            <sz val="9"/>
            <color indexed="81"/>
            <rFont val="Tahoma"/>
            <family val="2"/>
          </rPr>
          <t xml:space="preserve">
15.72(KKD)+1.24(MI&amp;MIH)
On sale of 15.72 Crores finished goods, the subsidy component will be earmarked towards Gas pool and Gas supply dues basis Escrow Agreement and OM from Govt of India. The GAIL dues towards gas pool and gas supply is higher than the subsidy receivable as of 31 March 2022. 
This also includes 1.24 Crores, which is damaged / obsolete / faded material, which are not salable condition and hence the value of material beyond 720 days has not considered.</t>
        </r>
      </text>
    </comment>
    <comment ref="H7" authorId="0" shapeId="0">
      <text>
        <r>
          <rPr>
            <b/>
            <sz val="9"/>
            <color indexed="81"/>
            <rFont val="Tahoma"/>
            <family val="2"/>
          </rPr>
          <t>Author:</t>
        </r>
        <r>
          <rPr>
            <sz val="9"/>
            <color indexed="81"/>
            <rFont val="Tahoma"/>
            <family val="2"/>
          </rPr>
          <t xml:space="preserve">
15.72(KKD)+1.24(MI&amp;MIH)
On sale of 15.72 Crores finished goods, the subsidy component will be earmarked towards Gas pool and Gas supply dues basis Escrow Agreement and OM from Govt of India. The GAIL dues towards gas pool and gas supply is higher than the subsidy receivable as of 31 March 2022. 
This also includes 1.24 Crores, which is damaged / obsolete / faded material, which are not salable condition and hence the value of material beyond 720 days has not considered.</t>
        </r>
      </text>
    </comment>
    <comment ref="G8" authorId="0" shapeId="0">
      <text>
        <r>
          <rPr>
            <b/>
            <sz val="9"/>
            <color indexed="81"/>
            <rFont val="Tahoma"/>
            <family val="2"/>
          </rPr>
          <t>Author:</t>
        </r>
        <r>
          <rPr>
            <sz val="9"/>
            <color indexed="81"/>
            <rFont val="Tahoma"/>
            <family val="2"/>
          </rPr>
          <t xml:space="preserve">
4.07(MI&amp;MIH)+4.00(MKTG &amp; OTHERS)
a) Rs. 4.07 Crs. material beyond age of &gt;720 days
b) The materials have got damaged due to floods in Oct,20, damaged packaging etc. 
This includes expired / obsolete / sale return (more than 2-3 years old) and leaky material which are not suitable for sale. Necessary provision is made in the books of account.</t>
        </r>
      </text>
    </comment>
    <comment ref="H8" authorId="0" shapeId="0">
      <text>
        <r>
          <rPr>
            <b/>
            <sz val="9"/>
            <color indexed="81"/>
            <rFont val="Tahoma"/>
            <family val="2"/>
          </rPr>
          <t>Author:</t>
        </r>
        <r>
          <rPr>
            <sz val="9"/>
            <color indexed="81"/>
            <rFont val="Tahoma"/>
            <family val="2"/>
          </rPr>
          <t xml:space="preserve">
4.07(MI&amp;MIH)+4.00(MKTG &amp; OTHERS)
a) Rs. 4.07 Crs. material beyond age of &gt;720 days
b) The materials have got damaged due to floods in Oct,20, damaged packaging etc. 
This includes expired / obsolete / sale return (more than 2-3 years old) and leaky material which are not suitable for sale. Necessary provision is made in the books of account.</t>
        </r>
      </text>
    </comment>
    <comment ref="G10" authorId="0" shapeId="0">
      <text>
        <r>
          <rPr>
            <b/>
            <sz val="9"/>
            <color indexed="81"/>
            <rFont val="Tahoma"/>
            <family val="2"/>
          </rPr>
          <t>Author:</t>
        </r>
        <r>
          <rPr>
            <sz val="9"/>
            <color indexed="81"/>
            <rFont val="Tahoma"/>
            <family val="2"/>
          </rPr>
          <t xml:space="preserve">
0.89(MKTG &amp; OTHERS)+0.01(MI)
a) The packing materials are obsolete as there are changes in MRP / FCO contents printed on the bags of various products.   Further an amount of Rs 0.89 Crs worth of packing material fall under aging of between 180 to 720 days. Hence, this packing materials are unusable.
b) Material beyond age of &gt;720 days</t>
        </r>
      </text>
    </comment>
    <comment ref="G11" authorId="0" shapeId="0">
      <text>
        <r>
          <rPr>
            <b/>
            <sz val="9"/>
            <color indexed="81"/>
            <rFont val="Tahoma"/>
            <family val="2"/>
          </rPr>
          <t>Author:</t>
        </r>
        <r>
          <rPr>
            <sz val="9"/>
            <color indexed="81"/>
            <rFont val="Tahoma"/>
            <family val="2"/>
          </rPr>
          <t xml:space="preserve">
4.35(KKD)
The plant opex and capex has not been taken up timely. Most of the spares &amp; consumbales are specific / customised for the plant.  Out of this, Rs 4.35 Crs worth of spares fall under the aging of more than 730 days. Hence realisable value has been considered minimum.</t>
        </r>
      </text>
    </comment>
  </commentList>
</comments>
</file>

<file path=xl/comments6.xml><?xml version="1.0" encoding="utf-8"?>
<comments xmlns="http://schemas.openxmlformats.org/spreadsheetml/2006/main">
  <authors>
    <author>Author</author>
  </authors>
  <commentList>
    <comment ref="E5" authorId="0" shapeId="0">
      <text>
        <r>
          <rPr>
            <b/>
            <sz val="9"/>
            <color indexed="81"/>
            <rFont val="Tahoma"/>
            <family val="2"/>
          </rPr>
          <t>Author: 442.79</t>
        </r>
        <r>
          <rPr>
            <sz val="9"/>
            <color indexed="81"/>
            <rFont val="Tahoma"/>
            <family val="2"/>
          </rPr>
          <t xml:space="preserve">
The Gas pool and Gas supply outstanding to GAIL as on 31 March 2021 is Rs 662.88 Crs, correspondingly the Subsidy receivable is Rs 442.79 crores.
The subsidy on sale of finished goods of urea Rs 20.18 crores upon receipt from Department of Fertilizers will be distributed towards Gas pool fund dues and Gas supply dues basis Escrow Agreement and Office Memorandum. Hence the subsidy from sale of finished goods of urea is also not available to the Company, accordingly, cannot be considered as current asset available to the Company.
As per Gas Pooling Policy, in case of failure of payment by a Company within the due date, DOF, GOI is having a right to recover the same from the subsidy payable to the Company and directly pay to Pool Fund Account, with interest @15% p.a.
Govt OM to GAIL communicates that any dues towards Gas supply will be paid to GAIL directly out of subsidy payable to NFCL and will not be credited to the Escrow account.
</t>
        </r>
        <r>
          <rPr>
            <b/>
            <sz val="9"/>
            <color indexed="81"/>
            <rFont val="Tahoma"/>
            <family val="2"/>
          </rPr>
          <t xml:space="preserve">Subsidy receivable is not realisable by the Company as the priority charge over subsidy receivable has been given by the lenders to Government of India towards Gas pool dues and to GAIL towards gas supplies dues and hence cannot be considered as current assets.
Author:
6.26Cr + 0.56
0.56 
</t>
        </r>
        <r>
          <rPr>
            <sz val="9"/>
            <color indexed="81"/>
            <rFont val="Tahoma"/>
            <family val="2"/>
          </rPr>
          <t xml:space="preserve">NFCL has signed a contract with GOI Ministry of Agriculture and Farmers Welfare in 2016 to build eNAM, implement eNAM in selected mandis, train Mandi Officials, Farmers and Traders in the catchment area of the Mandis, operate and maintain eNAM. The contract was expired in July 21.
NFCL has closed the Agri informatics division in FY18-19 due to financial stress and outsourced the work to 3rd party vendors to avoid liabilities. As per the contract, if NFCL is not able to perform, then there is a Liability that would accrue to NFCL.
The vendor is executing the project and bearing all the expenses and interacting with the Govt for the project and the collection of dues. The vendor is a certified subcontractor as per the contract with SFAC. 
</t>
        </r>
        <r>
          <rPr>
            <b/>
            <sz val="9"/>
            <color indexed="81"/>
            <rFont val="Tahoma"/>
            <family val="2"/>
          </rPr>
          <t>The work is fully financed, executed and certified by the vendor for the amounts to be released by SFAC, therefore the Company has no access to the dues and has not considered it realisable.</t>
        </r>
        <r>
          <rPr>
            <sz val="9"/>
            <color indexed="81"/>
            <rFont val="Tahoma"/>
            <family val="2"/>
          </rPr>
          <t xml:space="preserve">
</t>
        </r>
      </text>
    </comment>
    <comment ref="E6" authorId="0" shapeId="0">
      <text>
        <r>
          <rPr>
            <b/>
            <sz val="9"/>
            <color indexed="81"/>
            <rFont val="Tahoma"/>
            <family val="2"/>
          </rPr>
          <t>Author:</t>
        </r>
        <r>
          <rPr>
            <sz val="9"/>
            <color indexed="81"/>
            <rFont val="Tahoma"/>
            <family val="2"/>
          </rPr>
          <t xml:space="preserve">
a) Other receivables include Rs 36 Crs from Micro Irrigation division, out of which Rs 28 Crs are more than 2 years. Micro Irrigation business has got affected in the last three years. The Micro Irrigation business is closed for the around four years due to non-availability of working capital.  The funds from the state government are being released on basis of new supplies (which the company has stopped). In addition, the Company owes dues around Rs  372 Crs towards water charges to AP government, where the Company has majority of dues. We expect the Govt would adjust the dues against payables as and when payment to NFCL is approved.  
b) MKTG Division (Urea and other products): The receivable from this division is Rs 6 Crs, out of this majority of receivables (presently urea is being sold on cash basis / few days credit basis in case of non-season) is from other products which were overdue by more than 3 years. The other products business is closed due to non-availability of working capital.  The majority of these receivables which are more than 3 years are related to closed operations of past other traded fertilizer business, the chance of recoverability is highly doubtful, and these receivables were also impaired basis ageing.</t>
        </r>
      </text>
    </comment>
    <comment ref="F6" authorId="0" shapeId="0">
      <text>
        <r>
          <rPr>
            <b/>
            <sz val="9"/>
            <color indexed="81"/>
            <rFont val="Tahoma"/>
            <family val="2"/>
          </rPr>
          <t>Author:</t>
        </r>
        <r>
          <rPr>
            <sz val="9"/>
            <color indexed="81"/>
            <rFont val="Tahoma"/>
            <family val="2"/>
          </rPr>
          <t xml:space="preserve">
a) Other receivables include Rs 36 Crs from Micro Irrigation division, out of which Rs 28 Crs are more than 2 years. Micro Irrigation business has got affected in the last three years. The Micro Irrigation business is closed for the around four years due to non-availability of working capital.  The funds from the state government are being released on basis of new supplies (which the company has stopped). In addition, the Company owes dues around Rs  372 Crs towards water charges to AP government, where the Company has majority of dues. We expect the Govt would adjust the dues against payables as and when payment to NFCL is approved.  
b) MKTG Division (Urea and other products): The receivable from this division is Rs 6 Crs, out of this majority of receivables (presently urea is being sold on cash basis / few days credit basis in case of non-season) is from other products which were overdue by more than 3 years. The other products business is closed due to non-availability of working capital.  The majority of these receivables which are more than 3 years are related to closed operations of past other traded fertilizer business, the chance of recoverability is highly doubtful, and these receivables were also impaired basis ageing.</t>
        </r>
      </text>
    </comment>
  </commentList>
</comments>
</file>

<file path=xl/comments7.xml><?xml version="1.0" encoding="utf-8"?>
<comments xmlns="http://schemas.openxmlformats.org/spreadsheetml/2006/main">
  <authors>
    <author>Author</author>
  </authors>
  <commentList>
    <comment ref="D8" authorId="0" shapeId="0">
      <text>
        <r>
          <rPr>
            <b/>
            <sz val="9"/>
            <color indexed="81"/>
            <rFont val="Tahoma"/>
            <family val="2"/>
          </rPr>
          <t>Author:</t>
        </r>
        <r>
          <rPr>
            <sz val="9"/>
            <color indexed="81"/>
            <rFont val="Tahoma"/>
            <family val="2"/>
          </rPr>
          <t xml:space="preserve">
18.75 (information by IDBI)
Subsidy payable to GAIL upon Gail approval was earmarked by IDBI, basis Govt’s OM and GAIL’s approval, to utilise the subsidy amount originally due to GAIL for second unit start-up expenses and the subsidy if not used for the purposes for which it was earmarked, it will be paid to GAIL towards their overdues. Hence cannot be considered as current asset.
Priority charge is already with GAIL for the entire subsidy amount including the above Rs 19.56 Crs, which was subsidy paid to NFCL on priority basis for restart of 2nd plant. 
R</t>
        </r>
        <r>
          <rPr>
            <b/>
            <sz val="9"/>
            <color indexed="81"/>
            <rFont val="Tahoma"/>
            <family val="2"/>
          </rPr>
          <t xml:space="preserve">s 1.03 Cr </t>
        </r>
        <r>
          <rPr>
            <sz val="9"/>
            <color indexed="81"/>
            <rFont val="Tahoma"/>
            <family val="2"/>
          </rPr>
          <t>is with ICICI Bank, which is the Cut back sharing from IDBI Bank transferred in the month of Mar'22, hence can not be considered as current asset available for the Company.</t>
        </r>
      </text>
    </comment>
    <comment ref="D14" authorId="0" shapeId="0">
      <text>
        <r>
          <rPr>
            <b/>
            <sz val="9"/>
            <color indexed="81"/>
            <rFont val="Tahoma"/>
            <family val="2"/>
          </rPr>
          <t>Author:</t>
        </r>
        <r>
          <rPr>
            <sz val="9"/>
            <color indexed="81"/>
            <rFont val="Tahoma"/>
            <family val="2"/>
          </rPr>
          <t xml:space="preserve">
(14+6)Cr 
An award was given against the company by a London Court of international arbitration for breach of contract in favour of a foreign supplier, M/s Key Trade.  Basis the award, Key trade filed an execution petition in the Hon’ble High Court of Telangana along with a petition to attach certain properties. Accordingly, the Hon’ble High Court of Telangana attached the properties. Aggrieved by this order, the Company filed an SLP in the Supreme Court of India and the same was dismissed.
Meanwhile IDBI bank filed a claim petition in the High Court of Telangana stating that the properties attached by high court were already mortgaged to the banks and cannot be attached.
While the matter is pending during arguments, the Honble High Court of Telangana directed the Company to earmark an amount of Rs 20 Crs. </t>
        </r>
        <r>
          <rPr>
            <b/>
            <sz val="9"/>
            <color indexed="81"/>
            <rFont val="Tahoma"/>
            <family val="2"/>
          </rPr>
          <t>Accordingly, the banks IDBI and SBI (Rs 14 crores and Rs 6 crores respectively) to the extent of Rs 20 Crs</t>
        </r>
        <r>
          <rPr>
            <sz val="9"/>
            <color indexed="81"/>
            <rFont val="Tahoma"/>
            <family val="2"/>
          </rPr>
          <t xml:space="preserve"> Leander the amounts in favour of Keytrade and the same was informed to High Court of Telangana. 
</t>
        </r>
        <r>
          <rPr>
            <b/>
            <sz val="9"/>
            <color indexed="81"/>
            <rFont val="Tahoma"/>
            <family val="2"/>
          </rPr>
          <t>The Supreme Court has already adjudicated the award of the London Arbitration Court, the lenders or the Company does not have any legal basis to assume right over the leaned amount of Rs 20 Crs. Hence it cannot be considered as current asset.</t>
        </r>
      </text>
    </comment>
  </commentList>
</comments>
</file>

<file path=xl/comments8.xml><?xml version="1.0" encoding="utf-8"?>
<comments xmlns="http://schemas.openxmlformats.org/spreadsheetml/2006/main">
  <authors>
    <author>Author</author>
  </authors>
  <commentList>
    <comment ref="E8" authorId="0" shapeId="0">
      <text>
        <r>
          <rPr>
            <b/>
            <sz val="9"/>
            <color indexed="81"/>
            <rFont val="Tahoma"/>
            <family val="2"/>
          </rPr>
          <t>Author:</t>
        </r>
        <r>
          <rPr>
            <sz val="9"/>
            <color indexed="81"/>
            <rFont val="Tahoma"/>
            <family val="2"/>
          </rPr>
          <t xml:space="preserve">
6.26Cr + 0.56
6.26 
NFCL has signed a contract with GOI Ministry of Agriculture and Farmers Welfare in 2016 to build eNAM, implement eNAM in selected mandis, train Mandi Officials, Farmers and Traders in the catchment area of the Mandis, operate and maintain eNAM. The contract was expired in July 21.
NFCL has closed the Agri informatics division in FY18-19 due to financial stress and outsourced the work to 3rd party vendors to avoid liabilities. As per the contract, if NFCL is not able to perform, then there is a Liability that would accrue to NFCL for an amount of about Rs 120 Crs.
The vendor is executing the project and bearing all the expenses and interacting with the Govt for the project and the collection of dues. The vendor is a certified subcontractor as per the contract with SFAC. 
</t>
        </r>
        <r>
          <rPr>
            <b/>
            <sz val="9"/>
            <color indexed="81"/>
            <rFont val="Tahoma"/>
            <family val="2"/>
          </rPr>
          <t>The work is fully financed, executed and certified by the vendor for the amounts to be released by SFAC, therefore the Company has no access to the dues and has not considered it realisable.</t>
        </r>
        <r>
          <rPr>
            <sz val="9"/>
            <color indexed="81"/>
            <rFont val="Tahoma"/>
            <family val="2"/>
          </rPr>
          <t xml:space="preserve">
</t>
        </r>
      </text>
    </comment>
    <comment ref="E10" authorId="0" shapeId="0">
      <text>
        <r>
          <rPr>
            <b/>
            <sz val="9"/>
            <color indexed="81"/>
            <rFont val="Tahoma"/>
            <family val="2"/>
          </rPr>
          <t>Author:</t>
        </r>
        <r>
          <rPr>
            <sz val="9"/>
            <color indexed="81"/>
            <rFont val="Tahoma"/>
            <family val="2"/>
          </rPr>
          <t xml:space="preserve">
52.67CR
These depostis made towards rental deposit and with Govt authorities towards various facilities like electricity deposit, water deposit,NALA, EMD Drip Irrigation, telephone, power, as per court order in case of Tecnimont Spa etc which are un-realisable. The rental deposits will be settled against the rent payable of Rs 1.33 Crs as on 31 March 2022. The deposits with statutory authorities towards NALA TAX, outstanding of Rs 68 Lakhs, which is more than the deposit and can not be realized.</t>
        </r>
      </text>
    </comment>
  </commentList>
</comments>
</file>

<file path=xl/comments9.xml><?xml version="1.0" encoding="utf-8"?>
<comments xmlns="http://schemas.openxmlformats.org/spreadsheetml/2006/main">
  <authors>
    <author>Author</author>
  </authors>
  <commentList>
    <comment ref="E12" authorId="0" shapeId="0">
      <text>
        <r>
          <rPr>
            <b/>
            <sz val="9"/>
            <color indexed="81"/>
            <rFont val="Tahoma"/>
            <family val="2"/>
          </rPr>
          <t>hp:</t>
        </r>
        <r>
          <rPr>
            <sz val="9"/>
            <color indexed="81"/>
            <rFont val="Tahoma"/>
            <family val="2"/>
          </rPr>
          <t xml:space="preserve"> 47.26Cr 
NFCL is having Un utilized Accumulated ITC amount under GST law of Rs. 47.26 Crs as on 31-03-2022 as per the Audited Financial Statements and Books of Account. Since this amount can not be claimed from GST authorities except utilisation towards output tax, hence, this amount cannot be considered as current asset available to the Company.
For 4.64Cr check sheet</t>
        </r>
        <r>
          <rPr>
            <b/>
            <sz val="9"/>
            <color indexed="81"/>
            <rFont val="Tahoma"/>
            <family val="2"/>
          </rPr>
          <t xml:space="preserve"> Advance Details 31 March 2022
</t>
        </r>
        <r>
          <rPr>
            <sz val="9"/>
            <color indexed="81"/>
            <rFont val="Tahoma"/>
            <family val="2"/>
          </rPr>
          <t xml:space="preserve">
- These advances made towards railway freight for the movement of goods in the 1st week of April 22
- These advance made for IT related services, insurance and others and the same will be settled, hence can not be considred as realisable.
- Advances given for packing material, chemicals, neem oil, plant maintenace etc. Vendor supply the material in the first qtr of June 2022, hence can not be realisable.
- These advances will be settled up on submission of invoices by the dealers.
- As per the Accounting standards, the debit balances in payable account is shown under "Grossing Up" , which can not be realisable.</t>
        </r>
      </text>
    </comment>
    <comment ref="E17" authorId="0" shapeId="0">
      <text>
        <r>
          <rPr>
            <b/>
            <sz val="9"/>
            <color indexed="81"/>
            <rFont val="Tahoma"/>
            <family val="2"/>
          </rPr>
          <t>Author:</t>
        </r>
        <r>
          <rPr>
            <sz val="9"/>
            <color indexed="81"/>
            <rFont val="Tahoma"/>
            <family val="2"/>
          </rPr>
          <t xml:space="preserve">
7.59Cr 
This is related to insurance premium paid for various policies and GAIL bank guarantee charges recovered by IDBI Bank for a period of one year, grouped under prepaid expenses. No cash is realisable, hence can not be considered as current asset</t>
        </r>
      </text>
    </comment>
  </commentList>
</comments>
</file>

<file path=xl/sharedStrings.xml><?xml version="1.0" encoding="utf-8"?>
<sst xmlns="http://schemas.openxmlformats.org/spreadsheetml/2006/main" count="1215" uniqueCount="666">
  <si>
    <t>NET ASSET VALUE (NAV)</t>
  </si>
  <si>
    <t>Fair Market Value</t>
  </si>
  <si>
    <t>Assets:</t>
  </si>
  <si>
    <t>Non-Current Assets</t>
  </si>
  <si>
    <t>Particular (Values in INR Crores)</t>
  </si>
  <si>
    <t>Total Current Assets</t>
  </si>
  <si>
    <t>Operational Liabilities</t>
  </si>
  <si>
    <t>Current Assets</t>
  </si>
  <si>
    <t>Total Non-Current Assets</t>
  </si>
  <si>
    <t>Shareholder's Equity and Liabilities:</t>
  </si>
  <si>
    <t>Total Shareholder's Fund</t>
  </si>
  <si>
    <t>TANGIBLE ASSETS</t>
  </si>
  <si>
    <t>TOTAL : (A)</t>
  </si>
  <si>
    <t>TOTAL : (B)</t>
  </si>
  <si>
    <t>TOTAL : (C)</t>
  </si>
  <si>
    <t>TOTAL : (A+B+C)</t>
  </si>
  <si>
    <t>Factor</t>
  </si>
  <si>
    <t>TOTAL</t>
  </si>
  <si>
    <t>Value as on 31st March 2022</t>
  </si>
  <si>
    <t>Total</t>
  </si>
  <si>
    <t>(B) TRADE RECEIVABLES</t>
  </si>
  <si>
    <t>Shareholder's Equity and Liabilities</t>
  </si>
  <si>
    <t>(A) SHARE CAPITAL</t>
  </si>
  <si>
    <t>Opening Balance</t>
  </si>
  <si>
    <t>Closing Balance</t>
  </si>
  <si>
    <t>1. SHARE HOLDERS' FUNDS</t>
  </si>
  <si>
    <t>2. NON CURRENT LIABITIES</t>
  </si>
  <si>
    <t>Contingent Liabilities</t>
  </si>
  <si>
    <t>Total Adjustable Liabilities</t>
  </si>
  <si>
    <t>Adjusted NAV</t>
  </si>
  <si>
    <t>Buildings</t>
  </si>
  <si>
    <t>Plant &amp; Equipment</t>
  </si>
  <si>
    <t xml:space="preserve">Furniture &amp;  Fixtures </t>
  </si>
  <si>
    <t>Office Equipment</t>
  </si>
  <si>
    <t>Vehicles</t>
  </si>
  <si>
    <t>Roads, Drains &amp; Culverts</t>
  </si>
  <si>
    <t>Railway Siding</t>
  </si>
  <si>
    <t>Land</t>
  </si>
  <si>
    <t>Value as per Provisional Balance sheet as on 31.03.2022</t>
  </si>
  <si>
    <t>M/s Nagarjuna Fertilizers and Chemicals Limited</t>
  </si>
  <si>
    <t>(a) Property, Plant and Equipment</t>
  </si>
  <si>
    <r>
      <rPr>
        <sz val="11"/>
        <rFont val="Arial Narrow"/>
        <family val="2"/>
      </rPr>
      <t>(c) Investment Property</t>
    </r>
  </si>
  <si>
    <r>
      <rPr>
        <sz val="11"/>
        <rFont val="Arial Narrow"/>
        <family val="2"/>
      </rPr>
      <t>(d) Goodwill</t>
    </r>
  </si>
  <si>
    <r>
      <rPr>
        <sz val="11"/>
        <rFont val="Arial Narrow"/>
        <family val="2"/>
      </rPr>
      <t>(e) Other Intangible assets</t>
    </r>
  </si>
  <si>
    <r>
      <rPr>
        <sz val="11"/>
        <rFont val="Arial Narrow"/>
        <family val="2"/>
      </rPr>
      <t>(f) Intangible assets under development</t>
    </r>
  </si>
  <si>
    <r>
      <rPr>
        <sz val="11"/>
        <rFont val="Arial Narrow"/>
        <family val="2"/>
      </rPr>
      <t>(g) Biological Assets other than bearer plants</t>
    </r>
  </si>
  <si>
    <t>(c) Financial Assets</t>
  </si>
  <si>
    <t>(i) Investments</t>
  </si>
  <si>
    <t>(ii) Trade Receivables</t>
  </si>
  <si>
    <t>(ii) Loans</t>
  </si>
  <si>
    <t xml:space="preserve">(ii) Others </t>
  </si>
  <si>
    <r>
      <rPr>
        <sz val="11"/>
        <rFont val="Arial Narrow"/>
        <family val="2"/>
      </rPr>
      <t>(i) Deferred tax assets (net)</t>
    </r>
  </si>
  <si>
    <t>(d) Other non-current assets</t>
  </si>
  <si>
    <t>(i)  Trade receivables</t>
  </si>
  <si>
    <t>(ii) Cash and cash equivalents</t>
  </si>
  <si>
    <t>(iii) Bank balances, other than (ii) above</t>
  </si>
  <si>
    <t>(iv) Loans</t>
  </si>
  <si>
    <t xml:space="preserve">(iv) Others </t>
  </si>
  <si>
    <r>
      <rPr>
        <sz val="11"/>
        <rFont val="Arial Narrow"/>
        <family val="2"/>
      </rPr>
      <t>(a) Inventories</t>
    </r>
  </si>
  <si>
    <r>
      <rPr>
        <sz val="11"/>
        <rFont val="Arial Narrow"/>
        <family val="2"/>
      </rPr>
      <t>(b) Financial Assets</t>
    </r>
  </si>
  <si>
    <r>
      <rPr>
        <sz val="11"/>
        <rFont val="Arial Narrow"/>
        <family val="2"/>
      </rPr>
      <t>(i) Investments</t>
    </r>
  </si>
  <si>
    <r>
      <rPr>
        <sz val="11"/>
        <rFont val="Arial Narrow"/>
        <family val="2"/>
      </rPr>
      <t>(c) Current Tax Assets (Net)</t>
    </r>
  </si>
  <si>
    <r>
      <rPr>
        <sz val="11"/>
        <rFont val="Arial Narrow"/>
        <family val="2"/>
      </rPr>
      <t>(d) Other current assets</t>
    </r>
  </si>
  <si>
    <r>
      <rPr>
        <b/>
        <sz val="11"/>
        <rFont val="Arial Narrow"/>
        <family val="2"/>
      </rPr>
      <t>Total Assets</t>
    </r>
  </si>
  <si>
    <r>
      <rPr>
        <b/>
        <sz val="11"/>
        <rFont val="Arial Narrow"/>
        <family val="2"/>
      </rPr>
      <t>Equity</t>
    </r>
  </si>
  <si>
    <r>
      <rPr>
        <sz val="11"/>
        <rFont val="Arial Narrow"/>
        <family val="2"/>
      </rPr>
      <t>(a) Equity Share capital</t>
    </r>
  </si>
  <si>
    <r>
      <rPr>
        <sz val="11"/>
        <rFont val="Arial Narrow"/>
        <family val="2"/>
      </rPr>
      <t>(b)    Instruments entirely equity in nature</t>
    </r>
  </si>
  <si>
    <r>
      <rPr>
        <sz val="12"/>
        <rFont val="Arial Narrow"/>
        <family val="2"/>
      </rPr>
      <t xml:space="preserve">(b) </t>
    </r>
    <r>
      <rPr>
        <sz val="11"/>
        <rFont val="Arial Narrow"/>
        <family val="2"/>
      </rPr>
      <t>Other Equity</t>
    </r>
  </si>
  <si>
    <t>Liabilities</t>
  </si>
  <si>
    <r>
      <rPr>
        <sz val="11"/>
        <rFont val="Arial Narrow"/>
        <family val="2"/>
      </rPr>
      <t>(a) Financial Liabilities</t>
    </r>
  </si>
  <si>
    <r>
      <rPr>
        <sz val="11"/>
        <rFont val="Arial Narrow"/>
        <family val="2"/>
      </rPr>
      <t>(i) Borrowings</t>
    </r>
  </si>
  <si>
    <r>
      <rPr>
        <sz val="11"/>
        <rFont val="Arial Narrow"/>
        <family val="2"/>
      </rPr>
      <t>(ia) Lease liabilities</t>
    </r>
  </si>
  <si>
    <r>
      <rPr>
        <sz val="11"/>
        <rFont val="Arial Narrow"/>
        <family val="2"/>
      </rPr>
      <t>(ii) Trade payables</t>
    </r>
  </si>
  <si>
    <r>
      <rPr>
        <sz val="11"/>
        <rFont val="Arial Narrow"/>
        <family val="2"/>
      </rPr>
      <t>(A) Total outstanding dues of Small Enterprises and Micro enterprises</t>
    </r>
  </si>
  <si>
    <r>
      <rPr>
        <sz val="12"/>
        <rFont val="Arial Narrow"/>
        <family val="2"/>
      </rPr>
      <t>(B) Total outstanding dues of creditors other than small enterprises and micro enterprises.</t>
    </r>
  </si>
  <si>
    <r>
      <rPr>
        <sz val="12"/>
        <rFont val="Arial Narrow"/>
        <family val="2"/>
      </rPr>
      <t xml:space="preserve">(ii) </t>
    </r>
    <r>
      <rPr>
        <sz val="11"/>
        <rFont val="Arial Narrow"/>
        <family val="2"/>
      </rPr>
      <t>Other financial liabilities</t>
    </r>
    <r>
      <rPr>
        <sz val="10"/>
        <rFont val="Arial Narrow"/>
        <family val="2"/>
      </rPr>
      <t xml:space="preserve"> </t>
    </r>
  </si>
  <si>
    <r>
      <rPr>
        <sz val="11"/>
        <rFont val="Arial Narrow"/>
        <family val="2"/>
      </rPr>
      <t>(b) Provisions</t>
    </r>
  </si>
  <si>
    <r>
      <rPr>
        <sz val="11"/>
        <rFont val="Arial Narrow"/>
        <family val="2"/>
      </rPr>
      <t>(c) Deferred tax liabilities (Net)</t>
    </r>
  </si>
  <si>
    <r>
      <rPr>
        <sz val="12"/>
        <rFont val="Arial Narrow"/>
        <family val="2"/>
      </rPr>
      <t xml:space="preserve">(d) </t>
    </r>
    <r>
      <rPr>
        <sz val="11"/>
        <rFont val="Arial Narrow"/>
        <family val="2"/>
      </rPr>
      <t>Other non-current liabilities</t>
    </r>
  </si>
  <si>
    <t>Non-current liabilities</t>
  </si>
  <si>
    <t>Total Non-current liabilities</t>
  </si>
  <si>
    <r>
      <rPr>
        <sz val="11"/>
        <rFont val="Arial Narrow"/>
        <family val="2"/>
      </rPr>
      <t>(A) Total outstanding dues of Micro enterprises and Small Enterprises</t>
    </r>
  </si>
  <si>
    <t>(B) Total outstanding dues of creditors other than micro and small enterprises.</t>
  </si>
  <si>
    <t>(iii)    Other financial liabilities (other than those specified in item (c) below)</t>
  </si>
  <si>
    <t>(b)    Other current liabilities</t>
  </si>
  <si>
    <t>(c)   Provisions</t>
  </si>
  <si>
    <r>
      <rPr>
        <sz val="12"/>
        <rFont val="Arial Narrow"/>
        <family val="2"/>
      </rPr>
      <t xml:space="preserve">(d)   </t>
    </r>
    <r>
      <rPr>
        <sz val="11"/>
        <rFont val="Arial Narrow"/>
        <family val="2"/>
      </rPr>
      <t>Current Tax Liabilities (Net)</t>
    </r>
  </si>
  <si>
    <t>Current liabilities</t>
  </si>
  <si>
    <t>Total Current liabilities</t>
  </si>
  <si>
    <t>Total Shareholder's Equity and Liabilities</t>
  </si>
  <si>
    <t>NON-CURRENT ASSETS</t>
  </si>
  <si>
    <t>(B) CAPITAL WORK-IN-PROGRESS</t>
  </si>
  <si>
    <t>CWIP - Plant and Equipment</t>
  </si>
  <si>
    <t>(C) FINANCIAL ASSETS</t>
  </si>
  <si>
    <t>Other Financial Assets</t>
  </si>
  <si>
    <t>Margin money deposit</t>
  </si>
  <si>
    <t>Interest Accrued on Deposits and advances</t>
  </si>
  <si>
    <t>Unbilled Revenue</t>
  </si>
  <si>
    <t xml:space="preserve">Claims receivable </t>
  </si>
  <si>
    <t>Security Deposit</t>
  </si>
  <si>
    <t>Other Receivables</t>
  </si>
  <si>
    <t>Work in progress</t>
  </si>
  <si>
    <t>Traded goods</t>
  </si>
  <si>
    <t>Stock In Transit - Traded goods</t>
  </si>
  <si>
    <t>Packing materials</t>
  </si>
  <si>
    <t>Stores and Spares</t>
  </si>
  <si>
    <t>Loose tools</t>
  </si>
  <si>
    <t>Raw materials</t>
  </si>
  <si>
    <t xml:space="preserve">Unsecured  -Considered good   </t>
  </si>
  <si>
    <t>Which have significant increase in Credit Risk</t>
  </si>
  <si>
    <t>Credit Impaired</t>
  </si>
  <si>
    <t xml:space="preserve">Other debts considered good </t>
  </si>
  <si>
    <t>Less: Provision for doubtful debts</t>
  </si>
  <si>
    <t>Balances with  Banks</t>
  </si>
  <si>
    <t>Unclaimed Dividend - earmarked accounts</t>
  </si>
  <si>
    <t xml:space="preserve">Current Accounts </t>
  </si>
  <si>
    <t>Cheques, drafts on hand</t>
  </si>
  <si>
    <t>Cash on hand</t>
  </si>
  <si>
    <t>Margin Money Deposits</t>
  </si>
  <si>
    <t>Amount in earmarked account for payment to a creditor as per High Court Orders</t>
  </si>
  <si>
    <t>TOTAL : (D)</t>
  </si>
  <si>
    <t xml:space="preserve">(A) INVENTORIES </t>
  </si>
  <si>
    <t>(C) CASH AND CASH EQUIVALENTS</t>
  </si>
  <si>
    <t>(D) BANK BALANCES (OTHER THAN CASH AND CASH EQUIVALENTS)</t>
  </si>
  <si>
    <t>(E) FINANCIAL ASSETS</t>
  </si>
  <si>
    <t>TOTAL : (E)</t>
  </si>
  <si>
    <t xml:space="preserve">Authorised </t>
  </si>
  <si>
    <t>Issued, Subscribed and Paid Up</t>
  </si>
  <si>
    <t xml:space="preserve">6210000000 Equity Shares of Rs. 1/- each </t>
  </si>
  <si>
    <t>1800000000 Preference Shares of Rs. 1/- each</t>
  </si>
  <si>
    <t>598065003 Equity Shares of Rs. 1/- each fully paidup</t>
  </si>
  <si>
    <t xml:space="preserve">Add: On allotments during the year </t>
  </si>
  <si>
    <t xml:space="preserve">Add: On account of Amalgamation </t>
  </si>
  <si>
    <t xml:space="preserve">Less: Transfer to General Reserve </t>
  </si>
  <si>
    <t xml:space="preserve">Proposed Equity Dividend [Rs. 1/- per share (31.03.2012: Rs. 1/- per share)]       </t>
  </si>
  <si>
    <t>i) Capital Reserve</t>
  </si>
  <si>
    <t>Changes during the year</t>
  </si>
  <si>
    <t>(Rs.1653.57 @33.99%  (Previous year: Rs.  Lakhs))</t>
  </si>
  <si>
    <t>Less: Depreciation adjusted as per Companies Act 2013</t>
  </si>
  <si>
    <t>ii) Capital Redemption Reserve</t>
  </si>
  <si>
    <t>Add: Transfer from Surplus in Statement of Profit and Loss</t>
  </si>
  <si>
    <t>ii) Securities Premium</t>
  </si>
  <si>
    <t>Debenture Redemption Reserve</t>
  </si>
  <si>
    <t>iii) General Reserve</t>
  </si>
  <si>
    <t>Add: Transfer from Debenture Redemption Reserve</t>
  </si>
  <si>
    <t>Add: Transfer from Capital Redemption Reserve</t>
  </si>
  <si>
    <t>Less: Depreciation adjustment</t>
  </si>
  <si>
    <t>(Previous year Net of Deferred Tax Rs. 562.05 Lakhs)</t>
  </si>
  <si>
    <t>iv) Retained Earnings</t>
  </si>
  <si>
    <t xml:space="preserve">Opening Balance </t>
  </si>
  <si>
    <t>Add: Net Profit /(Loss) after tax for the year</t>
  </si>
  <si>
    <t>Ind AS 116 Leases - Transition Impact</t>
  </si>
  <si>
    <t>Less: Appropriations</t>
  </si>
  <si>
    <t>Tax on dividend</t>
  </si>
  <si>
    <t>Transfer to Capital Redemption Reserve</t>
  </si>
  <si>
    <t>Transfer to General Reserve</t>
  </si>
  <si>
    <t>v) Other Comprehensive Income</t>
  </si>
  <si>
    <t>Items of other comprehensive income - which will not be reclassified to P &amp; L :</t>
  </si>
  <si>
    <t xml:space="preserve"> Remeasurement of post employement benefit obligations, net of tax</t>
  </si>
  <si>
    <t>Add: for the year</t>
  </si>
  <si>
    <t>TOTAL: [ i to v]</t>
  </si>
  <si>
    <t>(B) OTHER EQUITY:</t>
  </si>
  <si>
    <t>i) Term Loans - Secured</t>
  </si>
  <si>
    <t xml:space="preserve">From Banks </t>
  </si>
  <si>
    <t>In Foreign Currency</t>
  </si>
  <si>
    <t>From Other Parties - Dept. of Biotechnology</t>
  </si>
  <si>
    <t>ii)  Loans repayable on Demand -Secured</t>
  </si>
  <si>
    <t>From Banks  - Cash Credit Facilty</t>
  </si>
  <si>
    <t>Sales tax Deferral  from Government of AP</t>
  </si>
  <si>
    <t xml:space="preserve">iii) Deferred Payment Liabilities - Unsecured </t>
  </si>
  <si>
    <t>TOTAL: [ i to iii]</t>
  </si>
  <si>
    <t>Provision for employee benefits (Refer Note 25.1)</t>
  </si>
  <si>
    <t>- for Leave Benefit (net of plan assets)</t>
  </si>
  <si>
    <t>- Gratuity</t>
  </si>
  <si>
    <t>Provision for Taxation (net of Advance Tax Rs. Nil (previous year Rs. Nil))</t>
  </si>
  <si>
    <t>Proposed Equity Dividend</t>
  </si>
  <si>
    <t>Tax on Dividend</t>
  </si>
  <si>
    <t>Depreciation / amortization</t>
  </si>
  <si>
    <t>Employee benefit provision</t>
  </si>
  <si>
    <t>Unabsorbed Loss and Depreciation under tax laws</t>
  </si>
  <si>
    <t>Disallowances u/s 43B of Income Tax Act</t>
  </si>
  <si>
    <t>Amalgamation expenses</t>
  </si>
  <si>
    <t>Government grant</t>
  </si>
  <si>
    <t>Fair value adjustment - Government Grants</t>
  </si>
  <si>
    <t xml:space="preserve"> - Sales tax deferral </t>
  </si>
  <si>
    <t xml:space="preserve"> - Loan from Dept. Bio-Technology (Refer Note 14)</t>
  </si>
  <si>
    <t>Others</t>
  </si>
  <si>
    <t>Employee costs payable</t>
  </si>
  <si>
    <t>Insurance Claim received pending final settlement</t>
  </si>
  <si>
    <t>Statutory dues Payable</t>
  </si>
  <si>
    <t>3. CURRENT LIABITIES</t>
  </si>
  <si>
    <t>(A) Due to Micro, Small, Medium Enterprises (MSMEs)</t>
  </si>
  <si>
    <t>(B) Due to Other than MSMEs</t>
  </si>
  <si>
    <t xml:space="preserve"> Deposits from dealers </t>
  </si>
  <si>
    <t xml:space="preserve"> Other Deposits - (Retention Money, EMD etc.)</t>
  </si>
  <si>
    <t>Creditors for purchase of fixed assets</t>
  </si>
  <si>
    <t>LIABILITIES</t>
  </si>
  <si>
    <t>(A) BORROWING:</t>
  </si>
  <si>
    <t>(B) OTHER FINANCIAL LIABILITIES</t>
  </si>
  <si>
    <t>(C) PROVISION:</t>
  </si>
  <si>
    <t>(D) DEFERRED TAX LIABILITIES (NET):</t>
  </si>
  <si>
    <t>(E) OTHER LIABILITIES</t>
  </si>
  <si>
    <t>(B) TRADE PAYABLES:</t>
  </si>
  <si>
    <t>(C) OTHER FINANCIAL LIABILITIES</t>
  </si>
  <si>
    <t>(E) PROVISION:</t>
  </si>
  <si>
    <t>TOTAL LIABILITIES</t>
  </si>
  <si>
    <t>TOTAL SHAREHOLDER'S EQUITY AND LIABILITIES</t>
  </si>
  <si>
    <t xml:space="preserve">TOTAL SHAREHOLDER'S EQUITY </t>
  </si>
  <si>
    <t>Net Deferred Tax Liability</t>
  </si>
  <si>
    <t>TOTAL NON CURRENT LIABILITIES</t>
  </si>
  <si>
    <t>TOTAL CURRENT LIABILITIES</t>
  </si>
  <si>
    <t>(F) CURRENT TAX ASSETS (NET)</t>
  </si>
  <si>
    <t>Advance Income Tax</t>
  </si>
  <si>
    <t>TOTAL : (F)</t>
  </si>
  <si>
    <t>i) Capital Advances</t>
  </si>
  <si>
    <t>Secured (considered good)</t>
  </si>
  <si>
    <t>Unsecured (considered good)</t>
  </si>
  <si>
    <t>Unsecured - considered doubtful</t>
  </si>
  <si>
    <t>Less: Provision for Doubtful advances</t>
  </si>
  <si>
    <t>- Unsecured, considered good</t>
  </si>
  <si>
    <t>- Unsecured, considered doubtful</t>
  </si>
  <si>
    <t>v)  Gratuity fund - excess of plan assets over liability</t>
  </si>
  <si>
    <t>(D) OTHER CURRENT LIABILITIES</t>
  </si>
  <si>
    <t>These two are finished goods</t>
  </si>
  <si>
    <t>These two comes under same head</t>
  </si>
  <si>
    <t>CATEGORY</t>
  </si>
  <si>
    <t>CATEGORY OF SHAREHOLDER</t>
  </si>
  <si>
    <t>NOS. OF SHAREHOLDERS</t>
  </si>
  <si>
    <t>NO. OF FULLY PAID UP EQUITY SHARES HELD</t>
  </si>
  <si>
    <t>NO. OF PARTLY PAID UP EQUITY SHARES HELD</t>
  </si>
  <si>
    <t>NO. OF SHARES UNDERLYING DEPOSITORY RECIEPTS</t>
  </si>
  <si>
    <t>TOTAL NOS. SHARES HELD</t>
  </si>
  <si>
    <t>NUMBER OF VOTING RIGHTS HELD IN EACH CLASS OF SECURITIES</t>
  </si>
  <si>
    <t>NO. OF SHARES UNDERLYING OUTSTANDING CONVERTIBLE SECURITIES (INCLUDING WARRANTS)</t>
  </si>
  <si>
    <t>SHAREHOLDING , AS A % ASSUMING FULL CONVERSION OF CONVERTIBLE SECURITIES ( AS A PERCENTAGE OF DILUTED SHARE CAPITAL) AS A % OF (A+B+C2)</t>
  </si>
  <si>
    <t>NUMBER OF LOCKED IN SHARES</t>
  </si>
  <si>
    <t>NUMBER OF SHARES PLEDGED OR OTHERWISE ENCUMBERED</t>
  </si>
  <si>
    <t>NUMBER OF EQUITY SHARES HELD IN DEMATERIALIZED FORM</t>
  </si>
  <si>
    <t>(I)</t>
  </si>
  <si>
    <t>(II)</t>
  </si>
  <si>
    <t>(III)</t>
  </si>
  <si>
    <t>(IV)</t>
  </si>
  <si>
    <t>(V)</t>
  </si>
  <si>
    <t>(VI)</t>
  </si>
  <si>
    <t>(VII) = (IV)+(V)+ (VI)</t>
  </si>
  <si>
    <t>(VIII)</t>
  </si>
  <si>
    <t>(IX)</t>
  </si>
  <si>
    <t>(X)</t>
  </si>
  <si>
    <t>(XI) = (VII)+(X)</t>
  </si>
  <si>
    <t>(XII)</t>
  </si>
  <si>
    <t>(XIII)</t>
  </si>
  <si>
    <t>(XIV)</t>
  </si>
  <si>
    <t>NO OF VOTING RIGHTS</t>
  </si>
  <si>
    <t>TOTAL AS A % OF (A+B+C)</t>
  </si>
  <si>
    <t>NO</t>
  </si>
  <si>
    <t>AS A % OF TOTAL SHARES HELD</t>
  </si>
  <si>
    <t>CLASS X</t>
  </si>
  <si>
    <t>CLASS Y</t>
  </si>
  <si>
    <t>(A)</t>
  </si>
  <si>
    <t>(B)</t>
  </si>
  <si>
    <t>Promoter &amp; Promoter Group</t>
  </si>
  <si>
    <t>34,17,00,129</t>
  </si>
  <si>
    <t>-</t>
  </si>
  <si>
    <t>29,60,72,140.00</t>
  </si>
  <si>
    <t>Public</t>
  </si>
  <si>
    <t>3,01,000</t>
  </si>
  <si>
    <t>25,63,64,874</t>
  </si>
  <si>
    <t>23,56,66,699</t>
  </si>
  <si>
    <t>Non Promoter- Non Public</t>
  </si>
  <si>
    <t>Shares underlying DRs</t>
  </si>
  <si>
    <t>Shares held by Employee Trusts</t>
  </si>
  <si>
    <t>3,01,005</t>
  </si>
  <si>
    <t>59,80,65,003</t>
  </si>
  <si>
    <t>57,73,66,828</t>
  </si>
  <si>
    <t>SHAREHOLDING AS A % OF TOTAL NO. OF SHARES</t>
  </si>
  <si>
    <t>(C)</t>
  </si>
  <si>
    <t>(C1)</t>
  </si>
  <si>
    <t>(C2)</t>
  </si>
  <si>
    <t>Plant Locations</t>
  </si>
  <si>
    <t>Type of plant</t>
  </si>
  <si>
    <t>FMV</t>
  </si>
  <si>
    <t>KAKINADA</t>
  </si>
  <si>
    <t>Main Plant</t>
  </si>
  <si>
    <t>NACHARAM</t>
  </si>
  <si>
    <t>Micro-Irrigation Unit</t>
  </si>
  <si>
    <t>SADASHIVPET</t>
  </si>
  <si>
    <t>HALOL</t>
  </si>
  <si>
    <t xml:space="preserve"> VALUATION SUMMARY | PLANT &amp; MACHINERY &amp; OTHER FIXED ASSETS
NAGARJUNA FERTILIZERS AND CHEMICALS LIMITED</t>
  </si>
  <si>
    <t>Sr.No</t>
  </si>
  <si>
    <t>Particulars</t>
  </si>
  <si>
    <t>Plant &amp; Machinery</t>
  </si>
  <si>
    <t>Furniture &amp; Fittings</t>
  </si>
  <si>
    <t>Information Technology Equipments</t>
  </si>
  <si>
    <t>Other Equipments</t>
  </si>
  <si>
    <t>Railway Sidings</t>
  </si>
  <si>
    <t>Total Acquisition &amp; Production Cost 
(INR)</t>
  </si>
  <si>
    <t>Total Gross Current Reproduction Cost
(INR)</t>
  </si>
  <si>
    <t>Total Fair Market Value 
(INR)</t>
  </si>
  <si>
    <t>Sl. No.</t>
  </si>
  <si>
    <t>Borrowings</t>
  </si>
  <si>
    <t>Non-Current</t>
  </si>
  <si>
    <t>Current</t>
  </si>
  <si>
    <t>o/s bal. as at  31.03.2022</t>
  </si>
  <si>
    <t>A</t>
  </si>
  <si>
    <t>Secured</t>
  </si>
  <si>
    <t>Working Capital Term Loans - in Rupees  from Banks</t>
  </si>
  <si>
    <t>I D B I Bank Limited</t>
  </si>
  <si>
    <t>State Bank of India</t>
  </si>
  <si>
    <t>ICICI Bank Limited</t>
  </si>
  <si>
    <t>UCO Bank</t>
  </si>
  <si>
    <t>Total Principal</t>
  </si>
  <si>
    <t>Interest accrued  on the above loans</t>
  </si>
  <si>
    <t>Total - (A)</t>
  </si>
  <si>
    <t>Corporate Loans - In Rupees from Bank</t>
  </si>
  <si>
    <t>State Bank of India -Corporate Rupee Loan</t>
  </si>
  <si>
    <t>Total - (B)</t>
  </si>
  <si>
    <t>Term Loans - In Rupees from others</t>
  </si>
  <si>
    <t>Department of Bio Technology, GOI</t>
  </si>
  <si>
    <t>Total - (C)</t>
  </si>
  <si>
    <t>Loans repayable on demand  - from Banks</t>
  </si>
  <si>
    <t xml:space="preserve">Cash Credit </t>
  </si>
  <si>
    <t>Short Term Loan</t>
  </si>
  <si>
    <t>Total - (D)</t>
  </si>
  <si>
    <t>B</t>
  </si>
  <si>
    <t>Unsecured</t>
  </si>
  <si>
    <t>Sales tax Deferral  from Government of AP - Total - (E)</t>
  </si>
  <si>
    <t>Grand Total (A to E)</t>
  </si>
  <si>
    <t>Adjusted Values</t>
  </si>
  <si>
    <t>Total Book Value 
(INR)</t>
  </si>
  <si>
    <t>Particular</t>
  </si>
  <si>
    <t>Annual Urea Production (MT)</t>
  </si>
  <si>
    <t>Capacity Utilization%</t>
  </si>
  <si>
    <t>Produstion, Million MT</t>
  </si>
  <si>
    <t>Energy Consumption Gal/MT of Urea</t>
  </si>
  <si>
    <t>Water Consumption M^3/MT of Urea</t>
  </si>
  <si>
    <t>Volumes in Thousand MT</t>
  </si>
  <si>
    <t>Total (ii)</t>
  </si>
  <si>
    <t>Total (i)</t>
  </si>
  <si>
    <t>(G) OTHER CURRENT ASSETS</t>
  </si>
  <si>
    <t>Description</t>
  </si>
  <si>
    <t>Projects in progress</t>
  </si>
  <si>
    <t>Contract workmen Mgt System &amp; CC Cameras</t>
  </si>
  <si>
    <t>Upgradation of Analyzers</t>
  </si>
  <si>
    <t>Sub Total</t>
  </si>
  <si>
    <t>Projects temporarily suspended</t>
  </si>
  <si>
    <t>Development of Mobile/Web Application for Field Team from Visionnet Systems Pvt Limited - SIGNING OFF S/W</t>
  </si>
  <si>
    <t>PARTICULARS (Values in INR Crores)</t>
  </si>
  <si>
    <t>Railway Siding Equipments</t>
  </si>
  <si>
    <t>Realisable / Liquidation Value (Going concern)</t>
  </si>
  <si>
    <t>Realisable / Liquidation Value (Piecemeal)</t>
  </si>
  <si>
    <t>S.No.</t>
  </si>
  <si>
    <t>Type of Inventory</t>
  </si>
  <si>
    <t>Nature/ Type/ Name of material</t>
  </si>
  <si>
    <t>Total Qty</t>
  </si>
  <si>
    <t>Rate</t>
  </si>
  <si>
    <t>Amount as on 31st August 2021</t>
  </si>
  <si>
    <t>Fair Value Assessment</t>
  </si>
  <si>
    <t>Remarks</t>
  </si>
  <si>
    <t>DCORATIVE PLY FIN</t>
  </si>
  <si>
    <t>DECO. DOOR</t>
  </si>
  <si>
    <t>Raw Material</t>
  </si>
  <si>
    <t>ROW VENEER</t>
  </si>
  <si>
    <t>Timber</t>
  </si>
  <si>
    <t>REMARKS &amp; NOTES:-</t>
  </si>
  <si>
    <t>Amount outstanding as per latest Balance Sheet</t>
  </si>
  <si>
    <t>Age</t>
  </si>
  <si>
    <t>&gt;180 days</t>
  </si>
  <si>
    <t>Items</t>
  </si>
  <si>
    <t>Balance as per latest BS</t>
  </si>
  <si>
    <t>Figures in INR crores</t>
  </si>
  <si>
    <t>1. Assessment is done based on the discussions done with the company/ Banker and the details which they could provide to us on our queries.
2. This is just a general assessment on the basis of general Industry practice, based on the details which the company/ Banker provided to us as per our queries &amp; discussions with the company officials/ Banker.
3. No audit of any kind is performed by us for the books of account or ledger statements and all this data/ information/ input/ details provided to us by the company/ Banker are taken as is it on good faith that these are factually correct information.
4. There is no fixed criteria, formula or norm for the Valuation of Current assets It is purely based on the individual assessment and may differ from value to value based on the practicality he/she analyze in recoveries of outstanding dues. Ultimate recovery depends on efforts, extensive follow-ups and close scrutiny of individual case made by the company/ Banker. So our values should not be regarded as any judgment in regard to the recoverability of Current assets</t>
  </si>
  <si>
    <t>Nature/ Purpose of Asset</t>
  </si>
  <si>
    <t>Outstanding Amount as per books</t>
  </si>
  <si>
    <r>
      <rPr>
        <sz val="9"/>
        <rFont val="Arial MT"/>
        <family val="2"/>
      </rPr>
      <t>Delta Corporation</t>
    </r>
  </si>
  <si>
    <r>
      <rPr>
        <sz val="9"/>
        <rFont val="Arial MT"/>
        <family val="2"/>
      </rPr>
      <t>Pearl Business Consultant</t>
    </r>
  </si>
  <si>
    <r>
      <rPr>
        <sz val="9"/>
        <rFont val="Arial MT"/>
        <family val="2"/>
      </rPr>
      <t>Simran Construction Pvt Ltd</t>
    </r>
  </si>
  <si>
    <r>
      <rPr>
        <sz val="9"/>
        <rFont val="Arial MT"/>
        <family val="2"/>
      </rPr>
      <t>Ashok Kuamr Kar</t>
    </r>
  </si>
  <si>
    <r>
      <rPr>
        <sz val="9"/>
        <rFont val="Arial MT"/>
        <family val="2"/>
      </rPr>
      <t>Security Deposit</t>
    </r>
  </si>
  <si>
    <t>Advance Against VAT Assessment( FY11-12)</t>
  </si>
  <si>
    <r>
      <rPr>
        <sz val="9"/>
        <rFont val="Arial MT"/>
        <family val="2"/>
      </rPr>
      <t>CST A.Y-14-15</t>
    </r>
  </si>
  <si>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company/banker. So our values should not be regarded as any judgment in regard to the recoverability of Current assets</t>
  </si>
  <si>
    <t>Amrit Supply &amp; Co Pvt Ltd (Security)</t>
  </si>
  <si>
    <t>Gayatree Thermoset</t>
  </si>
  <si>
    <t>Leadtop Import &amp; Export Co. Ltd.</t>
  </si>
  <si>
    <t>Om Prakash Bajaj</t>
  </si>
  <si>
    <t>Paras Towers Pvt. Ltd.</t>
  </si>
  <si>
    <t>Prabha Vincom</t>
  </si>
  <si>
    <t>Priti Ghosh</t>
  </si>
  <si>
    <t>Robin Mondal (Exp)</t>
  </si>
  <si>
    <t>S. Shashidhara</t>
  </si>
  <si>
    <t>Vipul Cultivation Pvt.Ltd</t>
  </si>
  <si>
    <t>Nidhi Sharma</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</si>
  <si>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assetss has been carried out.
3. For the basis of arriving at the Value of each Current assetss,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company/banker. So our values should not be regarded as any judgment in regard to the recoverability of Current assets</t>
  </si>
  <si>
    <t>SUMMARY OF VALUATION ASSESSMENT OF CURRENT ASSETS</t>
  </si>
  <si>
    <t>S. No.</t>
  </si>
  <si>
    <t>Amount as per Trial Balance</t>
  </si>
  <si>
    <t>Annexure</t>
  </si>
  <si>
    <t>Figures in INR lacs</t>
  </si>
  <si>
    <t>I</t>
  </si>
  <si>
    <t>Inventories</t>
  </si>
  <si>
    <t>II</t>
  </si>
  <si>
    <t>Trade Receivables</t>
  </si>
  <si>
    <t>III</t>
  </si>
  <si>
    <t>IV</t>
  </si>
  <si>
    <t>V</t>
  </si>
  <si>
    <t>Other Current Asset</t>
  </si>
  <si>
    <t>VI</t>
  </si>
  <si>
    <t>n</t>
  </si>
  <si>
    <t>1. Assessment is done based on the discussions done with the Banker/ company and the details which they could provide to us on our queries.
2. All the notes on the current status of amount recovery are given by company/ Banker. Notes and data provided by company/banker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banker. So our values should not be regarded as any judgment in regard to the recoverability of Current assets.</t>
  </si>
  <si>
    <t>Figures in INR Crores</t>
  </si>
  <si>
    <t xml:space="preserve">iii) Advances to directors or other officers of the company or any of them  either severally or jointly with any other person or debts due by firms or private companies respectively in which any director is a partner or a director or a member. </t>
  </si>
  <si>
    <t>vii)Deposit - Electricity Duty (Refer Note 11.1)</t>
  </si>
  <si>
    <t>Finished Goods and Stock In Transit - Manufactured goods</t>
  </si>
  <si>
    <t>S.NO</t>
  </si>
  <si>
    <t>Less than 6 months</t>
  </si>
  <si>
    <t>6 months -1 year</t>
  </si>
  <si>
    <t>1-2 years</t>
  </si>
  <si>
    <t>2-3 years</t>
  </si>
  <si>
    <t>More than 3 years</t>
  </si>
  <si>
    <t xml:space="preserve">Liquidation value (Piecemeal) Assessment </t>
  </si>
  <si>
    <t>Liquidation value (Going concern) Assessment</t>
  </si>
  <si>
    <t>Total Capital Work-In-Progress</t>
  </si>
  <si>
    <t>Details as on 31st March 2022</t>
  </si>
  <si>
    <t>Details as on 31st January 2022</t>
  </si>
  <si>
    <t xml:space="preserve"> CWIP completion schedule as on March 31, 2022 is as under:</t>
  </si>
  <si>
    <r>
      <rPr>
        <b/>
        <sz val="11"/>
        <rFont val="Arial Narrow"/>
        <family val="2"/>
      </rPr>
      <t>CWIP</t>
    </r>
  </si>
  <si>
    <t>to be completed in</t>
  </si>
  <si>
    <r>
      <rPr>
        <b/>
        <sz val="11"/>
        <rFont val="Arial Narrow"/>
        <family val="2"/>
      </rPr>
      <t>Less than 1 year</t>
    </r>
  </si>
  <si>
    <r>
      <rPr>
        <b/>
        <sz val="11"/>
        <rFont val="Arial Narrow"/>
        <family val="2"/>
      </rPr>
      <t>1-2 years</t>
    </r>
  </si>
  <si>
    <r>
      <rPr>
        <b/>
        <sz val="11"/>
        <rFont val="Arial Narrow"/>
        <family val="2"/>
      </rPr>
      <t>2-3 years</t>
    </r>
  </si>
  <si>
    <r>
      <rPr>
        <b/>
        <sz val="11"/>
        <rFont val="Arial Narrow"/>
        <family val="2"/>
      </rPr>
      <t>More than 3 years</t>
    </r>
  </si>
  <si>
    <t xml:space="preserve"> RAILWAY SIDING EQUIPMENTS</t>
  </si>
  <si>
    <t>&lt; 730 days</t>
  </si>
  <si>
    <t>&lt; 365 days</t>
  </si>
  <si>
    <t>&gt; 1095 days</t>
  </si>
  <si>
    <t>Non-current Financial Assets</t>
  </si>
  <si>
    <t>Cash &amp; Cash equivalents and Bank Balance</t>
  </si>
  <si>
    <t>Current Tax Assets (Net)</t>
  </si>
  <si>
    <t xml:space="preserve">Since, the copmpany is active to perform its core operations, so contract workmen mgt system &amp; CC cameras can be usefull for the company in its operation. Company can update the contract and complete the instalation work of CC cameras. Hence we have consider fair market value to be at 80% of the book value. And keep in mind the ageing of this asset, Going Concern Value to be at 80% and piecemeal value to be at 50% of the fair market value.
</t>
  </si>
  <si>
    <t xml:space="preserve">Company can recognise sidings as asset only when there are probable future economic benefits from such railway sidings. Hence we have consider fair market value to be at 100% of the book value. And Going Concern Value to be at 100% and piecemeal value to be at 100% of the fair market value.
</t>
  </si>
  <si>
    <t>We have not received any document/ supporting regarding the said provision. Hence we have not considered its value.</t>
  </si>
  <si>
    <t>Current Financial Assets and Tax Assets</t>
  </si>
  <si>
    <t xml:space="preserve"> - Unsecured, considered doubtful</t>
  </si>
  <si>
    <r>
      <t xml:space="preserve">Subsidy Receivable- Mfg Urea </t>
    </r>
    <r>
      <rPr>
        <b/>
        <sz val="9"/>
        <color theme="1"/>
        <rFont val="Arial"/>
        <family val="2"/>
      </rPr>
      <t>(Gas Pool and Gas supply dues as on 31</t>
    </r>
    <r>
      <rPr>
        <b/>
        <vertAlign val="superscript"/>
        <sz val="9"/>
        <color theme="1"/>
        <rFont val="Arial"/>
        <family val="2"/>
      </rPr>
      <t>st</t>
    </r>
    <r>
      <rPr>
        <b/>
        <sz val="9"/>
        <color theme="1"/>
        <rFont val="Arial"/>
        <family val="2"/>
      </rPr>
      <t xml:space="preserve"> March 2022 is Rs 662.88 Crs, Net dues to GAIL is Rs 220.09 Crs)</t>
    </r>
  </si>
  <si>
    <t>1. Assessment is done based on the discussions done with the Banker/ Company and the details which they could provide to us on our queries.
2. The outstanding are taken from the data provided by the company as on 31st MArch 2022.
3. Based on the reason for pendency and comments on recoverability, we have arrived at the valuation based on the assumption that in present situation what is the maximum recoverability can come subject to proper follow-up with the counter parties.
4. The recoverability assessed in the potential valuation is subject to rigorous follow-up with individual debtor.
5. This is just a general assessment on the basis of general Industry practice, based on the details which the company/ Banker could provide to us as per our queries &amp; discussions with the Company officials/ Banker.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RP. So our values should not be regarded as any judgment in regard to the recoverability of Current assets</t>
  </si>
  <si>
    <t>1. Assessment is done based on the discussions done with the Banker/ Company and the details which they could provide to us on our queries.
2. The outstanding are taken from the data provided by the company standing as on 31st March 2022.
3. Based on the reason for pendency and comments on recoverability, we have arrived at the valuation based on the assumption that in present situation what is the maximum recoverability can come subject to proper follow-up with the counter parties.
4. The recoverability assessed in the potential valuation is subject to rigorous follow-up with individual debtor.
5. This is just a general assessment on the basis of general Industry practice, based on the details which the company/ Banker could provide to us as per our queries &amp; discussions with the Company officials/ Banker.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RP. So our values should not be regarded as any judgment in regard to the recoverability of Current assets</t>
  </si>
  <si>
    <t>1. Assessment is done based on the discussions done with the Liquidator/ RP/ Corporate Debtor and the details which they could provide to us on our queries.
2. This is just a general assessment on the basis of general Industry practice, based on the details which the Liquidator/ RP/ Corporate Debtor provided to us as per our queries &amp; discussions with the Liquidator/ RP/ Corporate Debtor.
3. No audit of any kind is performed by us for the books of account or ledger statements and all this data/ information/ input/ details provided to us by the Liquidator/ RP/ Corporate Debtor are taken as is it on good faith that these are factually correct information.
4. There is no fixed criteria, formula or norm for the Valuation of Securities or Financial Assets. It is purely based on the individual assessment and may differ from valuer to valuer based on the practicality he/she analyses in recoveries of outstanding dues. Ultimate recovery depends on efforts, extensive follow-ups, close scrutiny of individual case made by the Liquidator/ RP/ Corporate Debtor. So, our values should not be regarded as any judgment in regard to the recoverability of Securities or Financial Assets.</t>
  </si>
  <si>
    <t>ANNEXURE I – CAPITAL WORK-IN-PROGRESS</t>
  </si>
  <si>
    <t>ANNEXURE II – FINANCIAL ASSETS</t>
  </si>
  <si>
    <t>ANNEXURE IV – TRADE RECEIVABLES</t>
  </si>
  <si>
    <t>Cash &amp; Cash Equivalents</t>
  </si>
  <si>
    <t>Bank Balance (Othen Then Cash &amp; Cash Equivalents)</t>
  </si>
  <si>
    <t>ANNEXURE V – CASH AND CASH EQUIVALENTS AND BANK BALANCES</t>
  </si>
  <si>
    <t>ANNEXURE VI – OTHER CURRENT ASSETS</t>
  </si>
  <si>
    <t xml:space="preserve">1. Assessment is done based on the discussions done with the Banker/ Company and the details which they could provide to us on our queries.
2. The outstanding are taken from the data provided by the company standing as on 31st March 2022.
3. Based on the reason for pendency and comments on recoverability, we have arrived at the valuation based on the assumption that in present situation what is the maximum recoverability can come subject to proper follow-up with the counter parties.
4. The recoverability assessed in the potential valuation is subject to rigorous follow-up with individual debtor.
5. This is just a general assessment on the basis of general Industry practice, based on the details which the company/ Banker could provide to us as per our queries &amp; discussions with the Company officials/ Banker.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RP. So our values should not be regarded as any judgment in regard to the recoverability of Current assets
</t>
  </si>
  <si>
    <t>ANNEXURE IV – TRADE RECEIVABLES AGEING</t>
  </si>
  <si>
    <t>Document Date</t>
  </si>
  <si>
    <t>Particlars</t>
  </si>
  <si>
    <t>Amount</t>
  </si>
  <si>
    <t>Sub tags</t>
  </si>
  <si>
    <t>Ageing (No of Days)</t>
  </si>
  <si>
    <t>Management Comment on Recoverability</t>
  </si>
  <si>
    <t>09.12.2013</t>
  </si>
  <si>
    <t>Y.S.S.DATTATREYA REDDY</t>
  </si>
  <si>
    <t>Rental Deposit</t>
  </si>
  <si>
    <t>These deposits are adjustable against the rental dues payable to owners</t>
  </si>
  <si>
    <t>ASST.ACCTS.OFFICER,E.R.O.KAKINADA</t>
  </si>
  <si>
    <t>Other Deposit</t>
  </si>
  <si>
    <t>These deposits towards facilities for power and can not be realized.</t>
  </si>
  <si>
    <t>ASST.PAY &amp; ACCTS.OFFICER</t>
  </si>
  <si>
    <t>These deposits towards facilities for water and can not be realized.</t>
  </si>
  <si>
    <t>BHURUKA GASES LTD</t>
  </si>
  <si>
    <t>These deposits towards facilities for supply of gas cylinders and can not be realized.</t>
  </si>
  <si>
    <t>ACCOUNTS OFFICER (CASH), B.S.N.L.,</t>
  </si>
  <si>
    <t>These deposits towards facilities for telephone and can not be realized.</t>
  </si>
  <si>
    <t>HINDUSTAN PETROLEUM CORPORATION LTD</t>
  </si>
  <si>
    <t>These deposits towards facilities for LPG connection and can not be realized.</t>
  </si>
  <si>
    <t>EASTERN POWER DIST.CO. OF AP LTD</t>
  </si>
  <si>
    <t>INDIAN OIL CORPORATION LTD</t>
  </si>
  <si>
    <t>These deposits towards lube oil and can not be realized.</t>
  </si>
  <si>
    <t>31.05.2004</t>
  </si>
  <si>
    <t>K V Vishnu Raju</t>
  </si>
  <si>
    <t>Rental deposit</t>
  </si>
  <si>
    <t>12.07.2007</t>
  </si>
  <si>
    <t>K.Lakshmi Raju</t>
  </si>
  <si>
    <t>30.09.2016</t>
  </si>
  <si>
    <t>Sohini Kapoor</t>
  </si>
  <si>
    <t>07.11.2016</t>
  </si>
  <si>
    <t>Mohini Kapoor</t>
  </si>
  <si>
    <t>11.07.2016</t>
  </si>
  <si>
    <t>Rajeev Kapoor</t>
  </si>
  <si>
    <t>Anuradha Vohra</t>
  </si>
  <si>
    <t>31.12.1999</t>
  </si>
  <si>
    <t>APSEB</t>
  </si>
  <si>
    <t>Other Deposits</t>
  </si>
  <si>
    <t>These deposits towards various facilities like telephone, power, petrol, postage, generator, gas cylinders and also deposit made for technimont case as per court order.
Insurance deposits are adjustable against the renewal of policies.</t>
  </si>
  <si>
    <t>31.08.2002</t>
  </si>
  <si>
    <t>Elect.Deposit - Calcutta</t>
  </si>
  <si>
    <t>01.04.2011</t>
  </si>
  <si>
    <t>AO/Cash/Bsnl/Hhyderabad</t>
  </si>
  <si>
    <t>10.08.2017</t>
  </si>
  <si>
    <t>The Fertiliser Association of India</t>
  </si>
  <si>
    <t>31.03.2018</t>
  </si>
  <si>
    <t>The Senior post Master, Khairatabad</t>
  </si>
  <si>
    <t>23.04.2010</t>
  </si>
  <si>
    <t>Sivam Auto</t>
  </si>
  <si>
    <t>28.09.2012</t>
  </si>
  <si>
    <t>Central Depository Services (I) Ltd.</t>
  </si>
  <si>
    <t>18.03.2008</t>
  </si>
  <si>
    <t>B E S T</t>
  </si>
  <si>
    <t>23.12.2015</t>
  </si>
  <si>
    <t>Siddivinayaka Indl.Gases</t>
  </si>
  <si>
    <t>21.07.2011&amp;11.06.2012</t>
  </si>
  <si>
    <t>Superintending Engineer</t>
  </si>
  <si>
    <t>30.09.2012</t>
  </si>
  <si>
    <t>Rameshwar Filling Station</t>
  </si>
  <si>
    <t>31.12.2018</t>
  </si>
  <si>
    <t>Tecnimont SPA</t>
  </si>
  <si>
    <t>10.03.2015</t>
  </si>
  <si>
    <t xml:space="preserve">AGM (EBP), O/o CGM Telecom, </t>
  </si>
  <si>
    <t>19.03.2021</t>
  </si>
  <si>
    <t xml:space="preserve">ICICI Prudential Life Insurance </t>
  </si>
  <si>
    <t>31.03.2022</t>
  </si>
  <si>
    <t>The New India Assurance co. Ltd.</t>
  </si>
  <si>
    <t>M.N.V.PRASADA REDDY</t>
  </si>
  <si>
    <t>VIVEK TYAGI</t>
  </si>
  <si>
    <t>RAMAKRISHNA RADHAKRISHNA ATKARE</t>
  </si>
  <si>
    <t>V. MAHALAKSHMI</t>
  </si>
  <si>
    <t>SONAL MAHESH JARIWALA</t>
  </si>
  <si>
    <t>CHENDRASEKHAR B.N.V.VS</t>
  </si>
  <si>
    <t>SESHASAI B.V.V.S.</t>
  </si>
  <si>
    <t>SUNDARA RAO B.N.V.V.S.</t>
  </si>
  <si>
    <t>VISWESWARA RAO.V.</t>
  </si>
  <si>
    <t>VUPPALA NEERAJA</t>
  </si>
  <si>
    <t>Y VIRUPAKSHA GOWDA</t>
  </si>
  <si>
    <t>S.GEETHA RANJANI</t>
  </si>
  <si>
    <t>M/S R.K.ENTERPRISES</t>
  </si>
  <si>
    <t>DEO PRAKASH SINGH</t>
  </si>
  <si>
    <t>PRAKASH R BANDI</t>
  </si>
  <si>
    <t>B.CHATARJI</t>
  </si>
  <si>
    <t>G.VEERABHADRA RAO</t>
  </si>
  <si>
    <t>YARLAGADDA RAVI KUMAR</t>
  </si>
  <si>
    <t>BIMAL KUMAR PANDA</t>
  </si>
  <si>
    <t>PREMANANDA DAS</t>
  </si>
  <si>
    <t>SHEVANTABAI MAHADEV SAKHARE</t>
  </si>
  <si>
    <t>SRI RAMAKRISHNA GAS AGENCY</t>
  </si>
  <si>
    <t>Other deposit</t>
  </si>
  <si>
    <t>Adjustable towards their outstanding payable.</t>
  </si>
  <si>
    <t>ZUARI AGRO CHEMICALS LIMITED</t>
  </si>
  <si>
    <t>Mangalore Chemicals &amp; Fertilizers L</t>
  </si>
  <si>
    <t>DEPOSITS WITH STATUTORY AUTHORITIES</t>
  </si>
  <si>
    <t>This is towards disputed tax matters and can not be realized.</t>
  </si>
  <si>
    <t>BHARAT SANCHAR NIGAM LTD</t>
  </si>
  <si>
    <t>ELECT DEPOSIT-AHMEDABAD</t>
  </si>
  <si>
    <t>This is towards disputed tax matters, minimum deposit towards facilities of Telephone, warehouse etc and can not be realized.</t>
  </si>
  <si>
    <t>NATIONAL SAVINGS CERTIFICATES</t>
  </si>
  <si>
    <t>S.HANUMANTHA REDDY</t>
  </si>
  <si>
    <t>AO/CASH/BSNL/HYDERABAD</t>
  </si>
  <si>
    <t>Bharat Sanchar Nigam Limited</t>
  </si>
  <si>
    <t>AVANTHI WAREHOUSING SERVICES P LTD</t>
  </si>
  <si>
    <t>N.H.R.D.F</t>
  </si>
  <si>
    <t>ANNAPURNA FERTILIZER AGENCY</t>
  </si>
  <si>
    <t>GAZEBO LOGISTICS PRIVATE LIMITED</t>
  </si>
  <si>
    <t>INDO AGRO CHEMICALS</t>
  </si>
  <si>
    <t>SHREE GOVIND KRUPA GOODS CARRIER</t>
  </si>
  <si>
    <t>CTO CIRCLE 8, RAIPUR</t>
  </si>
  <si>
    <t>THE DCTO, YANAM</t>
  </si>
  <si>
    <t>CTO CIRCLE 5, BHOPAL</t>
  </si>
  <si>
    <t>CTO, JAIPUR</t>
  </si>
  <si>
    <t>PARADEEP PHOSPHATES LTD</t>
  </si>
  <si>
    <t>BSNL, BANGALORE</t>
  </si>
  <si>
    <t>ACCT, GUJARAT STATE</t>
  </si>
  <si>
    <t>4538 &amp; 4233</t>
  </si>
  <si>
    <t>These deposits towards facilities of Telephone, power, EMD and can not be realized.</t>
  </si>
  <si>
    <t>THE MP STATE AGRO INDUS.DEV.CO</t>
  </si>
  <si>
    <t>FINANCIAL CONTROLER, J.K.STATE</t>
  </si>
  <si>
    <t>ASSISTANT DIRECTOR(ACCOUNTS-1)</t>
  </si>
  <si>
    <t>CHIEF ENGINEER, AED , CHENNAI</t>
  </si>
  <si>
    <t>Director of Agriculture</t>
  </si>
  <si>
    <t>Malegaon SSK</t>
  </si>
  <si>
    <t>Commissioner of Horticulture P</t>
  </si>
  <si>
    <t>Department of Sericulture</t>
  </si>
  <si>
    <t>M.P.STATE AGRO DEVELOPEMENT CO</t>
  </si>
  <si>
    <t>M.D.C.G.RAJYABEEJEVAM KRISHI V</t>
  </si>
  <si>
    <t>1707 &amp; 1155</t>
  </si>
  <si>
    <t>SAO/OPC/RRN/GUNROCK/SECUNDERAB</t>
  </si>
  <si>
    <t>4748 &amp; 3584 &amp;3235</t>
  </si>
  <si>
    <t>AO/ CASH/ TRICHY, BSNL</t>
  </si>
  <si>
    <t>SAO/OPERATION/MEDAK CIRCLE, AP</t>
  </si>
  <si>
    <t>SAO/ CPDCL/HABSIGUDA, HYDERABA</t>
  </si>
  <si>
    <t>3218 &amp; 2745</t>
  </si>
  <si>
    <t>DEE/OP/APCPDCL/SANGAREDDY</t>
  </si>
  <si>
    <t>Sr. ACCOUNTS OFFICER, TSSPDCL,</t>
  </si>
  <si>
    <t>2358 &amp; 1289</t>
  </si>
  <si>
    <t>THE COMPTOLLER,TNAU,COIMBATORE</t>
  </si>
  <si>
    <t>HARYANA HORTICULTURE</t>
  </si>
  <si>
    <t>1661 &amp; 1659</t>
  </si>
  <si>
    <t>THE M.P STATE AGRO INDUSTRIES</t>
  </si>
  <si>
    <t>SANCHALAK RAJYA KRISHI VISTAR</t>
  </si>
  <si>
    <t>The Chief Engineer(AE), Agricu</t>
  </si>
  <si>
    <t>These deposits towards facilities of Telephone and power and can not be realized.</t>
  </si>
  <si>
    <t>ELECTRICITY DEPOSIT-GSEB</t>
  </si>
  <si>
    <t>MADHYA GUJARAT VIJ COMPANY LIM</t>
  </si>
  <si>
    <t>2798 /2318/ 2095/2023</t>
  </si>
  <si>
    <t>FA &amp; CCA, CPDCL, MINT COMPOUND</t>
  </si>
  <si>
    <t>Veeraiah Obulammpalle</t>
  </si>
  <si>
    <t>Maharastra Hybrid Seeds Company</t>
  </si>
  <si>
    <t>BHRAMARAMBA KURAPATI</t>
  </si>
  <si>
    <t>KRISHMA RAKESH PATEL</t>
  </si>
  <si>
    <t>ANNEXURE II-A – SECURITY DEPOSIT AGEING</t>
  </si>
  <si>
    <t>Figures in INR</t>
  </si>
  <si>
    <t>MANDAL REVENUE OFFICER</t>
  </si>
  <si>
    <t>These deposits with statutory authorities against NALA TAX outstanding of which is more than the deposit and can not be realized.</t>
  </si>
  <si>
    <t>THE ORIENTAL INSURANCE CO LTD.,</t>
  </si>
  <si>
    <t>VENKATARAMANA AGENCIES</t>
  </si>
  <si>
    <t>These deposits towards facilities for petrol and can not be realized.</t>
  </si>
  <si>
    <t>J.D.ENTERPRISES</t>
  </si>
  <si>
    <t>These deposits towards facilities and can not be realized.</t>
  </si>
  <si>
    <t>Ramky Enviro Engineers Ltd.</t>
  </si>
  <si>
    <t>17.03.2021</t>
  </si>
  <si>
    <t>NEW INDIA ASSURANCE CO. LTD</t>
  </si>
  <si>
    <t>These deposits towards various insurance policies</t>
  </si>
  <si>
    <t>31.03.2019</t>
  </si>
  <si>
    <t>National Insurance Co., Ltd.,</t>
  </si>
  <si>
    <t>30.09.2019</t>
  </si>
  <si>
    <t>ICICI Lombard General Insurance co.Ltd.</t>
  </si>
  <si>
    <t>30.01.2010</t>
  </si>
  <si>
    <t>Bajaj Allianz Insurance co., Ltd.,</t>
  </si>
  <si>
    <t>01.12.2019</t>
  </si>
  <si>
    <t>Exide Life Insurance Co., Ltd.,</t>
  </si>
  <si>
    <t>ANNEXURE IV-A – SECURITY DEPOSIT AGEING</t>
  </si>
  <si>
    <t xml:space="preserve">We have not received any document/ supporting regarding the said assets. However the same would means upgradation / development of mobile/web application for field team from Visionnet Systems Pvt Limited, which can be outdated as on 31 March, 2022. Hence we have consider fair market value to be at 50% of the book value. And keep in mind the ageing of this asset, Going Concern Value to be at 50% and piecemeal value to be at 30% of the fair market value.
</t>
  </si>
  <si>
    <t xml:space="preserve">We have not received any document/ supporting regarding the said assets. However the same would means upgradation of analyzer software, which can be outdated as on 31 March, 2022. Hence we have consider fair market value to be at 50% of the book value. And keep in mind the ageing of this asset, Going Concern Value to be at 80% and piecemeal value to be at 50% of the fair market value.
</t>
  </si>
  <si>
    <t>Other Advances</t>
  </si>
  <si>
    <t>Prepaid Expenses</t>
  </si>
  <si>
    <t>Balance with Government Authorities</t>
  </si>
  <si>
    <t>We have not received any document / supporting regarding the said provision from company. Hence we have not considered in its value.</t>
  </si>
  <si>
    <t>1. The security deposits shown in financial statements can be grouped in two kind of deposits. First other deposits related to various facilities like Electricity deposit, Water deposit, Drip Irrigation, Telephone, Power etc. and second is rental deposits for the various premises taken by the company on rent.
2. Other deposits include deposits with Govt authorities towards various facilities like electricity deposit, water deposit, Drip Irrigation, telephone, power etc. From total of 3.26 Crs. we consider 100% as fair market value because company is ongoing concern and all these facilities have economic value to the company in its operation. In present times it might be the case that for the fresh procurement of these services, new promoter may have to shelve out even more that these deposits as per current rate. However since we do not know about the present security deposit rates and it is not possible to gather this information therefore we are atleast taking these deposits on its face value as it is.
3. In regard to rental deposits, as per the financial statements there are no dues against rental deposits. These rental deposits are for different places taken by the company for office purpose only. Since company is ongoing concern and these sites are important to run the business of the company and therefore these deposits holds economic benefit to the company in its business. That is why company regularly honoring its rental from time to time. Therefore we are seeing 100% economic value of it for the business purpose.
4. Although all these security deposits carry 100% economic value to the business in operation but in case of liquidation on going concern basis we are giving 25% discount since on sentimental grounds buyer would like to take advantage of the situation and would expect some discount since the negotiation power of buyer will be more than the seller in liquidation.
5. During Liquidation on piece meal basis, since business will not be in operation therefore other deposits will not have any benefit and recovery of it will be insurmountable task and will be subject to the contract condition, legality issues and dues of the authority. 
6. Also, rental premises will not be required in piecemeal, therefore company will be vacating the premises and the liquidator can claim the refund of security deposits subject to condition of rent agreements. However in such In this case company will try to adjust it with the rent dues itself.
Therefore on a general assumption we are of the view that in such a situation not more than 20% recovery will be possible based on the nature of deposits. Therefore based on that we are considering only 20% liquidation value on piece meal basis.</t>
  </si>
  <si>
    <t>1. Raw material includes 0.16 Crs. neem oil and water and which are regularly being consumed for both the plants. 
2. Company is not operating its micro Irrigation business due to lack of working capital. However company still have raw material for the same. Rs 0.83 Crs. of raw material has ageing of more than 2 years. Therefore we cannot consider its 100% value. This raw material includes drippers which are made of metal. Therefore we are considering its scrap value as 20% as fair market value. 
3. Rs 0.37 Crs of raw material has ageing of less than 2 years. This raw material includes DEPD, LEPD, Lin Dripper, Superlin Dripper, Polymer Processing Aid, CDL Labyrinth Dripper etc, its average shelf life is less than 2 years. So if company will restart this business above material can give economic benefit to the company. Therefore we are considering 80% of this material as fair market value.
4. In this book value company received 3.18 Crs raw material on Job work basis to process and deliver back the processed material to the customer. But Due to lack of supporting documents like invoice of doing the job work, we are considering 100% value as fair market value. 
5. In case of liquidation on going concern basis we are giving 30% discount on the book value since the company is currently operational. And we are assume that it will come out from its financial stress and expand its operations in future. Hence its value would be same as fair market value.
6. In case of liquidation on piecemeal basis, since business will not be in operation therefore to sell out this material will be very challenging task and very specific to the same business. Hence we are giving 30% of the book value.</t>
  </si>
  <si>
    <t>1. Work in progress goods given in the financial statements are used by the company since the company is currently running its business. Company will use its WIP for the production. If the material got damaged by any means like leakage (in case of gas) or waste, it is not practically possible to measure that damage. Hence we are considering 90% as FMV of the book value. 
2. In case of liquidation on going concern basis we are considering 10% reasonable quality discount on the book value basis the plants running condition and company will use its inventory to make final product.
3. In case of liquidation on piecemeal basis, business will not be in operation. And WIP material will not be of any use because of the chemicals and gasses used in the process of urea. Therefore it is difficult to get benefit and recovery of it will be insurmountable task. Therefore we are giving only 80% discount to calculate liquidation value on piece meal basis.</t>
  </si>
  <si>
    <t>1. Finished goods include urea, as well as by products of urea (Actin, Dormulin, Akre - C Plex, ZETA+, Proventus, Rhizomyco, Bio Granules, Amino Acids, Nitro Benzne, BT Nutri, Bio Protinier, Nagarjuna Wonder(Gr), Ecolaid Prime etc). Since the company is currently running its plants and earning the revenue. 
2. Total revenue has two parts 15% as market collection and 85% as Subsidy, at current pool gas prices. Subsidy becomes eligible once Urea is sold to farmer and recorded in e-POS machine and paid based on weekly submission of Invoices to GOI and budget availability. So company has given these subsidy dues in its liabilities. Therefore whatever amount is given in the current asset side it would be the market collection. 
3. Here one more discussion point is that bulk urea must be stored in closed, dry and ventilated warehouses. Because urea is very sensitive to temperature and humidity. Therefore we are considering its fair market value as 90% of the book value. 
4. Finished goods carry 100% economic value to the business in operation but in case of liquidation on going concern basis we are giving 10% discount since urea is perishable in nature and goods can be damaged. 
5. In case of liquidation on piecemeal basis, since business will not be in operation, finished good less than 6 months of ageing will carry 100% value, finished good less than 1 year of ageing will carry 80% value, finished good less than 2 years of ageing will carry 50% value, finished good more than 2 years of ageing will carry 0 value.</t>
  </si>
  <si>
    <t>1. Traded goods include urea, as well as by products of urea (Actin, Dormulin, Akre - C Plex, ZETA+, Proventus, Rhizomyco, Bio Granules, Amino Acids, Nitro Benzne, BT Nutri, Bio Protinier, Nagarjuna Wonder(Gr), Ecolaid Prime etc). Here the company is currently running its plants and earning the revenue. 
2. Traded goods also includes those goods which are not manufactured in the company. Also During the transport of the traded goods there may be damaged packaging or leaky material which are not suitable for sale. Therefore we are considering its fair market value as 80% of the book value. 
3. Traded goods carry 100% economic value to the business in operation but in case of liquidation on going concern basis we are giving 20% discount since urea is perishable in nature and goods can be damaged. 
4. In case of liquidation on piecemeal basis, since business will not be in operation, and keep in mind the ageing of the material it would be difficult to sell these materials. Hence we have consider the piecemeal value to be at 50% of the book value.</t>
  </si>
  <si>
    <t>1. In case of fertilizer products, packing material in most of the cases would be bags. Bags cannot get damage easily and it can be reused in case of obsolete. Therefore we are considering its fair market value as 100% of the book value. 
2. In case of liquidation on going concern basis we are considering 10% reasonable quality discount on the book value basis the fact that the for packing materials there may be changes in MRP printed on the bags of various products as well as ageing factor (More than 2 years) of the material.
3. In case of liquidation on piecemeal basis, business will not be in operation. So we are considering scrap value of the packing materials because these bags have company name on it. So it cannot be used for other business purpose. Therefore we are considering 10% of the book value.</t>
  </si>
  <si>
    <t xml:space="preserve">These assets are used in various steps of the production process and carry 100% economic value to the business in operation and therefore these material are vital for the conversion of raw materials into finished goods. Hence 100% value has been taken into consideration for Fair market value, Going concern value and piecemeal value respectively. </t>
  </si>
  <si>
    <t xml:space="preserve">1. As per information provided by client / company priority charge is already with GAIL for the entire subsidy amount including the amount Rs 18.75 Crs, which was subsidy paid to NFCL on priority basis for restart of 2nd plant so cannot be considered as current asset. Hence after adjustment 2.22 Crs would be the fair market value. Refer below mentioned table and see the adjusted value of Rs 3 Crs would be added back to 2.22 Crs. And Fair market value would be 5.22 Crs.
2. In case of liquidation on going concern basis, business will be in operation, therefore we keep in mind the same reasoning as above, hence whatever comes after adjustments we will consider that amount as it is for Going Concern Value.
3. In case of liquidation on piecemeal basis, business will not be in operation. However in this situation, bank balance of the company will be the same, it will not be affected. Hence in case of piecemeal also the adjustments will take place and whatever amount comes in the current account, we will consider that amount as it is for piecemeal value.
</t>
  </si>
  <si>
    <t>As per the cash certificates provided by the company, the amount given under the head cash on hand is matched. Hence we have consider fair market value, Going Concern Value and piecemeal value to be at 100% of the book value.</t>
  </si>
  <si>
    <t>Margin money deposits means that while issuing the guarantee bank asks the client to deposit some money by way of fixed deposit as a counter security. Hence we have consider fair market value, Going Concern Value and piecemeal value to be at 100% of the book value.</t>
  </si>
  <si>
    <t>1. An arbitration award was given against the company by a London Court of international arbitration for breach of contract in favor of a foreign supplier, M/s Key Trade. The Hon’ble High Court of Telangana directed to earmark an amount of Rs 20 Crores. Accordingly, the banks IDBI and SBI (Rs 14 crores and Rs 6 crores respectively) have to pay Rs 20 Crores amounts in favor of Key trade. Hence fair market value would be 0.17 Crs. 
2. And for 0.17 Crs, we have not received any document/ supporting regarding the said bank balance. This bank balance will be the same in both the cases i.e. liquidation on going concern basis and liquidation on piecemeal basis. Therefore we have consider Going Concern Value and piecemeal value to be at 100% of the adjusted value.</t>
  </si>
  <si>
    <t>1. The Current security deposits shown in financial statements is other deposits related to various facilities like Electricity deposit, Water deposit, Drip Irrigation, Telephone, Power etc. 
2. Other deposits include deposits with Govt authorities towards various facilities like electricity deposit, water deposit, Drip Irrigation, telephone, power etc. From total of 0.53 Crs. we consider 100% as fair market value because company is ongoing concern and all these facilities have economic value to the company in its operation. In present times it might be the case that for the fresh procurement of these services, new promoter may have to shelve out even more that these deposits as per current rate. However since we do not know about the present security deposit rates and it is not possible to gather this information therefore we are atleast taking these deposits on its face value as it is.
3. Although all these security deposits carry 100% economic value to the business in operation but in case of liquidation on going concern basis we are giving 25% discount since on sentimental grounds we do not know about the present security deposit rates and it is not possible to gather this information. 
4. During Liquidation on piece meal basis, since business will not be in operation therefore other deposits will not have any benefit and recovery of it will be insurmountable task and will be subject to the contract condition, legality issues and dues of the authority. Therefore based on that we are considering only 20% liquidation value on piece meal basis.</t>
  </si>
  <si>
    <t>We have not received any document/supporting regarding the status of the Income Tax. However the amount belongs to last financial year advance tax i.e. 2021-22. In general circumstances the amount of income tax that is paid much in advance rather than a lump-sum payment at the year-end is advance income tax. This amount belong to government so it is fully recoverable. Hence we have consider fair market value, Going Concern Value and piecemeal value to be at 100% of the book value.</t>
  </si>
  <si>
    <t>1. These balances made with Govt authorities towards various facilities so this amount will be fully recovered. Here company will also enjoy the economic benefit of these balances. Hence we have consider fair market value and Going Concern Value to be at 100% of the book value. 
2. In case of liquidation on piecemeal basis, business will not be in operation. Even then the amount will be fully recovered because it is made against Govt. authorities. So here also the piecemeal value would be at 100% of the book value.</t>
  </si>
  <si>
    <t>ANNEXURE II – INVENTORY</t>
  </si>
  <si>
    <t>ANNEXURE V – OTHER CURRENT FINANCIAL ASSETS AND TAX ASSETS</t>
  </si>
  <si>
    <t>consider 40%</t>
  </si>
  <si>
    <t xml:space="preserve">As per the information provided by the client or company
1. The dues amounting INR 442.79 Crs is part of subsidy receivable, which is to be adjusted against the Gas Pool Dues and Gas Supplies Dues and hence cannot be considered as current assets. 
2. Due to the transfer of eNAM project to another vendor, who has invested the resources to fulfil the contractual obligations of NFCL. As agreed INR 0.56 Cr is payable to the vendor.
3. After adjusting for the above dues, the remaining value of INR 15.75 Cr is considered as Fair Market Value.
4. We have no information regarding the terms and conditions under which sales were made, period of pendency, status of the recovery procedures of these outstanding receivables etc. Therefore in case of liquidation (going concern) and liquidation (Piecemeal), we have considered 50% of fair market value.
Recovery of these receivables will be insurmountable task for the client. Therefore, in case of liquidation (Piecemeal), we have considered 20% of fair market value. </t>
  </si>
  <si>
    <t>We have no information regarding the terms and conditions under which sales were made, period of pendency, status of the recovery procedures of these outstanding receivables etc. Hence in this scenario, we are assuming fair value to be 50% of outstanding amount. Here the liquidator will not get economic benefit of these receivables because recovery of these receivables will be insurmountable task for them, therefore we consider Going Concern Value to be at 15% and piecemeal value to be 5% of fair market value.</t>
  </si>
  <si>
    <t xml:space="preserve">1. Due to the transfer of eNAM project to another vendor, who has invested the resources to fulfil the contractual obligations of NFCL. As agreed INR 6.26 Cr is payable to the vendor. So after the adjustment the fair market value would be zero. 
2. The the fact about eNAM project will also apply in case of going concern and piecemeal. Hence we will not assign any value to going concern and piecemeal. </t>
  </si>
  <si>
    <t>1. We have not receive any documents from company / client regarding this asset. So here in general circumstances company must had landed these deposits and advance to government and trust worthy organizations. However recoverability of these interest will depends upon factors like terms and condition of the contract, ageing of the deposits, legality of the same. Therefore we are considering its fair market value as 80% of the book value. 
2. During Liquidation, other deposits will not have any benefit and recovery of it will be insurmountable task and will be subject to the contract condition, legality issues and dues of the authority. In case of liquidation on going concern basis, we are considering it as 50% of the book value and for Liquidation (Piecemeal) we are considering it as 30% of the book value.</t>
  </si>
  <si>
    <t xml:space="preserve">1. NFCL is having Unutilized Accumulated ITC amount under GST law of Rs. 47.26 Crores as on 31-03-2022 as per the Audited Financial Statements and Books of Account. Since this amount can be claimed from GST authorities except some part of this amount will be utilized towards output tax. Therefore we are giving 10% discount on book value.  Hence we have consider fair market value as 90% of book value.
2. As per the information provided by company, Rs 4.64 Crores advances made towards railway freight for the movement of goods in the 1st week of April 22, IT related services, insurance, others and the same will be settled. Company is currently operating its plants so it will get the economic benefit of these advances. Therefore we will consider 80% of these advances as fair market value.
3. In case of liquidation on going concern basis, the business will be in operation. Therefore company can claimed from GST authorities as well as company will take the economic benefit of the advances. in case of liquidation on going concern basis we are giving 50% discount because recovery of these receivables will be insurmountable task for them. For Liquidation (Piecemeal), business will not be in operation and company will not be able to take the economic benefit of the advances. Hence, we will consider piecemeal value as 20% value of the of the fair market value. </t>
  </si>
  <si>
    <t xml:space="preserve">Credit impaired are those assets whose recoverable amount is less than the carrying cost, their chances of recoverability is very low. We have no information about the nature of these receivables, like terms and conditions under which sales were made, period of pendency, status of the recovery procedures of these outstanding receivables etc. Therefore, we have considered fair market value, liquidation (Going Concern) and liquidation (Piecemeal) to be 40%, 20% and 10% respectively.
</t>
  </si>
  <si>
    <t>1. As per the information provided by the company, these unsecured advances, considered doubtful, made towards railway freight, IT related services, insurance and others. Because company will get the economic benefits of the advances and keep in mind that these are unsecured doubtful advances, hence in this scenario, we are assuming fair value to be 80% of outstanding amount.
2. In case of liquidation on going concern basis, the business will be in operation. Therefore the same reasoning we will consider here as we have consider for the fair market value. However the owner of the company will change therefore we are giving 30% discount on the book value. Hence we are considering Going Concern Value to be at 40% of the book value.
3. In case of liquidation on piecemeal basis, business will not be in operation. Company will not be able to take the economic benefit of the advances. However recovery of it will be challenging task and will be subject to the contract condition, legality issues and dues of the authority. Therefore based on that we are considering only 20% liquidation value on piece meal basis.</t>
  </si>
  <si>
    <t>1. As per company Rs 7.59 Crores of prepaid expenses are related to insurance premium paid for various policies and GAIL bank guarantee charges recovered by Bank for a period of one year, so grouped under prepaid expenses, but these are the future adjustments so we will not consider it. Here company will get the economic benefits of these expenses and keep in mind that these expenses are paid in advances, hence in this scenario, we are assuming fair value to be 60% of outstanding amount.
2. In case of liquidation on going concern basis, the business will be in operation. Therefore the same reasoning as we will consider here as we have consider for the fair market value. However the owner of the company will change therefore we are giving 20% discount on the book value. Hence we are considering Going Concern Value to be at 50% of the book value.
3. In case of liquidation on piecemeal basis, business will not be in operation. Company will not be able to take the economic benefit of the expenses. However recovery of it will be challenging task and will be subject to the contract condition, legality issues and dues of the authority. Therefore based on that we are considering only 20% liquidation value on piece meal basis.</t>
  </si>
  <si>
    <t>1. This asset includes Rs 3.18 Crs of receivables less than 6 months, Rs 9.88 Crs of receivables less than 2 years, Rs 15.33 Crs of receivables less than 3 years and 12.36 Crs of receivables are more than 3 years. Hence for 6 months of ageing we are considering 100% of recovery, for less than 2 years of ageing we are considering 80% of recovery, for less than 3 years of ageing we are considering 50% of recovery and for more than 3 years of ageing we are considering 20% of recovery. So fair market value will be calculated accordingly. 
2. In case of liquidation on going concern basis, company will be running its operations. Therefore the receivables from Urea and other products division, majority of receivables (presently urea is being sold on cash basis / few days credit basis in case of non-season) are from urea products. However we have no information about the nature of these receivables, like: terms and conditions under which sales were made, period of pendency, status of the recovery procedures of these outstanding receivables etc. Therefore in case of liquidation on going concern basis, we will consider 30% of fair market value. 
3. In case of liquidation on piecemeal basis, business will not be in operation. Therefore the recovery of receivables will be challenging task and will be subject to the ageing. Therefore on a general assumption we think that in such a situation not more than 10% recovery will be possible. Therefore based on that we are considering only 10% liquidation value on piece meal basis.</t>
  </si>
  <si>
    <t xml:space="preserve">Total </t>
  </si>
  <si>
    <t>Total - (i+ii)</t>
  </si>
  <si>
    <t>(b) Capital work-in-progress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</si>
</sst>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0.00_);\(0.00\)"/>
    <numFmt numFmtId="165" formatCode="_ &quot;₹&quot;\ * #,##0_ ;_ &quot;₹&quot;\ * \-#,##0_ ;_ &quot;₹&quot;\ * &quot;-&quot;??_ ;_ @_ "/>
    <numFmt numFmtId="166" formatCode="_(* #,##0_);_(* \(#,##0\);_(* &quot;-&quot;??_);_(@_)"/>
    <numFmt numFmtId="167" formatCode="&quot;FY&quot;\ 0"/>
    <numFmt numFmtId="168" formatCode="0.000"/>
    <numFmt numFmtId="169" formatCode="_ &quot;Rs.&quot;\ * #,##0.00_ ;_ &quot;Rs.&quot;\ * \-#,##0.00_ ;_ &quot;Rs.&quot;\ * &quot;-&quot;??_ ;_ @_ "/>
    <numFmt numFmtId="170" formatCode="_ * #,##0.00_ ;_ * \-#,##0.00_ ;_ * &quot;-&quot;??_ ;_ @_ "/>
    <numFmt numFmtId="171" formatCode="_ * #,##0_ ;_ * \-#,##0_ ;_ * &quot;-&quot;??_ ;_ @_ "/>
    <numFmt numFmtId="172" formatCode="dd\.mm\.yyyy"/>
    <numFmt numFmtId="173" formatCode="_-* #,##0_-;\-* #,##0_-;_-* &quot;-&quot;??_-;_-@_-"/>
  </numFmts>
  <fonts count="54">
    <font>
      <sz val="11"/>
      <color theme="1"/>
      <name val="Calibri"/>
      <family val="2"/>
      <scheme val="minor"/>
    </font>
    <font>
      <b/>
      <sz val="11"/>
      <color theme="0"/>
      <name val="Calibri"/>
      <family val="2"/>
      <scheme val="minor"/>
    </font>
    <font>
      <b/>
      <sz val="11"/>
      <color theme="1"/>
      <name val="Calibri"/>
      <family val="2"/>
      <scheme val="minor"/>
    </font>
    <font>
      <b/>
      <sz val="14"/>
      <color rgb="FFC00000"/>
      <name val="Calibri"/>
      <family val="2"/>
      <scheme val="minor"/>
    </font>
    <font>
      <b/>
      <sz val="13"/>
      <color theme="1"/>
      <name val="Calibri"/>
      <family val="2"/>
      <scheme val="minor"/>
    </font>
    <font>
      <sz val="11"/>
      <color theme="0"/>
      <name val="Calibri"/>
      <family val="2"/>
      <scheme val="minor"/>
    </font>
    <font>
      <b/>
      <sz val="12"/>
      <color theme="0"/>
      <name val="Calibri"/>
      <family val="2"/>
      <scheme val="minor"/>
    </font>
    <font>
      <b/>
      <sz val="11"/>
      <color rgb="FFC00000"/>
      <name val="Calibri"/>
      <family val="2"/>
      <scheme val="minor"/>
    </font>
    <font>
      <b/>
      <sz val="12"/>
      <color rgb="FFC00000"/>
      <name val="Calibri"/>
      <family val="2"/>
      <scheme val="minor"/>
    </font>
    <font>
      <sz val="11"/>
      <color theme="1"/>
      <name val="Calibri"/>
      <family val="2"/>
      <scheme val="minor"/>
    </font>
    <font>
      <sz val="11"/>
      <name val="Calibri"/>
      <family val="2"/>
    </font>
    <font>
      <sz val="11"/>
      <name val="Arial Narrow"/>
      <family val="2"/>
    </font>
    <font>
      <b/>
      <sz val="11"/>
      <name val="Arial Narrow"/>
      <family val="2"/>
    </font>
    <font>
      <b/>
      <sz val="10"/>
      <name val="Arial"/>
      <family val="2"/>
    </font>
    <font>
      <sz val="10"/>
      <name val="Arial Narrow"/>
      <family val="2"/>
    </font>
    <font>
      <sz val="12"/>
      <name val="Arial Narrow"/>
      <family val="2"/>
    </font>
    <font>
      <b/>
      <sz val="10"/>
      <name val="Arial Narrow"/>
      <family val="2"/>
    </font>
    <font>
      <sz val="11"/>
      <name val="Calibri"/>
      <family val="2"/>
      <scheme val="minor"/>
    </font>
    <font>
      <b/>
      <sz val="11"/>
      <name val="Calibri"/>
      <family val="2"/>
      <scheme val="minor"/>
    </font>
    <font>
      <sz val="9"/>
      <color indexed="81"/>
      <name val="Tahoma"/>
      <family val="2"/>
    </font>
    <font>
      <b/>
      <sz val="9"/>
      <color indexed="81"/>
      <name val="Tahoma"/>
      <family val="2"/>
    </font>
    <font>
      <sz val="11"/>
      <color rgb="FFFFFFFF"/>
      <name val="Roboto"/>
    </font>
    <font>
      <sz val="11"/>
      <color rgb="FF4A4A4A"/>
      <name val="Roboto"/>
    </font>
    <font>
      <sz val="11"/>
      <color rgb="FF03050A"/>
      <name val="Roboto"/>
    </font>
    <font>
      <sz val="11"/>
      <color rgb="FFFFFFFF"/>
      <name val="Calibri"/>
      <family val="2"/>
      <scheme val="minor"/>
    </font>
    <font>
      <sz val="11"/>
      <color rgb="FF4A4A4A"/>
      <name val="Calibri"/>
      <family val="2"/>
      <scheme val="minor"/>
    </font>
    <font>
      <b/>
      <sz val="11"/>
      <color rgb="FF4A4A4A"/>
      <name val="Calibri"/>
      <family val="2"/>
      <scheme val="minor"/>
    </font>
    <font>
      <b/>
      <sz val="11"/>
      <color rgb="FFFFFFFF"/>
      <name val="Calibri"/>
      <family val="2"/>
      <scheme val="minor"/>
    </font>
    <font>
      <sz val="10"/>
      <name val="Arial"/>
      <family val="2"/>
    </font>
    <font>
      <b/>
      <sz val="11"/>
      <name val="Calibri"/>
      <family val="2"/>
    </font>
    <font>
      <b/>
      <sz val="10"/>
      <color theme="0"/>
      <name val="Arial"/>
      <family val="2"/>
    </font>
    <font>
      <sz val="10"/>
      <color theme="0"/>
      <name val="Arial"/>
      <family val="2"/>
    </font>
    <font>
      <sz val="11"/>
      <name val="Tahoma"/>
      <family val="2"/>
    </font>
    <font>
      <b/>
      <sz val="9"/>
      <color theme="0"/>
      <name val="Arial"/>
      <family val="2"/>
    </font>
    <font>
      <sz val="9"/>
      <color theme="1"/>
      <name val="Arial"/>
      <family val="2"/>
    </font>
    <font>
      <i/>
      <sz val="9"/>
      <color theme="1"/>
      <name val="Arial"/>
      <family val="2"/>
    </font>
    <font>
      <b/>
      <sz val="9"/>
      <color theme="1"/>
      <name val="Arial"/>
      <family val="2"/>
    </font>
    <font>
      <b/>
      <sz val="9"/>
      <name val="Arial"/>
      <family val="2"/>
    </font>
    <font>
      <sz val="9"/>
      <color rgb="FF000000"/>
      <name val="Arial"/>
      <family val="2"/>
    </font>
    <font>
      <sz val="9"/>
      <name val="Arial"/>
      <family val="2"/>
    </font>
    <font>
      <i/>
      <sz val="9"/>
      <color rgb="FF00B0F0"/>
      <name val="Arial"/>
      <family val="2"/>
    </font>
    <font>
      <b/>
      <i/>
      <sz val="9"/>
      <color theme="1"/>
      <name val="Arial"/>
      <family val="2"/>
    </font>
    <font>
      <i/>
      <sz val="9"/>
      <name val="Arial"/>
      <family val="2"/>
    </font>
    <font>
      <sz val="9"/>
      <color rgb="FF00B0F0"/>
      <name val="Arial"/>
      <family val="2"/>
    </font>
    <font>
      <b/>
      <sz val="9"/>
      <color rgb="FF000000"/>
      <name val="Arial"/>
      <family val="2"/>
    </font>
    <font>
      <sz val="9"/>
      <name val="Arial MT"/>
    </font>
    <font>
      <sz val="9"/>
      <name val="Arial MT"/>
      <family val="2"/>
    </font>
    <font>
      <b/>
      <i/>
      <sz val="9"/>
      <color theme="0"/>
      <name val="Arial"/>
      <family val="2"/>
    </font>
    <font>
      <b/>
      <i/>
      <sz val="9"/>
      <name val="Arial"/>
      <family val="2"/>
    </font>
    <font>
      <sz val="11"/>
      <color theme="1"/>
      <name val="Arial"/>
      <family val="2"/>
    </font>
    <font>
      <sz val="10"/>
      <name val="Tahoma"/>
      <family val="2"/>
    </font>
    <font>
      <sz val="11"/>
      <name val="Arial"/>
      <family val="2"/>
    </font>
    <font>
      <b/>
      <vertAlign val="superscript"/>
      <sz val="9"/>
      <color theme="1"/>
      <name val="Arial"/>
      <family val="2"/>
    </font>
    <font>
      <sz val="11"/>
      <color rgb="FF000000"/>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0"/>
        <bgColor indexed="64"/>
      </patternFill>
    </fill>
    <fill>
      <patternFill patternType="solid">
        <fgColor rgb="FF3A2D7D"/>
        <bgColor indexed="64"/>
      </patternFill>
    </fill>
    <fill>
      <patternFill patternType="solid">
        <fgColor rgb="FFFFFFFF"/>
        <bgColor indexed="64"/>
      </patternFill>
    </fill>
    <fill>
      <patternFill patternType="solid">
        <fgColor rgb="FFF8F8F8"/>
        <bgColor indexed="64"/>
      </patternFill>
    </fill>
    <fill>
      <patternFill patternType="solid">
        <fgColor rgb="FF8EAADB"/>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indexed="9"/>
        <bgColor indexed="64"/>
      </patternFill>
    </fill>
    <fill>
      <patternFill patternType="solid">
        <fgColor rgb="FFFFFFFF"/>
        <bgColor rgb="FF000000"/>
      </patternFill>
    </fill>
    <fill>
      <patternFill patternType="solid">
        <fgColor rgb="FFFFFF00"/>
        <bgColor indexed="64"/>
      </patternFill>
    </fill>
  </fills>
  <borders count="39">
    <border>
      <left/>
      <right/>
      <top/>
      <bottom/>
      <diagonal/>
    </border>
    <border>
      <left/>
      <right/>
      <top style="thin">
        <color indexed="64"/>
      </top>
      <bottom style="thin">
        <color indexed="64"/>
      </bottom>
      <diagonal/>
    </border>
    <border>
      <left style="medium">
        <color rgb="FFCCCCCC"/>
      </left>
      <right style="medium">
        <color rgb="FFCCCCCC"/>
      </right>
      <top style="medium">
        <color rgb="FFCCCCCC"/>
      </top>
      <bottom/>
      <diagonal/>
    </border>
    <border>
      <left/>
      <right style="medium">
        <color rgb="FFCCCCCC"/>
      </right>
      <top style="medium">
        <color rgb="FFCCCCCC"/>
      </top>
      <bottom/>
      <diagonal/>
    </border>
    <border>
      <left/>
      <right/>
      <top/>
      <bottom style="medium">
        <color rgb="FFE3E3E3"/>
      </bottom>
      <diagonal/>
    </border>
    <border>
      <left style="medium">
        <color rgb="FFCCCCCC"/>
      </left>
      <right style="medium">
        <color rgb="FFCCCCCC"/>
      </right>
      <top style="medium">
        <color rgb="FFE3E3E3"/>
      </top>
      <bottom/>
      <diagonal/>
    </border>
    <border>
      <left style="medium">
        <color rgb="FFCCCCCC"/>
      </left>
      <right style="medium">
        <color rgb="FFE3E3E3"/>
      </right>
      <top style="medium">
        <color rgb="FFE3E3E3"/>
      </top>
      <bottom/>
      <diagonal/>
    </border>
    <border>
      <left style="medium">
        <color rgb="FFCCCCCC"/>
      </left>
      <right style="medium">
        <color rgb="FFE3E3E3"/>
      </right>
      <top style="medium">
        <color rgb="FFCCCCCC"/>
      </top>
      <bottom/>
      <diagonal/>
    </border>
    <border>
      <left/>
      <right style="medium">
        <color rgb="FFE3E3E3"/>
      </right>
      <top/>
      <bottom style="medium">
        <color rgb="FFE3E3E3"/>
      </bottom>
      <diagonal/>
    </border>
    <border>
      <left style="medium">
        <color rgb="FFCCCCCC"/>
      </left>
      <right/>
      <top style="medium">
        <color rgb="FFE3E3E3"/>
      </top>
      <bottom style="medium">
        <color rgb="FFCCCCCC"/>
      </bottom>
      <diagonal/>
    </border>
    <border>
      <left/>
      <right/>
      <top style="medium">
        <color rgb="FFE3E3E3"/>
      </top>
      <bottom style="medium">
        <color rgb="FFCCCCCC"/>
      </bottom>
      <diagonal/>
    </border>
    <border>
      <left/>
      <right style="medium">
        <color rgb="FFCCCCCC"/>
      </right>
      <top style="medium">
        <color rgb="FFE3E3E3"/>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s>
  <cellStyleXfs count="12">
    <xf numFmtId="0" fontId="0" fillId="0" borderId="0"/>
    <xf numFmtId="43" fontId="9" fillId="0" borderId="0" applyFont="0" applyFill="0" applyBorder="0" applyAlignment="0" applyProtection="0"/>
    <xf numFmtId="44" fontId="9" fillId="0" borderId="0" applyFont="0" applyFill="0" applyBorder="0" applyAlignment="0" applyProtection="0"/>
    <xf numFmtId="0" fontId="28" fillId="0" borderId="0"/>
    <xf numFmtId="9" fontId="9" fillId="0" borderId="0" applyFont="0" applyFill="0" applyBorder="0" applyAlignment="0" applyProtection="0"/>
    <xf numFmtId="0" fontId="32" fillId="0" borderId="0"/>
    <xf numFmtId="0" fontId="9" fillId="0" borderId="0"/>
    <xf numFmtId="170" fontId="9" fillId="0" borderId="0" applyFont="0" applyFill="0" applyBorder="0" applyAlignment="0" applyProtection="0"/>
    <xf numFmtId="0" fontId="28" fillId="0" borderId="0"/>
    <xf numFmtId="0" fontId="28" fillId="0" borderId="0"/>
    <xf numFmtId="43" fontId="28" fillId="0" borderId="0" applyFont="0" applyFill="0" applyBorder="0" applyAlignment="0" applyProtection="0"/>
    <xf numFmtId="43" fontId="28" fillId="0" borderId="0" applyFont="0" applyFill="0" applyBorder="0" applyAlignment="0" applyProtection="0"/>
  </cellStyleXfs>
  <cellXfs count="499">
    <xf numFmtId="0" fontId="0" fillId="0" borderId="0" xfId="0"/>
    <xf numFmtId="0" fontId="1" fillId="2" borderId="0" xfId="0" applyFont="1" applyFill="1"/>
    <xf numFmtId="0" fontId="1" fillId="2" borderId="0" xfId="0" applyFont="1" applyFill="1" applyAlignment="1">
      <alignment vertical="center"/>
    </xf>
    <xf numFmtId="0" fontId="2" fillId="0" borderId="0" xfId="0" applyFont="1"/>
    <xf numFmtId="2" fontId="0" fillId="0" borderId="0" xfId="0" applyNumberFormat="1"/>
    <xf numFmtId="2" fontId="0" fillId="0" borderId="0" xfId="0" applyNumberFormat="1" applyAlignment="1">
      <alignment horizontal="center" vertical="center"/>
    </xf>
    <xf numFmtId="2" fontId="0" fillId="0" borderId="0" xfId="0" applyNumberFormat="1" applyAlignment="1">
      <alignment horizontal="center"/>
    </xf>
    <xf numFmtId="0" fontId="0" fillId="0" borderId="0" xfId="0" applyAlignment="1">
      <alignment horizontal="left" indent="2"/>
    </xf>
    <xf numFmtId="2" fontId="2" fillId="0" borderId="0" xfId="0" applyNumberFormat="1" applyFont="1" applyAlignment="1">
      <alignment horizontal="center" vertical="center"/>
    </xf>
    <xf numFmtId="0" fontId="2" fillId="0" borderId="0" xfId="0" applyFont="1" applyAlignment="1">
      <alignment vertical="center"/>
    </xf>
    <xf numFmtId="0" fontId="0" fillId="0" borderId="1" xfId="0" applyBorder="1"/>
    <xf numFmtId="2" fontId="2" fillId="0" borderId="1" xfId="0" applyNumberFormat="1" applyFont="1" applyBorder="1" applyAlignment="1">
      <alignment horizontal="center" vertical="center"/>
    </xf>
    <xf numFmtId="2" fontId="2" fillId="0" borderId="1" xfId="0" applyNumberFormat="1" applyFont="1" applyBorder="1" applyAlignment="1">
      <alignment horizontal="center"/>
    </xf>
    <xf numFmtId="0" fontId="1" fillId="2" borderId="0" xfId="0" applyFont="1" applyFill="1" applyAlignment="1">
      <alignment horizontal="center"/>
    </xf>
    <xf numFmtId="0" fontId="1" fillId="2" borderId="0" xfId="0" applyFont="1" applyFill="1" applyAlignment="1">
      <alignment horizontal="center" vertical="center"/>
    </xf>
    <xf numFmtId="0" fontId="0" fillId="0" borderId="0" xfId="0" applyAlignment="1">
      <alignment horizontal="center"/>
    </xf>
    <xf numFmtId="0" fontId="0" fillId="0" borderId="0" xfId="0" applyFont="1"/>
    <xf numFmtId="0" fontId="2" fillId="0" borderId="1" xfId="0" applyFont="1" applyBorder="1"/>
    <xf numFmtId="0" fontId="2" fillId="0" borderId="0" xfId="0" applyFont="1" applyAlignment="1">
      <alignment horizontal="left" indent="2"/>
    </xf>
    <xf numFmtId="0" fontId="2" fillId="0" borderId="1" xfId="0" applyFont="1" applyBorder="1" applyAlignment="1">
      <alignment vertical="center"/>
    </xf>
    <xf numFmtId="0" fontId="7" fillId="3" borderId="0" xfId="0" applyFont="1" applyFill="1"/>
    <xf numFmtId="0" fontId="8" fillId="3" borderId="0" xfId="0" applyFont="1" applyFill="1" applyAlignment="1">
      <alignment vertical="center"/>
    </xf>
    <xf numFmtId="0" fontId="0" fillId="0" borderId="0" xfId="0" applyAlignment="1">
      <alignment horizontal="center" vertical="center"/>
    </xf>
    <xf numFmtId="0" fontId="0" fillId="0" borderId="1" xfId="0" applyBorder="1" applyAlignment="1">
      <alignment vertical="center"/>
    </xf>
    <xf numFmtId="0" fontId="2" fillId="0" borderId="0" xfId="0" applyFont="1" applyAlignment="1">
      <alignment horizontal="left" vertical="center" indent="1"/>
    </xf>
    <xf numFmtId="0" fontId="1" fillId="2" borderId="1" xfId="0" applyFont="1" applyFill="1" applyBorder="1" applyAlignment="1">
      <alignment vertical="center"/>
    </xf>
    <xf numFmtId="2" fontId="1" fillId="2" borderId="1" xfId="0" applyNumberFormat="1" applyFont="1" applyFill="1" applyBorder="1" applyAlignment="1">
      <alignment horizontal="center" vertical="center"/>
    </xf>
    <xf numFmtId="0" fontId="5" fillId="2" borderId="1" xfId="0" applyFont="1" applyFill="1" applyBorder="1"/>
    <xf numFmtId="9" fontId="0" fillId="0" borderId="0" xfId="0" applyNumberFormat="1" applyAlignment="1">
      <alignment horizontal="center" vertical="center"/>
    </xf>
    <xf numFmtId="0" fontId="5"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indent="3"/>
    </xf>
    <xf numFmtId="0" fontId="0" fillId="0" borderId="0" xfId="0" applyBorder="1"/>
    <xf numFmtId="43" fontId="0" fillId="0" borderId="0" xfId="1" applyNumberFormat="1" applyFont="1" applyBorder="1" applyAlignment="1">
      <alignment horizontal="right" vertical="top"/>
    </xf>
    <xf numFmtId="0" fontId="2" fillId="0" borderId="0" xfId="0" applyFont="1" applyBorder="1"/>
    <xf numFmtId="2" fontId="0" fillId="0" borderId="0" xfId="0" applyNumberFormat="1" applyBorder="1" applyAlignment="1">
      <alignment horizontal="center"/>
    </xf>
    <xf numFmtId="0" fontId="11" fillId="0" borderId="0" xfId="0" applyFont="1" applyBorder="1" applyAlignment="1">
      <alignment horizontal="left" vertical="top" indent="1"/>
    </xf>
    <xf numFmtId="0" fontId="12" fillId="0" borderId="0" xfId="0" applyFont="1" applyBorder="1" applyAlignment="1">
      <alignment horizontal="justify"/>
    </xf>
    <xf numFmtId="0" fontId="10" fillId="0" borderId="0" xfId="0" applyFont="1" applyFill="1" applyBorder="1"/>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horizontal="left" vertical="center" indent="3"/>
    </xf>
    <xf numFmtId="0" fontId="2" fillId="0" borderId="1"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left"/>
    </xf>
    <xf numFmtId="0" fontId="2" fillId="0" borderId="1" xfId="0" applyFont="1" applyBorder="1" applyAlignment="1">
      <alignment horizontal="left" vertical="center" indent="3"/>
    </xf>
    <xf numFmtId="0" fontId="0" fillId="0" borderId="0" xfId="0" applyFont="1" applyAlignment="1">
      <alignment horizontal="center"/>
    </xf>
    <xf numFmtId="164" fontId="0" fillId="0" borderId="0" xfId="0" applyNumberFormat="1" applyFont="1" applyAlignment="1">
      <alignment horizontal="center"/>
    </xf>
    <xf numFmtId="164" fontId="2" fillId="0" borderId="1" xfId="0" applyNumberFormat="1" applyFont="1" applyBorder="1" applyAlignment="1">
      <alignment horizontal="center"/>
    </xf>
    <xf numFmtId="0" fontId="17" fillId="0" borderId="0" xfId="0" applyFont="1" applyBorder="1" applyAlignment="1">
      <alignment horizontal="left" vertical="top" wrapText="1" indent="1"/>
    </xf>
    <xf numFmtId="0" fontId="17" fillId="0" borderId="0" xfId="0" applyFont="1" applyBorder="1" applyAlignment="1">
      <alignment horizontal="left" vertical="top" indent="1"/>
    </xf>
    <xf numFmtId="0" fontId="18" fillId="0" borderId="1" xfId="0" applyFont="1" applyBorder="1"/>
    <xf numFmtId="0" fontId="17" fillId="0" borderId="0" xfId="0" applyFont="1" applyBorder="1" applyAlignment="1">
      <alignment horizontal="center"/>
    </xf>
    <xf numFmtId="0" fontId="2" fillId="0" borderId="0" xfId="0" applyFont="1" applyBorder="1" applyAlignment="1">
      <alignment horizontal="left" vertical="center" indent="3"/>
    </xf>
    <xf numFmtId="2" fontId="2" fillId="0" borderId="0" xfId="0" applyNumberFormat="1" applyFont="1" applyBorder="1" applyAlignment="1">
      <alignment horizontal="center"/>
    </xf>
    <xf numFmtId="0" fontId="0" fillId="0" borderId="0" xfId="0" applyFont="1" applyBorder="1" applyAlignment="1">
      <alignment horizontal="left" vertical="center" indent="3"/>
    </xf>
    <xf numFmtId="0" fontId="0" fillId="0" borderId="0" xfId="0" applyFont="1" applyBorder="1"/>
    <xf numFmtId="0" fontId="0" fillId="0" borderId="0" xfId="0" applyFont="1" applyBorder="1" applyAlignment="1">
      <alignment horizontal="center"/>
    </xf>
    <xf numFmtId="0" fontId="0" fillId="4" borderId="0" xfId="0" applyFill="1"/>
    <xf numFmtId="0" fontId="1" fillId="4" borderId="0" xfId="0" applyFont="1" applyFill="1" applyBorder="1" applyAlignment="1">
      <alignment vertical="center"/>
    </xf>
    <xf numFmtId="2" fontId="1" fillId="4" borderId="0" xfId="0" applyNumberFormat="1" applyFont="1" applyFill="1" applyBorder="1" applyAlignment="1">
      <alignment horizontal="center" vertical="center"/>
    </xf>
    <xf numFmtId="0" fontId="5" fillId="4" borderId="0" xfId="0" applyFont="1" applyFill="1" applyBorder="1"/>
    <xf numFmtId="0" fontId="5" fillId="4" borderId="0" xfId="0" applyFont="1" applyFill="1" applyBorder="1" applyAlignment="1">
      <alignment horizontal="center" vertical="center"/>
    </xf>
    <xf numFmtId="164" fontId="1" fillId="2" borderId="1" xfId="0" applyNumberFormat="1" applyFont="1" applyFill="1" applyBorder="1" applyAlignment="1">
      <alignment horizontal="center" vertical="center"/>
    </xf>
    <xf numFmtId="0" fontId="2" fillId="0" borderId="1" xfId="0" applyFont="1" applyBorder="1" applyAlignment="1">
      <alignment horizontal="left" indent="2"/>
    </xf>
    <xf numFmtId="0" fontId="21" fillId="5" borderId="2" xfId="0" applyFont="1" applyFill="1" applyBorder="1" applyAlignment="1">
      <alignment horizontal="center" vertical="top" wrapText="1"/>
    </xf>
    <xf numFmtId="0" fontId="22" fillId="0" borderId="4" xfId="0" applyFont="1" applyBorder="1" applyAlignment="1">
      <alignment horizontal="right" vertical="top" wrapText="1"/>
    </xf>
    <xf numFmtId="0" fontId="22" fillId="7" borderId="4" xfId="0" applyFont="1" applyFill="1" applyBorder="1" applyAlignment="1">
      <alignment horizontal="right" vertical="top" wrapText="1"/>
    </xf>
    <xf numFmtId="0" fontId="21" fillId="5" borderId="5" xfId="0" applyFont="1" applyFill="1" applyBorder="1" applyAlignment="1">
      <alignment horizontal="center" vertical="top" wrapText="1"/>
    </xf>
    <xf numFmtId="0" fontId="21" fillId="5" borderId="6" xfId="0" applyFont="1" applyFill="1" applyBorder="1" applyAlignment="1">
      <alignment horizontal="center" vertical="top" wrapText="1"/>
    </xf>
    <xf numFmtId="0" fontId="21" fillId="5" borderId="7" xfId="0" applyFont="1" applyFill="1" applyBorder="1" applyAlignment="1">
      <alignment horizontal="center" vertical="top" wrapText="1"/>
    </xf>
    <xf numFmtId="0" fontId="22" fillId="0" borderId="8" xfId="0" applyFont="1" applyBorder="1" applyAlignment="1">
      <alignment horizontal="right" vertical="top" wrapText="1"/>
    </xf>
    <xf numFmtId="0" fontId="22" fillId="7" borderId="8" xfId="0" applyFont="1" applyFill="1" applyBorder="1" applyAlignment="1">
      <alignment horizontal="right" vertical="top" wrapText="1"/>
    </xf>
    <xf numFmtId="0" fontId="23" fillId="0" borderId="0" xfId="0" applyFont="1" applyAlignment="1">
      <alignment horizontal="left" vertical="center" wrapText="1"/>
    </xf>
    <xf numFmtId="0" fontId="0" fillId="0" borderId="0" xfId="0" applyFont="1" applyAlignment="1">
      <alignment wrapText="1"/>
    </xf>
    <xf numFmtId="0" fontId="0" fillId="0" borderId="0" xfId="0" applyAlignment="1">
      <alignment wrapText="1"/>
    </xf>
    <xf numFmtId="0" fontId="0" fillId="0" borderId="0" xfId="0" applyAlignment="1"/>
    <xf numFmtId="0" fontId="21" fillId="5" borderId="9" xfId="0" applyFont="1" applyFill="1" applyBorder="1" applyAlignment="1">
      <alignment vertical="top" wrapText="1"/>
    </xf>
    <xf numFmtId="0" fontId="21" fillId="5" borderId="10" xfId="0" applyFont="1" applyFill="1" applyBorder="1" applyAlignment="1">
      <alignment vertical="top" wrapText="1"/>
    </xf>
    <xf numFmtId="0" fontId="21" fillId="5" borderId="11" xfId="0" applyFont="1" applyFill="1" applyBorder="1" applyAlignment="1">
      <alignment vertical="top" wrapText="1"/>
    </xf>
    <xf numFmtId="0" fontId="21" fillId="5" borderId="12" xfId="0" applyFont="1" applyFill="1" applyBorder="1" applyAlignment="1">
      <alignment vertical="top" wrapText="1"/>
    </xf>
    <xf numFmtId="0" fontId="21" fillId="5" borderId="13" xfId="0" applyFont="1" applyFill="1" applyBorder="1" applyAlignment="1">
      <alignment vertical="top" wrapText="1"/>
    </xf>
    <xf numFmtId="0" fontId="21" fillId="5" borderId="14" xfId="0" applyFont="1" applyFill="1" applyBorder="1" applyAlignment="1">
      <alignment vertical="top" wrapText="1"/>
    </xf>
    <xf numFmtId="0" fontId="21" fillId="5" borderId="3" xfId="0" applyFont="1" applyFill="1" applyBorder="1" applyAlignment="1">
      <alignment horizontal="center" vertical="top" wrapText="1"/>
    </xf>
    <xf numFmtId="0" fontId="24" fillId="5" borderId="15" xfId="0" applyFont="1" applyFill="1" applyBorder="1" applyAlignment="1">
      <alignment horizontal="center" vertical="top" wrapText="1"/>
    </xf>
    <xf numFmtId="0" fontId="25" fillId="0" borderId="15" xfId="0" applyFont="1" applyBorder="1" applyAlignment="1">
      <alignment vertical="top" wrapText="1"/>
    </xf>
    <xf numFmtId="0" fontId="25" fillId="7" borderId="15" xfId="0" applyFont="1" applyFill="1" applyBorder="1" applyAlignment="1">
      <alignment vertical="top" wrapText="1"/>
    </xf>
    <xf numFmtId="0" fontId="25" fillId="0" borderId="15" xfId="0" applyFont="1" applyBorder="1" applyAlignment="1">
      <alignment horizontal="center" vertical="top" wrapText="1"/>
    </xf>
    <xf numFmtId="0" fontId="25" fillId="7" borderId="15" xfId="0" applyFont="1" applyFill="1" applyBorder="1" applyAlignment="1">
      <alignment horizontal="center" vertical="top" wrapText="1"/>
    </xf>
    <xf numFmtId="10" fontId="25" fillId="0" borderId="15" xfId="0" applyNumberFormat="1" applyFont="1" applyBorder="1" applyAlignment="1">
      <alignment horizontal="center" vertical="top" wrapText="1"/>
    </xf>
    <xf numFmtId="10" fontId="25" fillId="7" borderId="15" xfId="0" applyNumberFormat="1" applyFont="1" applyFill="1" applyBorder="1" applyAlignment="1">
      <alignment horizontal="center" vertical="top" wrapText="1"/>
    </xf>
    <xf numFmtId="9" fontId="25" fillId="0" borderId="15" xfId="0" applyNumberFormat="1" applyFont="1" applyBorder="1" applyAlignment="1">
      <alignment horizontal="center" vertical="top" wrapText="1"/>
    </xf>
    <xf numFmtId="0" fontId="26" fillId="8" borderId="15" xfId="0" applyFont="1" applyFill="1" applyBorder="1" applyAlignment="1">
      <alignment vertical="top" wrapText="1"/>
    </xf>
    <xf numFmtId="0" fontId="26" fillId="8" borderId="15" xfId="0" applyFont="1" applyFill="1" applyBorder="1" applyAlignment="1">
      <alignment horizontal="center" vertical="top" wrapText="1"/>
    </xf>
    <xf numFmtId="9" fontId="26" fillId="8" borderId="15" xfId="0" applyNumberFormat="1" applyFont="1" applyFill="1" applyBorder="1" applyAlignment="1">
      <alignment horizontal="center" vertical="top" wrapText="1"/>
    </xf>
    <xf numFmtId="0" fontId="25" fillId="6" borderId="15" xfId="0" applyFont="1" applyFill="1" applyBorder="1" applyAlignment="1">
      <alignment horizontal="center" vertical="top" wrapText="1"/>
    </xf>
    <xf numFmtId="0" fontId="27" fillId="5" borderId="15" xfId="0" applyFont="1" applyFill="1" applyBorder="1" applyAlignment="1">
      <alignment horizontal="center" vertical="top" wrapText="1"/>
    </xf>
    <xf numFmtId="0" fontId="0" fillId="0" borderId="15" xfId="0" applyBorder="1" applyAlignment="1">
      <alignment horizontal="center" vertical="center"/>
    </xf>
    <xf numFmtId="0" fontId="0" fillId="0" borderId="15" xfId="0" applyBorder="1" applyAlignment="1">
      <alignment horizontal="left" vertical="center"/>
    </xf>
    <xf numFmtId="165" fontId="0" fillId="0" borderId="15" xfId="2" applyNumberFormat="1" applyFont="1" applyBorder="1" applyAlignment="1">
      <alignment horizontal="center" vertical="center"/>
    </xf>
    <xf numFmtId="0" fontId="0" fillId="8" borderId="0" xfId="0" applyFill="1" applyAlignment="1">
      <alignment horizontal="left" indent="2"/>
    </xf>
    <xf numFmtId="0" fontId="10" fillId="0" borderId="0" xfId="0" applyFont="1"/>
    <xf numFmtId="43" fontId="10" fillId="0" borderId="0" xfId="1" applyNumberFormat="1" applyFont="1" applyFill="1" applyBorder="1" applyAlignment="1" applyProtection="1">
      <alignment vertical="center"/>
    </xf>
    <xf numFmtId="43" fontId="10" fillId="0" borderId="0" xfId="1" applyFont="1" applyFill="1" applyBorder="1"/>
    <xf numFmtId="43" fontId="29" fillId="0" borderId="0" xfId="1" applyFont="1" applyFill="1" applyBorder="1"/>
    <xf numFmtId="43" fontId="10" fillId="0" borderId="0" xfId="1" applyFont="1" applyBorder="1"/>
    <xf numFmtId="43" fontId="10" fillId="0" borderId="0" xfId="1" applyFont="1" applyBorder="1" applyAlignment="1">
      <alignment vertical="top" wrapText="1"/>
    </xf>
    <xf numFmtId="166" fontId="13" fillId="0" borderId="15" xfId="0" applyNumberFormat="1" applyFont="1" applyBorder="1" applyAlignment="1">
      <alignment horizontal="right"/>
    </xf>
    <xf numFmtId="43" fontId="13" fillId="0" borderId="15" xfId="1" applyFont="1" applyBorder="1"/>
    <xf numFmtId="43" fontId="0" fillId="0" borderId="0" xfId="1" applyFont="1" applyBorder="1"/>
    <xf numFmtId="43" fontId="30" fillId="2" borderId="15" xfId="0" applyNumberFormat="1" applyFont="1" applyFill="1" applyBorder="1" applyAlignment="1">
      <alignment horizontal="center"/>
    </xf>
    <xf numFmtId="2" fontId="30" fillId="2" borderId="15" xfId="1" applyNumberFormat="1" applyFont="1" applyFill="1" applyBorder="1" applyAlignment="1">
      <alignment horizontal="center" vertical="center" wrapText="1"/>
    </xf>
    <xf numFmtId="0" fontId="13" fillId="0" borderId="15" xfId="0" applyFont="1" applyBorder="1" applyAlignment="1">
      <alignment horizontal="center"/>
    </xf>
    <xf numFmtId="0" fontId="13" fillId="0" borderId="15" xfId="0" applyFont="1" applyBorder="1"/>
    <xf numFmtId="0" fontId="28" fillId="0" borderId="15" xfId="0" applyFont="1" applyBorder="1"/>
    <xf numFmtId="0" fontId="13" fillId="0" borderId="15" xfId="0" applyFont="1" applyBorder="1" applyAlignment="1">
      <alignment wrapText="1"/>
    </xf>
    <xf numFmtId="0" fontId="28" fillId="0" borderId="15" xfId="0" applyFont="1" applyBorder="1" applyAlignment="1">
      <alignment horizontal="center"/>
    </xf>
    <xf numFmtId="166" fontId="28" fillId="0" borderId="15" xfId="0" applyNumberFormat="1" applyFont="1" applyBorder="1" applyAlignment="1">
      <alignment horizontal="left" indent="1"/>
    </xf>
    <xf numFmtId="43" fontId="0" fillId="0" borderId="15" xfId="1" applyFont="1" applyBorder="1"/>
    <xf numFmtId="166" fontId="28" fillId="0" borderId="15" xfId="0" applyNumberFormat="1" applyFont="1" applyBorder="1" applyAlignment="1">
      <alignment horizontal="left" wrapText="1" indent="1"/>
    </xf>
    <xf numFmtId="166" fontId="28" fillId="0" borderId="15" xfId="0" applyNumberFormat="1" applyFont="1" applyBorder="1" applyAlignment="1">
      <alignment horizontal="left" wrapText="1"/>
    </xf>
    <xf numFmtId="43" fontId="28" fillId="0" borderId="15" xfId="1" applyFont="1" applyBorder="1"/>
    <xf numFmtId="166" fontId="28" fillId="0" borderId="15" xfId="0" applyNumberFormat="1" applyFont="1" applyBorder="1" applyAlignment="1">
      <alignment horizontal="right"/>
    </xf>
    <xf numFmtId="166" fontId="28" fillId="0" borderId="15" xfId="0" applyNumberFormat="1" applyFont="1" applyBorder="1"/>
    <xf numFmtId="43" fontId="10" fillId="0" borderId="15" xfId="1" applyFont="1" applyBorder="1"/>
    <xf numFmtId="0" fontId="29" fillId="0" borderId="15" xfId="0" applyFont="1" applyBorder="1" applyAlignment="1">
      <alignment horizontal="left" wrapText="1" indent="1"/>
    </xf>
    <xf numFmtId="43" fontId="10" fillId="0" borderId="15" xfId="1" applyFont="1" applyFill="1" applyBorder="1" applyProtection="1"/>
    <xf numFmtId="0" fontId="31" fillId="2" borderId="15" xfId="0" applyFont="1" applyFill="1" applyBorder="1" applyAlignment="1">
      <alignment horizontal="center"/>
    </xf>
    <xf numFmtId="166" fontId="30" fillId="2" borderId="15" xfId="0" applyNumberFormat="1" applyFont="1" applyFill="1" applyBorder="1" applyAlignment="1">
      <alignment horizontal="right"/>
    </xf>
    <xf numFmtId="43" fontId="30" fillId="2" borderId="15" xfId="1" applyFont="1" applyFill="1" applyBorder="1"/>
    <xf numFmtId="0" fontId="0" fillId="0" borderId="0" xfId="0" applyBorder="1" applyAlignment="1"/>
    <xf numFmtId="43" fontId="13" fillId="0" borderId="0" xfId="0" applyNumberFormat="1" applyFont="1" applyBorder="1" applyAlignment="1"/>
    <xf numFmtId="43" fontId="10" fillId="0" borderId="0" xfId="1" applyNumberFormat="1" applyFont="1" applyFill="1" applyBorder="1" applyAlignment="1" applyProtection="1">
      <alignment horizontal="center" vertical="center" wrapText="1"/>
    </xf>
    <xf numFmtId="43" fontId="13" fillId="0" borderId="0" xfId="1" applyFont="1" applyBorder="1"/>
    <xf numFmtId="43" fontId="10" fillId="0" borderId="0" xfId="1" applyFont="1" applyFill="1" applyBorder="1" applyProtection="1"/>
    <xf numFmtId="0" fontId="7" fillId="3" borderId="0" xfId="0" applyFont="1" applyFill="1" applyAlignment="1">
      <alignment horizontal="center"/>
    </xf>
    <xf numFmtId="0" fontId="7" fillId="3" borderId="0" xfId="0" applyFont="1" applyFill="1" applyAlignment="1">
      <alignment vertical="center"/>
    </xf>
    <xf numFmtId="167" fontId="1" fillId="2" borderId="0" xfId="0" applyNumberFormat="1" applyFont="1" applyFill="1" applyAlignment="1">
      <alignment horizontal="center" vertical="center"/>
    </xf>
    <xf numFmtId="0" fontId="2" fillId="0" borderId="15" xfId="0" applyFont="1" applyBorder="1" applyAlignment="1">
      <alignment vertical="center"/>
    </xf>
    <xf numFmtId="0" fontId="17" fillId="0" borderId="0" xfId="5" applyFont="1" applyBorder="1" applyAlignment="1">
      <alignment vertical="center"/>
    </xf>
    <xf numFmtId="9" fontId="0" fillId="0" borderId="0" xfId="0" applyNumberFormat="1"/>
    <xf numFmtId="2" fontId="0" fillId="0" borderId="0" xfId="0" applyNumberFormat="1" applyFont="1" applyAlignment="1">
      <alignment horizontal="center"/>
    </xf>
    <xf numFmtId="168" fontId="0" fillId="0" borderId="0" xfId="0" applyNumberFormat="1" applyAlignment="1">
      <alignment horizontal="center"/>
    </xf>
    <xf numFmtId="164" fontId="0" fillId="0" borderId="0" xfId="0" applyNumberFormat="1" applyAlignment="1">
      <alignment horizontal="center"/>
    </xf>
    <xf numFmtId="2" fontId="2" fillId="0" borderId="0" xfId="0" applyNumberFormat="1" applyFont="1" applyBorder="1" applyAlignment="1">
      <alignment horizontal="center" vertical="center"/>
    </xf>
    <xf numFmtId="2" fontId="0" fillId="0" borderId="0" xfId="0" applyNumberFormat="1" applyFont="1" applyBorder="1" applyAlignment="1">
      <alignment horizontal="center"/>
    </xf>
    <xf numFmtId="2" fontId="0" fillId="0" borderId="0" xfId="0" applyNumberFormat="1" applyFill="1" applyAlignment="1">
      <alignment horizontal="center" vertical="center"/>
    </xf>
    <xf numFmtId="0" fontId="18" fillId="0" borderId="0" xfId="5" applyFont="1" applyBorder="1" applyAlignment="1">
      <alignment vertical="center"/>
    </xf>
    <xf numFmtId="9" fontId="0" fillId="0" borderId="0" xfId="0" applyNumberFormat="1" applyAlignment="1">
      <alignment horizontal="center"/>
    </xf>
    <xf numFmtId="9" fontId="2" fillId="0" borderId="0" xfId="0" applyNumberFormat="1" applyFont="1" applyAlignment="1">
      <alignment horizontal="center"/>
    </xf>
    <xf numFmtId="0" fontId="3" fillId="3" borderId="15" xfId="0" applyFont="1" applyFill="1" applyBorder="1" applyAlignment="1">
      <alignment vertical="center"/>
    </xf>
    <xf numFmtId="0" fontId="0" fillId="0" borderId="15" xfId="0" applyBorder="1"/>
    <xf numFmtId="0" fontId="6" fillId="2" borderId="15" xfId="0" applyFont="1" applyFill="1" applyBorder="1" applyAlignment="1">
      <alignment vertical="center"/>
    </xf>
    <xf numFmtId="0" fontId="1" fillId="2" borderId="15" xfId="0" applyFont="1" applyFill="1" applyBorder="1" applyAlignment="1">
      <alignment vertical="center"/>
    </xf>
    <xf numFmtId="0" fontId="1" fillId="2" borderId="15" xfId="0" applyFont="1" applyFill="1" applyBorder="1"/>
    <xf numFmtId="0" fontId="1" fillId="2" borderId="15" xfId="0" applyFont="1" applyFill="1" applyBorder="1" applyAlignment="1">
      <alignment horizontal="center" vertical="center" wrapText="1"/>
    </xf>
    <xf numFmtId="0" fontId="1" fillId="2" borderId="15" xfId="0" applyFont="1" applyFill="1" applyBorder="1" applyAlignment="1">
      <alignment horizontal="center" vertical="center"/>
    </xf>
    <xf numFmtId="0" fontId="0" fillId="0" borderId="15" xfId="0" applyBorder="1" applyAlignment="1">
      <alignment horizontal="center"/>
    </xf>
    <xf numFmtId="0" fontId="4" fillId="0" borderId="15" xfId="0" applyFont="1" applyBorder="1"/>
    <xf numFmtId="0" fontId="2" fillId="0" borderId="15" xfId="0" applyFont="1" applyBorder="1"/>
    <xf numFmtId="0" fontId="0" fillId="0" borderId="15" xfId="0" applyBorder="1" applyAlignment="1">
      <alignment horizontal="left" indent="2"/>
    </xf>
    <xf numFmtId="2" fontId="0" fillId="0" borderId="15" xfId="0" applyNumberFormat="1" applyBorder="1" applyAlignment="1">
      <alignment horizontal="center"/>
    </xf>
    <xf numFmtId="43" fontId="0" fillId="0" borderId="15" xfId="1" applyNumberFormat="1" applyFont="1" applyBorder="1" applyAlignment="1">
      <alignment horizontal="right" vertical="top"/>
    </xf>
    <xf numFmtId="0" fontId="0" fillId="0" borderId="15" xfId="0" applyBorder="1" applyAlignment="1">
      <alignment vertical="center"/>
    </xf>
    <xf numFmtId="2" fontId="2" fillId="0" borderId="15" xfId="0" applyNumberFormat="1" applyFont="1" applyBorder="1" applyAlignment="1">
      <alignment horizontal="center" vertical="center"/>
    </xf>
    <xf numFmtId="0" fontId="0" fillId="0" borderId="15" xfId="0" applyBorder="1" applyAlignment="1">
      <alignment horizontal="left"/>
    </xf>
    <xf numFmtId="0" fontId="11" fillId="0" borderId="15" xfId="0" applyFont="1" applyBorder="1" applyAlignment="1">
      <alignment horizontal="left" vertical="top" indent="1"/>
    </xf>
    <xf numFmtId="0" fontId="13" fillId="0" borderId="15" xfId="0" applyFont="1" applyBorder="1" applyAlignment="1">
      <alignment horizontal="left" wrapText="1"/>
    </xf>
    <xf numFmtId="2" fontId="2" fillId="0" borderId="15" xfId="0" applyNumberFormat="1" applyFont="1" applyBorder="1" applyAlignment="1">
      <alignment horizontal="center"/>
    </xf>
    <xf numFmtId="0" fontId="13" fillId="0" borderId="15" xfId="0" applyFont="1" applyBorder="1" applyAlignment="1">
      <alignment horizontal="left"/>
    </xf>
    <xf numFmtId="0" fontId="0" fillId="0" borderId="15" xfId="0" applyBorder="1" applyAlignment="1">
      <alignment horizontal="left" wrapText="1"/>
    </xf>
    <xf numFmtId="0" fontId="14" fillId="0" borderId="15" xfId="0" applyFont="1" applyBorder="1" applyAlignment="1">
      <alignment horizontal="left"/>
    </xf>
    <xf numFmtId="37" fontId="0" fillId="0" borderId="15" xfId="0" applyNumberFormat="1" applyBorder="1" applyAlignment="1">
      <alignment horizontal="center"/>
    </xf>
    <xf numFmtId="164" fontId="0" fillId="0" borderId="15" xfId="0" applyNumberFormat="1" applyBorder="1" applyAlignment="1">
      <alignment horizontal="center"/>
    </xf>
    <xf numFmtId="0" fontId="16" fillId="0" borderId="15" xfId="0" applyFont="1" applyBorder="1" applyAlignment="1">
      <alignment horizontal="left"/>
    </xf>
    <xf numFmtId="37" fontId="2" fillId="0" borderId="15" xfId="0" applyNumberFormat="1" applyFont="1" applyBorder="1" applyAlignment="1">
      <alignment horizontal="center"/>
    </xf>
    <xf numFmtId="0" fontId="12" fillId="0" borderId="15" xfId="0" applyFont="1" applyBorder="1" applyAlignment="1">
      <alignment horizontal="justify"/>
    </xf>
    <xf numFmtId="0" fontId="12" fillId="0" borderId="15" xfId="0" applyFont="1" applyBorder="1" applyAlignment="1">
      <alignment horizontal="left"/>
    </xf>
    <xf numFmtId="0" fontId="0" fillId="0" borderId="15" xfId="0" applyBorder="1" applyAlignment="1">
      <alignment horizontal="left" indent="1"/>
    </xf>
    <xf numFmtId="0" fontId="0" fillId="0" borderId="15" xfId="0" applyBorder="1" applyAlignment="1">
      <alignment horizontal="justify" wrapText="1"/>
    </xf>
    <xf numFmtId="0" fontId="14" fillId="0" borderId="15" xfId="0" applyFont="1" applyBorder="1" applyAlignment="1">
      <alignment horizontal="left" vertical="top" wrapText="1" indent="1"/>
    </xf>
    <xf numFmtId="0" fontId="0" fillId="0" borderId="15" xfId="0" applyBorder="1" applyAlignment="1">
      <alignment horizontal="justify" vertical="top" wrapText="1"/>
    </xf>
    <xf numFmtId="0" fontId="0" fillId="0" borderId="15" xfId="0" applyBorder="1" applyAlignment="1">
      <alignment horizontal="justify"/>
    </xf>
    <xf numFmtId="0" fontId="0" fillId="0" borderId="15" xfId="0" applyBorder="1" applyAlignment="1">
      <alignment horizontal="left" wrapText="1" indent="2"/>
    </xf>
    <xf numFmtId="0" fontId="11" fillId="0" borderId="15" xfId="0" applyFont="1" applyBorder="1" applyAlignment="1">
      <alignment horizontal="left" wrapText="1" indent="2"/>
    </xf>
    <xf numFmtId="0" fontId="11" fillId="0" borderId="15" xfId="0" applyFont="1" applyBorder="1" applyAlignment="1">
      <alignment horizontal="left" wrapText="1" indent="1"/>
    </xf>
    <xf numFmtId="0" fontId="11" fillId="0" borderId="15" xfId="0" applyFont="1" applyBorder="1" applyAlignment="1">
      <alignment horizontal="left" wrapText="1"/>
    </xf>
    <xf numFmtId="0" fontId="13" fillId="0" borderId="15" xfId="0" applyFont="1" applyBorder="1" applyAlignment="1">
      <alignment horizontal="left" vertical="center" wrapText="1"/>
    </xf>
    <xf numFmtId="0" fontId="13" fillId="0" borderId="15" xfId="0" applyFont="1" applyBorder="1" applyAlignment="1">
      <alignment horizontal="right" vertical="center" wrapText="1"/>
    </xf>
    <xf numFmtId="0" fontId="0" fillId="0" borderId="15" xfId="0" applyFont="1" applyBorder="1" applyAlignment="1"/>
    <xf numFmtId="0" fontId="0" fillId="0" borderId="15" xfId="0" applyFont="1" applyBorder="1"/>
    <xf numFmtId="2" fontId="0" fillId="0" borderId="15" xfId="0" applyNumberFormat="1" applyFont="1" applyBorder="1" applyAlignment="1">
      <alignment horizontal="center" vertical="center"/>
    </xf>
    <xf numFmtId="0" fontId="2" fillId="0" borderId="15" xfId="0" applyFont="1" applyBorder="1" applyAlignment="1"/>
    <xf numFmtId="0" fontId="0" fillId="2" borderId="15" xfId="0" applyFill="1" applyBorder="1"/>
    <xf numFmtId="2" fontId="1" fillId="2" borderId="15" xfId="0" applyNumberFormat="1" applyFont="1" applyFill="1" applyBorder="1" applyAlignment="1">
      <alignment horizontal="center" vertical="center"/>
    </xf>
    <xf numFmtId="9" fontId="0" fillId="0" borderId="0" xfId="4" applyFont="1"/>
    <xf numFmtId="0" fontId="34" fillId="0" borderId="0" xfId="0" applyFont="1"/>
    <xf numFmtId="0" fontId="36" fillId="10" borderId="15" xfId="0" applyFont="1" applyFill="1" applyBorder="1" applyAlignment="1">
      <alignment horizontal="center" vertical="center" wrapText="1"/>
    </xf>
    <xf numFmtId="0" fontId="36" fillId="10" borderId="18" xfId="0" applyFont="1" applyFill="1" applyBorder="1" applyAlignment="1">
      <alignment horizontal="center" vertical="top" wrapText="1"/>
    </xf>
    <xf numFmtId="0" fontId="34" fillId="0" borderId="15" xfId="0" applyFont="1" applyFill="1" applyBorder="1" applyAlignment="1">
      <alignment horizontal="right" vertical="center" wrapText="1"/>
    </xf>
    <xf numFmtId="0" fontId="34" fillId="0" borderId="15" xfId="0" applyFont="1" applyBorder="1" applyAlignment="1">
      <alignment vertical="center"/>
    </xf>
    <xf numFmtId="4" fontId="38" fillId="0" borderId="15" xfId="0" applyNumberFormat="1" applyFont="1" applyFill="1" applyBorder="1" applyAlignment="1">
      <alignment horizontal="center" vertical="center" shrinkToFit="1"/>
    </xf>
    <xf numFmtId="2" fontId="38" fillId="0" borderId="15" xfId="0" applyNumberFormat="1" applyFont="1" applyFill="1" applyBorder="1" applyAlignment="1">
      <alignment horizontal="left" vertical="center" indent="2" shrinkToFit="1"/>
    </xf>
    <xf numFmtId="2" fontId="34" fillId="0" borderId="15" xfId="0" applyNumberFormat="1" applyFont="1" applyFill="1" applyBorder="1" applyAlignment="1">
      <alignment horizontal="center" vertical="center" wrapText="1"/>
    </xf>
    <xf numFmtId="10" fontId="40" fillId="0" borderId="0" xfId="0" applyNumberFormat="1" applyFont="1"/>
    <xf numFmtId="2" fontId="38" fillId="0" borderId="15" xfId="0" applyNumberFormat="1" applyFont="1" applyFill="1" applyBorder="1" applyAlignment="1">
      <alignment horizontal="center" vertical="center" shrinkToFit="1"/>
    </xf>
    <xf numFmtId="0" fontId="39" fillId="0" borderId="15" xfId="0" applyFont="1" applyFill="1" applyBorder="1" applyAlignment="1">
      <alignment horizontal="left" vertical="center" wrapText="1"/>
    </xf>
    <xf numFmtId="0" fontId="39" fillId="0" borderId="15" xfId="0" applyFont="1" applyFill="1" applyBorder="1" applyAlignment="1">
      <alignment horizontal="center" vertical="center" wrapText="1"/>
    </xf>
    <xf numFmtId="0" fontId="34" fillId="0" borderId="15" xfId="0" applyFont="1" applyBorder="1" applyAlignment="1">
      <alignment horizontal="left" vertical="center"/>
    </xf>
    <xf numFmtId="0" fontId="34" fillId="0" borderId="15" xfId="0" applyFont="1" applyBorder="1" applyAlignment="1">
      <alignment horizontal="center" vertical="center"/>
    </xf>
    <xf numFmtId="9" fontId="34" fillId="0" borderId="0" xfId="0" applyNumberFormat="1" applyFont="1"/>
    <xf numFmtId="0" fontId="34" fillId="10" borderId="24" xfId="0" applyFont="1" applyFill="1" applyBorder="1" applyAlignment="1">
      <alignment horizontal="center" vertical="center"/>
    </xf>
    <xf numFmtId="0" fontId="34" fillId="10" borderId="25" xfId="0" applyFont="1" applyFill="1" applyBorder="1" applyAlignment="1">
      <alignment horizontal="center" vertical="center" wrapText="1"/>
    </xf>
    <xf numFmtId="0" fontId="36" fillId="10" borderId="26" xfId="0" applyFont="1" applyFill="1" applyBorder="1" applyAlignment="1">
      <alignment horizontal="center" vertical="center" wrapText="1"/>
    </xf>
    <xf numFmtId="43" fontId="36" fillId="10" borderId="27" xfId="1" applyFont="1" applyFill="1" applyBorder="1" applyAlignment="1">
      <alignment horizontal="center" vertical="center" wrapText="1"/>
    </xf>
    <xf numFmtId="43" fontId="36" fillId="10" borderId="28" xfId="1" applyFont="1" applyFill="1" applyBorder="1" applyAlignment="1">
      <alignment horizontal="center" vertical="center" wrapText="1"/>
    </xf>
    <xf numFmtId="4" fontId="36" fillId="10" borderId="28" xfId="1" applyNumberFormat="1" applyFont="1" applyFill="1" applyBorder="1" applyAlignment="1">
      <alignment horizontal="center" vertical="center"/>
    </xf>
    <xf numFmtId="0" fontId="36" fillId="10" borderId="29" xfId="0" applyFont="1" applyFill="1" applyBorder="1" applyAlignment="1">
      <alignment horizontal="left" vertical="center" wrapText="1"/>
    </xf>
    <xf numFmtId="0" fontId="34" fillId="0" borderId="0" xfId="0" applyFont="1" applyAlignment="1">
      <alignment wrapText="1"/>
    </xf>
    <xf numFmtId="0" fontId="34" fillId="0" borderId="0" xfId="0" applyFont="1" applyAlignment="1">
      <alignment horizontal="left" wrapText="1"/>
    </xf>
    <xf numFmtId="0" fontId="34" fillId="0" borderId="0" xfId="0" applyFont="1" applyAlignment="1"/>
    <xf numFmtId="0" fontId="35" fillId="0" borderId="30"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0" xfId="0" applyFont="1" applyFill="1" applyBorder="1" applyAlignment="1">
      <alignment vertical="top" wrapText="1"/>
    </xf>
    <xf numFmtId="0" fontId="39" fillId="0" borderId="30" xfId="0" applyFont="1" applyBorder="1" applyAlignment="1">
      <alignment horizontal="left" vertical="top" wrapText="1"/>
    </xf>
    <xf numFmtId="0" fontId="39" fillId="0" borderId="0" xfId="0" applyFont="1" applyBorder="1" applyAlignment="1">
      <alignment horizontal="left" vertical="top" wrapText="1"/>
    </xf>
    <xf numFmtId="0" fontId="35" fillId="0" borderId="0" xfId="0" applyFont="1" applyBorder="1" applyAlignment="1">
      <alignment horizontal="right"/>
    </xf>
    <xf numFmtId="0" fontId="36" fillId="10" borderId="15" xfId="0" applyFont="1" applyFill="1" applyBorder="1" applyAlignment="1">
      <alignment horizontal="center" vertical="top" wrapText="1"/>
    </xf>
    <xf numFmtId="0" fontId="36" fillId="10" borderId="15" xfId="0" applyFont="1" applyFill="1" applyBorder="1" applyAlignment="1">
      <alignment horizontal="left" vertical="center" wrapText="1"/>
    </xf>
    <xf numFmtId="9" fontId="34" fillId="0" borderId="0" xfId="0" applyNumberFormat="1" applyFont="1" applyAlignment="1">
      <alignment wrapText="1"/>
    </xf>
    <xf numFmtId="0" fontId="36" fillId="0" borderId="15" xfId="0" applyFont="1" applyFill="1" applyBorder="1" applyAlignment="1">
      <alignment horizontal="center" vertical="center" wrapText="1"/>
    </xf>
    <xf numFmtId="2" fontId="34" fillId="0" borderId="15" xfId="0" applyNumberFormat="1" applyFont="1" applyFill="1" applyBorder="1" applyAlignment="1">
      <alignment horizontal="center" vertical="center"/>
    </xf>
    <xf numFmtId="2" fontId="34" fillId="4" borderId="15" xfId="0" applyNumberFormat="1" applyFont="1" applyFill="1" applyBorder="1" applyAlignment="1">
      <alignment horizontal="center" vertical="center" wrapText="1"/>
    </xf>
    <xf numFmtId="4" fontId="36" fillId="10" borderId="27" xfId="1" applyNumberFormat="1" applyFont="1" applyFill="1" applyBorder="1" applyAlignment="1">
      <alignment horizontal="center" vertical="center"/>
    </xf>
    <xf numFmtId="0" fontId="34" fillId="0" borderId="0" xfId="0" applyFont="1" applyAlignment="1">
      <alignment vertical="center" wrapText="1"/>
    </xf>
    <xf numFmtId="0" fontId="34" fillId="0" borderId="0" xfId="0" applyFont="1" applyFill="1" applyAlignment="1">
      <alignment vertical="top" wrapText="1"/>
    </xf>
    <xf numFmtId="166" fontId="34" fillId="0" borderId="0" xfId="1" applyNumberFormat="1" applyFont="1" applyAlignment="1">
      <alignment vertical="center" wrapText="1"/>
    </xf>
    <xf numFmtId="0" fontId="34" fillId="0" borderId="0" xfId="0" applyFont="1" applyAlignment="1">
      <alignment horizontal="center" vertical="center" wrapText="1"/>
    </xf>
    <xf numFmtId="0" fontId="34" fillId="0" borderId="0" xfId="0" applyFont="1" applyAlignment="1">
      <alignment vertical="top" wrapText="1"/>
    </xf>
    <xf numFmtId="0" fontId="34" fillId="0" borderId="0" xfId="0" applyFont="1" applyAlignment="1">
      <alignment horizontal="left" vertical="top" wrapText="1"/>
    </xf>
    <xf numFmtId="0" fontId="34" fillId="0" borderId="0" xfId="0" applyFont="1" applyAlignment="1">
      <alignment horizontal="center" wrapText="1"/>
    </xf>
    <xf numFmtId="0" fontId="36" fillId="10" borderId="15" xfId="0" applyFont="1" applyFill="1" applyBorder="1" applyAlignment="1">
      <alignment horizontal="left" vertical="center"/>
    </xf>
    <xf numFmtId="0" fontId="35" fillId="0" borderId="0" xfId="0" applyFont="1" applyFill="1" applyBorder="1" applyAlignment="1">
      <alignment horizontal="right" vertical="center" wrapText="1"/>
    </xf>
    <xf numFmtId="0" fontId="34" fillId="0" borderId="0" xfId="0" applyFont="1" applyFill="1"/>
    <xf numFmtId="0" fontId="34" fillId="0" borderId="15" xfId="0" applyFont="1" applyFill="1" applyBorder="1" applyAlignment="1">
      <alignment horizontal="center" vertical="center" wrapText="1"/>
    </xf>
    <xf numFmtId="0" fontId="35" fillId="0" borderId="15" xfId="0" applyFont="1" applyFill="1" applyBorder="1" applyAlignment="1">
      <alignment horizontal="center" vertical="center" wrapText="1"/>
    </xf>
    <xf numFmtId="9" fontId="40" fillId="0" borderId="0" xfId="0" applyNumberFormat="1" applyFont="1" applyFill="1" applyBorder="1" applyAlignment="1">
      <alignment horizontal="right" vertical="center" wrapText="1"/>
    </xf>
    <xf numFmtId="9" fontId="43" fillId="0" borderId="0" xfId="0" applyNumberFormat="1" applyFont="1" applyFill="1" applyAlignment="1">
      <alignment vertical="center"/>
    </xf>
    <xf numFmtId="0" fontId="34" fillId="0" borderId="15" xfId="0" applyFont="1" applyFill="1" applyBorder="1" applyAlignment="1">
      <alignment horizontal="left" vertical="center" wrapText="1"/>
    </xf>
    <xf numFmtId="0" fontId="36" fillId="10" borderId="24" xfId="0" applyFont="1" applyFill="1" applyBorder="1" applyAlignment="1">
      <alignment horizontal="left"/>
    </xf>
    <xf numFmtId="0" fontId="36" fillId="10" borderId="27" xfId="0" applyFont="1" applyFill="1" applyBorder="1" applyAlignment="1">
      <alignment horizontal="left" wrapText="1"/>
    </xf>
    <xf numFmtId="0" fontId="35" fillId="0" borderId="34" xfId="0" applyFont="1" applyFill="1" applyBorder="1" applyAlignment="1">
      <alignment horizontal="left" vertical="top" wrapText="1"/>
    </xf>
    <xf numFmtId="0" fontId="39" fillId="0" borderId="34" xfId="0" applyFont="1" applyBorder="1" applyAlignment="1">
      <alignment horizontal="left" vertical="top" wrapText="1"/>
    </xf>
    <xf numFmtId="0" fontId="34" fillId="0" borderId="34" xfId="0" applyFont="1" applyBorder="1"/>
    <xf numFmtId="0" fontId="33" fillId="0" borderId="0" xfId="0" applyFont="1" applyFill="1" applyBorder="1" applyAlignment="1">
      <alignment wrapText="1"/>
    </xf>
    <xf numFmtId="0" fontId="34" fillId="0" borderId="0" xfId="0" applyFont="1" applyFill="1" applyBorder="1" applyAlignment="1">
      <alignment horizontal="center" wrapText="1"/>
    </xf>
    <xf numFmtId="0" fontId="34" fillId="0" borderId="0" xfId="0" applyFont="1" applyFill="1" applyBorder="1" applyAlignment="1">
      <alignment wrapText="1"/>
    </xf>
    <xf numFmtId="0" fontId="36" fillId="10" borderId="21" xfId="0" applyFont="1" applyFill="1" applyBorder="1" applyAlignment="1">
      <alignment horizontal="center" vertical="center" wrapText="1"/>
    </xf>
    <xf numFmtId="0" fontId="44" fillId="10" borderId="19" xfId="0" applyFont="1" applyFill="1" applyBorder="1" applyAlignment="1">
      <alignment horizontal="center" vertical="center" wrapText="1"/>
    </xf>
    <xf numFmtId="0" fontId="44" fillId="10" borderId="15" xfId="0" applyFont="1" applyFill="1" applyBorder="1" applyAlignment="1">
      <alignment horizontal="center" vertical="center" wrapText="1"/>
    </xf>
    <xf numFmtId="0" fontId="36" fillId="10" borderId="21" xfId="0" applyFont="1" applyFill="1" applyBorder="1" applyAlignment="1">
      <alignment horizontal="left" vertical="center" wrapText="1"/>
    </xf>
    <xf numFmtId="0" fontId="45" fillId="0" borderId="15" xfId="0" applyFont="1" applyFill="1" applyBorder="1" applyAlignment="1">
      <alignment horizontal="left" vertical="top" wrapText="1"/>
    </xf>
    <xf numFmtId="2" fontId="46" fillId="0" borderId="15" xfId="0" applyNumberFormat="1" applyFont="1" applyFill="1" applyBorder="1" applyAlignment="1">
      <alignment horizontal="center" vertical="top"/>
    </xf>
    <xf numFmtId="2" fontId="34" fillId="0" borderId="15" xfId="0" applyNumberFormat="1" applyFont="1" applyBorder="1" applyAlignment="1">
      <alignment horizontal="center" wrapText="1"/>
    </xf>
    <xf numFmtId="2" fontId="34" fillId="0" borderId="23" xfId="0" applyNumberFormat="1" applyFont="1" applyBorder="1" applyAlignment="1">
      <alignment horizontal="center" wrapText="1"/>
    </xf>
    <xf numFmtId="2" fontId="34" fillId="0" borderId="23" xfId="0" quotePrefix="1" applyNumberFormat="1" applyFont="1" applyBorder="1" applyAlignment="1">
      <alignment horizontal="center" vertical="center"/>
    </xf>
    <xf numFmtId="9" fontId="34" fillId="0" borderId="0" xfId="0" applyNumberFormat="1" applyFont="1" applyAlignment="1">
      <alignment horizontal="center" vertical="center" wrapText="1"/>
    </xf>
    <xf numFmtId="0" fontId="34" fillId="0" borderId="15" xfId="0" applyFont="1" applyBorder="1" applyAlignment="1">
      <alignment horizontal="center" wrapText="1"/>
    </xf>
    <xf numFmtId="0" fontId="34" fillId="0" borderId="0" xfId="0" applyFont="1" applyFill="1" applyAlignment="1">
      <alignment horizontal="left" wrapText="1"/>
    </xf>
    <xf numFmtId="0" fontId="39" fillId="0" borderId="15" xfId="0" applyFont="1" applyFill="1" applyBorder="1" applyAlignment="1">
      <alignment horizontal="left" vertical="top" wrapText="1"/>
    </xf>
    <xf numFmtId="2" fontId="34" fillId="0" borderId="15" xfId="0" quotePrefix="1" applyNumberFormat="1" applyFont="1" applyBorder="1" applyAlignment="1">
      <alignment horizontal="center" vertical="center"/>
    </xf>
    <xf numFmtId="9" fontId="34" fillId="0" borderId="0" xfId="4" applyFont="1"/>
    <xf numFmtId="0" fontId="36" fillId="10" borderId="27" xfId="0" applyFont="1" applyFill="1" applyBorder="1" applyAlignment="1">
      <alignment horizontal="left" vertical="center" wrapText="1"/>
    </xf>
    <xf numFmtId="2" fontId="36" fillId="10" borderId="27" xfId="0" quotePrefix="1" applyNumberFormat="1" applyFont="1" applyFill="1" applyBorder="1" applyAlignment="1">
      <alignment horizontal="center" vertical="center"/>
    </xf>
    <xf numFmtId="0" fontId="36" fillId="10" borderId="25" xfId="0" applyFont="1" applyFill="1" applyBorder="1" applyAlignment="1">
      <alignment horizontal="left" wrapText="1"/>
    </xf>
    <xf numFmtId="0" fontId="34" fillId="0" borderId="0" xfId="0" applyFont="1" applyAlignment="1">
      <alignment horizontal="center"/>
    </xf>
    <xf numFmtId="0" fontId="33" fillId="0" borderId="0" xfId="0" applyFont="1" applyFill="1" applyBorder="1" applyAlignment="1">
      <alignment horizontal="center"/>
    </xf>
    <xf numFmtId="0" fontId="34" fillId="0" borderId="22" xfId="0" applyFont="1" applyBorder="1"/>
    <xf numFmtId="0" fontId="34" fillId="0" borderId="0" xfId="0" applyFont="1" applyBorder="1" applyAlignment="1">
      <alignment horizontal="center" vertical="top"/>
    </xf>
    <xf numFmtId="0" fontId="37" fillId="10" borderId="15" xfId="0" applyFont="1" applyFill="1" applyBorder="1" applyAlignment="1">
      <alignment horizontal="center" vertical="center"/>
    </xf>
    <xf numFmtId="169" fontId="37" fillId="10" borderId="15" xfId="0" applyNumberFormat="1" applyFont="1" applyFill="1" applyBorder="1" applyAlignment="1">
      <alignment horizontal="center" vertical="center" wrapText="1"/>
    </xf>
    <xf numFmtId="0" fontId="34" fillId="0" borderId="34" xfId="0" applyFont="1" applyBorder="1" applyAlignment="1">
      <alignment horizontal="center" vertical="top"/>
    </xf>
    <xf numFmtId="0" fontId="34" fillId="0" borderId="15" xfId="0" applyFont="1" applyBorder="1" applyAlignment="1">
      <alignment horizontal="center"/>
    </xf>
    <xf numFmtId="0" fontId="34" fillId="0" borderId="15" xfId="0" applyFont="1" applyBorder="1" applyAlignment="1">
      <alignment horizontal="center" vertical="top"/>
    </xf>
    <xf numFmtId="0" fontId="34" fillId="0" borderId="15" xfId="0" applyFont="1" applyBorder="1" applyAlignment="1">
      <alignment horizontal="left"/>
    </xf>
    <xf numFmtId="4" fontId="34" fillId="0" borderId="15" xfId="1" applyNumberFormat="1" applyFont="1" applyBorder="1" applyAlignment="1">
      <alignment horizontal="center" vertical="center"/>
    </xf>
    <xf numFmtId="4" fontId="34" fillId="0" borderId="15" xfId="1" applyNumberFormat="1" applyFont="1" applyFill="1" applyBorder="1" applyAlignment="1">
      <alignment horizontal="center" vertical="center"/>
    </xf>
    <xf numFmtId="4" fontId="37" fillId="10" borderId="22" xfId="1" applyNumberFormat="1" applyFont="1" applyFill="1" applyBorder="1" applyAlignment="1">
      <alignment horizontal="center"/>
    </xf>
    <xf numFmtId="0" fontId="37" fillId="10" borderId="37" xfId="0" applyFont="1" applyFill="1" applyBorder="1"/>
    <xf numFmtId="0" fontId="34" fillId="0" borderId="30" xfId="0" applyFont="1" applyBorder="1" applyAlignment="1">
      <alignment horizontal="center" vertical="top"/>
    </xf>
    <xf numFmtId="0" fontId="36" fillId="0" borderId="15" xfId="0" applyFont="1" applyBorder="1" applyAlignment="1">
      <alignment vertical="top"/>
    </xf>
    <xf numFmtId="0" fontId="36" fillId="0" borderId="15" xfId="0" applyFont="1" applyBorder="1" applyAlignment="1">
      <alignment horizontal="center" vertical="top"/>
    </xf>
    <xf numFmtId="0" fontId="36" fillId="0" borderId="15" xfId="0" applyFont="1" applyBorder="1" applyAlignment="1">
      <alignment horizontal="center"/>
    </xf>
    <xf numFmtId="9" fontId="36" fillId="0" borderId="15" xfId="4" applyFont="1" applyBorder="1" applyAlignment="1">
      <alignment horizontal="center"/>
    </xf>
    <xf numFmtId="0" fontId="47" fillId="0" borderId="0" xfId="0" applyFont="1" applyFill="1" applyBorder="1" applyAlignment="1">
      <alignment horizontal="left"/>
    </xf>
    <xf numFmtId="0" fontId="36" fillId="0" borderId="15" xfId="0" applyFont="1" applyFill="1" applyBorder="1" applyAlignment="1">
      <alignment vertical="center" wrapText="1"/>
    </xf>
    <xf numFmtId="0" fontId="0" fillId="0" borderId="15" xfId="0" applyFont="1" applyBorder="1" applyAlignment="1">
      <alignment vertical="center"/>
    </xf>
    <xf numFmtId="0" fontId="39" fillId="0" borderId="15" xfId="0" applyFont="1" applyFill="1" applyBorder="1" applyAlignment="1">
      <alignment vertical="center" wrapText="1"/>
    </xf>
    <xf numFmtId="0" fontId="34" fillId="0" borderId="15" xfId="0" applyFont="1" applyFill="1" applyBorder="1" applyAlignment="1">
      <alignment vertical="center" wrapText="1"/>
    </xf>
    <xf numFmtId="2" fontId="0" fillId="0" borderId="15" xfId="0" applyNumberFormat="1" applyBorder="1" applyAlignment="1">
      <alignment horizontal="center" vertical="center"/>
    </xf>
    <xf numFmtId="4" fontId="36" fillId="10" borderId="15" xfId="1" applyNumberFormat="1" applyFont="1" applyFill="1" applyBorder="1" applyAlignment="1">
      <alignment horizontal="center" vertical="center"/>
    </xf>
    <xf numFmtId="0" fontId="41" fillId="10" borderId="19" xfId="0" applyFont="1" applyFill="1" applyBorder="1" applyAlignment="1">
      <alignment horizontal="left"/>
    </xf>
    <xf numFmtId="0" fontId="41" fillId="10" borderId="1" xfId="0" applyFont="1" applyFill="1" applyBorder="1" applyAlignment="1">
      <alignment horizontal="left"/>
    </xf>
    <xf numFmtId="0" fontId="41" fillId="10" borderId="20" xfId="0" applyFont="1" applyFill="1" applyBorder="1" applyAlignment="1">
      <alignment horizontal="left"/>
    </xf>
    <xf numFmtId="0" fontId="34" fillId="10" borderId="15" xfId="0" applyFont="1" applyFill="1" applyBorder="1" applyAlignment="1">
      <alignment vertical="center"/>
    </xf>
    <xf numFmtId="0" fontId="34" fillId="10" borderId="15" xfId="0" applyFont="1" applyFill="1" applyBorder="1" applyAlignment="1">
      <alignment vertical="top" wrapText="1"/>
    </xf>
    <xf numFmtId="0" fontId="34" fillId="0" borderId="15" xfId="0" applyFont="1" applyFill="1" applyBorder="1" applyAlignment="1">
      <alignment vertical="top" wrapText="1"/>
    </xf>
    <xf numFmtId="0" fontId="34" fillId="4" borderId="15" xfId="0" applyFont="1" applyFill="1" applyBorder="1" applyAlignment="1">
      <alignment vertical="center" wrapText="1"/>
    </xf>
    <xf numFmtId="0" fontId="41" fillId="10" borderId="15" xfId="0" applyFont="1" applyFill="1" applyBorder="1" applyAlignment="1"/>
    <xf numFmtId="0" fontId="34" fillId="10" borderId="24" xfId="0" applyFont="1" applyFill="1" applyBorder="1" applyAlignment="1">
      <alignment vertical="center"/>
    </xf>
    <xf numFmtId="0" fontId="34" fillId="10" borderId="25" xfId="0" applyFont="1" applyFill="1" applyBorder="1" applyAlignment="1">
      <alignment wrapText="1"/>
    </xf>
    <xf numFmtId="0" fontId="39" fillId="0" borderId="15" xfId="0" applyNumberFormat="1" applyFont="1" applyFill="1" applyBorder="1" applyAlignment="1">
      <alignment vertical="top" wrapText="1"/>
    </xf>
    <xf numFmtId="0" fontId="34" fillId="0" borderId="15" xfId="0" applyFont="1" applyBorder="1" applyAlignment="1">
      <alignment horizontal="left" wrapText="1"/>
    </xf>
    <xf numFmtId="0" fontId="34" fillId="0" borderId="15" xfId="0" applyFont="1" applyBorder="1" applyAlignment="1">
      <alignment wrapText="1"/>
    </xf>
    <xf numFmtId="2" fontId="36" fillId="10" borderId="15" xfId="0" quotePrefix="1" applyNumberFormat="1" applyFont="1" applyFill="1" applyBorder="1" applyAlignment="1">
      <alignment horizontal="center" vertical="center"/>
    </xf>
    <xf numFmtId="2" fontId="36" fillId="0" borderId="15" xfId="0" applyNumberFormat="1" applyFont="1" applyBorder="1" applyAlignment="1">
      <alignment horizontal="center" wrapText="1"/>
    </xf>
    <xf numFmtId="2" fontId="36" fillId="0" borderId="15" xfId="0" quotePrefix="1" applyNumberFormat="1" applyFont="1" applyBorder="1" applyAlignment="1">
      <alignment horizontal="center" vertical="center"/>
    </xf>
    <xf numFmtId="0" fontId="34" fillId="0" borderId="15" xfId="0" applyFont="1" applyFill="1" applyBorder="1" applyAlignment="1">
      <alignment horizontal="right" vertical="center" wrapText="1"/>
    </xf>
    <xf numFmtId="0" fontId="34" fillId="4" borderId="15" xfId="0" applyFont="1" applyFill="1" applyBorder="1" applyAlignment="1">
      <alignment vertical="center" wrapText="1"/>
    </xf>
    <xf numFmtId="0" fontId="35" fillId="0" borderId="15" xfId="0" applyFont="1" applyFill="1" applyBorder="1" applyAlignment="1">
      <alignment horizontal="right" vertical="center" wrapText="1"/>
    </xf>
    <xf numFmtId="0" fontId="34" fillId="0" borderId="15" xfId="0" applyFont="1" applyFill="1" applyBorder="1" applyAlignment="1">
      <alignment horizontal="right" vertical="center" wrapText="1"/>
    </xf>
    <xf numFmtId="0" fontId="34" fillId="0" borderId="15" xfId="0" applyFont="1" applyBorder="1" applyAlignment="1">
      <alignment vertical="top" wrapText="1"/>
    </xf>
    <xf numFmtId="0" fontId="34" fillId="0" borderId="15" xfId="0" applyNumberFormat="1" applyFont="1" applyFill="1" applyBorder="1" applyAlignment="1">
      <alignment horizontal="left" vertical="center" wrapText="1"/>
    </xf>
    <xf numFmtId="0" fontId="36" fillId="10" borderId="15" xfId="0" applyFont="1" applyFill="1" applyBorder="1" applyAlignment="1">
      <alignment horizontal="left"/>
    </xf>
    <xf numFmtId="0" fontId="36" fillId="10" borderId="15" xfId="0" applyFont="1" applyFill="1" applyBorder="1" applyAlignment="1">
      <alignment horizontal="left" wrapText="1"/>
    </xf>
    <xf numFmtId="2" fontId="36" fillId="10" borderId="15" xfId="0" applyNumberFormat="1" applyFont="1" applyFill="1" applyBorder="1" applyAlignment="1">
      <alignment horizontal="center" wrapText="1"/>
    </xf>
    <xf numFmtId="4" fontId="36" fillId="10" borderId="28" xfId="1" applyNumberFormat="1" applyFont="1" applyFill="1" applyBorder="1" applyAlignment="1">
      <alignment horizontal="center"/>
    </xf>
    <xf numFmtId="2" fontId="34" fillId="0" borderId="15" xfId="0" applyNumberFormat="1" applyFont="1" applyFill="1" applyBorder="1" applyAlignment="1">
      <alignment horizontal="center" wrapText="1"/>
    </xf>
    <xf numFmtId="2" fontId="34" fillId="0" borderId="23" xfId="0" quotePrefix="1" applyNumberFormat="1" applyFont="1" applyBorder="1" applyAlignment="1">
      <alignment horizontal="center"/>
    </xf>
    <xf numFmtId="0" fontId="35" fillId="0" borderId="15" xfId="0" applyFont="1" applyFill="1" applyBorder="1" applyAlignment="1">
      <alignment horizontal="center" wrapText="1"/>
    </xf>
    <xf numFmtId="0" fontId="34" fillId="0" borderId="15" xfId="0" applyFont="1" applyBorder="1" applyAlignment="1">
      <alignment horizontal="right" vertical="top" wrapText="1"/>
    </xf>
    <xf numFmtId="0" fontId="36" fillId="10" borderId="15" xfId="0" applyFont="1" applyFill="1" applyBorder="1" applyAlignment="1">
      <alignment wrapText="1"/>
    </xf>
    <xf numFmtId="0" fontId="34" fillId="10" borderId="15" xfId="0" applyFont="1" applyFill="1" applyBorder="1" applyAlignment="1">
      <alignment wrapText="1"/>
    </xf>
    <xf numFmtId="168" fontId="0" fillId="0" borderId="15" xfId="0" applyNumberFormat="1" applyBorder="1" applyAlignment="1">
      <alignment horizontal="center" vertical="center"/>
    </xf>
    <xf numFmtId="0" fontId="34" fillId="0" borderId="15" xfId="0" applyFont="1" applyBorder="1" applyAlignment="1">
      <alignment horizontal="center" vertical="top" wrapText="1"/>
    </xf>
    <xf numFmtId="0" fontId="36" fillId="10" borderId="18" xfId="0" applyFont="1" applyFill="1" applyBorder="1" applyAlignment="1">
      <alignment vertical="top" wrapText="1"/>
    </xf>
    <xf numFmtId="0" fontId="36" fillId="10" borderId="18" xfId="0" applyFont="1" applyFill="1" applyBorder="1" applyAlignment="1">
      <alignment horizontal="center" vertical="center" wrapText="1"/>
    </xf>
    <xf numFmtId="0" fontId="36" fillId="10" borderId="15" xfId="0" applyFont="1" applyFill="1" applyBorder="1" applyAlignment="1">
      <alignment horizontal="center" wrapText="1"/>
    </xf>
    <xf numFmtId="0" fontId="36" fillId="10" borderId="18" xfId="0" applyFont="1" applyFill="1" applyBorder="1" applyAlignment="1">
      <alignment horizontal="center" wrapText="1"/>
    </xf>
    <xf numFmtId="0" fontId="17" fillId="0" borderId="0" xfId="6" applyFont="1" applyFill="1" applyAlignment="1">
      <alignment vertical="top" wrapText="1"/>
    </xf>
    <xf numFmtId="0" fontId="0" fillId="0" borderId="15" xfId="0" applyBorder="1" applyAlignment="1">
      <alignment horizontal="left" vertical="top"/>
    </xf>
    <xf numFmtId="0" fontId="0" fillId="0" borderId="15" xfId="0" applyBorder="1" applyAlignment="1">
      <alignment horizontal="center" vertical="center" wrapText="1"/>
    </xf>
    <xf numFmtId="0" fontId="0" fillId="0" borderId="15" xfId="0" applyBorder="1" applyAlignment="1">
      <alignment horizontal="center" wrapText="1"/>
    </xf>
    <xf numFmtId="0" fontId="50" fillId="0" borderId="15" xfId="5" applyFont="1" applyBorder="1" applyAlignment="1">
      <alignment vertical="center"/>
    </xf>
    <xf numFmtId="43" fontId="10" fillId="0" borderId="0" xfId="1" applyFont="1" applyFill="1"/>
    <xf numFmtId="166" fontId="28" fillId="0" borderId="15" xfId="1" applyNumberFormat="1" applyFont="1" applyBorder="1"/>
    <xf numFmtId="43" fontId="10" fillId="0" borderId="15" xfId="1" applyFont="1" applyFill="1" applyBorder="1"/>
    <xf numFmtId="0" fontId="50" fillId="0" borderId="15" xfId="5" applyFont="1" applyBorder="1" applyAlignment="1">
      <alignment vertical="center" wrapText="1"/>
    </xf>
    <xf numFmtId="0" fontId="50" fillId="0" borderId="15" xfId="5" applyFont="1" applyBorder="1" applyAlignment="1">
      <alignment horizontal="left" vertical="center" wrapText="1"/>
    </xf>
    <xf numFmtId="0" fontId="17" fillId="0" borderId="15" xfId="6" applyFont="1" applyFill="1" applyBorder="1" applyAlignment="1">
      <alignment vertical="top" wrapText="1"/>
    </xf>
    <xf numFmtId="43" fontId="17" fillId="0" borderId="15" xfId="1" applyFont="1" applyFill="1" applyBorder="1" applyAlignment="1">
      <alignment vertical="top" wrapText="1"/>
    </xf>
    <xf numFmtId="168" fontId="34" fillId="4" borderId="15" xfId="0" applyNumberFormat="1" applyFont="1" applyFill="1" applyBorder="1" applyAlignment="1">
      <alignment horizontal="center" vertical="center" wrapText="1"/>
    </xf>
    <xf numFmtId="0" fontId="36" fillId="10" borderId="22" xfId="0" applyFont="1" applyFill="1" applyBorder="1" applyAlignment="1">
      <alignment horizontal="left" wrapText="1"/>
    </xf>
    <xf numFmtId="0" fontId="36" fillId="10" borderId="38" xfId="0" applyFont="1" applyFill="1" applyBorder="1" applyAlignment="1">
      <alignment horizontal="left" wrapText="1"/>
    </xf>
    <xf numFmtId="2" fontId="36" fillId="10" borderId="22" xfId="0" quotePrefix="1" applyNumberFormat="1" applyFont="1" applyFill="1" applyBorder="1" applyAlignment="1">
      <alignment horizontal="center" vertical="center"/>
    </xf>
    <xf numFmtId="2" fontId="36" fillId="10" borderId="22" xfId="0" quotePrefix="1" applyNumberFormat="1" applyFont="1" applyFill="1" applyBorder="1" applyAlignment="1">
      <alignment horizontal="center"/>
    </xf>
    <xf numFmtId="2" fontId="36" fillId="10" borderId="21" xfId="0" quotePrefix="1" applyNumberFormat="1" applyFont="1" applyFill="1" applyBorder="1" applyAlignment="1">
      <alignment horizontal="center"/>
    </xf>
    <xf numFmtId="2" fontId="36" fillId="10" borderId="38" xfId="0" quotePrefix="1" applyNumberFormat="1" applyFont="1" applyFill="1" applyBorder="1" applyAlignment="1">
      <alignment horizontal="center"/>
    </xf>
    <xf numFmtId="0" fontId="36" fillId="10" borderId="37" xfId="0" applyFont="1" applyFill="1" applyBorder="1" applyAlignment="1">
      <alignment horizontal="left" wrapText="1"/>
    </xf>
    <xf numFmtId="2" fontId="36" fillId="0" borderId="15" xfId="0" applyNumberFormat="1" applyFont="1" applyFill="1" applyBorder="1" applyAlignment="1">
      <alignment horizontal="left" vertical="center" wrapText="1"/>
    </xf>
    <xf numFmtId="0" fontId="39" fillId="0" borderId="15" xfId="5" applyFont="1" applyBorder="1" applyAlignment="1">
      <alignment vertical="center"/>
    </xf>
    <xf numFmtId="0" fontId="34" fillId="4" borderId="15" xfId="0" applyFont="1" applyFill="1" applyBorder="1" applyAlignment="1">
      <alignment vertical="center"/>
    </xf>
    <xf numFmtId="2" fontId="34" fillId="0" borderId="15" xfId="0" applyNumberFormat="1" applyFont="1" applyBorder="1" applyAlignment="1">
      <alignment horizontal="center"/>
    </xf>
    <xf numFmtId="0" fontId="36" fillId="10" borderId="36" xfId="0" applyFont="1" applyFill="1" applyBorder="1" applyAlignment="1">
      <alignment horizontal="left"/>
    </xf>
    <xf numFmtId="2" fontId="34" fillId="0" borderId="15" xfId="0" applyNumberFormat="1" applyFont="1" applyFill="1" applyBorder="1" applyAlignment="1">
      <alignment horizontal="left" vertical="center" wrapText="1"/>
    </xf>
    <xf numFmtId="0" fontId="36" fillId="10" borderId="27" xfId="0" applyFont="1" applyFill="1" applyBorder="1" applyAlignment="1">
      <alignment vertical="top" wrapText="1"/>
    </xf>
    <xf numFmtId="0" fontId="34" fillId="0" borderId="29" xfId="0" applyFont="1" applyBorder="1" applyAlignment="1">
      <alignment horizontal="center" vertical="center" wrapText="1"/>
    </xf>
    <xf numFmtId="2" fontId="0" fillId="4" borderId="15" xfId="0" applyNumberFormat="1" applyFill="1" applyBorder="1" applyAlignment="1">
      <alignment horizontal="center"/>
    </xf>
    <xf numFmtId="0" fontId="34" fillId="4" borderId="15" xfId="0" applyNumberFormat="1" applyFont="1" applyFill="1" applyBorder="1" applyAlignment="1">
      <alignment horizontal="left" vertical="center" wrapText="1"/>
    </xf>
    <xf numFmtId="0" fontId="34" fillId="4" borderId="15" xfId="0" applyFont="1" applyFill="1" applyBorder="1" applyAlignment="1">
      <alignment horizontal="left" vertical="top" wrapText="1"/>
    </xf>
    <xf numFmtId="0" fontId="34" fillId="4" borderId="15" xfId="0" applyFont="1" applyFill="1" applyBorder="1" applyAlignment="1">
      <alignment horizontal="left" vertical="center" wrapText="1"/>
    </xf>
    <xf numFmtId="0" fontId="36" fillId="10" borderId="15" xfId="0" applyFont="1" applyFill="1" applyBorder="1" applyAlignment="1">
      <alignment vertical="center"/>
    </xf>
    <xf numFmtId="0" fontId="49" fillId="0" borderId="15" xfId="0" applyFont="1" applyBorder="1" applyAlignment="1">
      <alignment horizontal="center" vertical="center"/>
    </xf>
    <xf numFmtId="0" fontId="49" fillId="0" borderId="15" xfId="0" applyFont="1" applyBorder="1" applyAlignment="1">
      <alignment horizontal="center" vertical="center" wrapText="1"/>
    </xf>
    <xf numFmtId="172" fontId="51" fillId="12" borderId="15" xfId="0" applyNumberFormat="1" applyFont="1" applyFill="1" applyBorder="1" applyAlignment="1">
      <alignment horizontal="center" vertical="center"/>
    </xf>
    <xf numFmtId="171" fontId="51" fillId="0" borderId="15" xfId="7" applyNumberFormat="1" applyFont="1" applyBorder="1" applyAlignment="1">
      <alignment horizontal="center" vertical="center"/>
    </xf>
    <xf numFmtId="4" fontId="51" fillId="4" borderId="15" xfId="0" applyNumberFormat="1" applyFont="1" applyFill="1" applyBorder="1" applyAlignment="1">
      <alignment horizontal="center"/>
    </xf>
    <xf numFmtId="0" fontId="18" fillId="10" borderId="15" xfId="0" applyFont="1" applyFill="1" applyBorder="1" applyAlignment="1">
      <alignment horizontal="center" vertical="center" wrapText="1"/>
    </xf>
    <xf numFmtId="0" fontId="18" fillId="10" borderId="15" xfId="0" applyFont="1" applyFill="1" applyBorder="1" applyAlignment="1">
      <alignment horizontal="left" vertical="center"/>
    </xf>
    <xf numFmtId="171" fontId="18" fillId="10" borderId="15" xfId="7" applyNumberFormat="1" applyFont="1" applyFill="1" applyBorder="1" applyAlignment="1">
      <alignment horizontal="center" vertical="center"/>
    </xf>
    <xf numFmtId="0" fontId="18" fillId="10" borderId="15" xfId="0" applyFont="1" applyFill="1" applyBorder="1" applyAlignment="1">
      <alignment horizontal="center" vertical="center"/>
    </xf>
    <xf numFmtId="0" fontId="17" fillId="12" borderId="15" xfId="0" applyFont="1" applyFill="1" applyBorder="1" applyAlignment="1">
      <alignment horizontal="center" vertical="center"/>
    </xf>
    <xf numFmtId="0" fontId="17" fillId="12" borderId="15" xfId="0" applyFont="1" applyFill="1" applyBorder="1" applyAlignment="1">
      <alignment horizontal="left" vertical="center"/>
    </xf>
    <xf numFmtId="171" fontId="17" fillId="12" borderId="15" xfId="7" applyNumberFormat="1" applyFont="1" applyFill="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center" vertical="center" wrapText="1"/>
    </xf>
    <xf numFmtId="172" fontId="17" fillId="12" borderId="15" xfId="0" applyNumberFormat="1" applyFont="1" applyFill="1" applyBorder="1" applyAlignment="1">
      <alignment horizontal="center" vertical="center"/>
    </xf>
    <xf numFmtId="0" fontId="17" fillId="0" borderId="15" xfId="0" applyFont="1" applyBorder="1" applyAlignment="1">
      <alignment horizontal="left" vertical="center"/>
    </xf>
    <xf numFmtId="171" fontId="17" fillId="0" borderId="15" xfId="7" applyNumberFormat="1" applyFont="1" applyBorder="1" applyAlignment="1">
      <alignment vertical="center"/>
    </xf>
    <xf numFmtId="171" fontId="17" fillId="0" borderId="15" xfId="7" applyNumberFormat="1" applyFont="1" applyBorder="1" applyAlignment="1">
      <alignment horizontal="center" vertical="center"/>
    </xf>
    <xf numFmtId="173" fontId="17" fillId="13" borderId="15" xfId="7" applyNumberFormat="1" applyFont="1" applyFill="1" applyBorder="1" applyAlignment="1">
      <alignment horizontal="center" vertical="center"/>
    </xf>
    <xf numFmtId="0" fontId="17" fillId="13" borderId="15" xfId="0" applyFont="1" applyFill="1" applyBorder="1" applyAlignment="1">
      <alignment horizontal="left" vertical="center"/>
    </xf>
    <xf numFmtId="171" fontId="17" fillId="13" borderId="15" xfId="7" applyNumberFormat="1" applyFont="1" applyFill="1" applyBorder="1" applyAlignment="1">
      <alignment horizontal="center" vertical="center"/>
    </xf>
    <xf numFmtId="173" fontId="53" fillId="13" borderId="15" xfId="7" applyNumberFormat="1" applyFont="1" applyFill="1" applyBorder="1" applyAlignment="1">
      <alignment horizontal="center" vertical="center"/>
    </xf>
    <xf numFmtId="0" fontId="53" fillId="13" borderId="15" xfId="0" applyFont="1" applyFill="1" applyBorder="1" applyAlignment="1">
      <alignment horizontal="left" vertical="center"/>
    </xf>
    <xf numFmtId="171" fontId="53" fillId="13" borderId="15" xfId="7" applyNumberFormat="1" applyFont="1" applyFill="1" applyBorder="1" applyAlignment="1">
      <alignment horizontal="center" vertical="center"/>
    </xf>
    <xf numFmtId="4" fontId="17" fillId="4" borderId="15" xfId="0" applyNumberFormat="1" applyFont="1" applyFill="1" applyBorder="1" applyAlignment="1">
      <alignment horizontal="center"/>
    </xf>
    <xf numFmtId="0" fontId="17" fillId="0" borderId="15" xfId="8" applyFont="1" applyBorder="1" applyAlignment="1">
      <alignment horizontal="left" vertical="center"/>
    </xf>
    <xf numFmtId="4" fontId="0" fillId="4" borderId="15" xfId="0" applyNumberFormat="1" applyFont="1" applyFill="1" applyBorder="1" applyAlignment="1">
      <alignment horizontal="center"/>
    </xf>
    <xf numFmtId="4" fontId="17" fillId="0" borderId="15" xfId="0" applyNumberFormat="1" applyFont="1" applyBorder="1" applyAlignment="1">
      <alignment horizontal="center"/>
    </xf>
    <xf numFmtId="0" fontId="17" fillId="0" borderId="15" xfId="8" applyFont="1" applyBorder="1" applyAlignment="1">
      <alignment horizontal="left"/>
    </xf>
    <xf numFmtId="171" fontId="17" fillId="0" borderId="15" xfId="7" applyNumberFormat="1" applyFont="1" applyBorder="1"/>
    <xf numFmtId="0" fontId="17" fillId="0" borderId="15" xfId="8" applyFont="1" applyBorder="1" applyAlignment="1">
      <alignment horizontal="center" vertical="center"/>
    </xf>
    <xf numFmtId="0" fontId="2" fillId="0" borderId="15" xfId="0" applyFont="1" applyBorder="1" applyAlignment="1">
      <alignment horizontal="center" vertical="center"/>
    </xf>
    <xf numFmtId="0" fontId="17" fillId="0" borderId="15" xfId="9" applyFont="1" applyBorder="1" applyAlignment="1">
      <alignment horizontal="left"/>
    </xf>
    <xf numFmtId="166" fontId="17" fillId="0" borderId="15" xfId="10" applyNumberFormat="1" applyFont="1" applyFill="1" applyBorder="1"/>
    <xf numFmtId="172" fontId="51" fillId="12" borderId="15" xfId="0" applyNumberFormat="1" applyFont="1" applyFill="1" applyBorder="1" applyAlignment="1">
      <alignment horizontal="center"/>
    </xf>
    <xf numFmtId="166" fontId="49" fillId="0" borderId="15" xfId="11" applyNumberFormat="1" applyFont="1" applyBorder="1" applyAlignment="1">
      <alignment horizontal="right" vertical="top"/>
    </xf>
    <xf numFmtId="0" fontId="49" fillId="0" borderId="15" xfId="0" applyFont="1" applyBorder="1" applyAlignment="1">
      <alignment horizontal="center"/>
    </xf>
    <xf numFmtId="166" fontId="51" fillId="0" borderId="15" xfId="11" applyNumberFormat="1" applyFont="1" applyBorder="1"/>
    <xf numFmtId="4" fontId="49" fillId="0" borderId="15" xfId="0" applyNumberFormat="1" applyFont="1" applyBorder="1" applyAlignment="1">
      <alignment horizontal="center"/>
    </xf>
    <xf numFmtId="0" fontId="51" fillId="0" borderId="15" xfId="0" applyFont="1" applyBorder="1" applyAlignment="1">
      <alignment vertical="center"/>
    </xf>
    <xf numFmtId="0" fontId="51" fillId="0" borderId="15" xfId="0" applyFont="1" applyBorder="1" applyAlignment="1"/>
    <xf numFmtId="0" fontId="51" fillId="0" borderId="15" xfId="8" applyFont="1" applyBorder="1" applyAlignment="1">
      <alignment vertical="center"/>
    </xf>
    <xf numFmtId="0" fontId="0" fillId="0" borderId="15" xfId="0" applyFont="1" applyBorder="1" applyAlignment="1">
      <alignment horizontal="left" vertical="top"/>
    </xf>
    <xf numFmtId="0" fontId="0" fillId="0" borderId="15" xfId="0" applyFont="1" applyBorder="1" applyAlignment="1">
      <alignment horizontal="left"/>
    </xf>
    <xf numFmtId="0" fontId="35" fillId="0" borderId="15" xfId="0" applyFont="1" applyFill="1" applyBorder="1" applyAlignment="1">
      <alignment horizontal="right" wrapText="1"/>
    </xf>
    <xf numFmtId="0" fontId="45" fillId="0" borderId="15" xfId="0" applyFont="1" applyFill="1" applyBorder="1" applyAlignment="1">
      <alignment horizontal="left" vertical="center" wrapText="1"/>
    </xf>
    <xf numFmtId="2" fontId="34" fillId="0" borderId="15" xfId="0" applyNumberFormat="1" applyFont="1" applyBorder="1" applyAlignment="1">
      <alignment vertical="center" wrapText="1"/>
    </xf>
    <xf numFmtId="0" fontId="46" fillId="0" borderId="15" xfId="0" applyFont="1" applyFill="1" applyBorder="1" applyAlignment="1">
      <alignment horizontal="left" vertical="center" wrapText="1"/>
    </xf>
    <xf numFmtId="168" fontId="34" fillId="0" borderId="15" xfId="0" applyNumberFormat="1" applyFont="1" applyBorder="1" applyAlignment="1">
      <alignment vertical="center" wrapText="1"/>
    </xf>
    <xf numFmtId="168" fontId="34" fillId="0" borderId="23" xfId="0" quotePrefix="1" applyNumberFormat="1" applyFont="1" applyBorder="1" applyAlignment="1">
      <alignment horizontal="center" vertical="center"/>
    </xf>
    <xf numFmtId="9" fontId="34" fillId="14" borderId="0" xfId="0" applyNumberFormat="1" applyFont="1" applyFill="1" applyAlignment="1">
      <alignment horizontal="center" vertical="center" wrapText="1"/>
    </xf>
    <xf numFmtId="0" fontId="34" fillId="14" borderId="0" xfId="0" applyFont="1" applyFill="1" applyAlignment="1">
      <alignment wrapText="1"/>
    </xf>
    <xf numFmtId="9" fontId="34" fillId="14" borderId="0" xfId="0" applyNumberFormat="1" applyFont="1" applyFill="1" applyAlignment="1">
      <alignment wrapText="1"/>
    </xf>
    <xf numFmtId="0" fontId="0" fillId="0" borderId="0" xfId="0" applyAlignment="1">
      <alignment horizontal="left" vertical="top"/>
    </xf>
    <xf numFmtId="0" fontId="11" fillId="0" borderId="15" xfId="0" applyFont="1" applyBorder="1" applyAlignment="1">
      <alignment horizontal="left" indent="2"/>
    </xf>
    <xf numFmtId="0" fontId="17" fillId="0" borderId="0" xfId="0" applyFont="1" applyBorder="1" applyAlignment="1">
      <alignment horizontal="left" vertical="center"/>
    </xf>
    <xf numFmtId="0" fontId="2" fillId="0" borderId="1" xfId="0" applyFont="1" applyBorder="1" applyAlignment="1">
      <alignment horizontal="left"/>
    </xf>
    <xf numFmtId="0" fontId="0" fillId="0" borderId="0" xfId="0" applyAlignment="1">
      <alignment horizontal="left" vertical="top"/>
    </xf>
    <xf numFmtId="0" fontId="18" fillId="0" borderId="17" xfId="6" applyFont="1" applyFill="1" applyBorder="1" applyAlignment="1">
      <alignment vertical="top" wrapText="1"/>
    </xf>
    <xf numFmtId="0" fontId="28" fillId="0" borderId="15" xfId="0" applyFont="1" applyBorder="1" applyAlignment="1">
      <alignment horizontal="center"/>
    </xf>
    <xf numFmtId="0" fontId="0" fillId="0" borderId="15" xfId="0" applyBorder="1" applyAlignment="1">
      <alignment horizontal="center"/>
    </xf>
    <xf numFmtId="0" fontId="33" fillId="9" borderId="15" xfId="0" applyFont="1" applyFill="1" applyBorder="1" applyAlignment="1">
      <alignment horizontal="center" vertical="center" wrapText="1"/>
    </xf>
    <xf numFmtId="0" fontId="35" fillId="0" borderId="21" xfId="0" applyFont="1" applyBorder="1" applyAlignment="1">
      <alignment horizontal="right"/>
    </xf>
    <xf numFmtId="0" fontId="34" fillId="0" borderId="19" xfId="0" applyFont="1" applyBorder="1" applyAlignment="1">
      <alignment horizontal="right" vertical="top" wrapText="1"/>
    </xf>
    <xf numFmtId="0" fontId="34" fillId="0" borderId="1" xfId="0" applyFont="1" applyBorder="1" applyAlignment="1">
      <alignment horizontal="right" vertical="top" wrapText="1"/>
    </xf>
    <xf numFmtId="0" fontId="34" fillId="0" borderId="20" xfId="0" applyFont="1" applyBorder="1" applyAlignment="1">
      <alignment horizontal="right" vertical="top" wrapText="1"/>
    </xf>
    <xf numFmtId="0" fontId="41" fillId="10" borderId="19" xfId="0" applyFont="1" applyFill="1" applyBorder="1" applyAlignment="1">
      <alignment horizontal="left"/>
    </xf>
    <xf numFmtId="0" fontId="41" fillId="10" borderId="1" xfId="0" applyFont="1" applyFill="1" applyBorder="1" applyAlignment="1">
      <alignment horizontal="left"/>
    </xf>
    <xf numFmtId="0" fontId="41" fillId="10" borderId="20" xfId="0" applyFont="1" applyFill="1" applyBorder="1" applyAlignment="1">
      <alignment horizontal="left"/>
    </xf>
    <xf numFmtId="0" fontId="42" fillId="0" borderId="31" xfId="0" applyFont="1" applyBorder="1" applyAlignment="1">
      <alignment horizontal="left" vertical="top" wrapText="1"/>
    </xf>
    <xf numFmtId="0" fontId="42" fillId="0" borderId="32" xfId="0" applyFont="1" applyBorder="1" applyAlignment="1">
      <alignment horizontal="left" vertical="top" wrapText="1"/>
    </xf>
    <xf numFmtId="0" fontId="42" fillId="0" borderId="33" xfId="0" applyFont="1" applyBorder="1" applyAlignment="1">
      <alignment horizontal="left" vertical="top" wrapText="1"/>
    </xf>
    <xf numFmtId="0" fontId="42" fillId="0" borderId="30" xfId="0" applyFont="1" applyBorder="1" applyAlignment="1">
      <alignment horizontal="left" vertical="top" wrapText="1"/>
    </xf>
    <xf numFmtId="0" fontId="42" fillId="0" borderId="0" xfId="0" applyFont="1" applyBorder="1" applyAlignment="1">
      <alignment horizontal="left" vertical="top" wrapText="1"/>
    </xf>
    <xf numFmtId="0" fontId="42" fillId="0" borderId="34" xfId="0" applyFont="1" applyBorder="1" applyAlignment="1">
      <alignment horizontal="left"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35" xfId="0" applyFont="1" applyBorder="1" applyAlignment="1">
      <alignment horizontal="left" vertical="top" wrapText="1"/>
    </xf>
    <xf numFmtId="0" fontId="39" fillId="0" borderId="15" xfId="0" applyFont="1" applyBorder="1" applyAlignment="1">
      <alignment horizontal="left" vertical="top" wrapText="1"/>
    </xf>
    <xf numFmtId="0" fontId="33" fillId="2" borderId="0" xfId="0" applyFont="1" applyFill="1" applyBorder="1" applyAlignment="1">
      <alignment horizontal="center"/>
    </xf>
    <xf numFmtId="0" fontId="42" fillId="4" borderId="22" xfId="0" applyFont="1" applyFill="1" applyBorder="1" applyAlignment="1">
      <alignment horizontal="right"/>
    </xf>
    <xf numFmtId="0" fontId="35" fillId="0" borderId="15" xfId="0" applyFont="1" applyBorder="1" applyAlignment="1">
      <alignment horizontal="right"/>
    </xf>
    <xf numFmtId="0" fontId="37" fillId="10" borderId="36" xfId="0" applyFont="1" applyFill="1" applyBorder="1" applyAlignment="1">
      <alignment horizontal="center" vertical="center"/>
    </xf>
    <xf numFmtId="0" fontId="37" fillId="10" borderId="22" xfId="0" applyFont="1" applyFill="1" applyBorder="1" applyAlignment="1">
      <alignment horizontal="center" vertical="center"/>
    </xf>
    <xf numFmtId="0" fontId="48" fillId="10" borderId="15" xfId="0" applyFont="1" applyFill="1" applyBorder="1" applyAlignment="1">
      <alignment horizontal="left"/>
    </xf>
    <xf numFmtId="0" fontId="42" fillId="4" borderId="30" xfId="0" applyFont="1" applyFill="1" applyBorder="1" applyAlignment="1">
      <alignment horizontal="right"/>
    </xf>
    <xf numFmtId="0" fontId="42" fillId="4" borderId="0" xfId="0" applyFont="1" applyFill="1" applyBorder="1" applyAlignment="1">
      <alignment horizontal="right"/>
    </xf>
    <xf numFmtId="0" fontId="0" fillId="0" borderId="15" xfId="0" applyBorder="1" applyAlignment="1">
      <alignment horizontal="right"/>
    </xf>
    <xf numFmtId="0" fontId="0" fillId="0" borderId="15" xfId="0" applyFont="1" applyBorder="1" applyAlignment="1">
      <alignment horizontal="center" vertical="center" wrapText="1"/>
    </xf>
    <xf numFmtId="0" fontId="41" fillId="10" borderId="15" xfId="0" applyFont="1" applyFill="1" applyBorder="1" applyAlignment="1">
      <alignment horizontal="left"/>
    </xf>
    <xf numFmtId="0" fontId="35" fillId="0" borderId="15" xfId="0" applyFont="1" applyFill="1" applyBorder="1" applyAlignment="1">
      <alignment horizontal="left" vertical="top" wrapText="1"/>
    </xf>
    <xf numFmtId="0" fontId="33" fillId="9" borderId="0" xfId="0" applyFont="1" applyFill="1" applyBorder="1" applyAlignment="1">
      <alignment horizontal="center" vertical="center" wrapText="1"/>
    </xf>
    <xf numFmtId="0" fontId="35" fillId="0" borderId="16" xfId="0" applyFont="1" applyBorder="1" applyAlignment="1">
      <alignment horizontal="right"/>
    </xf>
    <xf numFmtId="0" fontId="35" fillId="0" borderId="17" xfId="0" applyFont="1" applyBorder="1" applyAlignment="1">
      <alignment horizontal="right"/>
    </xf>
    <xf numFmtId="0" fontId="34" fillId="0" borderId="19" xfId="0" applyFont="1" applyFill="1" applyBorder="1" applyAlignment="1">
      <alignment horizontal="right" vertical="center" wrapText="1"/>
    </xf>
    <xf numFmtId="0" fontId="34" fillId="0" borderId="1" xfId="0" applyFont="1" applyFill="1" applyBorder="1" applyAlignment="1">
      <alignment horizontal="right" vertical="center" wrapText="1"/>
    </xf>
    <xf numFmtId="0" fontId="34" fillId="0" borderId="20" xfId="0" applyFont="1" applyFill="1" applyBorder="1" applyAlignment="1">
      <alignment horizontal="right" vertical="center" wrapText="1"/>
    </xf>
    <xf numFmtId="0" fontId="35" fillId="0" borderId="19" xfId="0" applyFont="1" applyFill="1" applyBorder="1" applyAlignment="1">
      <alignment horizontal="left" vertical="top" wrapText="1"/>
    </xf>
    <xf numFmtId="0" fontId="30" fillId="11" borderId="15" xfId="0" applyFont="1" applyFill="1" applyBorder="1" applyAlignment="1">
      <alignment horizontal="center"/>
    </xf>
    <xf numFmtId="0" fontId="35" fillId="0" borderId="15" xfId="0" applyFont="1" applyFill="1" applyBorder="1" applyAlignment="1">
      <alignment horizontal="right" vertical="center" wrapText="1"/>
    </xf>
    <xf numFmtId="0" fontId="34" fillId="0" borderId="15" xfId="0" applyFont="1" applyBorder="1"/>
    <xf numFmtId="0" fontId="39" fillId="0" borderId="31" xfId="0" applyFont="1" applyBorder="1" applyAlignment="1">
      <alignment horizontal="left" vertical="top" wrapText="1"/>
    </xf>
    <xf numFmtId="0" fontId="39" fillId="0" borderId="32" xfId="0" applyFont="1" applyBorder="1" applyAlignment="1">
      <alignment horizontal="left" vertical="top" wrapText="1"/>
    </xf>
    <xf numFmtId="0" fontId="39" fillId="0" borderId="33" xfId="0" applyFont="1" applyBorder="1" applyAlignment="1">
      <alignment horizontal="left" vertical="top" wrapText="1"/>
    </xf>
    <xf numFmtId="0" fontId="39" fillId="0" borderId="30" xfId="0" applyFont="1" applyBorder="1" applyAlignment="1">
      <alignment horizontal="left" vertical="top" wrapText="1"/>
    </xf>
    <xf numFmtId="0" fontId="39" fillId="0" borderId="0" xfId="0" applyFont="1" applyBorder="1" applyAlignment="1">
      <alignment horizontal="left" vertical="top" wrapText="1"/>
    </xf>
    <xf numFmtId="0" fontId="39" fillId="0" borderId="34" xfId="0" applyFont="1" applyBorder="1" applyAlignment="1">
      <alignment horizontal="left" vertical="top" wrapText="1"/>
    </xf>
    <xf numFmtId="0" fontId="39"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35" xfId="0" applyFont="1" applyBorder="1" applyAlignment="1">
      <alignment horizontal="left" vertical="top" wrapText="1"/>
    </xf>
    <xf numFmtId="0" fontId="33" fillId="9" borderId="19" xfId="0" applyFont="1" applyFill="1" applyBorder="1" applyAlignment="1">
      <alignment horizontal="center" wrapText="1"/>
    </xf>
    <xf numFmtId="0" fontId="33" fillId="9" borderId="1" xfId="0" applyFont="1" applyFill="1" applyBorder="1" applyAlignment="1">
      <alignment horizontal="center" wrapText="1"/>
    </xf>
    <xf numFmtId="0" fontId="35" fillId="0" borderId="19" xfId="0" applyFont="1" applyBorder="1" applyAlignment="1">
      <alignment horizontal="right"/>
    </xf>
    <xf numFmtId="0" fontId="35" fillId="0" borderId="1" xfId="0" applyFont="1" applyBorder="1" applyAlignment="1">
      <alignment horizontal="right"/>
    </xf>
    <xf numFmtId="0" fontId="35" fillId="0" borderId="20" xfId="0" applyFont="1" applyBorder="1" applyAlignment="1">
      <alignment horizontal="right"/>
    </xf>
    <xf numFmtId="0" fontId="35" fillId="0" borderId="17" xfId="0" applyFont="1" applyFill="1" applyBorder="1" applyAlignment="1">
      <alignment horizontal="right" vertical="center" wrapText="1"/>
    </xf>
    <xf numFmtId="0" fontId="35" fillId="0" borderId="35" xfId="0" applyFont="1" applyFill="1" applyBorder="1" applyAlignment="1">
      <alignment horizontal="right" vertical="center" wrapText="1"/>
    </xf>
    <xf numFmtId="0" fontId="49" fillId="0" borderId="15" xfId="0" applyFont="1" applyBorder="1" applyAlignment="1">
      <alignment horizontal="center" vertical="center" wrapText="1"/>
    </xf>
    <xf numFmtId="0" fontId="34" fillId="0" borderId="16" xfId="0" applyFont="1" applyFill="1" applyBorder="1" applyAlignment="1">
      <alignment horizontal="right" vertical="center" wrapText="1"/>
    </xf>
    <xf numFmtId="0" fontId="34" fillId="0" borderId="17" xfId="0" applyFont="1" applyFill="1" applyBorder="1" applyAlignment="1">
      <alignment horizontal="right" vertical="center" wrapText="1"/>
    </xf>
    <xf numFmtId="0" fontId="34" fillId="0" borderId="35" xfId="0" applyFont="1" applyFill="1" applyBorder="1" applyAlignment="1">
      <alignment horizontal="right" vertical="center" wrapText="1"/>
    </xf>
    <xf numFmtId="0" fontId="39" fillId="0" borderId="19" xfId="0" applyFont="1" applyBorder="1" applyAlignment="1">
      <alignment horizontal="left" vertical="top" wrapText="1"/>
    </xf>
    <xf numFmtId="0" fontId="39" fillId="0" borderId="1" xfId="0" applyFont="1" applyBorder="1" applyAlignment="1">
      <alignment horizontal="left" vertical="top" wrapText="1"/>
    </xf>
    <xf numFmtId="0" fontId="39" fillId="0" borderId="20" xfId="0" applyFont="1" applyBorder="1" applyAlignment="1">
      <alignment horizontal="left" vertical="top" wrapText="1"/>
    </xf>
    <xf numFmtId="0" fontId="2" fillId="0" borderId="0" xfId="0" applyFont="1" applyAlignment="1">
      <alignment horizontal="center" wrapText="1"/>
    </xf>
    <xf numFmtId="2" fontId="30" fillId="2" borderId="15" xfId="1" applyNumberFormat="1" applyFont="1" applyFill="1" applyBorder="1" applyAlignment="1">
      <alignment horizontal="center" vertical="center"/>
    </xf>
  </cellXfs>
  <cellStyles count="12">
    <cellStyle name="Comma" xfId="1" builtinId="3"/>
    <cellStyle name="Comma 2" xfId="7"/>
    <cellStyle name="Comma 2 3" xfId="11"/>
    <cellStyle name="Comma 3 2" xfId="10"/>
    <cellStyle name="Currency" xfId="2" builtinId="4"/>
    <cellStyle name="Normal" xfId="0" builtinId="0"/>
    <cellStyle name="Normal 12" xfId="8"/>
    <cellStyle name="Normal 2 2" xfId="9"/>
    <cellStyle name="Normal 21" xfId="6"/>
    <cellStyle name="Normal 3" xfId="3"/>
    <cellStyle name="Normal_cwip 20.08.07" xfId="5"/>
    <cellStyle name="Percent" xfId="4" builtinId="5"/>
  </cellStyles>
  <dxfs count="0"/>
  <tableStyles count="0" defaultTableStyle="TableStyleMedium2" defaultPivotStyle="PivotStyleMedium9"/>
  <colors>
    <mruColors>
      <color rgb="FF8EAA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r>
              <a:rPr lang="en-US" sz="1100" b="1">
                <a:solidFill>
                  <a:schemeClr val="bg1"/>
                </a:solidFill>
                <a:latin typeface="+mn-lt"/>
              </a:rPr>
              <a:t>ANNUAL</a:t>
            </a:r>
            <a:r>
              <a:rPr lang="en-US" sz="1100" b="1" baseline="0">
                <a:solidFill>
                  <a:schemeClr val="bg1"/>
                </a:solidFill>
                <a:latin typeface="+mn-lt"/>
              </a:rPr>
              <a:t> </a:t>
            </a:r>
            <a:r>
              <a:rPr lang="en-US" sz="1100" b="1">
                <a:solidFill>
                  <a:schemeClr val="bg1"/>
                </a:solidFill>
                <a:latin typeface="+mn-lt"/>
              </a:rPr>
              <a:t>UREA</a:t>
            </a:r>
            <a:r>
              <a:rPr lang="en-US" sz="1100" b="1" baseline="0">
                <a:solidFill>
                  <a:schemeClr val="bg1"/>
                </a:solidFill>
                <a:latin typeface="+mn-lt"/>
              </a:rPr>
              <a:t> PRODUCTION</a:t>
            </a:r>
            <a:endParaRPr lang="en-US" sz="1100" b="1">
              <a:solidFill>
                <a:schemeClr val="bg1"/>
              </a:solidFill>
              <a:latin typeface="+mn-lt"/>
            </a:endParaRPr>
          </a:p>
        </c:rich>
      </c:tx>
      <c:layout>
        <c:manualLayout>
          <c:xMode val="edge"/>
          <c:yMode val="edge"/>
          <c:x val="0.38383340103320418"/>
          <c:y val="3.7986704653371318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20626987336552718"/>
          <c:y val="0.11741057296612852"/>
          <c:w val="0.72713957630296211"/>
          <c:h val="0.55771860426278619"/>
        </c:manualLayout>
      </c:layout>
      <c:barChart>
        <c:barDir val="col"/>
        <c:grouping val="clustered"/>
        <c:varyColors val="0"/>
        <c:ser>
          <c:idx val="1"/>
          <c:order val="1"/>
          <c:tx>
            <c:strRef>
              <c:f>Sheet2!$B$7</c:f>
              <c:strCache>
                <c:ptCount val="1"/>
                <c:pt idx="0">
                  <c:v>Produstion, Million MT</c:v>
                </c:pt>
              </c:strCache>
            </c:strRef>
          </c:tx>
          <c:spPr>
            <a:solidFill>
              <a:srgbClr val="0070C0"/>
            </a:solidFill>
            <a:ln>
              <a:noFill/>
            </a:ln>
            <a:effectLst/>
          </c:spPr>
          <c:invertIfNegative val="0"/>
          <c:cat>
            <c:numRef>
              <c:f>Sheet2!$C$4:$V$4</c:f>
              <c:numCache>
                <c:formatCode>"FY"\ 0</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Sheet2!$C$7:$V$7</c:f>
              <c:numCache>
                <c:formatCode>General</c:formatCode>
                <c:ptCount val="20"/>
                <c:pt idx="0">
                  <c:v>1.1870000000000001</c:v>
                </c:pt>
                <c:pt idx="1">
                  <c:v>1.194</c:v>
                </c:pt>
                <c:pt idx="2">
                  <c:v>1.393</c:v>
                </c:pt>
                <c:pt idx="3">
                  <c:v>1.379</c:v>
                </c:pt>
                <c:pt idx="4">
                  <c:v>1.3240000000000001</c:v>
                </c:pt>
                <c:pt idx="5">
                  <c:v>1.3540000000000001</c:v>
                </c:pt>
                <c:pt idx="6">
                  <c:v>1.3779999999999999</c:v>
                </c:pt>
                <c:pt idx="7">
                  <c:v>1.482</c:v>
                </c:pt>
                <c:pt idx="8">
                  <c:v>1.655</c:v>
                </c:pt>
                <c:pt idx="9">
                  <c:v>1.5629999999999999</c:v>
                </c:pt>
                <c:pt idx="10">
                  <c:v>1.5660000000000001</c:v>
                </c:pt>
                <c:pt idx="11">
                  <c:v>1.4279999999999999</c:v>
                </c:pt>
                <c:pt idx="12">
                  <c:v>0.93200000000000005</c:v>
                </c:pt>
                <c:pt idx="13">
                  <c:v>1.3420000000000001</c:v>
                </c:pt>
                <c:pt idx="14">
                  <c:v>1.498</c:v>
                </c:pt>
                <c:pt idx="15">
                  <c:v>1.59</c:v>
                </c:pt>
                <c:pt idx="16">
                  <c:v>0.58499999999999996</c:v>
                </c:pt>
                <c:pt idx="17">
                  <c:v>0.69299999999999995</c:v>
                </c:pt>
                <c:pt idx="18">
                  <c:v>0.74299999999999999</c:v>
                </c:pt>
                <c:pt idx="19">
                  <c:v>0.91400000000000003</c:v>
                </c:pt>
              </c:numCache>
            </c:numRef>
          </c:val>
          <c:extLst xmlns:c16r2="http://schemas.microsoft.com/office/drawing/2015/06/chart">
            <c:ext xmlns:c16="http://schemas.microsoft.com/office/drawing/2014/chart" uri="{C3380CC4-5D6E-409C-BE32-E72D297353CC}">
              <c16:uniqueId val="{00000000-82B4-490D-83A7-9CB302CCE253}"/>
            </c:ext>
          </c:extLst>
        </c:ser>
        <c:dLbls>
          <c:showLegendKey val="0"/>
          <c:showVal val="0"/>
          <c:showCatName val="0"/>
          <c:showSerName val="0"/>
          <c:showPercent val="0"/>
          <c:showBubbleSize val="0"/>
        </c:dLbls>
        <c:gapWidth val="219"/>
        <c:axId val="129273840"/>
        <c:axId val="129275800"/>
      </c:barChart>
      <c:lineChart>
        <c:grouping val="standard"/>
        <c:varyColors val="0"/>
        <c:ser>
          <c:idx val="0"/>
          <c:order val="0"/>
          <c:tx>
            <c:strRef>
              <c:f>Sheet2!$B$6</c:f>
              <c:strCache>
                <c:ptCount val="1"/>
                <c:pt idx="0">
                  <c:v>Capacity Utilization%</c:v>
                </c:pt>
              </c:strCache>
            </c:strRef>
          </c:tx>
          <c:spPr>
            <a:ln w="22225" cap="rnd">
              <a:solidFill>
                <a:schemeClr val="accent6">
                  <a:lumMod val="75000"/>
                </a:schemeClr>
              </a:solidFill>
              <a:prstDash val="solid"/>
              <a:round/>
            </a:ln>
            <a:effectLst/>
          </c:spPr>
          <c:marker>
            <c:symbol val="none"/>
          </c:marker>
          <c:dPt>
            <c:idx val="16"/>
            <c:marker>
              <c:symbol val="none"/>
            </c:marker>
            <c:bubble3D val="0"/>
            <c:extLst xmlns:c16r2="http://schemas.microsoft.com/office/drawing/2015/06/chart">
              <c:ext xmlns:c16="http://schemas.microsoft.com/office/drawing/2014/chart" uri="{C3380CC4-5D6E-409C-BE32-E72D297353CC}">
                <c16:uniqueId val="{00000001-82B4-490D-83A7-9CB302CCE253}"/>
              </c:ext>
            </c:extLst>
          </c:dPt>
          <c:dPt>
            <c:idx val="19"/>
            <c:marker>
              <c:symbol val="none"/>
            </c:marker>
            <c:bubble3D val="0"/>
            <c:extLst xmlns:c16r2="http://schemas.microsoft.com/office/drawing/2015/06/chart">
              <c:ext xmlns:c16="http://schemas.microsoft.com/office/drawing/2014/chart" uri="{C3380CC4-5D6E-409C-BE32-E72D297353CC}">
                <c16:uniqueId val="{00000002-82B4-490D-83A7-9CB302CCE253}"/>
              </c:ext>
            </c:extLst>
          </c:dPt>
          <c:cat>
            <c:numRef>
              <c:f>Sheet2!$C$4:$V$4</c:f>
              <c:numCache>
                <c:formatCode>"FY"\ 0</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Sheet2!$C$6:$V$6</c:f>
              <c:numCache>
                <c:formatCode>General</c:formatCode>
                <c:ptCount val="20"/>
                <c:pt idx="0">
                  <c:v>99.4</c:v>
                </c:pt>
                <c:pt idx="1">
                  <c:v>99.9</c:v>
                </c:pt>
                <c:pt idx="2">
                  <c:v>116.6</c:v>
                </c:pt>
                <c:pt idx="3">
                  <c:v>115.4</c:v>
                </c:pt>
                <c:pt idx="4">
                  <c:v>110.8</c:v>
                </c:pt>
                <c:pt idx="5">
                  <c:v>113.3</c:v>
                </c:pt>
                <c:pt idx="6">
                  <c:v>115.3</c:v>
                </c:pt>
                <c:pt idx="7">
                  <c:v>124.1</c:v>
                </c:pt>
                <c:pt idx="8">
                  <c:v>138.5</c:v>
                </c:pt>
                <c:pt idx="9">
                  <c:v>130.80000000000001</c:v>
                </c:pt>
                <c:pt idx="10">
                  <c:v>131.1</c:v>
                </c:pt>
                <c:pt idx="11">
                  <c:v>119.5</c:v>
                </c:pt>
                <c:pt idx="12">
                  <c:v>78</c:v>
                </c:pt>
                <c:pt idx="13">
                  <c:v>112.3</c:v>
                </c:pt>
                <c:pt idx="14">
                  <c:v>125.4</c:v>
                </c:pt>
                <c:pt idx="15">
                  <c:v>133.1</c:v>
                </c:pt>
                <c:pt idx="16">
                  <c:v>49</c:v>
                </c:pt>
                <c:pt idx="17">
                  <c:v>58</c:v>
                </c:pt>
                <c:pt idx="18">
                  <c:v>62.2</c:v>
                </c:pt>
                <c:pt idx="19">
                  <c:v>76.5</c:v>
                </c:pt>
              </c:numCache>
            </c:numRef>
          </c:val>
          <c:smooth val="0"/>
          <c:extLst xmlns:c16r2="http://schemas.microsoft.com/office/drawing/2015/06/chart">
            <c:ext xmlns:c16="http://schemas.microsoft.com/office/drawing/2014/chart" uri="{C3380CC4-5D6E-409C-BE32-E72D297353CC}">
              <c16:uniqueId val="{00000003-82B4-490D-83A7-9CB302CCE253}"/>
            </c:ext>
          </c:extLst>
        </c:ser>
        <c:dLbls>
          <c:showLegendKey val="0"/>
          <c:showVal val="0"/>
          <c:showCatName val="0"/>
          <c:showSerName val="0"/>
          <c:showPercent val="0"/>
          <c:showBubbleSize val="0"/>
        </c:dLbls>
        <c:marker val="1"/>
        <c:smooth val="0"/>
        <c:axId val="129274232"/>
        <c:axId val="129276976"/>
      </c:lineChart>
      <c:valAx>
        <c:axId val="129275800"/>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Capacity</a:t>
                </a:r>
                <a:r>
                  <a:rPr lang="en-US" b="1" baseline="0"/>
                  <a:t> Utilization</a:t>
                </a:r>
                <a:endParaRPr lang="en-US" b="1"/>
              </a:p>
            </c:rich>
          </c:tx>
          <c:layout>
            <c:manualLayout>
              <c:xMode val="edge"/>
              <c:yMode val="edge"/>
              <c:x val="0.13503091192150829"/>
              <c:y val="0.3292073889624196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129273840"/>
        <c:crosses val="autoZero"/>
        <c:crossBetween val="between"/>
      </c:valAx>
      <c:catAx>
        <c:axId val="129273840"/>
        <c:scaling>
          <c:orientation val="minMax"/>
        </c:scaling>
        <c:delete val="1"/>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Financial</a:t>
                </a:r>
                <a:r>
                  <a:rPr lang="en-US" b="1" baseline="0"/>
                  <a:t> Years</a:t>
                </a:r>
                <a:endParaRPr lang="en-US" b="1"/>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quot;FY&quot;\ 0" sourceLinked="1"/>
        <c:majorTickMark val="out"/>
        <c:minorTickMark val="none"/>
        <c:tickLblPos val="nextTo"/>
        <c:crossAx val="129275800"/>
        <c:crosses val="autoZero"/>
        <c:auto val="1"/>
        <c:lblAlgn val="ctr"/>
        <c:lblOffset val="100"/>
        <c:noMultiLvlLbl val="0"/>
      </c:catAx>
      <c:valAx>
        <c:axId val="129276976"/>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Production</a:t>
                </a:r>
              </a:p>
            </c:rich>
          </c:tx>
          <c:layout>
            <c:manualLayout>
              <c:xMode val="edge"/>
              <c:yMode val="edge"/>
              <c:x val="0.97066004770237058"/>
              <c:y val="0.3142422724224999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129274232"/>
        <c:crosses val="max"/>
        <c:crossBetween val="between"/>
      </c:valAx>
      <c:catAx>
        <c:axId val="129274232"/>
        <c:scaling>
          <c:orientation val="minMax"/>
        </c:scaling>
        <c:delete val="1"/>
        <c:axPos val="b"/>
        <c:numFmt formatCode="&quot;FY&quot;\ 0" sourceLinked="1"/>
        <c:majorTickMark val="out"/>
        <c:minorTickMark val="none"/>
        <c:tickLblPos val="nextTo"/>
        <c:crossAx val="129276976"/>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3048547981931442"/>
          <c:y val="5.6412499719586326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Sheet2!$B$10</c:f>
              <c:strCache>
                <c:ptCount val="1"/>
                <c:pt idx="0">
                  <c:v>Energy Consumption Gal/MT of Urea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5400" cap="rnd" cmpd="sng">
                <a:solidFill>
                  <a:schemeClr val="accent6">
                    <a:lumMod val="75000"/>
                  </a:schemeClr>
                </a:solidFill>
                <a:prstDash val="solid"/>
              </a:ln>
              <a:effectLst/>
            </c:spPr>
            <c:trendlineType val="linear"/>
            <c:dispRSqr val="0"/>
            <c:dispEq val="0"/>
          </c:trendline>
          <c:cat>
            <c:numRef>
              <c:f>Sheet2!$C$4:$V$4</c:f>
              <c:numCache>
                <c:formatCode>"FY"\ 0</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Sheet2!$C$10:$V$10</c:f>
              <c:numCache>
                <c:formatCode>General</c:formatCode>
                <c:ptCount val="20"/>
                <c:pt idx="0">
                  <c:v>5.8460000000000001</c:v>
                </c:pt>
                <c:pt idx="1">
                  <c:v>5.7560000000000002</c:v>
                </c:pt>
                <c:pt idx="2">
                  <c:v>5.718</c:v>
                </c:pt>
                <c:pt idx="3">
                  <c:v>5.6619999999999999</c:v>
                </c:pt>
                <c:pt idx="4">
                  <c:v>5.6379999999999999</c:v>
                </c:pt>
                <c:pt idx="5">
                  <c:v>5.6070000000000002</c:v>
                </c:pt>
                <c:pt idx="6">
                  <c:v>5.6139999999999999</c:v>
                </c:pt>
                <c:pt idx="7">
                  <c:v>5.5880000000000001</c:v>
                </c:pt>
                <c:pt idx="8">
                  <c:v>5.5990000000000002</c:v>
                </c:pt>
                <c:pt idx="9">
                  <c:v>5.6349999999999998</c:v>
                </c:pt>
                <c:pt idx="10">
                  <c:v>5.6</c:v>
                </c:pt>
                <c:pt idx="11">
                  <c:v>5.734</c:v>
                </c:pt>
                <c:pt idx="12">
                  <c:v>6.0039999999999996</c:v>
                </c:pt>
                <c:pt idx="13">
                  <c:v>5.8019999999999996</c:v>
                </c:pt>
                <c:pt idx="14">
                  <c:v>5.6989999999999998</c:v>
                </c:pt>
                <c:pt idx="15">
                  <c:v>5.6529999999999996</c:v>
                </c:pt>
                <c:pt idx="16">
                  <c:v>5.9820000000000002</c:v>
                </c:pt>
                <c:pt idx="17">
                  <c:v>6.14</c:v>
                </c:pt>
                <c:pt idx="18">
                  <c:v>6.0890000000000004</c:v>
                </c:pt>
                <c:pt idx="19">
                  <c:v>6.2080000000000002</c:v>
                </c:pt>
              </c:numCache>
            </c:numRef>
          </c:val>
          <c:extLst xmlns:c16r2="http://schemas.microsoft.com/office/drawing/2015/06/chart">
            <c:ext xmlns:c16="http://schemas.microsoft.com/office/drawing/2014/chart" uri="{C3380CC4-5D6E-409C-BE32-E72D297353CC}">
              <c16:uniqueId val="{00000001-2B11-4FE2-9123-47637FD7017D}"/>
            </c:ext>
          </c:extLst>
        </c:ser>
        <c:dLbls>
          <c:dLblPos val="outEnd"/>
          <c:showLegendKey val="0"/>
          <c:showVal val="1"/>
          <c:showCatName val="0"/>
          <c:showSerName val="0"/>
          <c:showPercent val="0"/>
          <c:showBubbleSize val="0"/>
        </c:dLbls>
        <c:gapWidth val="219"/>
        <c:overlap val="-27"/>
        <c:axId val="379392280"/>
        <c:axId val="379391888"/>
      </c:barChart>
      <c:catAx>
        <c:axId val="379392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FINANCIAL</a:t>
                </a:r>
                <a:r>
                  <a:rPr lang="en-US" b="1" baseline="0"/>
                  <a:t> YEARS</a:t>
                </a:r>
                <a:endParaRPr lang="en-US" b="1"/>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391888"/>
        <c:crosses val="autoZero"/>
        <c:auto val="1"/>
        <c:lblAlgn val="ctr"/>
        <c:lblOffset val="100"/>
        <c:noMultiLvlLbl val="0"/>
      </c:catAx>
      <c:valAx>
        <c:axId val="3793918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ENERGY</a:t>
                </a:r>
                <a:r>
                  <a:rPr lang="en-US" b="1" baseline="0"/>
                  <a:t> CONSUMPTION</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392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2033050895811938"/>
          <c:y val="6.4516129032258063E-2"/>
        </c:manualLayout>
      </c:layout>
      <c:overlay val="0"/>
      <c:spPr>
        <a:solidFill>
          <a:srgbClr val="002060"/>
        </a:solidFill>
        <a:ln>
          <a:noFill/>
        </a:ln>
        <a:effectLst/>
      </c:spPr>
      <c:txPr>
        <a:bodyPr rot="0" spcFirstLastPara="1" vertOverflow="ellipsis" vert="horz" wrap="square" anchor="ctr" anchorCtr="1"/>
        <a:lstStyle/>
        <a:p>
          <a:pPr algn="ctr" rtl="0">
            <a:defRPr lang="en-US"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Sheet2!$B$11</c:f>
              <c:strCache>
                <c:ptCount val="1"/>
                <c:pt idx="0">
                  <c:v>Water Consumption M^3/MT of Urea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6"/>
                </a:solidFill>
                <a:prstDash val="solid"/>
              </a:ln>
              <a:effectLst/>
            </c:spPr>
            <c:trendlineType val="linear"/>
            <c:dispRSqr val="0"/>
            <c:dispEq val="0"/>
          </c:trendline>
          <c:cat>
            <c:numRef>
              <c:f>Sheet2!$C$4:$V$4</c:f>
              <c:numCache>
                <c:formatCode>"FY"\ 0</c:formatCode>
                <c:ptCount val="20"/>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numCache>
            </c:numRef>
          </c:cat>
          <c:val>
            <c:numRef>
              <c:f>Sheet2!$C$11:$V$11</c:f>
              <c:numCache>
                <c:formatCode>General</c:formatCode>
                <c:ptCount val="20"/>
                <c:pt idx="0">
                  <c:v>6.5780000000000003</c:v>
                </c:pt>
                <c:pt idx="1">
                  <c:v>6.34</c:v>
                </c:pt>
                <c:pt idx="2">
                  <c:v>5.9980000000000002</c:v>
                </c:pt>
                <c:pt idx="3">
                  <c:v>5.5449999999999999</c:v>
                </c:pt>
                <c:pt idx="4">
                  <c:v>5.5289999999999999</c:v>
                </c:pt>
                <c:pt idx="5">
                  <c:v>5.335</c:v>
                </c:pt>
                <c:pt idx="6">
                  <c:v>5.2919999999999998</c:v>
                </c:pt>
                <c:pt idx="7">
                  <c:v>5.173</c:v>
                </c:pt>
                <c:pt idx="8">
                  <c:v>5.0469999999999997</c:v>
                </c:pt>
                <c:pt idx="9">
                  <c:v>5.1959999999999997</c:v>
                </c:pt>
                <c:pt idx="10">
                  <c:v>5.1289999999999996</c:v>
                </c:pt>
                <c:pt idx="11">
                  <c:v>5.3250000000000002</c:v>
                </c:pt>
                <c:pt idx="12">
                  <c:v>5.6589999999999998</c:v>
                </c:pt>
                <c:pt idx="13">
                  <c:v>5.5549999999999997</c:v>
                </c:pt>
                <c:pt idx="14">
                  <c:v>5.4749999999999996</c:v>
                </c:pt>
                <c:pt idx="15">
                  <c:v>5.3959999999999999</c:v>
                </c:pt>
                <c:pt idx="16">
                  <c:v>8.7050000000000001</c:v>
                </c:pt>
                <c:pt idx="17">
                  <c:v>7.5910000000000002</c:v>
                </c:pt>
                <c:pt idx="18">
                  <c:v>6.9710000000000001</c:v>
                </c:pt>
                <c:pt idx="19">
                  <c:v>6.4690000000000003</c:v>
                </c:pt>
              </c:numCache>
            </c:numRef>
          </c:val>
          <c:extLst xmlns:c16r2="http://schemas.microsoft.com/office/drawing/2015/06/chart">
            <c:ext xmlns:c16="http://schemas.microsoft.com/office/drawing/2014/chart" uri="{C3380CC4-5D6E-409C-BE32-E72D297353CC}">
              <c16:uniqueId val="{00000001-1B3D-48E0-BC0D-992B78BD698B}"/>
            </c:ext>
          </c:extLst>
        </c:ser>
        <c:dLbls>
          <c:dLblPos val="outEnd"/>
          <c:showLegendKey val="0"/>
          <c:showVal val="1"/>
          <c:showCatName val="0"/>
          <c:showSerName val="0"/>
          <c:showPercent val="0"/>
          <c:showBubbleSize val="0"/>
        </c:dLbls>
        <c:gapWidth val="219"/>
        <c:overlap val="-16"/>
        <c:axId val="281277528"/>
        <c:axId val="281275568"/>
      </c:barChart>
      <c:catAx>
        <c:axId val="281277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FINANCIAL</a:t>
                </a:r>
                <a:r>
                  <a:rPr lang="en-US" b="1" baseline="0"/>
                  <a:t> YEARS</a:t>
                </a:r>
                <a:endParaRPr lang="en-US" b="1"/>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1275568"/>
        <c:crosses val="autoZero"/>
        <c:auto val="1"/>
        <c:lblAlgn val="ctr"/>
        <c:lblOffset val="100"/>
        <c:noMultiLvlLbl val="0"/>
      </c:catAx>
      <c:valAx>
        <c:axId val="2812755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WATER</a:t>
                </a:r>
                <a:r>
                  <a:rPr lang="en-US" b="1" baseline="0"/>
                  <a:t> CONSUMPTION</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1277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Sheet2!$C$71</c:f>
              <c:strCache>
                <c:ptCount val="1"/>
                <c:pt idx="0">
                  <c:v>Volumes in Thousand MT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trendline>
            <c:spPr>
              <a:ln w="19050" cap="rnd">
                <a:solidFill>
                  <a:schemeClr val="accent6"/>
                </a:solidFill>
                <a:prstDash val="solid"/>
              </a:ln>
              <a:effectLst/>
            </c:spPr>
            <c:trendlineType val="linear"/>
            <c:dispRSqr val="0"/>
            <c:dispEq val="0"/>
          </c:trendline>
          <c:cat>
            <c:numRef>
              <c:f>Sheet2!$D$69:$J$69</c:f>
              <c:numCache>
                <c:formatCode>"FY"\ 0</c:formatCode>
                <c:ptCount val="7"/>
                <c:pt idx="0">
                  <c:v>2015</c:v>
                </c:pt>
                <c:pt idx="1">
                  <c:v>2016</c:v>
                </c:pt>
                <c:pt idx="2">
                  <c:v>2017</c:v>
                </c:pt>
                <c:pt idx="3">
                  <c:v>2018</c:v>
                </c:pt>
                <c:pt idx="4">
                  <c:v>2019</c:v>
                </c:pt>
                <c:pt idx="5">
                  <c:v>2020</c:v>
                </c:pt>
                <c:pt idx="6">
                  <c:v>2021</c:v>
                </c:pt>
              </c:numCache>
            </c:numRef>
          </c:cat>
          <c:val>
            <c:numRef>
              <c:f>Sheet2!$D$71:$J$71</c:f>
              <c:numCache>
                <c:formatCode>General</c:formatCode>
                <c:ptCount val="7"/>
                <c:pt idx="0">
                  <c:v>186</c:v>
                </c:pt>
                <c:pt idx="1">
                  <c:v>188</c:v>
                </c:pt>
                <c:pt idx="2">
                  <c:v>214</c:v>
                </c:pt>
                <c:pt idx="3">
                  <c:v>213</c:v>
                </c:pt>
                <c:pt idx="4">
                  <c:v>217</c:v>
                </c:pt>
                <c:pt idx="5">
                  <c:v>192</c:v>
                </c:pt>
                <c:pt idx="6">
                  <c:v>255</c:v>
                </c:pt>
              </c:numCache>
            </c:numRef>
          </c:val>
          <c:extLst xmlns:c16r2="http://schemas.microsoft.com/office/drawing/2015/06/chart">
            <c:ext xmlns:c16="http://schemas.microsoft.com/office/drawing/2014/chart" uri="{C3380CC4-5D6E-409C-BE32-E72D297353CC}">
              <c16:uniqueId val="{00000002-5CCE-4A16-8075-8668CF5B9FFD}"/>
            </c:ext>
          </c:extLst>
        </c:ser>
        <c:dLbls>
          <c:dLblPos val="outEnd"/>
          <c:showLegendKey val="0"/>
          <c:showVal val="1"/>
          <c:showCatName val="0"/>
          <c:showSerName val="0"/>
          <c:showPercent val="0"/>
          <c:showBubbleSize val="0"/>
        </c:dLbls>
        <c:gapWidth val="219"/>
        <c:overlap val="-27"/>
        <c:axId val="281274392"/>
        <c:axId val="377207088"/>
      </c:barChart>
      <c:catAx>
        <c:axId val="2812743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FINANCIAL</a:t>
                </a:r>
                <a:r>
                  <a:rPr lang="en-US" b="1" baseline="0"/>
                  <a:t> YEARS</a:t>
                </a:r>
                <a:endParaRPr lang="en-US" b="1"/>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207088"/>
        <c:crosses val="autoZero"/>
        <c:auto val="1"/>
        <c:lblAlgn val="ctr"/>
        <c:lblOffset val="100"/>
        <c:noMultiLvlLbl val="0"/>
      </c:catAx>
      <c:valAx>
        <c:axId val="3772070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VOLUME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1274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76200</xdr:colOff>
      <xdr:row>12</xdr:row>
      <xdr:rowOff>156210</xdr:rowOff>
    </xdr:from>
    <xdr:to>
      <xdr:col>18</xdr:col>
      <xdr:colOff>670560</xdr:colOff>
      <xdr:row>38</xdr:row>
      <xdr:rowOff>15240</xdr:rowOff>
    </xdr:to>
    <xdr:graphicFrame macro="">
      <xdr:nvGraphicFramePr>
        <xdr:cNvPr id="6" name="Chart 5">
          <a:extLst>
            <a:ext uri="{FF2B5EF4-FFF2-40B4-BE49-F238E27FC236}">
              <a16:creationId xmlns=""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2087880</xdr:colOff>
      <xdr:row>40</xdr:row>
      <xdr:rowOff>87630</xdr:rowOff>
    </xdr:from>
    <xdr:to>
      <xdr:col>8</xdr:col>
      <xdr:colOff>480060</xdr:colOff>
      <xdr:row>62</xdr:row>
      <xdr:rowOff>76200</xdr:rowOff>
    </xdr:to>
    <xdr:graphicFrame macro="">
      <xdr:nvGraphicFramePr>
        <xdr:cNvPr id="7" name="Chart 6">
          <a:extLst>
            <a:ext uri="{FF2B5EF4-FFF2-40B4-BE49-F238E27FC236}">
              <a16:creationId xmlns=""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2125980</xdr:colOff>
      <xdr:row>14</xdr:row>
      <xdr:rowOff>41910</xdr:rowOff>
    </xdr:from>
    <xdr:to>
      <xdr:col>8</xdr:col>
      <xdr:colOff>426720</xdr:colOff>
      <xdr:row>36</xdr:row>
      <xdr:rowOff>152400</xdr:rowOff>
    </xdr:to>
    <xdr:graphicFrame macro="">
      <xdr:nvGraphicFramePr>
        <xdr:cNvPr id="8" name="Chart 7">
          <a:extLst>
            <a:ext uri="{FF2B5EF4-FFF2-40B4-BE49-F238E27FC236}">
              <a16:creationId xmlns="" xmlns:a16="http://schemas.microsoft.com/office/drawing/2014/main" id="{00000000-0008-0000-05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1577340</xdr:colOff>
      <xdr:row>75</xdr:row>
      <xdr:rowOff>26670</xdr:rowOff>
    </xdr:from>
    <xdr:to>
      <xdr:col>7</xdr:col>
      <xdr:colOff>1074420</xdr:colOff>
      <xdr:row>95</xdr:row>
      <xdr:rowOff>7620</xdr:rowOff>
    </xdr:to>
    <xdr:graphicFrame macro="">
      <xdr:nvGraphicFramePr>
        <xdr:cNvPr id="2" name="Chart 1">
          <a:extLst>
            <a:ext uri="{FF2B5EF4-FFF2-40B4-BE49-F238E27FC236}">
              <a16:creationId xmlns=""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Desktop\Chhavi%20desktop\Nagarjuna\Docs%20shared%20by%20the%20client\Financials%20for%202021-22\NFCL%20-%20Standalone%20Financials%20New%20file%20-%20MARCH%202022%2015%20Jun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ie to be posted"/>
      <sheetName val="comparative Statement"/>
      <sheetName val="Revnote_org"/>
      <sheetName val="Revnote Q1old"/>
      <sheetName val="Revnote Q2"/>
      <sheetName val="Revnote Q1 June 21"/>
      <sheetName val="Mainpage Q1"/>
      <sheetName val="Revnote Q2 Sept 21"/>
      <sheetName val="Mainpage Q2"/>
      <sheetName val="Revnote Q4."/>
      <sheetName val="Revnote Q3 Dec 21"/>
      <sheetName val="Mainpage Q3"/>
      <sheetName val="Mainpage Q3 Previous"/>
      <sheetName val="Mainpage Q2 Con"/>
      <sheetName val="Mainpage (conso)"/>
      <sheetName val="Mainpage Q1 old"/>
      <sheetName val="Mainpage Q4"/>
      <sheetName val="Mainpage Q3 Con Previous"/>
      <sheetName val="Mainpage Q4 Con"/>
      <sheetName val="Publication Q1"/>
      <sheetName val="Publication Q3"/>
      <sheetName val="Revnote Q4 March 2022"/>
      <sheetName val="Mainpage Q4 FY2021-22"/>
      <sheetName val="Mainpage Q3 Con"/>
      <sheetName val="Publication Q2"/>
      <sheetName val="Mainpage  Q2 Con old"/>
      <sheetName val="Publication Q2 old"/>
      <sheetName val="Mainpage Q4 Con FY2021-22"/>
      <sheetName val="Publication Q4"/>
      <sheetName val="BS "/>
      <sheetName val="BS Cons"/>
      <sheetName val="P&amp;L(Consolidated)"/>
      <sheetName val="Bsheet (Consolidated)"/>
      <sheetName val="Detailed BS for cash flow"/>
      <sheetName val="CF (2)"/>
      <sheetName val="Revnote-Board"/>
      <sheetName val="Sheet2"/>
      <sheetName val="Groping as on 29.07.2019"/>
      <sheetName val="tb 08.08.2019"/>
      <sheetName val="data"/>
      <sheetName val="Stock stmt"/>
      <sheetName val="Sheet1"/>
      <sheetName val="DTL "/>
      <sheetName val="234B n C"/>
      <sheetName val="Land_2018"/>
      <sheetName val="Land"/>
      <sheetName val="Sec, 43B"/>
      <sheetName val="Tax"/>
      <sheetName val="MAT"/>
      <sheetName val="JESCO pandl "/>
      <sheetName val="TB"/>
      <sheetName val="groupings"/>
      <sheetName val="NF Balancesheet"/>
      <sheetName val="NF P&amp;L"/>
      <sheetName val="NF SOCE"/>
      <sheetName val="Bsheet"/>
      <sheetName val="P&amp;L "/>
      <sheetName val="CF"/>
      <sheetName val="CF-old 10.06.22"/>
      <sheetName val="CF (XBRL FORMAT)"/>
      <sheetName val="CF (cons)"/>
      <sheetName val="CF CONS (XBRL FORMAT)"/>
      <sheetName val="SOCIE"/>
      <sheetName val="Notes"/>
      <sheetName val="Sch 3"/>
      <sheetName val="Sch - PPE"/>
      <sheetName val="Sch 3A"/>
      <sheetName val="Sch 4"/>
      <sheetName val="Sch 5"/>
      <sheetName val="sch 6-9"/>
      <sheetName val="sch 10-11"/>
      <sheetName val="Sch 12"/>
      <sheetName val="sch 13"/>
      <sheetName val="sch 14"/>
      <sheetName val="sch 15-18"/>
      <sheetName val="sch 19"/>
      <sheetName val="sch 20.1"/>
      <sheetName val="Sch 20"/>
      <sheetName val="sch 21-25"/>
      <sheetName val="Sch 25.1"/>
      <sheetName val="sch 26-28"/>
      <sheetName val="Sch 29- 31"/>
      <sheetName val="Sch 32-33"/>
      <sheetName val="qty data"/>
      <sheetName val="Sch 34"/>
      <sheetName val="Sch 35-36"/>
      <sheetName val="Sch 37"/>
      <sheetName val="Sch 38"/>
      <sheetName val="Sch 39-47"/>
      <sheetName val="Ac Ratios Sheet2"/>
      <sheetName val="Ac ratio data"/>
      <sheetName val="Entries"/>
      <sheetName val="IT Dep"/>
      <sheetName val="Forex"/>
      <sheetName val="Minority Interest"/>
      <sheetName val="P&amp;L Summary"/>
      <sheetName val="P&amp;L Schedules with BA"/>
      <sheetName val="P&amp;L Schedules WOut BA"/>
      <sheetName val="BS Schedules with BA"/>
      <sheetName val="BS Summary"/>
      <sheetName val="BS Schedules Wout B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9">
          <cell r="C9" t="str">
            <v>(a) Property, Plant and Equipment</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sheetPr>
  <dimension ref="B2:G111"/>
  <sheetViews>
    <sheetView showGridLines="0" tabSelected="1" topLeftCell="A62" workbookViewId="0">
      <selection activeCell="D67" sqref="D67"/>
    </sheetView>
  </sheetViews>
  <sheetFormatPr defaultRowHeight="14.4"/>
  <cols>
    <col min="1" max="1" width="3.44140625" customWidth="1"/>
    <col min="2" max="2" width="40" customWidth="1"/>
    <col min="3" max="3" width="0" hidden="1" customWidth="1"/>
    <col min="4" max="4" width="35.33203125" customWidth="1"/>
    <col min="5" max="5" width="28.33203125" customWidth="1"/>
    <col min="6" max="6" width="23" customWidth="1"/>
  </cols>
  <sheetData>
    <row r="2" spans="2:6" ht="25.5" customHeight="1">
      <c r="B2" s="151" t="s">
        <v>39</v>
      </c>
      <c r="C2" s="151"/>
      <c r="D2" s="151"/>
      <c r="E2" s="151"/>
    </row>
    <row r="3" spans="2:6">
      <c r="B3" s="152"/>
      <c r="C3" s="152"/>
      <c r="D3" s="152"/>
      <c r="E3" s="152"/>
    </row>
    <row r="4" spans="2:6" ht="18.75" customHeight="1">
      <c r="B4" s="153" t="s">
        <v>0</v>
      </c>
      <c r="C4" s="153"/>
      <c r="D4" s="153"/>
      <c r="E4" s="153"/>
    </row>
    <row r="5" spans="2:6">
      <c r="B5" s="152"/>
      <c r="C5" s="152"/>
      <c r="D5" s="152"/>
      <c r="E5" s="152"/>
    </row>
    <row r="6" spans="2:6" ht="36.75" customHeight="1">
      <c r="B6" s="154" t="s">
        <v>4</v>
      </c>
      <c r="C6" s="155"/>
      <c r="D6" s="156" t="s">
        <v>38</v>
      </c>
      <c r="E6" s="157" t="s">
        <v>1</v>
      </c>
    </row>
    <row r="7" spans="2:6">
      <c r="B7" s="152"/>
      <c r="C7" s="152"/>
      <c r="D7" s="158"/>
      <c r="E7" s="158"/>
    </row>
    <row r="8" spans="2:6" ht="20.25" customHeight="1">
      <c r="B8" s="159" t="s">
        <v>2</v>
      </c>
      <c r="C8" s="152"/>
      <c r="D8" s="158"/>
      <c r="E8" s="158"/>
    </row>
    <row r="9" spans="2:6" ht="18.600000000000001" customHeight="1">
      <c r="B9" s="160" t="s">
        <v>3</v>
      </c>
      <c r="C9" s="152"/>
      <c r="D9" s="158"/>
      <c r="E9" s="158"/>
    </row>
    <row r="10" spans="2:6" ht="16.2" customHeight="1">
      <c r="B10" s="161" t="s">
        <v>40</v>
      </c>
      <c r="C10" s="152"/>
      <c r="D10" s="162">
        <f>'Non-Current Assets'!E18</f>
        <v>2106.1876299999994</v>
      </c>
      <c r="E10" s="162">
        <f>'Non-Current Assets'!H18</f>
        <v>1281.4386635753201</v>
      </c>
      <c r="F10" s="34"/>
    </row>
    <row r="11" spans="2:6" ht="16.2" customHeight="1">
      <c r="B11" s="427" t="s">
        <v>665</v>
      </c>
      <c r="C11" s="152"/>
      <c r="D11" s="162">
        <f>'Non-Current Assets'!E31</f>
        <v>0.23734472400000001</v>
      </c>
      <c r="E11" s="162">
        <f>'Non-Current Assets'!H31</f>
        <v>0.14679172400000001</v>
      </c>
      <c r="F11" s="34"/>
    </row>
    <row r="12" spans="2:6" ht="16.2" customHeight="1">
      <c r="B12" s="161" t="s">
        <v>41</v>
      </c>
      <c r="C12" s="152"/>
      <c r="D12" s="162">
        <v>0</v>
      </c>
      <c r="E12" s="162">
        <v>0</v>
      </c>
      <c r="F12" s="34"/>
    </row>
    <row r="13" spans="2:6" ht="16.2" customHeight="1">
      <c r="B13" s="161" t="s">
        <v>42</v>
      </c>
      <c r="C13" s="152"/>
      <c r="D13" s="162">
        <v>0</v>
      </c>
      <c r="E13" s="162">
        <v>0</v>
      </c>
      <c r="F13" s="34"/>
    </row>
    <row r="14" spans="2:6" ht="16.2" customHeight="1">
      <c r="B14" s="161" t="s">
        <v>43</v>
      </c>
      <c r="C14" s="152"/>
      <c r="D14" s="162">
        <v>0</v>
      </c>
      <c r="E14" s="162">
        <v>0</v>
      </c>
      <c r="F14" s="34"/>
    </row>
    <row r="15" spans="2:6" ht="16.2" customHeight="1">
      <c r="B15" s="161" t="s">
        <v>44</v>
      </c>
      <c r="C15" s="152"/>
      <c r="D15" s="162">
        <v>0</v>
      </c>
      <c r="E15" s="162">
        <v>0</v>
      </c>
      <c r="F15" s="34"/>
    </row>
    <row r="16" spans="2:6" ht="16.2" customHeight="1">
      <c r="B16" s="161" t="s">
        <v>45</v>
      </c>
      <c r="C16" s="152"/>
      <c r="D16" s="162">
        <v>0</v>
      </c>
      <c r="E16" s="162">
        <v>0</v>
      </c>
      <c r="F16" s="34"/>
    </row>
    <row r="17" spans="2:6" ht="16.2" customHeight="1">
      <c r="B17" s="161" t="s">
        <v>46</v>
      </c>
      <c r="C17" s="152"/>
      <c r="D17" s="158"/>
      <c r="E17" s="163"/>
      <c r="F17" s="34"/>
    </row>
    <row r="18" spans="2:6" ht="16.2" customHeight="1">
      <c r="B18" s="161" t="s">
        <v>47</v>
      </c>
      <c r="C18" s="152"/>
      <c r="D18" s="162">
        <v>0</v>
      </c>
      <c r="E18" s="162">
        <v>0</v>
      </c>
      <c r="F18" s="34"/>
    </row>
    <row r="19" spans="2:6" ht="16.2" customHeight="1">
      <c r="B19" s="161" t="s">
        <v>48</v>
      </c>
      <c r="C19" s="152"/>
      <c r="D19" s="162">
        <v>0</v>
      </c>
      <c r="E19" s="162">
        <v>0</v>
      </c>
      <c r="F19" s="34"/>
    </row>
    <row r="20" spans="2:6" ht="16.2" customHeight="1">
      <c r="B20" s="161" t="s">
        <v>49</v>
      </c>
      <c r="C20" s="152"/>
      <c r="D20" s="162">
        <v>0</v>
      </c>
      <c r="E20" s="162">
        <v>0</v>
      </c>
      <c r="F20" s="34"/>
    </row>
    <row r="21" spans="2:6" ht="16.2" customHeight="1">
      <c r="B21" s="161" t="s">
        <v>50</v>
      </c>
      <c r="C21" s="160"/>
      <c r="D21" s="162">
        <f>'Non-Current Assets'!E41</f>
        <v>4.7504</v>
      </c>
      <c r="E21" s="162">
        <f>'Non-Current Assets'!H43</f>
        <v>4.7504</v>
      </c>
      <c r="F21" s="34"/>
    </row>
    <row r="22" spans="2:6" ht="16.2" customHeight="1">
      <c r="B22" s="161" t="s">
        <v>51</v>
      </c>
      <c r="C22" s="152"/>
      <c r="D22" s="162">
        <v>0</v>
      </c>
      <c r="E22" s="162">
        <v>0</v>
      </c>
      <c r="F22" s="34"/>
    </row>
    <row r="23" spans="2:6" ht="16.2" customHeight="1">
      <c r="B23" s="161" t="s">
        <v>52</v>
      </c>
      <c r="C23" s="152"/>
      <c r="D23" s="162">
        <v>0</v>
      </c>
      <c r="E23" s="162">
        <v>0</v>
      </c>
      <c r="F23" s="34"/>
    </row>
    <row r="24" spans="2:6" ht="18.600000000000001" customHeight="1">
      <c r="B24" s="139" t="s">
        <v>8</v>
      </c>
      <c r="C24" s="164"/>
      <c r="D24" s="165">
        <f>SUM(D10:D23)</f>
        <v>2111.1753747239995</v>
      </c>
      <c r="E24" s="165">
        <f>'Non-Current Assets'!H48</f>
        <v>1286.33585529932</v>
      </c>
      <c r="F24" s="36">
        <f>E24+4.75-0.02</f>
        <v>1291.06585529932</v>
      </c>
    </row>
    <row r="25" spans="2:6">
      <c r="B25" s="161"/>
      <c r="C25" s="152"/>
      <c r="D25" s="162"/>
      <c r="E25" s="162"/>
      <c r="F25" s="6"/>
    </row>
    <row r="26" spans="2:6">
      <c r="B26" s="160" t="s">
        <v>7</v>
      </c>
      <c r="C26" s="152"/>
      <c r="D26" s="162"/>
      <c r="E26" s="162"/>
      <c r="F26" s="6"/>
    </row>
    <row r="27" spans="2:6">
      <c r="B27" s="166" t="s">
        <v>58</v>
      </c>
      <c r="C27" s="152"/>
      <c r="D27" s="162">
        <f>'Current Assets'!C16</f>
        <v>46.402200000000001</v>
      </c>
      <c r="E27" s="162">
        <f>'Current Assets'!E16</f>
        <v>41.396050000000002</v>
      </c>
      <c r="F27" s="6"/>
    </row>
    <row r="28" spans="2:6">
      <c r="B28" s="166" t="s">
        <v>59</v>
      </c>
      <c r="C28" s="152"/>
      <c r="D28" s="162">
        <v>0</v>
      </c>
      <c r="E28" s="162">
        <v>0</v>
      </c>
      <c r="F28" s="6"/>
    </row>
    <row r="29" spans="2:6">
      <c r="B29" s="166" t="s">
        <v>60</v>
      </c>
      <c r="C29" s="152"/>
      <c r="D29" s="162"/>
      <c r="E29" s="162"/>
      <c r="F29" s="6"/>
    </row>
    <row r="30" spans="2:6">
      <c r="B30" s="167" t="s">
        <v>53</v>
      </c>
      <c r="C30" s="152"/>
      <c r="D30" s="162">
        <f>'Current Assets'!C25</f>
        <v>484.93219999999997</v>
      </c>
      <c r="E30" s="162">
        <f>'Current Assets'!E25</f>
        <v>62.466019999999972</v>
      </c>
      <c r="F30" s="6"/>
    </row>
    <row r="31" spans="2:6">
      <c r="B31" s="167" t="s">
        <v>54</v>
      </c>
      <c r="C31" s="152"/>
      <c r="D31" s="162">
        <f>'Current Assets'!C32</f>
        <v>21.115100000000002</v>
      </c>
      <c r="E31" s="162">
        <f>'Current Assets'!E32</f>
        <v>5.3651</v>
      </c>
      <c r="F31" s="6"/>
    </row>
    <row r="32" spans="2:6">
      <c r="B32" s="167" t="s">
        <v>55</v>
      </c>
      <c r="C32" s="152"/>
      <c r="D32" s="162">
        <f>'Current Assets'!C39</f>
        <v>22.467399999999998</v>
      </c>
      <c r="E32" s="162">
        <f>'Current Assets'!E39</f>
        <v>2.4673999999999983</v>
      </c>
      <c r="F32" s="6"/>
    </row>
    <row r="33" spans="2:6">
      <c r="B33" s="167" t="s">
        <v>56</v>
      </c>
      <c r="C33" s="152"/>
      <c r="D33" s="162">
        <v>0</v>
      </c>
      <c r="E33" s="162">
        <v>0</v>
      </c>
      <c r="F33" s="6"/>
    </row>
    <row r="34" spans="2:6">
      <c r="B34" s="167" t="s">
        <v>57</v>
      </c>
      <c r="C34" s="152"/>
      <c r="D34" s="162">
        <f>'Current Assets'!C48</f>
        <v>7.6093999999999991</v>
      </c>
      <c r="E34" s="162">
        <f>'Current Assets'!E48</f>
        <v>1.1815199999999992</v>
      </c>
      <c r="F34" s="6"/>
    </row>
    <row r="35" spans="2:6">
      <c r="B35" s="166" t="s">
        <v>61</v>
      </c>
      <c r="C35" s="152"/>
      <c r="D35" s="162">
        <f>'Current Assets'!C53</f>
        <v>3.6318000000000001</v>
      </c>
      <c r="E35" s="162">
        <f>'Current Assets'!E53</f>
        <v>3.6318000000000001</v>
      </c>
      <c r="F35" s="6"/>
    </row>
    <row r="36" spans="2:6">
      <c r="B36" s="166" t="s">
        <v>62</v>
      </c>
      <c r="C36" s="152"/>
      <c r="D36" s="162">
        <f>'Current Assets'!C68</f>
        <v>59.591299999999997</v>
      </c>
      <c r="E36" s="162">
        <f>'Current Assets'!E68</f>
        <v>56.076940000000008</v>
      </c>
      <c r="F36" s="6"/>
    </row>
    <row r="37" spans="2:6">
      <c r="B37" s="168" t="s">
        <v>5</v>
      </c>
      <c r="C37" s="152"/>
      <c r="D37" s="169">
        <f>SUM(D27:D28,D30:D36)</f>
        <v>645.74940000000004</v>
      </c>
      <c r="E37" s="169">
        <f>SUM(E27:E28,E30:E36)</f>
        <v>172.58482999999998</v>
      </c>
      <c r="F37" s="6"/>
    </row>
    <row r="38" spans="2:6">
      <c r="B38" s="168"/>
      <c r="C38" s="152"/>
      <c r="D38" s="169"/>
      <c r="E38" s="162"/>
      <c r="F38" s="6"/>
    </row>
    <row r="39" spans="2:6">
      <c r="B39" s="166" t="s">
        <v>63</v>
      </c>
      <c r="C39" s="152"/>
      <c r="D39" s="169">
        <f>D24+D37</f>
        <v>2756.9247747239997</v>
      </c>
      <c r="E39" s="169">
        <f>E24+E37</f>
        <v>1458.92068529932</v>
      </c>
      <c r="F39" s="6"/>
    </row>
    <row r="40" spans="2:6">
      <c r="B40" s="161"/>
      <c r="C40" s="152"/>
      <c r="D40" s="162"/>
      <c r="E40" s="162"/>
      <c r="F40" s="6"/>
    </row>
    <row r="41" spans="2:6" ht="17.399999999999999">
      <c r="B41" s="159" t="s">
        <v>9</v>
      </c>
      <c r="C41" s="152"/>
      <c r="D41" s="162"/>
      <c r="E41" s="162"/>
      <c r="F41" s="6"/>
    </row>
    <row r="42" spans="2:6">
      <c r="B42" s="161"/>
      <c r="C42" s="152"/>
      <c r="D42" s="162"/>
      <c r="E42" s="162"/>
      <c r="F42" s="6"/>
    </row>
    <row r="43" spans="2:6">
      <c r="B43" s="170" t="s">
        <v>64</v>
      </c>
      <c r="C43" s="152"/>
      <c r="D43" s="162"/>
      <c r="E43" s="162"/>
    </row>
    <row r="44" spans="2:6">
      <c r="B44" s="166" t="s">
        <v>65</v>
      </c>
      <c r="C44" s="152"/>
      <c r="D44" s="162">
        <f>5980.65*10^5/10^7</f>
        <v>59.8065</v>
      </c>
      <c r="E44" s="162">
        <f>'Equity &amp; Liabilities'!H16</f>
        <v>59.8065</v>
      </c>
      <c r="F44" s="6"/>
    </row>
    <row r="45" spans="2:6">
      <c r="B45" s="171" t="s">
        <v>66</v>
      </c>
      <c r="C45" s="152"/>
      <c r="D45" s="162">
        <v>0</v>
      </c>
      <c r="E45" s="162">
        <v>0</v>
      </c>
      <c r="F45" s="6"/>
    </row>
    <row r="46" spans="2:6" ht="15.6">
      <c r="B46" s="172" t="s">
        <v>67</v>
      </c>
      <c r="C46" s="152"/>
      <c r="D46" s="173">
        <f>-123107.14*10^5/10^7</f>
        <v>-1231.0714</v>
      </c>
      <c r="E46" s="174">
        <f>'Equity &amp; Liabilities'!H75</f>
        <v>-1231.0714406319994</v>
      </c>
      <c r="F46" s="6"/>
    </row>
    <row r="47" spans="2:6">
      <c r="B47" s="175" t="s">
        <v>10</v>
      </c>
      <c r="C47" s="152"/>
      <c r="D47" s="176">
        <f>SUM(D44:D46)</f>
        <v>-1171.2649000000001</v>
      </c>
      <c r="E47" s="176">
        <f>SUM(E44:E46)</f>
        <v>-1171.2649406319995</v>
      </c>
      <c r="F47" s="6"/>
    </row>
    <row r="48" spans="2:6">
      <c r="B48" s="161"/>
      <c r="C48" s="152"/>
      <c r="D48" s="162"/>
      <c r="E48" s="162"/>
      <c r="F48" s="6"/>
    </row>
    <row r="49" spans="2:6">
      <c r="B49" s="177" t="s">
        <v>68</v>
      </c>
      <c r="C49" s="152"/>
      <c r="D49" s="162"/>
      <c r="E49" s="162"/>
      <c r="F49" s="6"/>
    </row>
    <row r="50" spans="2:6">
      <c r="B50" s="178" t="s">
        <v>79</v>
      </c>
      <c r="C50" s="152"/>
      <c r="D50" s="162"/>
      <c r="E50" s="162"/>
      <c r="F50" s="6"/>
    </row>
    <row r="51" spans="2:6">
      <c r="B51" s="166" t="s">
        <v>69</v>
      </c>
      <c r="C51" s="152"/>
      <c r="D51" s="162"/>
      <c r="E51" s="162"/>
      <c r="F51" s="6"/>
    </row>
    <row r="52" spans="2:6">
      <c r="B52" s="179" t="s">
        <v>70</v>
      </c>
      <c r="C52" s="152"/>
      <c r="D52" s="162">
        <f>2183.53*10^5/10^7</f>
        <v>21.835300000000004</v>
      </c>
      <c r="E52" s="162">
        <f>'Equity &amp; Liabilities'!H91</f>
        <v>21.8353</v>
      </c>
      <c r="F52" s="6"/>
    </row>
    <row r="53" spans="2:6">
      <c r="B53" s="166" t="s">
        <v>71</v>
      </c>
      <c r="C53" s="152"/>
      <c r="D53" s="162">
        <v>0</v>
      </c>
      <c r="E53" s="162">
        <v>0</v>
      </c>
      <c r="F53" s="6"/>
    </row>
    <row r="54" spans="2:6">
      <c r="B54" s="166" t="s">
        <v>72</v>
      </c>
      <c r="C54" s="152"/>
      <c r="D54" s="162"/>
      <c r="E54" s="162"/>
      <c r="F54" s="6"/>
    </row>
    <row r="55" spans="2:6" ht="28.2">
      <c r="B55" s="180" t="s">
        <v>73</v>
      </c>
      <c r="C55" s="152"/>
      <c r="D55" s="162">
        <v>0</v>
      </c>
      <c r="E55" s="162">
        <v>0</v>
      </c>
      <c r="F55" s="6"/>
    </row>
    <row r="56" spans="2:6" ht="31.2">
      <c r="B56" s="180" t="s">
        <v>74</v>
      </c>
      <c r="C56" s="152"/>
      <c r="D56" s="162">
        <v>0</v>
      </c>
      <c r="E56" s="162">
        <v>0</v>
      </c>
      <c r="F56" s="6"/>
    </row>
    <row r="57" spans="2:6" ht="15.6">
      <c r="B57" s="181" t="s">
        <v>75</v>
      </c>
      <c r="C57" s="152"/>
      <c r="D57" s="162">
        <f>6986.73*10^5/10^7</f>
        <v>69.8673</v>
      </c>
      <c r="E57" s="162">
        <f>'Equity &amp; Liabilities'!H97</f>
        <v>69.8673</v>
      </c>
      <c r="F57" s="6"/>
    </row>
    <row r="58" spans="2:6">
      <c r="B58" s="182" t="s">
        <v>76</v>
      </c>
      <c r="C58" s="152"/>
      <c r="D58" s="162">
        <f>508.86*10^5/10^7</f>
        <v>5.0885999999999996</v>
      </c>
      <c r="E58" s="162">
        <f>'Equity &amp; Liabilities'!H109</f>
        <v>5.0885999999999996</v>
      </c>
      <c r="F58" s="6"/>
    </row>
    <row r="59" spans="2:6">
      <c r="B59" s="183" t="s">
        <v>77</v>
      </c>
      <c r="C59" s="152"/>
      <c r="D59" s="162">
        <f>24054.59*10^5/10^7</f>
        <v>240.54589999999999</v>
      </c>
      <c r="E59" s="162">
        <f>'Equity &amp; Liabilities'!H120</f>
        <v>240.54590000000002</v>
      </c>
      <c r="F59" s="6"/>
    </row>
    <row r="60" spans="2:6" ht="15.6">
      <c r="B60" s="166" t="s">
        <v>78</v>
      </c>
      <c r="C60" s="152"/>
      <c r="D60" s="162">
        <f>345.79*10^5/10^7</f>
        <v>3.4579</v>
      </c>
      <c r="E60" s="162">
        <f>'Equity &amp; Liabilities'!H130</f>
        <v>3.4579</v>
      </c>
      <c r="F60" s="6"/>
    </row>
    <row r="61" spans="2:6">
      <c r="B61" s="170" t="s">
        <v>80</v>
      </c>
      <c r="C61" s="152"/>
      <c r="D61" s="169">
        <f>SUM(D52:D60)</f>
        <v>340.79499999999996</v>
      </c>
      <c r="E61" s="169">
        <f>SUM(E52:E60)</f>
        <v>340.79500000000002</v>
      </c>
      <c r="F61" s="6"/>
    </row>
    <row r="62" spans="2:6">
      <c r="B62" s="161"/>
      <c r="C62" s="152"/>
      <c r="D62" s="162"/>
      <c r="E62" s="162"/>
      <c r="F62" s="6"/>
    </row>
    <row r="63" spans="2:6">
      <c r="B63" s="178" t="s">
        <v>87</v>
      </c>
      <c r="C63" s="152"/>
      <c r="D63" s="162"/>
      <c r="E63" s="162"/>
      <c r="F63" s="6"/>
    </row>
    <row r="64" spans="2:6">
      <c r="B64" s="166" t="s">
        <v>69</v>
      </c>
      <c r="C64" s="152"/>
      <c r="D64" s="162"/>
      <c r="E64" s="162"/>
      <c r="F64" s="6"/>
    </row>
    <row r="65" spans="2:7">
      <c r="B65" s="179" t="s">
        <v>70</v>
      </c>
      <c r="C65" s="152"/>
      <c r="D65" s="162">
        <f>253869.184*10^5/10^7</f>
        <v>2538.69184</v>
      </c>
      <c r="E65" s="162">
        <f>'Equity &amp; Liabilities'!H144</f>
        <v>2538.6918399999959</v>
      </c>
      <c r="F65" s="6"/>
    </row>
    <row r="66" spans="2:7">
      <c r="B66" s="166" t="s">
        <v>71</v>
      </c>
      <c r="C66" s="152"/>
      <c r="D66" s="162">
        <v>0</v>
      </c>
      <c r="E66" s="162">
        <v>0</v>
      </c>
      <c r="F66" s="6"/>
    </row>
    <row r="67" spans="2:7">
      <c r="B67" s="179" t="s">
        <v>72</v>
      </c>
      <c r="C67" s="152"/>
      <c r="D67" s="162"/>
      <c r="E67" s="162"/>
      <c r="F67" s="6"/>
    </row>
    <row r="68" spans="2:7" ht="28.2">
      <c r="B68" s="184" t="s">
        <v>81</v>
      </c>
      <c r="C68" s="152"/>
      <c r="D68" s="162">
        <f>100.52*10^5/10^7</f>
        <v>1.0052000000000001</v>
      </c>
      <c r="E68" s="162">
        <f>'Equity &amp; Liabilities'!H148</f>
        <v>1.0052000000000001</v>
      </c>
      <c r="F68" s="6"/>
    </row>
    <row r="69" spans="2:7" ht="28.2">
      <c r="B69" s="185" t="s">
        <v>82</v>
      </c>
      <c r="C69" s="152"/>
      <c r="D69" s="162">
        <f>98666.78*10^5/10^7</f>
        <v>986.66780000000006</v>
      </c>
      <c r="E69" s="162">
        <f>'Equity &amp; Liabilities'!H149</f>
        <v>986.66780000000006</v>
      </c>
      <c r="F69" s="6"/>
    </row>
    <row r="70" spans="2:7" ht="28.2">
      <c r="B70" s="186" t="s">
        <v>83</v>
      </c>
      <c r="C70" s="152"/>
      <c r="D70" s="162">
        <f>1474.99*10^5/10^7</f>
        <v>14.7499</v>
      </c>
      <c r="E70" s="162">
        <f>'Equity &amp; Liabilities'!H156</f>
        <v>14.7499</v>
      </c>
      <c r="F70" s="6"/>
    </row>
    <row r="71" spans="2:7">
      <c r="B71" s="187" t="s">
        <v>84</v>
      </c>
      <c r="C71" s="152"/>
      <c r="D71" s="162">
        <f>4082.98*10^5/10^7</f>
        <v>40.829799999999999</v>
      </c>
      <c r="E71" s="162">
        <f>'Equity &amp; Liabilities'!H166</f>
        <v>40.829800000000006</v>
      </c>
      <c r="F71" s="6"/>
    </row>
    <row r="72" spans="2:7">
      <c r="B72" s="187" t="s">
        <v>85</v>
      </c>
      <c r="C72" s="152"/>
      <c r="D72" s="162">
        <f>545.03*10^5/10^7</f>
        <v>5.4503000000000004</v>
      </c>
      <c r="E72" s="162">
        <f>'Equity &amp; Liabilities'!H178</f>
        <v>5.4503000000000004</v>
      </c>
      <c r="F72" s="6"/>
    </row>
    <row r="73" spans="2:7" ht="15.6">
      <c r="B73" s="187" t="s">
        <v>86</v>
      </c>
      <c r="C73" s="152"/>
      <c r="D73" s="162">
        <v>0</v>
      </c>
      <c r="E73" s="162">
        <v>0</v>
      </c>
      <c r="F73" s="6"/>
    </row>
    <row r="74" spans="2:7">
      <c r="B74" s="188" t="s">
        <v>88</v>
      </c>
      <c r="C74" s="152"/>
      <c r="D74" s="169">
        <f>SUM(D65:D73)</f>
        <v>3587.3948399999999</v>
      </c>
      <c r="E74" s="169">
        <f>SUM(E65:E73)</f>
        <v>3587.3948399999958</v>
      </c>
      <c r="F74" s="6"/>
    </row>
    <row r="75" spans="2:7">
      <c r="B75" s="189"/>
      <c r="C75" s="152"/>
      <c r="D75" s="169"/>
      <c r="E75" s="162"/>
      <c r="F75" s="6"/>
    </row>
    <row r="76" spans="2:7">
      <c r="B76" s="178" t="s">
        <v>89</v>
      </c>
      <c r="C76" s="152"/>
      <c r="D76" s="169">
        <f>SUM(D74,D61,D47)</f>
        <v>2756.9249399999999</v>
      </c>
      <c r="E76" s="169">
        <f>SUM(E74,E61,E47)</f>
        <v>2756.9248993679967</v>
      </c>
      <c r="F76" s="6"/>
    </row>
    <row r="77" spans="2:7">
      <c r="B77" s="161"/>
      <c r="C77" s="152"/>
      <c r="D77" s="162"/>
      <c r="E77" s="162"/>
      <c r="F77" s="6"/>
    </row>
    <row r="78" spans="2:7">
      <c r="B78" s="161"/>
      <c r="C78" s="152"/>
      <c r="D78" s="162"/>
      <c r="E78" s="162"/>
      <c r="G78" s="6"/>
    </row>
    <row r="79" spans="2:7" ht="17.25" customHeight="1">
      <c r="B79" s="190" t="s">
        <v>6</v>
      </c>
      <c r="C79" s="191"/>
      <c r="D79" s="192">
        <f>SUM(D68:D73)</f>
        <v>1048.703</v>
      </c>
      <c r="E79" s="192">
        <f>SUM(E68:E73)</f>
        <v>1048.703</v>
      </c>
    </row>
    <row r="80" spans="2:7" ht="17.25" customHeight="1">
      <c r="B80" s="190" t="s">
        <v>27</v>
      </c>
      <c r="C80" s="191"/>
      <c r="D80" s="162">
        <f>48748.8047597795*10^5/10^7</f>
        <v>487.488047597795</v>
      </c>
      <c r="E80" s="192">
        <f>D80*0.4</f>
        <v>194.99521903911801</v>
      </c>
      <c r="F80" t="s">
        <v>653</v>
      </c>
      <c r="G80" s="4"/>
    </row>
    <row r="81" spans="2:5" ht="17.25" customHeight="1">
      <c r="B81" s="193" t="s">
        <v>28</v>
      </c>
      <c r="C81" s="160"/>
      <c r="D81" s="165"/>
      <c r="E81" s="165">
        <f>SUM(E79:E80)</f>
        <v>1243.6982190391179</v>
      </c>
    </row>
    <row r="82" spans="2:5">
      <c r="B82" s="160"/>
      <c r="C82" s="160"/>
      <c r="D82" s="165"/>
      <c r="E82" s="165"/>
    </row>
    <row r="83" spans="2:5" ht="21" customHeight="1">
      <c r="B83" s="154" t="s">
        <v>29</v>
      </c>
      <c r="C83" s="194"/>
      <c r="D83" s="194"/>
      <c r="E83" s="195">
        <f>E39-E81</f>
        <v>215.22246626020205</v>
      </c>
    </row>
    <row r="84" spans="2:5" ht="18.75" customHeight="1">
      <c r="B84" s="3"/>
      <c r="C84" s="3"/>
      <c r="D84" s="8"/>
      <c r="E84" s="8"/>
    </row>
    <row r="85" spans="2:5">
      <c r="B85" s="3"/>
      <c r="C85" s="3"/>
      <c r="D85" s="8"/>
      <c r="E85" s="8"/>
    </row>
    <row r="86" spans="2:5">
      <c r="B86" s="3"/>
      <c r="C86" s="3"/>
      <c r="D86" s="8"/>
      <c r="E86" s="8"/>
    </row>
    <row r="87" spans="2:5">
      <c r="B87" s="3"/>
      <c r="C87" s="3"/>
      <c r="D87" s="8"/>
      <c r="E87" s="8"/>
    </row>
    <row r="88" spans="2:5">
      <c r="B88" s="3"/>
      <c r="C88" s="3"/>
      <c r="D88" s="8"/>
      <c r="E88" s="8"/>
    </row>
    <row r="89" spans="2:5">
      <c r="B89" s="3"/>
      <c r="C89" s="3"/>
      <c r="D89" s="8"/>
      <c r="E89" s="8"/>
    </row>
    <row r="90" spans="2:5" ht="20.25" customHeight="1">
      <c r="B90" s="3"/>
      <c r="C90" s="3"/>
      <c r="D90" s="8"/>
      <c r="E90" s="8"/>
    </row>
    <row r="91" spans="2:5">
      <c r="B91" s="3"/>
      <c r="C91" s="3"/>
      <c r="D91" s="8"/>
      <c r="E91" s="8"/>
    </row>
    <row r="92" spans="2:5">
      <c r="B92" s="3"/>
      <c r="C92" s="3"/>
      <c r="D92" s="8"/>
      <c r="E92" s="8"/>
    </row>
    <row r="93" spans="2:5">
      <c r="B93" s="3"/>
      <c r="C93" s="3"/>
      <c r="D93" s="8"/>
      <c r="E93" s="8"/>
    </row>
    <row r="94" spans="2:5">
      <c r="B94" s="3"/>
      <c r="C94" s="3"/>
      <c r="D94" s="8"/>
      <c r="E94" s="8"/>
    </row>
    <row r="95" spans="2:5">
      <c r="B95" s="3"/>
      <c r="C95" s="3"/>
      <c r="D95" s="8"/>
      <c r="E95" s="8"/>
    </row>
    <row r="96" spans="2:5">
      <c r="B96" s="3"/>
      <c r="C96" s="3"/>
      <c r="D96" s="8"/>
      <c r="E96" s="8"/>
    </row>
    <row r="97" spans="2:5">
      <c r="B97" s="3"/>
      <c r="C97" s="3"/>
      <c r="D97" s="8"/>
      <c r="E97" s="8"/>
    </row>
    <row r="98" spans="2:5">
      <c r="B98" s="3"/>
      <c r="C98" s="3"/>
      <c r="D98" s="8"/>
      <c r="E98" s="8"/>
    </row>
    <row r="99" spans="2:5">
      <c r="B99" s="3"/>
      <c r="C99" s="3"/>
      <c r="D99" s="8"/>
      <c r="E99" s="8"/>
    </row>
    <row r="100" spans="2:5" ht="21.75" customHeight="1">
      <c r="B100" s="3"/>
      <c r="C100" s="3"/>
      <c r="D100" s="8"/>
      <c r="E100" s="8"/>
    </row>
    <row r="101" spans="2:5">
      <c r="B101" s="3"/>
      <c r="C101" s="3"/>
      <c r="D101" s="8"/>
      <c r="E101" s="8"/>
    </row>
    <row r="102" spans="2:5">
      <c r="B102" s="3"/>
      <c r="C102" s="3"/>
      <c r="D102" s="8"/>
      <c r="E102" s="8"/>
    </row>
    <row r="103" spans="2:5">
      <c r="B103" s="3"/>
      <c r="C103" s="3"/>
      <c r="D103" s="8"/>
      <c r="E103" s="8"/>
    </row>
    <row r="104" spans="2:5">
      <c r="B104" s="3"/>
      <c r="C104" s="3"/>
      <c r="D104" s="8"/>
      <c r="E104" s="8"/>
    </row>
    <row r="105" spans="2:5">
      <c r="B105" s="3"/>
      <c r="C105" s="3"/>
      <c r="D105" s="8"/>
      <c r="E105" s="8"/>
    </row>
    <row r="106" spans="2:5" ht="26.25" customHeight="1">
      <c r="B106" s="3"/>
      <c r="C106" s="3"/>
      <c r="D106" s="8"/>
      <c r="E106" s="8"/>
    </row>
    <row r="107" spans="2:5">
      <c r="B107" s="3"/>
      <c r="C107" s="3"/>
      <c r="D107" s="8"/>
      <c r="E107" s="8"/>
    </row>
    <row r="108" spans="2:5">
      <c r="B108" s="3"/>
      <c r="C108" s="3"/>
      <c r="D108" s="8"/>
      <c r="E108" s="8"/>
    </row>
    <row r="109" spans="2:5">
      <c r="B109" s="3"/>
      <c r="C109" s="3"/>
      <c r="D109" s="8"/>
      <c r="E109" s="8"/>
    </row>
    <row r="110" spans="2:5">
      <c r="B110" s="3"/>
      <c r="C110" s="3"/>
      <c r="D110" s="8"/>
      <c r="E110" s="8"/>
    </row>
    <row r="111" spans="2:5">
      <c r="B111" s="3"/>
      <c r="C111" s="3"/>
      <c r="D111" s="8"/>
      <c r="E111" s="8"/>
    </row>
  </sheetData>
  <pageMargins left="0.7" right="0.7" top="0.75" bottom="0.75" header="0.3" footer="0.3"/>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workbookViewId="0">
      <pane ySplit="3" topLeftCell="A11" activePane="bottomLeft" state="frozen"/>
      <selection pane="bottomLeft" activeCell="A16" sqref="A16:G16"/>
    </sheetView>
  </sheetViews>
  <sheetFormatPr defaultColWidth="8.88671875" defaultRowHeight="11.4"/>
  <cols>
    <col min="1" max="1" width="5.6640625" style="197" bestFit="1" customWidth="1"/>
    <col min="2" max="2" width="46.6640625" style="197" bestFit="1" customWidth="1"/>
    <col min="3" max="3" width="20.33203125" style="197" customWidth="1"/>
    <col min="4" max="5" width="20.6640625" style="197" customWidth="1"/>
    <col min="6" max="6" width="24" style="197" customWidth="1"/>
    <col min="7" max="7" width="57.33203125" style="254" customWidth="1"/>
    <col min="8" max="9" width="9" style="197" bestFit="1" customWidth="1"/>
    <col min="10" max="16384" width="8.88671875" style="197"/>
  </cols>
  <sheetData>
    <row r="1" spans="1:10" ht="13.2">
      <c r="A1" s="471" t="s">
        <v>452</v>
      </c>
      <c r="B1" s="471"/>
      <c r="C1" s="471"/>
      <c r="D1" s="471"/>
      <c r="E1" s="471"/>
      <c r="F1" s="471"/>
      <c r="G1" s="471"/>
    </row>
    <row r="2" spans="1:10" ht="15" customHeight="1" thickBot="1">
      <c r="A2" s="454" t="s">
        <v>422</v>
      </c>
      <c r="B2" s="454"/>
      <c r="C2" s="454"/>
      <c r="D2" s="454"/>
      <c r="E2" s="454"/>
      <c r="F2" s="454"/>
      <c r="G2" s="454"/>
      <c r="H2" s="227"/>
    </row>
    <row r="3" spans="1:10" ht="27.75" customHeight="1" thickBot="1">
      <c r="A3" s="242" t="s">
        <v>350</v>
      </c>
      <c r="B3" s="242" t="s">
        <v>367</v>
      </c>
      <c r="C3" s="229" t="s">
        <v>368</v>
      </c>
      <c r="D3" s="229" t="s">
        <v>356</v>
      </c>
      <c r="E3" s="199" t="s">
        <v>420</v>
      </c>
      <c r="F3" s="199" t="s">
        <v>419</v>
      </c>
      <c r="G3" s="229" t="s">
        <v>357</v>
      </c>
    </row>
    <row r="4" spans="1:10" s="244" customFormat="1" ht="21.6" customHeight="1">
      <c r="A4" s="472" t="s">
        <v>369</v>
      </c>
      <c r="B4" s="472"/>
      <c r="C4" s="472"/>
      <c r="D4" s="472"/>
      <c r="E4" s="472"/>
      <c r="F4" s="472"/>
      <c r="G4" s="472"/>
      <c r="H4" s="243"/>
    </row>
    <row r="5" spans="1:10" s="244" customFormat="1" ht="21.6" customHeight="1">
      <c r="A5" s="320"/>
      <c r="B5" s="139" t="s">
        <v>450</v>
      </c>
      <c r="C5" s="320"/>
      <c r="D5" s="320"/>
      <c r="E5" s="320"/>
      <c r="F5" s="320"/>
      <c r="G5" s="320"/>
      <c r="H5" s="243"/>
    </row>
    <row r="6" spans="1:10" s="244" customFormat="1" ht="21.6" customHeight="1">
      <c r="A6" s="320"/>
      <c r="B6" s="297" t="s">
        <v>113</v>
      </c>
      <c r="C6" s="320"/>
      <c r="D6" s="320"/>
      <c r="E6" s="320"/>
      <c r="F6" s="320"/>
      <c r="G6" s="320"/>
      <c r="H6" s="243"/>
    </row>
    <row r="7" spans="1:10" s="244" customFormat="1" ht="21.6" hidden="1" customHeight="1">
      <c r="A7" s="320">
        <v>1</v>
      </c>
      <c r="B7" s="297" t="s">
        <v>114</v>
      </c>
      <c r="C7" s="162">
        <v>0</v>
      </c>
      <c r="D7" s="162">
        <v>0</v>
      </c>
      <c r="E7" s="162">
        <v>0</v>
      </c>
      <c r="F7" s="162">
        <v>0</v>
      </c>
      <c r="G7" s="320"/>
      <c r="H7" s="243"/>
    </row>
    <row r="8" spans="1:10" s="244" customFormat="1" ht="93.6" customHeight="1">
      <c r="A8" s="417">
        <v>1</v>
      </c>
      <c r="B8" s="416" t="s">
        <v>115</v>
      </c>
      <c r="C8" s="368">
        <f>2096.94*10^5/10^7</f>
        <v>20.9694</v>
      </c>
      <c r="D8" s="368">
        <f>2096.94*10^5/10^7-18.75+3</f>
        <v>5.2194000000000003</v>
      </c>
      <c r="E8" s="162">
        <f>D8*I8</f>
        <v>5.2194000000000003</v>
      </c>
      <c r="F8" s="162">
        <f>D8*J8</f>
        <v>5.2194000000000003</v>
      </c>
      <c r="G8" s="370" t="s">
        <v>644</v>
      </c>
      <c r="H8" s="243"/>
      <c r="I8" s="248">
        <v>1</v>
      </c>
      <c r="J8" s="248">
        <v>1</v>
      </c>
    </row>
    <row r="9" spans="1:10" s="244" customFormat="1" ht="21.6" hidden="1" customHeight="1">
      <c r="A9" s="417">
        <v>3</v>
      </c>
      <c r="B9" s="415" t="s">
        <v>116</v>
      </c>
      <c r="C9" s="162">
        <v>0</v>
      </c>
      <c r="D9" s="162">
        <v>0</v>
      </c>
      <c r="E9" s="162">
        <v>0</v>
      </c>
      <c r="F9" s="162">
        <v>0</v>
      </c>
      <c r="G9" s="320"/>
      <c r="H9" s="243"/>
    </row>
    <row r="10" spans="1:10" s="244" customFormat="1" ht="45.6">
      <c r="A10" s="417">
        <v>2</v>
      </c>
      <c r="B10" s="416" t="s">
        <v>117</v>
      </c>
      <c r="C10" s="368">
        <f>14.57*10^5/10^7</f>
        <v>0.1457</v>
      </c>
      <c r="D10" s="368">
        <f>14.57*10^5/10^7</f>
        <v>0.1457</v>
      </c>
      <c r="E10" s="162">
        <f>D10*I10</f>
        <v>0.1457</v>
      </c>
      <c r="F10" s="162">
        <f>D10*J10</f>
        <v>0.1457</v>
      </c>
      <c r="G10" s="369" t="s">
        <v>645</v>
      </c>
      <c r="H10" s="197"/>
      <c r="I10" s="248">
        <v>1</v>
      </c>
      <c r="J10" s="248">
        <v>1</v>
      </c>
    </row>
    <row r="11" spans="1:10" s="219" customFormat="1" ht="12">
      <c r="A11" s="324"/>
      <c r="B11" s="325" t="s">
        <v>19</v>
      </c>
      <c r="C11" s="326">
        <f>SUM(C7:C10)</f>
        <v>21.115100000000002</v>
      </c>
      <c r="D11" s="326">
        <f>SUM(D7:D10)</f>
        <v>5.3651</v>
      </c>
      <c r="E11" s="326">
        <f>SUM(E7:E10)</f>
        <v>5.3651</v>
      </c>
      <c r="F11" s="326">
        <f>SUM(F7:F10)</f>
        <v>5.3651</v>
      </c>
      <c r="G11" s="315"/>
      <c r="H11" s="197"/>
    </row>
    <row r="12" spans="1:10" s="244" customFormat="1" ht="14.4">
      <c r="A12" s="320"/>
      <c r="B12" s="139" t="s">
        <v>451</v>
      </c>
      <c r="C12" s="245"/>
      <c r="D12" s="330"/>
      <c r="E12" s="246"/>
      <c r="F12" s="246"/>
      <c r="G12" s="323"/>
      <c r="H12" s="197"/>
      <c r="I12" s="248"/>
      <c r="J12" s="248"/>
    </row>
    <row r="13" spans="1:10" s="244" customFormat="1" ht="45.6">
      <c r="A13" s="417">
        <v>1</v>
      </c>
      <c r="B13" s="190" t="s">
        <v>118</v>
      </c>
      <c r="C13" s="162">
        <f>229.44*10^5/10^7</f>
        <v>2.2944</v>
      </c>
      <c r="D13" s="162">
        <f>229.44*10^5/10^7</f>
        <v>2.2944</v>
      </c>
      <c r="E13" s="162">
        <f>D13*I13</f>
        <v>2.2944</v>
      </c>
      <c r="F13" s="162">
        <f>D13*J13</f>
        <v>2.2944</v>
      </c>
      <c r="G13" s="323" t="s">
        <v>646</v>
      </c>
      <c r="H13" s="247"/>
      <c r="I13" s="248">
        <v>1</v>
      </c>
      <c r="J13" s="248">
        <v>1</v>
      </c>
    </row>
    <row r="14" spans="1:10" s="244" customFormat="1" ht="107.4" customHeight="1">
      <c r="A14" s="417">
        <v>2</v>
      </c>
      <c r="B14" s="190" t="s">
        <v>119</v>
      </c>
      <c r="C14" s="368">
        <f>2017.3*10^5/10^7</f>
        <v>20.172999999999998</v>
      </c>
      <c r="D14" s="368">
        <f>2017.3*10^5/10^7-14-6</f>
        <v>0.17299999999999827</v>
      </c>
      <c r="E14" s="162">
        <f>D14*I14</f>
        <v>0.17299999999999827</v>
      </c>
      <c r="F14" s="162">
        <f>D14*J14</f>
        <v>0.17299999999999827</v>
      </c>
      <c r="G14" s="371" t="s">
        <v>647</v>
      </c>
      <c r="H14" s="211"/>
      <c r="I14" s="248">
        <v>1</v>
      </c>
      <c r="J14" s="248">
        <v>1</v>
      </c>
    </row>
    <row r="15" spans="1:10" s="219" customFormat="1" ht="12">
      <c r="A15" s="324"/>
      <c r="B15" s="325" t="s">
        <v>19</v>
      </c>
      <c r="C15" s="326">
        <f>SUM(C13:C14)</f>
        <v>22.467399999999998</v>
      </c>
      <c r="D15" s="326">
        <f>SUM(D13:D14)</f>
        <v>2.4673999999999983</v>
      </c>
      <c r="E15" s="326">
        <f>SUM(E13:E14)</f>
        <v>2.4673999999999983</v>
      </c>
      <c r="F15" s="326">
        <f>SUM(F13:F14)</f>
        <v>2.4673999999999983</v>
      </c>
      <c r="G15" s="315"/>
      <c r="H15" s="197"/>
    </row>
    <row r="16" spans="1:10" ht="13.95" customHeight="1">
      <c r="A16" s="473"/>
      <c r="B16" s="473"/>
      <c r="C16" s="473"/>
      <c r="D16" s="473"/>
      <c r="E16" s="473"/>
      <c r="F16" s="473"/>
      <c r="G16" s="473"/>
    </row>
    <row r="17" spans="1:7">
      <c r="A17" s="462" t="s">
        <v>363</v>
      </c>
      <c r="B17" s="462"/>
      <c r="C17" s="462"/>
      <c r="D17" s="462"/>
      <c r="E17" s="462"/>
      <c r="F17" s="462"/>
      <c r="G17" s="462"/>
    </row>
    <row r="18" spans="1:7" ht="14.4" customHeight="1">
      <c r="A18" s="463" t="s">
        <v>370</v>
      </c>
      <c r="B18" s="463"/>
      <c r="C18" s="463"/>
      <c r="D18" s="463"/>
      <c r="E18" s="463"/>
      <c r="F18" s="463"/>
      <c r="G18" s="470"/>
    </row>
    <row r="19" spans="1:7">
      <c r="A19" s="463"/>
      <c r="B19" s="463"/>
      <c r="C19" s="463"/>
      <c r="D19" s="463"/>
      <c r="E19" s="463"/>
      <c r="F19" s="463"/>
      <c r="G19" s="463"/>
    </row>
    <row r="20" spans="1:7">
      <c r="A20" s="463"/>
      <c r="B20" s="463"/>
      <c r="C20" s="463"/>
      <c r="D20" s="463"/>
      <c r="E20" s="463"/>
      <c r="F20" s="463"/>
      <c r="G20" s="463"/>
    </row>
    <row r="21" spans="1:7">
      <c r="A21" s="463"/>
      <c r="B21" s="463"/>
      <c r="C21" s="463"/>
      <c r="D21" s="463"/>
      <c r="E21" s="463"/>
      <c r="F21" s="463"/>
      <c r="G21" s="463"/>
    </row>
    <row r="22" spans="1:7">
      <c r="A22" s="463"/>
      <c r="B22" s="463"/>
      <c r="C22" s="463"/>
      <c r="D22" s="463"/>
      <c r="E22" s="463"/>
      <c r="F22" s="463"/>
      <c r="G22" s="463"/>
    </row>
    <row r="23" spans="1:7">
      <c r="A23" s="463"/>
      <c r="B23" s="463"/>
      <c r="C23" s="463"/>
      <c r="D23" s="463"/>
      <c r="E23" s="463"/>
      <c r="F23" s="463"/>
      <c r="G23" s="463"/>
    </row>
    <row r="24" spans="1:7">
      <c r="A24" s="463"/>
      <c r="B24" s="463"/>
      <c r="C24" s="463"/>
      <c r="D24" s="463"/>
      <c r="E24" s="463"/>
      <c r="F24" s="463"/>
      <c r="G24" s="463"/>
    </row>
    <row r="25" spans="1:7">
      <c r="A25" s="463"/>
      <c r="B25" s="463"/>
      <c r="C25" s="463"/>
      <c r="D25" s="463"/>
      <c r="E25" s="463"/>
      <c r="F25" s="463"/>
      <c r="G25" s="463"/>
    </row>
    <row r="26" spans="1:7">
      <c r="A26" s="223"/>
      <c r="B26" s="223"/>
      <c r="C26" s="223"/>
      <c r="D26" s="223"/>
      <c r="E26" s="223"/>
      <c r="F26" s="223"/>
      <c r="G26" s="252"/>
    </row>
    <row r="27" spans="1:7">
      <c r="A27" s="223"/>
      <c r="B27" s="223"/>
      <c r="C27" s="223"/>
      <c r="D27" s="223"/>
      <c r="E27" s="223"/>
      <c r="F27" s="223"/>
      <c r="G27" s="252"/>
    </row>
    <row r="28" spans="1:7">
      <c r="A28" s="226"/>
      <c r="B28" s="226"/>
      <c r="C28" s="226"/>
      <c r="D28" s="226"/>
      <c r="E28" s="226"/>
      <c r="F28" s="226"/>
      <c r="G28" s="253"/>
    </row>
    <row r="29" spans="1:7">
      <c r="A29" s="226"/>
      <c r="B29" s="226"/>
      <c r="C29" s="226"/>
      <c r="D29" s="226"/>
      <c r="E29" s="226"/>
      <c r="F29" s="226"/>
      <c r="G29" s="253"/>
    </row>
    <row r="30" spans="1:7">
      <c r="A30" s="226"/>
      <c r="B30" s="226"/>
      <c r="C30" s="226"/>
      <c r="D30" s="226"/>
      <c r="E30" s="226"/>
      <c r="F30" s="226"/>
      <c r="G30" s="253"/>
    </row>
  </sheetData>
  <mergeCells count="6">
    <mergeCell ref="A18:G25"/>
    <mergeCell ref="A1:G1"/>
    <mergeCell ref="A2:G2"/>
    <mergeCell ref="A4:G4"/>
    <mergeCell ref="A16:G16"/>
    <mergeCell ref="A17:G17"/>
  </mergeCells>
  <pageMargins left="0.7" right="0.7" top="0.75" bottom="0.75" header="0.3" footer="0.3"/>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6"/>
  <sheetViews>
    <sheetView showGridLines="0" zoomScale="98" zoomScaleNormal="98" workbookViewId="0">
      <pane ySplit="3" topLeftCell="A11" activePane="bottomLeft" state="frozen"/>
      <selection pane="bottomLeft" activeCell="E12" sqref="E12"/>
    </sheetView>
  </sheetViews>
  <sheetFormatPr defaultColWidth="8.88671875" defaultRowHeight="11.4"/>
  <cols>
    <col min="1" max="1" width="7.6640625" style="241" customWidth="1"/>
    <col min="2" max="2" width="31.44140625" style="220" customWidth="1"/>
    <col min="3" max="3" width="27.109375" style="220" hidden="1" customWidth="1"/>
    <col min="4" max="4" width="26.109375" style="220" customWidth="1"/>
    <col min="5" max="5" width="11.5546875" style="241" bestFit="1" customWidth="1"/>
    <col min="6" max="6" width="18.6640625" style="241" customWidth="1"/>
    <col min="7" max="7" width="24.33203125" style="241" customWidth="1"/>
    <col min="8" max="8" width="49" style="241" customWidth="1"/>
    <col min="9" max="9" width="15.109375" style="241" customWidth="1"/>
    <col min="10" max="10" width="36.33203125" style="241" customWidth="1"/>
    <col min="11" max="11" width="13" style="241" customWidth="1"/>
    <col min="12" max="12" width="20.6640625" style="219" customWidth="1"/>
    <col min="13" max="13" width="17.33203125" style="219" customWidth="1"/>
    <col min="14" max="14" width="35.77734375" style="219" customWidth="1"/>
    <col min="15" max="16384" width="8.88671875" style="219"/>
  </cols>
  <sheetData>
    <row r="1" spans="1:13" ht="12">
      <c r="A1" s="483" t="s">
        <v>652</v>
      </c>
      <c r="B1" s="484"/>
      <c r="C1" s="484"/>
      <c r="D1" s="484"/>
      <c r="E1" s="484"/>
      <c r="F1" s="484"/>
      <c r="G1" s="484"/>
      <c r="H1" s="484"/>
      <c r="I1" s="255"/>
      <c r="J1" s="255"/>
      <c r="K1" s="255"/>
      <c r="L1" s="255"/>
      <c r="M1" s="255"/>
    </row>
    <row r="2" spans="1:13" ht="13.2" customHeight="1" thickBot="1">
      <c r="A2" s="485" t="s">
        <v>422</v>
      </c>
      <c r="B2" s="486"/>
      <c r="C2" s="486"/>
      <c r="D2" s="486"/>
      <c r="E2" s="486"/>
      <c r="F2" s="486"/>
      <c r="G2" s="486"/>
      <c r="H2" s="487"/>
      <c r="I2" s="256"/>
      <c r="J2" s="256"/>
      <c r="K2" s="256"/>
      <c r="L2" s="257"/>
      <c r="M2" s="257"/>
    </row>
    <row r="3" spans="1:13" ht="36.6" thickBot="1">
      <c r="A3" s="258" t="s">
        <v>350</v>
      </c>
      <c r="B3" s="258" t="s">
        <v>371</v>
      </c>
      <c r="C3" s="259" t="s">
        <v>289</v>
      </c>
      <c r="D3" s="260" t="s">
        <v>372</v>
      </c>
      <c r="E3" s="261" t="s">
        <v>356</v>
      </c>
      <c r="F3" s="199" t="s">
        <v>420</v>
      </c>
      <c r="G3" s="199" t="s">
        <v>419</v>
      </c>
      <c r="H3" s="258" t="s">
        <v>357</v>
      </c>
      <c r="I3" s="219"/>
      <c r="J3" s="219"/>
      <c r="K3" s="219"/>
    </row>
    <row r="4" spans="1:13" ht="14.4" customHeight="1">
      <c r="A4" s="488" t="s">
        <v>369</v>
      </c>
      <c r="B4" s="488"/>
      <c r="C4" s="488"/>
      <c r="D4" s="488"/>
      <c r="E4" s="488"/>
      <c r="F4" s="488"/>
      <c r="G4" s="488"/>
      <c r="H4" s="489"/>
      <c r="I4" s="219"/>
      <c r="J4" s="219"/>
      <c r="K4" s="219"/>
    </row>
    <row r="5" spans="1:13" ht="48" customHeight="1">
      <c r="A5" s="268"/>
      <c r="B5" s="160" t="s">
        <v>94</v>
      </c>
      <c r="C5" s="262" t="s">
        <v>373</v>
      </c>
      <c r="D5" s="263"/>
      <c r="E5" s="264"/>
      <c r="F5" s="265"/>
      <c r="G5" s="266"/>
      <c r="H5" s="299"/>
      <c r="I5" s="267"/>
      <c r="J5" s="267"/>
      <c r="K5" s="267"/>
    </row>
    <row r="6" spans="1:13" ht="14.4" hidden="1">
      <c r="A6" s="321">
        <v>1</v>
      </c>
      <c r="B6" s="152" t="s">
        <v>95</v>
      </c>
      <c r="C6" s="262" t="s">
        <v>374</v>
      </c>
      <c r="D6" s="162">
        <v>0</v>
      </c>
      <c r="E6" s="162">
        <v>0</v>
      </c>
      <c r="F6" s="314"/>
      <c r="G6" s="329"/>
      <c r="H6" s="299"/>
      <c r="I6" s="267"/>
      <c r="J6" s="267"/>
      <c r="K6" s="267"/>
    </row>
    <row r="7" spans="1:13" ht="148.19999999999999">
      <c r="A7" s="321">
        <v>1</v>
      </c>
      <c r="B7" s="164" t="s">
        <v>96</v>
      </c>
      <c r="C7" s="418" t="s">
        <v>375</v>
      </c>
      <c r="D7" s="300">
        <f>81.69*10^5/10^7</f>
        <v>0.81689999999999996</v>
      </c>
      <c r="E7" s="300">
        <f>D7*I7</f>
        <v>0.65351999999999999</v>
      </c>
      <c r="F7" s="419">
        <f>D7*J7</f>
        <v>0.40844999999999998</v>
      </c>
      <c r="G7" s="266">
        <f>D7*K7</f>
        <v>0.24506999999999998</v>
      </c>
      <c r="H7" s="299" t="s">
        <v>657</v>
      </c>
      <c r="I7" s="267">
        <v>0.8</v>
      </c>
      <c r="J7" s="267">
        <v>0.5</v>
      </c>
      <c r="K7" s="267">
        <v>0.3</v>
      </c>
    </row>
    <row r="8" spans="1:13" ht="79.8">
      <c r="A8" s="321">
        <v>2</v>
      </c>
      <c r="B8" s="164" t="s">
        <v>97</v>
      </c>
      <c r="C8" s="418" t="s">
        <v>376</v>
      </c>
      <c r="D8" s="300">
        <f>625.68*10^5/10^7</f>
        <v>6.2567999999999993</v>
      </c>
      <c r="E8" s="300">
        <f>625.68*10^5/10^7-6.26</f>
        <v>-3.2000000000005357E-3</v>
      </c>
      <c r="F8" s="300">
        <v>0</v>
      </c>
      <c r="G8" s="300">
        <v>0</v>
      </c>
      <c r="H8" s="299" t="s">
        <v>656</v>
      </c>
      <c r="I8" s="267"/>
      <c r="J8" s="267"/>
      <c r="K8" s="267"/>
    </row>
    <row r="9" spans="1:13" ht="14.4" hidden="1">
      <c r="A9" s="201">
        <v>4</v>
      </c>
      <c r="B9" s="164" t="s">
        <v>98</v>
      </c>
      <c r="C9" s="418" t="s">
        <v>377</v>
      </c>
      <c r="D9" s="300">
        <v>0</v>
      </c>
      <c r="E9" s="300">
        <v>0</v>
      </c>
      <c r="F9" s="300">
        <v>0</v>
      </c>
      <c r="G9" s="300">
        <v>0</v>
      </c>
      <c r="H9" s="299"/>
      <c r="I9" s="267"/>
      <c r="J9" s="267"/>
      <c r="K9" s="267"/>
    </row>
    <row r="10" spans="1:13" ht="296.39999999999998">
      <c r="A10" s="201">
        <v>3</v>
      </c>
      <c r="B10" s="164" t="s">
        <v>99</v>
      </c>
      <c r="C10" s="420" t="s">
        <v>378</v>
      </c>
      <c r="D10" s="300">
        <f>52.67*10^5/10^7</f>
        <v>0.52669999999999995</v>
      </c>
      <c r="E10" s="300">
        <f>D10*I10</f>
        <v>0.52669999999999995</v>
      </c>
      <c r="F10" s="300">
        <f>D10*J10</f>
        <v>0.39502499999999996</v>
      </c>
      <c r="G10" s="300">
        <f>D10*K10</f>
        <v>0.10533999999999999</v>
      </c>
      <c r="H10" s="299" t="s">
        <v>648</v>
      </c>
      <c r="I10" s="267">
        <v>1</v>
      </c>
      <c r="J10" s="267">
        <v>0.75</v>
      </c>
      <c r="K10" s="267">
        <v>0.2</v>
      </c>
    </row>
    <row r="11" spans="1:13" ht="103.2" thickBot="1">
      <c r="A11" s="201">
        <v>4</v>
      </c>
      <c r="B11" s="164" t="s">
        <v>100</v>
      </c>
      <c r="C11" s="418" t="s">
        <v>379</v>
      </c>
      <c r="D11" s="300">
        <f>0.9*10^5/10^7</f>
        <v>8.9999999999999993E-3</v>
      </c>
      <c r="E11" s="334">
        <f>D11*I11</f>
        <v>4.4999999999999997E-3</v>
      </c>
      <c r="F11" s="421">
        <f>D11*J11</f>
        <v>1.3499999999999999E-3</v>
      </c>
      <c r="G11" s="422">
        <f>D11*K11</f>
        <v>4.4999999999999999E-4</v>
      </c>
      <c r="H11" s="299" t="s">
        <v>655</v>
      </c>
      <c r="I11" s="423">
        <v>0.5</v>
      </c>
      <c r="J11" s="267">
        <v>0.15</v>
      </c>
      <c r="K11" s="267">
        <v>0.05</v>
      </c>
    </row>
    <row r="12" spans="1:13" ht="12">
      <c r="A12" s="364"/>
      <c r="B12" s="353" t="s">
        <v>19</v>
      </c>
      <c r="C12" s="354"/>
      <c r="D12" s="355">
        <f>SUM(D6:D11)</f>
        <v>7.6093999999999991</v>
      </c>
      <c r="E12" s="356">
        <f>SUM(E6:E11)</f>
        <v>1.1815199999999992</v>
      </c>
      <c r="F12" s="357">
        <f>SUM(F5:F11)</f>
        <v>0.8048249999999999</v>
      </c>
      <c r="G12" s="358">
        <f>SUM(G5:G11)</f>
        <v>0.35086000000000001</v>
      </c>
      <c r="H12" s="359"/>
      <c r="I12" s="219"/>
      <c r="J12" s="219"/>
      <c r="K12" s="219"/>
    </row>
    <row r="13" spans="1:13" ht="14.4">
      <c r="A13" s="321"/>
      <c r="B13" s="360" t="s">
        <v>437</v>
      </c>
      <c r="C13" s="162"/>
      <c r="D13" s="300"/>
      <c r="E13" s="204"/>
      <c r="F13" s="204"/>
      <c r="G13" s="319"/>
      <c r="H13" s="268"/>
    </row>
    <row r="14" spans="1:13" ht="97.2" customHeight="1">
      <c r="A14" s="201">
        <v>1</v>
      </c>
      <c r="B14" s="365" t="s">
        <v>212</v>
      </c>
      <c r="C14" s="219"/>
      <c r="D14" s="162">
        <f>363.18*10^5/10^7</f>
        <v>3.6318000000000001</v>
      </c>
      <c r="E14" s="162">
        <f>363.18*10^5/10^7</f>
        <v>3.6318000000000001</v>
      </c>
      <c r="F14" s="264">
        <f>E14*J14</f>
        <v>3.6318000000000001</v>
      </c>
      <c r="G14" s="329">
        <f>E14*K14</f>
        <v>3.6318000000000001</v>
      </c>
      <c r="H14" s="313" t="s">
        <v>649</v>
      </c>
      <c r="J14" s="141">
        <v>1</v>
      </c>
      <c r="K14" s="141">
        <v>1</v>
      </c>
    </row>
    <row r="15" spans="1:13" ht="12">
      <c r="A15" s="305"/>
      <c r="B15" s="306"/>
      <c r="C15" s="306"/>
      <c r="D15" s="301">
        <f>D14</f>
        <v>3.6318000000000001</v>
      </c>
      <c r="E15" s="301">
        <f>E14</f>
        <v>3.6318000000000001</v>
      </c>
      <c r="F15" s="301">
        <f>F14</f>
        <v>3.6318000000000001</v>
      </c>
      <c r="G15" s="301">
        <f>G14</f>
        <v>3.6318000000000001</v>
      </c>
      <c r="H15" s="309"/>
    </row>
    <row r="16" spans="1:13">
      <c r="A16" s="226"/>
      <c r="B16" s="226"/>
      <c r="C16" s="226"/>
      <c r="D16" s="226"/>
      <c r="E16" s="226"/>
      <c r="F16" s="226"/>
      <c r="G16" s="226"/>
      <c r="H16" s="226"/>
      <c r="I16" s="219"/>
      <c r="J16" s="219"/>
      <c r="K16" s="219"/>
    </row>
    <row r="17" spans="1:14">
      <c r="A17" s="439" t="s">
        <v>363</v>
      </c>
      <c r="B17" s="440"/>
      <c r="C17" s="440"/>
      <c r="D17" s="440"/>
      <c r="E17" s="440"/>
      <c r="F17" s="440"/>
      <c r="G17" s="440"/>
      <c r="H17" s="441"/>
    </row>
    <row r="18" spans="1:14" ht="11.4" customHeight="1">
      <c r="A18" s="474" t="s">
        <v>380</v>
      </c>
      <c r="B18" s="475"/>
      <c r="C18" s="475"/>
      <c r="D18" s="475"/>
      <c r="E18" s="475"/>
      <c r="F18" s="475"/>
      <c r="G18" s="475"/>
      <c r="H18" s="476"/>
    </row>
    <row r="19" spans="1:14">
      <c r="A19" s="477"/>
      <c r="B19" s="478"/>
      <c r="C19" s="478"/>
      <c r="D19" s="478"/>
      <c r="E19" s="478"/>
      <c r="F19" s="478"/>
      <c r="G19" s="478"/>
      <c r="H19" s="479"/>
    </row>
    <row r="20" spans="1:14">
      <c r="A20" s="477"/>
      <c r="B20" s="478"/>
      <c r="C20" s="478"/>
      <c r="D20" s="478"/>
      <c r="E20" s="478"/>
      <c r="F20" s="478"/>
      <c r="G20" s="478"/>
      <c r="H20" s="479"/>
    </row>
    <row r="21" spans="1:14">
      <c r="A21" s="477"/>
      <c r="B21" s="478"/>
      <c r="C21" s="478"/>
      <c r="D21" s="478"/>
      <c r="E21" s="478"/>
      <c r="F21" s="478"/>
      <c r="G21" s="478"/>
      <c r="H21" s="479"/>
      <c r="I21" s="219"/>
      <c r="J21" s="219"/>
      <c r="K21" s="219"/>
    </row>
    <row r="22" spans="1:14">
      <c r="A22" s="477"/>
      <c r="B22" s="478"/>
      <c r="C22" s="478"/>
      <c r="D22" s="478"/>
      <c r="E22" s="478"/>
      <c r="F22" s="478"/>
      <c r="G22" s="478"/>
      <c r="H22" s="479"/>
      <c r="I22" s="219"/>
      <c r="J22" s="219"/>
      <c r="K22" s="219"/>
    </row>
    <row r="23" spans="1:14">
      <c r="A23" s="477"/>
      <c r="B23" s="478"/>
      <c r="C23" s="478"/>
      <c r="D23" s="478"/>
      <c r="E23" s="478"/>
      <c r="F23" s="478"/>
      <c r="G23" s="478"/>
      <c r="H23" s="479"/>
      <c r="I23" s="219"/>
      <c r="J23" s="219"/>
      <c r="K23" s="219"/>
    </row>
    <row r="24" spans="1:14">
      <c r="A24" s="477"/>
      <c r="B24" s="478"/>
      <c r="C24" s="478"/>
      <c r="D24" s="478"/>
      <c r="E24" s="478"/>
      <c r="F24" s="478"/>
      <c r="G24" s="478"/>
      <c r="H24" s="479"/>
      <c r="I24" s="219"/>
      <c r="J24" s="219"/>
      <c r="K24" s="219"/>
    </row>
    <row r="25" spans="1:14">
      <c r="A25" s="477"/>
      <c r="B25" s="478"/>
      <c r="C25" s="478"/>
      <c r="D25" s="478"/>
      <c r="E25" s="478"/>
      <c r="F25" s="478"/>
      <c r="G25" s="478"/>
      <c r="H25" s="479"/>
      <c r="I25" s="219"/>
      <c r="J25" s="219"/>
      <c r="K25" s="219"/>
    </row>
    <row r="26" spans="1:14">
      <c r="A26" s="480"/>
      <c r="B26" s="481"/>
      <c r="C26" s="481"/>
      <c r="D26" s="481"/>
      <c r="E26" s="481"/>
      <c r="F26" s="481"/>
      <c r="G26" s="481"/>
      <c r="H26" s="482"/>
      <c r="I26" s="219"/>
      <c r="J26" s="219"/>
      <c r="K26" s="219"/>
    </row>
    <row r="27" spans="1:14">
      <c r="A27" s="226"/>
      <c r="B27" s="226"/>
      <c r="C27" s="226"/>
      <c r="D27" s="226"/>
      <c r="E27" s="226"/>
      <c r="F27" s="226"/>
      <c r="G27" s="226"/>
      <c r="H27" s="226"/>
      <c r="I27" s="219"/>
      <c r="J27" s="219"/>
      <c r="K27" s="219"/>
    </row>
    <row r="28" spans="1:14" ht="12">
      <c r="A28" s="226"/>
      <c r="B28" s="226"/>
      <c r="C28" s="226"/>
      <c r="D28" s="226"/>
      <c r="E28" s="226"/>
      <c r="F28" s="226"/>
      <c r="G28" s="226"/>
      <c r="H28" s="226"/>
      <c r="I28" s="452" t="s">
        <v>630</v>
      </c>
      <c r="J28" s="452"/>
      <c r="K28" s="452"/>
      <c r="L28" s="452"/>
      <c r="M28" s="452"/>
      <c r="N28" s="452"/>
    </row>
    <row r="29" spans="1:14">
      <c r="A29" s="226"/>
      <c r="B29" s="226"/>
      <c r="C29" s="226"/>
      <c r="D29" s="226"/>
      <c r="E29" s="226"/>
      <c r="F29" s="226"/>
      <c r="G29" s="226"/>
      <c r="H29" s="226"/>
      <c r="I29" s="458" t="s">
        <v>423</v>
      </c>
      <c r="J29" s="459"/>
      <c r="K29" s="459"/>
      <c r="L29" s="459"/>
      <c r="M29" s="459"/>
      <c r="N29" s="459"/>
    </row>
    <row r="30" spans="1:14" ht="14.4">
      <c r="A30" s="226"/>
      <c r="B30" s="226"/>
      <c r="C30" s="226"/>
      <c r="D30" s="226"/>
      <c r="E30" s="226"/>
      <c r="F30" s="226"/>
      <c r="G30" s="226"/>
      <c r="H30" s="226"/>
      <c r="I30" s="378" t="s">
        <v>456</v>
      </c>
      <c r="J30" s="379" t="s">
        <v>457</v>
      </c>
      <c r="K30" s="380" t="s">
        <v>458</v>
      </c>
      <c r="L30" s="381" t="s">
        <v>459</v>
      </c>
      <c r="M30" s="381" t="s">
        <v>460</v>
      </c>
      <c r="N30" s="381" t="s">
        <v>461</v>
      </c>
    </row>
    <row r="31" spans="1:14" ht="14.4">
      <c r="A31" s="226"/>
      <c r="B31" s="226"/>
      <c r="C31" s="226"/>
      <c r="D31" s="226"/>
      <c r="E31" s="226"/>
      <c r="F31" s="226"/>
      <c r="G31" s="226"/>
      <c r="H31" s="226"/>
      <c r="I31" s="460" t="s">
        <v>610</v>
      </c>
      <c r="J31" s="460"/>
      <c r="K31" s="460"/>
      <c r="L31" s="460"/>
      <c r="M31" s="460"/>
      <c r="N31" s="460"/>
    </row>
    <row r="32" spans="1:14" ht="13.8">
      <c r="A32" s="219"/>
      <c r="B32" s="219"/>
      <c r="C32" s="219"/>
      <c r="D32" s="219"/>
      <c r="E32" s="219"/>
      <c r="F32" s="219"/>
      <c r="G32" s="219"/>
      <c r="H32" s="219"/>
      <c r="I32" s="375">
        <v>36525</v>
      </c>
      <c r="J32" s="412" t="s">
        <v>611</v>
      </c>
      <c r="K32" s="376">
        <v>500000</v>
      </c>
      <c r="L32" s="373" t="s">
        <v>99</v>
      </c>
      <c r="M32" s="373">
        <v>8126</v>
      </c>
      <c r="N32" s="490" t="s">
        <v>612</v>
      </c>
    </row>
    <row r="33" spans="1:14" ht="13.8">
      <c r="A33" s="219"/>
      <c r="B33" s="219"/>
      <c r="C33" s="219"/>
      <c r="D33" s="219"/>
      <c r="E33" s="219"/>
      <c r="F33" s="219"/>
      <c r="G33" s="219"/>
      <c r="H33" s="219"/>
      <c r="I33" s="375">
        <v>36525</v>
      </c>
      <c r="J33" s="412" t="s">
        <v>611</v>
      </c>
      <c r="K33" s="376">
        <v>4000000</v>
      </c>
      <c r="L33" s="373" t="s">
        <v>99</v>
      </c>
      <c r="M33" s="373">
        <v>8126</v>
      </c>
      <c r="N33" s="490"/>
    </row>
    <row r="34" spans="1:14" ht="14.4">
      <c r="A34" s="219"/>
      <c r="B34" s="219"/>
      <c r="C34" s="219"/>
      <c r="D34" s="219"/>
      <c r="E34" s="219"/>
      <c r="F34" s="219"/>
      <c r="G34" s="219"/>
      <c r="H34" s="219"/>
      <c r="I34" s="407">
        <v>44561</v>
      </c>
      <c r="J34" s="412" t="s">
        <v>613</v>
      </c>
      <c r="K34" s="408">
        <v>57055.86</v>
      </c>
      <c r="L34" s="373" t="s">
        <v>99</v>
      </c>
      <c r="M34" s="409">
        <v>90</v>
      </c>
      <c r="N34" s="152"/>
    </row>
    <row r="35" spans="1:14" ht="14.4">
      <c r="A35" s="219"/>
      <c r="B35" s="219"/>
      <c r="C35" s="219"/>
      <c r="D35" s="219"/>
      <c r="E35" s="219"/>
      <c r="F35" s="219"/>
      <c r="G35" s="219"/>
      <c r="H35" s="219"/>
      <c r="I35" s="407">
        <v>44594</v>
      </c>
      <c r="J35" s="412" t="s">
        <v>613</v>
      </c>
      <c r="K35" s="408">
        <v>-12965</v>
      </c>
      <c r="L35" s="373" t="s">
        <v>99</v>
      </c>
      <c r="M35" s="409">
        <v>57</v>
      </c>
      <c r="N35" s="152"/>
    </row>
    <row r="36" spans="1:14" ht="13.8">
      <c r="A36" s="219"/>
      <c r="B36" s="219"/>
      <c r="C36" s="219"/>
      <c r="D36" s="219"/>
      <c r="E36" s="219"/>
      <c r="F36" s="219"/>
      <c r="G36" s="219"/>
      <c r="H36" s="219"/>
      <c r="I36" s="375">
        <v>38786</v>
      </c>
      <c r="J36" s="412" t="s">
        <v>471</v>
      </c>
      <c r="K36" s="376">
        <v>18000</v>
      </c>
      <c r="L36" s="373" t="s">
        <v>99</v>
      </c>
      <c r="M36" s="373">
        <v>5865</v>
      </c>
      <c r="N36" s="490" t="s">
        <v>472</v>
      </c>
    </row>
    <row r="37" spans="1:14" ht="13.8">
      <c r="A37" s="219"/>
      <c r="B37" s="219"/>
      <c r="C37" s="219"/>
      <c r="D37" s="219"/>
      <c r="E37" s="219"/>
      <c r="F37" s="219"/>
      <c r="G37" s="219"/>
      <c r="H37" s="219"/>
      <c r="I37" s="375">
        <v>39499</v>
      </c>
      <c r="J37" s="412" t="s">
        <v>471</v>
      </c>
      <c r="K37" s="376">
        <v>16000</v>
      </c>
      <c r="L37" s="373" t="s">
        <v>99</v>
      </c>
      <c r="M37" s="373">
        <v>5152</v>
      </c>
      <c r="N37" s="490"/>
    </row>
    <row r="38" spans="1:14" ht="27.6">
      <c r="A38" s="219"/>
      <c r="B38" s="219"/>
      <c r="C38" s="219"/>
      <c r="D38" s="219"/>
      <c r="E38" s="219"/>
      <c r="F38" s="219"/>
      <c r="G38" s="219"/>
      <c r="H38" s="219"/>
      <c r="I38" s="375">
        <v>37135</v>
      </c>
      <c r="J38" s="412" t="s">
        <v>614</v>
      </c>
      <c r="K38" s="376">
        <v>10000</v>
      </c>
      <c r="L38" s="373" t="s">
        <v>99</v>
      </c>
      <c r="M38" s="373">
        <v>7516</v>
      </c>
      <c r="N38" s="374" t="s">
        <v>615</v>
      </c>
    </row>
    <row r="39" spans="1:14" ht="27.6">
      <c r="A39" s="219"/>
      <c r="B39" s="219"/>
      <c r="C39" s="219"/>
      <c r="D39" s="219"/>
      <c r="E39" s="219"/>
      <c r="F39" s="219"/>
      <c r="G39" s="219"/>
      <c r="H39" s="219"/>
      <c r="I39" s="407">
        <v>44621</v>
      </c>
      <c r="J39" s="412" t="s">
        <v>616</v>
      </c>
      <c r="K39" s="376">
        <v>5065</v>
      </c>
      <c r="L39" s="373" t="s">
        <v>99</v>
      </c>
      <c r="M39" s="373">
        <v>30</v>
      </c>
      <c r="N39" s="374" t="s">
        <v>617</v>
      </c>
    </row>
    <row r="40" spans="1:14" ht="14.4">
      <c r="A40" s="219"/>
      <c r="B40" s="219"/>
      <c r="C40" s="219"/>
      <c r="D40" s="219"/>
      <c r="E40" s="219"/>
      <c r="F40" s="219"/>
      <c r="G40" s="219"/>
      <c r="H40" s="219"/>
      <c r="I40" s="407">
        <v>44617</v>
      </c>
      <c r="J40" s="413" t="s">
        <v>618</v>
      </c>
      <c r="K40" s="410">
        <v>200000</v>
      </c>
      <c r="L40" s="373" t="s">
        <v>99</v>
      </c>
      <c r="M40" s="373">
        <v>34</v>
      </c>
      <c r="N40" s="152"/>
    </row>
    <row r="41" spans="1:14" ht="13.8">
      <c r="A41" s="219"/>
      <c r="B41" s="219"/>
      <c r="C41" s="219"/>
      <c r="D41" s="219"/>
      <c r="E41" s="219"/>
      <c r="F41" s="219"/>
      <c r="G41" s="219"/>
      <c r="H41" s="219"/>
      <c r="I41" s="411" t="s">
        <v>619</v>
      </c>
      <c r="J41" s="414" t="s">
        <v>620</v>
      </c>
      <c r="K41" s="376">
        <v>28803</v>
      </c>
      <c r="L41" s="373" t="s">
        <v>99</v>
      </c>
      <c r="M41" s="373">
        <v>2</v>
      </c>
      <c r="N41" s="490" t="s">
        <v>621</v>
      </c>
    </row>
    <row r="42" spans="1:14" ht="13.8">
      <c r="A42" s="219"/>
      <c r="B42" s="219"/>
      <c r="C42" s="219"/>
      <c r="D42" s="219"/>
      <c r="E42" s="219"/>
      <c r="F42" s="219"/>
      <c r="G42" s="219"/>
      <c r="H42" s="219"/>
      <c r="I42" s="411" t="s">
        <v>622</v>
      </c>
      <c r="J42" s="414" t="s">
        <v>623</v>
      </c>
      <c r="K42" s="376">
        <v>47565</v>
      </c>
      <c r="L42" s="373" t="s">
        <v>99</v>
      </c>
      <c r="M42" s="373">
        <v>1096</v>
      </c>
      <c r="N42" s="490"/>
    </row>
    <row r="43" spans="1:14" ht="13.8">
      <c r="A43" s="219"/>
      <c r="B43" s="219"/>
      <c r="C43" s="219"/>
      <c r="D43" s="219"/>
      <c r="E43" s="219"/>
      <c r="F43" s="219"/>
      <c r="G43" s="219"/>
      <c r="H43" s="219"/>
      <c r="I43" s="411" t="s">
        <v>624</v>
      </c>
      <c r="J43" s="414" t="s">
        <v>625</v>
      </c>
      <c r="K43" s="376">
        <v>245059</v>
      </c>
      <c r="L43" s="373" t="s">
        <v>99</v>
      </c>
      <c r="M43" s="373">
        <v>913</v>
      </c>
      <c r="N43" s="490"/>
    </row>
    <row r="44" spans="1:14" ht="13.8">
      <c r="A44" s="219"/>
      <c r="B44" s="219"/>
      <c r="C44" s="219"/>
      <c r="D44" s="219"/>
      <c r="E44" s="219"/>
      <c r="F44" s="219"/>
      <c r="G44" s="219"/>
      <c r="H44" s="219"/>
      <c r="I44" s="377" t="s">
        <v>626</v>
      </c>
      <c r="J44" s="414" t="s">
        <v>627</v>
      </c>
      <c r="K44" s="376">
        <v>4847</v>
      </c>
      <c r="L44" s="373" t="s">
        <v>99</v>
      </c>
      <c r="M44" s="373">
        <v>4443</v>
      </c>
      <c r="N44" s="490"/>
    </row>
    <row r="45" spans="1:14" ht="13.8">
      <c r="A45" s="219"/>
      <c r="B45" s="219"/>
      <c r="C45" s="219"/>
      <c r="D45" s="219"/>
      <c r="E45" s="219"/>
      <c r="F45" s="219"/>
      <c r="G45" s="219"/>
      <c r="H45" s="219"/>
      <c r="I45" s="377" t="s">
        <v>628</v>
      </c>
      <c r="J45" s="414" t="s">
        <v>629</v>
      </c>
      <c r="K45" s="376">
        <v>148048.95999999999</v>
      </c>
      <c r="L45" s="373" t="s">
        <v>99</v>
      </c>
      <c r="M45" s="373">
        <v>821</v>
      </c>
      <c r="N45" s="490"/>
    </row>
    <row r="46" spans="1:14">
      <c r="A46" s="219"/>
      <c r="B46" s="219"/>
      <c r="C46" s="219"/>
      <c r="D46" s="219"/>
      <c r="E46" s="219"/>
      <c r="F46" s="219"/>
      <c r="G46" s="219"/>
      <c r="H46" s="219"/>
      <c r="I46" s="219"/>
      <c r="J46" s="219"/>
      <c r="K46" s="219"/>
    </row>
    <row r="47" spans="1:14">
      <c r="A47" s="219"/>
      <c r="B47" s="219"/>
      <c r="C47" s="219"/>
      <c r="D47" s="219"/>
      <c r="E47" s="219"/>
      <c r="F47" s="219"/>
      <c r="G47" s="219"/>
      <c r="H47" s="219"/>
      <c r="I47" s="462" t="s">
        <v>363</v>
      </c>
      <c r="J47" s="462"/>
      <c r="K47" s="462"/>
      <c r="L47" s="462"/>
      <c r="M47" s="462"/>
      <c r="N47" s="462"/>
    </row>
    <row r="48" spans="1:14">
      <c r="A48" s="219"/>
      <c r="B48" s="219"/>
      <c r="C48" s="219"/>
      <c r="D48" s="219"/>
      <c r="E48" s="219"/>
      <c r="F48" s="219"/>
      <c r="G48" s="219"/>
      <c r="H48" s="219"/>
      <c r="I48" s="451" t="s">
        <v>380</v>
      </c>
      <c r="J48" s="451"/>
      <c r="K48" s="451"/>
      <c r="L48" s="451"/>
      <c r="M48" s="451"/>
      <c r="N48" s="451"/>
    </row>
    <row r="49" spans="1:14">
      <c r="A49" s="219"/>
      <c r="B49" s="219"/>
      <c r="C49" s="219"/>
      <c r="D49" s="219"/>
      <c r="E49" s="219"/>
      <c r="F49" s="219"/>
      <c r="G49" s="219"/>
      <c r="H49" s="219"/>
      <c r="I49" s="451"/>
      <c r="J49" s="451"/>
      <c r="K49" s="451"/>
      <c r="L49" s="451"/>
      <c r="M49" s="451"/>
      <c r="N49" s="451"/>
    </row>
    <row r="50" spans="1:14">
      <c r="A50" s="219"/>
      <c r="B50" s="219"/>
      <c r="C50" s="219"/>
      <c r="D50" s="219"/>
      <c r="E50" s="219"/>
      <c r="F50" s="219"/>
      <c r="G50" s="219"/>
      <c r="H50" s="219"/>
      <c r="I50" s="451"/>
      <c r="J50" s="451"/>
      <c r="K50" s="451"/>
      <c r="L50" s="451"/>
      <c r="M50" s="451"/>
      <c r="N50" s="451"/>
    </row>
    <row r="51" spans="1:14">
      <c r="A51" s="219"/>
      <c r="B51" s="219"/>
      <c r="C51" s="219"/>
      <c r="D51" s="219"/>
      <c r="E51" s="219"/>
      <c r="F51" s="219"/>
      <c r="G51" s="219"/>
      <c r="H51" s="219"/>
      <c r="I51" s="451"/>
      <c r="J51" s="451"/>
      <c r="K51" s="451"/>
      <c r="L51" s="451"/>
      <c r="M51" s="451"/>
      <c r="N51" s="451"/>
    </row>
    <row r="52" spans="1:14">
      <c r="A52" s="219"/>
      <c r="B52" s="219"/>
      <c r="C52" s="219"/>
      <c r="D52" s="219"/>
      <c r="E52" s="219"/>
      <c r="F52" s="219"/>
      <c r="G52" s="219"/>
      <c r="H52" s="219"/>
      <c r="I52" s="451"/>
      <c r="J52" s="451"/>
      <c r="K52" s="451"/>
      <c r="L52" s="451"/>
      <c r="M52" s="451"/>
      <c r="N52" s="451"/>
    </row>
    <row r="53" spans="1:14">
      <c r="I53" s="451"/>
      <c r="J53" s="451"/>
      <c r="K53" s="451"/>
      <c r="L53" s="451"/>
      <c r="M53" s="451"/>
      <c r="N53" s="451"/>
    </row>
    <row r="54" spans="1:14">
      <c r="I54" s="451"/>
      <c r="J54" s="451"/>
      <c r="K54" s="451"/>
      <c r="L54" s="451"/>
      <c r="M54" s="451"/>
      <c r="N54" s="451"/>
    </row>
    <row r="55" spans="1:14">
      <c r="I55" s="451"/>
      <c r="J55" s="451"/>
      <c r="K55" s="451"/>
      <c r="L55" s="451"/>
      <c r="M55" s="451"/>
      <c r="N55" s="451"/>
    </row>
    <row r="56" spans="1:14">
      <c r="I56" s="451"/>
      <c r="J56" s="451"/>
      <c r="K56" s="451"/>
      <c r="L56" s="451"/>
      <c r="M56" s="451"/>
      <c r="N56" s="451"/>
    </row>
  </sheetData>
  <mergeCells count="13">
    <mergeCell ref="N41:N45"/>
    <mergeCell ref="I47:N47"/>
    <mergeCell ref="I48:N56"/>
    <mergeCell ref="I28:N28"/>
    <mergeCell ref="I29:N29"/>
    <mergeCell ref="I31:N31"/>
    <mergeCell ref="N32:N33"/>
    <mergeCell ref="N36:N37"/>
    <mergeCell ref="A17:H17"/>
    <mergeCell ref="A18:H26"/>
    <mergeCell ref="A1:H1"/>
    <mergeCell ref="A2:H2"/>
    <mergeCell ref="A4:H4"/>
  </mergeCells>
  <dataValidations count="3">
    <dataValidation type="list" allowBlank="1" showInputMessage="1" showErrorMessage="1" sqref="B17:C17 D32:D99 J47:K47">
      <formula1>"Loan. Advance"</formula1>
    </dataValidation>
    <dataValidation type="list" allowBlank="1" showInputMessage="1" showErrorMessage="1" sqref="J13:K13 J15:K27 J32:K46 J57:K99">
      <formula1>"Good, Defunct, Goods against advance already delivered"</formula1>
    </dataValidation>
    <dataValidation type="list" allowBlank="1" showInputMessage="1" showErrorMessage="1" sqref="I13:I27 I32:I46 I57:I99">
      <formula1>"On follow up party says it will be realised soon, Dispute in offered services, Dispute in Invoicing, Pending without reason, Unfairly held up by the party "</formula1>
    </dataValidation>
  </dataValidations>
  <pageMargins left="0.34" right="0.27" top="0.75" bottom="0.75" header="0.3" footer="0.3"/>
  <pageSetup paperSize="9" scale="84"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0"/>
  <sheetViews>
    <sheetView showGridLines="0" zoomScale="107" zoomScaleNormal="107" workbookViewId="0">
      <pane ySplit="3" topLeftCell="A4" activePane="bottomLeft" state="frozen"/>
      <selection pane="bottomLeft" activeCell="B11" sqref="B11"/>
    </sheetView>
  </sheetViews>
  <sheetFormatPr defaultColWidth="8.88671875" defaultRowHeight="11.4"/>
  <cols>
    <col min="1" max="1" width="7.6640625" style="241" customWidth="1"/>
    <col min="2" max="2" width="35.88671875" style="220" customWidth="1"/>
    <col min="3" max="3" width="42.44140625" style="220" hidden="1" customWidth="1"/>
    <col min="4" max="4" width="14.5546875" style="220" customWidth="1"/>
    <col min="5" max="5" width="11.88671875" style="241" customWidth="1"/>
    <col min="6" max="6" width="12.44140625" style="241" customWidth="1"/>
    <col min="7" max="7" width="14.88671875" style="241" customWidth="1"/>
    <col min="8" max="8" width="49" style="241" customWidth="1"/>
    <col min="9" max="9" width="5.6640625" style="241" customWidth="1"/>
    <col min="10" max="10" width="6.44140625" style="241" customWidth="1"/>
    <col min="11" max="11" width="6.77734375" style="241" customWidth="1"/>
    <col min="12" max="12" width="20.6640625" style="219" customWidth="1"/>
    <col min="13" max="13" width="16.6640625" style="219" customWidth="1"/>
    <col min="14" max="14" width="21.5546875" style="219" customWidth="1"/>
    <col min="15" max="15" width="12.33203125" style="219" customWidth="1"/>
    <col min="16" max="16384" width="8.88671875" style="219"/>
  </cols>
  <sheetData>
    <row r="1" spans="1:13" ht="12">
      <c r="A1" s="483" t="s">
        <v>453</v>
      </c>
      <c r="B1" s="484"/>
      <c r="C1" s="484"/>
      <c r="D1" s="484"/>
      <c r="E1" s="484"/>
      <c r="F1" s="484"/>
      <c r="G1" s="484"/>
      <c r="H1" s="484"/>
      <c r="I1" s="255"/>
      <c r="J1" s="255"/>
      <c r="K1" s="255"/>
      <c r="L1" s="255"/>
      <c r="M1" s="255"/>
    </row>
    <row r="2" spans="1:13" ht="12" thickBot="1">
      <c r="A2" s="485" t="s">
        <v>422</v>
      </c>
      <c r="B2" s="486"/>
      <c r="C2" s="486"/>
      <c r="D2" s="486"/>
      <c r="E2" s="486"/>
      <c r="F2" s="486"/>
      <c r="G2" s="486"/>
      <c r="H2" s="487"/>
      <c r="I2" s="256"/>
      <c r="J2" s="256"/>
      <c r="K2" s="256"/>
      <c r="L2" s="257"/>
      <c r="M2" s="257"/>
    </row>
    <row r="3" spans="1:13" ht="48.6" thickBot="1">
      <c r="A3" s="258" t="s">
        <v>350</v>
      </c>
      <c r="B3" s="258" t="s">
        <v>371</v>
      </c>
      <c r="C3" s="259" t="s">
        <v>289</v>
      </c>
      <c r="D3" s="260" t="s">
        <v>372</v>
      </c>
      <c r="E3" s="258" t="s">
        <v>356</v>
      </c>
      <c r="F3" s="199" t="s">
        <v>420</v>
      </c>
      <c r="G3" s="199" t="s">
        <v>419</v>
      </c>
      <c r="H3" s="258" t="s">
        <v>357</v>
      </c>
      <c r="J3" s="219"/>
      <c r="K3" s="219"/>
    </row>
    <row r="4" spans="1:13" ht="12" customHeight="1">
      <c r="A4" s="491" t="s">
        <v>409</v>
      </c>
      <c r="B4" s="492"/>
      <c r="C4" s="492"/>
      <c r="D4" s="492"/>
      <c r="E4" s="492"/>
      <c r="F4" s="492"/>
      <c r="G4" s="492"/>
      <c r="H4" s="493"/>
      <c r="I4" s="267"/>
      <c r="J4" s="267"/>
      <c r="K4" s="267"/>
    </row>
    <row r="5" spans="1:13" ht="14.4" hidden="1" customHeight="1">
      <c r="A5" s="210">
        <v>1</v>
      </c>
      <c r="B5" s="299" t="s">
        <v>214</v>
      </c>
      <c r="C5" s="270"/>
      <c r="D5" s="268"/>
      <c r="E5" s="268"/>
      <c r="F5" s="268"/>
      <c r="G5" s="271"/>
      <c r="H5" s="249"/>
      <c r="J5" s="267"/>
      <c r="K5" s="267"/>
    </row>
    <row r="6" spans="1:13" ht="10.8" hidden="1" customHeight="1">
      <c r="A6" s="210"/>
      <c r="B6" s="299" t="s">
        <v>215</v>
      </c>
      <c r="C6" s="270"/>
      <c r="D6" s="264">
        <v>0</v>
      </c>
      <c r="E6" s="264">
        <v>0</v>
      </c>
      <c r="F6" s="264">
        <v>0</v>
      </c>
      <c r="G6" s="271">
        <v>0</v>
      </c>
      <c r="H6" s="322"/>
      <c r="I6" s="272"/>
      <c r="J6" s="267"/>
      <c r="K6" s="267"/>
    </row>
    <row r="7" spans="1:13" ht="12" hidden="1" customHeight="1">
      <c r="A7" s="210"/>
      <c r="B7" s="299" t="s">
        <v>216</v>
      </c>
      <c r="C7" s="270"/>
      <c r="D7" s="264">
        <v>0</v>
      </c>
      <c r="E7" s="264">
        <v>0</v>
      </c>
      <c r="F7" s="264">
        <v>0</v>
      </c>
      <c r="G7" s="271">
        <f>D7*I6</f>
        <v>0</v>
      </c>
      <c r="H7" s="322"/>
      <c r="I7" s="267"/>
      <c r="J7" s="267"/>
      <c r="K7" s="267"/>
    </row>
    <row r="8" spans="1:13" ht="11.4" hidden="1" customHeight="1">
      <c r="A8" s="210"/>
      <c r="B8" s="299" t="s">
        <v>217</v>
      </c>
      <c r="C8" s="270"/>
      <c r="D8" s="264">
        <v>0</v>
      </c>
      <c r="E8" s="264">
        <v>0</v>
      </c>
      <c r="F8" s="264">
        <v>0</v>
      </c>
      <c r="G8" s="271">
        <v>0</v>
      </c>
      <c r="H8" s="322"/>
      <c r="I8" s="267"/>
      <c r="J8" s="267"/>
      <c r="K8" s="267"/>
    </row>
    <row r="9" spans="1:13" ht="11.4" hidden="1" customHeight="1">
      <c r="A9" s="210"/>
      <c r="B9" s="299" t="s">
        <v>218</v>
      </c>
      <c r="C9" s="270" t="s">
        <v>381</v>
      </c>
      <c r="D9" s="264">
        <v>0</v>
      </c>
      <c r="E9" s="264">
        <f>D9*I9</f>
        <v>0</v>
      </c>
      <c r="F9" s="264">
        <f>D9*J9</f>
        <v>0</v>
      </c>
      <c r="G9" s="271">
        <f>D9*K9</f>
        <v>0</v>
      </c>
      <c r="H9" s="307"/>
      <c r="I9" s="267"/>
      <c r="J9" s="267"/>
      <c r="K9" s="267"/>
    </row>
    <row r="10" spans="1:13" ht="11.4" hidden="1" customHeight="1">
      <c r="A10" s="210"/>
      <c r="B10" s="296" t="s">
        <v>337</v>
      </c>
      <c r="C10" s="270" t="s">
        <v>382</v>
      </c>
      <c r="D10" s="316">
        <f>SUM(D6:D8)-D9</f>
        <v>0</v>
      </c>
      <c r="E10" s="316">
        <f>D10*$I$9</f>
        <v>0</v>
      </c>
      <c r="F10" s="316">
        <f>D10*$J$9</f>
        <v>0</v>
      </c>
      <c r="G10" s="317">
        <f>D10*$K$9</f>
        <v>0</v>
      </c>
      <c r="H10" s="307"/>
      <c r="I10" s="267"/>
      <c r="J10" s="267"/>
      <c r="K10" s="267"/>
    </row>
    <row r="11" spans="1:13" ht="11.4" customHeight="1">
      <c r="A11" s="210">
        <v>1</v>
      </c>
      <c r="B11" s="299" t="s">
        <v>633</v>
      </c>
      <c r="C11" s="270" t="s">
        <v>383</v>
      </c>
      <c r="D11" s="268"/>
      <c r="E11" s="264"/>
      <c r="F11" s="264"/>
      <c r="G11" s="271"/>
      <c r="H11" s="307"/>
      <c r="I11" s="267"/>
      <c r="J11" s="267"/>
      <c r="K11" s="267"/>
    </row>
    <row r="12" spans="1:13" ht="11.4" customHeight="1">
      <c r="A12" s="210"/>
      <c r="B12" s="299" t="s">
        <v>219</v>
      </c>
      <c r="C12" s="270" t="s">
        <v>384</v>
      </c>
      <c r="D12" s="264">
        <f>5189.79*10^5/10^7</f>
        <v>51.8979</v>
      </c>
      <c r="E12" s="264">
        <f>5189.79*10^5/10^7-47.26*10%-4.64*20%</f>
        <v>46.243900000000004</v>
      </c>
      <c r="F12" s="264">
        <f>E12*J12</f>
        <v>23.121950000000002</v>
      </c>
      <c r="G12" s="264">
        <f t="shared" ref="G12" si="0">E12*K12</f>
        <v>9.2487800000000018</v>
      </c>
      <c r="H12" s="307" t="s">
        <v>658</v>
      </c>
      <c r="I12" s="423"/>
      <c r="J12" s="267">
        <v>0.5</v>
      </c>
      <c r="K12" s="267">
        <v>0.2</v>
      </c>
    </row>
    <row r="13" spans="1:13" ht="11.4" customHeight="1">
      <c r="A13" s="210"/>
      <c r="B13" s="299" t="s">
        <v>442</v>
      </c>
      <c r="C13" s="270" t="s">
        <v>385</v>
      </c>
      <c r="D13" s="264">
        <f>362.11*10^5/10^7</f>
        <v>3.6211000000000002</v>
      </c>
      <c r="E13" s="264">
        <f>D13*I13</f>
        <v>2.8968800000000003</v>
      </c>
      <c r="F13" s="264">
        <f>D13*J13</f>
        <v>1.4484400000000002</v>
      </c>
      <c r="G13" s="264">
        <f>D13*K13</f>
        <v>0.72422000000000009</v>
      </c>
      <c r="H13" s="307" t="s">
        <v>660</v>
      </c>
      <c r="I13" s="423">
        <v>0.8</v>
      </c>
      <c r="J13" s="267">
        <v>0.4</v>
      </c>
      <c r="K13" s="267">
        <v>0.2</v>
      </c>
    </row>
    <row r="14" spans="1:13" ht="11.4" customHeight="1">
      <c r="A14" s="210"/>
      <c r="B14" s="299" t="s">
        <v>218</v>
      </c>
      <c r="C14" s="270" t="s">
        <v>386</v>
      </c>
      <c r="D14" s="264">
        <f>362.11*10^5/10^7</f>
        <v>3.6211000000000002</v>
      </c>
      <c r="E14" s="264">
        <f>5189.79*10^5/10^7-47.26-4.64</f>
        <v>-2.0999999999977703E-3</v>
      </c>
      <c r="F14" s="264">
        <f t="shared" ref="F14" si="1">D14*J14</f>
        <v>0</v>
      </c>
      <c r="G14" s="264">
        <f t="shared" ref="G14" si="2">E14*K14</f>
        <v>0</v>
      </c>
      <c r="H14" s="312" t="s">
        <v>440</v>
      </c>
      <c r="I14" s="267"/>
      <c r="J14" s="267"/>
      <c r="K14" s="267"/>
    </row>
    <row r="15" spans="1:13" ht="11.4" customHeight="1">
      <c r="A15" s="210"/>
      <c r="B15" s="296" t="s">
        <v>19</v>
      </c>
      <c r="C15" s="270" t="s">
        <v>387</v>
      </c>
      <c r="D15" s="316">
        <f>SUM(D12:D13)-D14</f>
        <v>51.8979</v>
      </c>
      <c r="E15" s="316">
        <f>SUM(E12:E13)-E14</f>
        <v>49.142880000000005</v>
      </c>
      <c r="F15" s="316">
        <f t="shared" ref="F15:G15" si="3">SUM(F12:F13)-F14</f>
        <v>24.570390000000003</v>
      </c>
      <c r="G15" s="316">
        <f t="shared" si="3"/>
        <v>9.9730000000000025</v>
      </c>
      <c r="H15" s="307"/>
      <c r="I15" s="267"/>
      <c r="J15" s="267"/>
      <c r="K15" s="267"/>
    </row>
    <row r="16" spans="1:13" ht="11.4" hidden="1" customHeight="1">
      <c r="A16" s="210">
        <v>3</v>
      </c>
      <c r="B16" s="299" t="s">
        <v>410</v>
      </c>
      <c r="C16" s="270" t="s">
        <v>388</v>
      </c>
      <c r="D16" s="264">
        <v>0</v>
      </c>
      <c r="E16" s="264">
        <v>0</v>
      </c>
      <c r="F16" s="264">
        <f t="shared" ref="F16:F20" si="4">D16*$J$9</f>
        <v>0</v>
      </c>
      <c r="G16" s="271">
        <f t="shared" ref="G16" si="5">D16*$K$9</f>
        <v>0</v>
      </c>
      <c r="H16" s="307"/>
      <c r="I16" s="267"/>
      <c r="J16" s="267"/>
      <c r="K16" s="267"/>
    </row>
    <row r="17" spans="1:11" ht="11.4" customHeight="1">
      <c r="A17" s="210">
        <v>2</v>
      </c>
      <c r="B17" s="299" t="s">
        <v>634</v>
      </c>
      <c r="C17" s="270" t="s">
        <v>389</v>
      </c>
      <c r="D17" s="264">
        <f>759.34*10^5/10^7</f>
        <v>7.5933999999999999</v>
      </c>
      <c r="E17" s="264">
        <f>D17*I17</f>
        <v>6.83406</v>
      </c>
      <c r="F17" s="264">
        <f t="shared" ref="F17" si="6">D17*J17</f>
        <v>3.7967</v>
      </c>
      <c r="G17" s="264">
        <f>D17*K17</f>
        <v>1.51868</v>
      </c>
      <c r="H17" s="307" t="s">
        <v>661</v>
      </c>
      <c r="I17" s="423">
        <v>0.9</v>
      </c>
      <c r="J17" s="267">
        <v>0.5</v>
      </c>
      <c r="K17" s="267">
        <v>0.2</v>
      </c>
    </row>
    <row r="18" spans="1:11" ht="11.4" hidden="1" customHeight="1">
      <c r="A18" s="210">
        <v>5</v>
      </c>
      <c r="B18" s="299" t="s">
        <v>221</v>
      </c>
      <c r="C18" s="313"/>
      <c r="D18" s="264">
        <v>0</v>
      </c>
      <c r="E18" s="264">
        <v>0</v>
      </c>
      <c r="F18" s="264">
        <v>0</v>
      </c>
      <c r="G18" s="264">
        <v>0</v>
      </c>
      <c r="H18" s="307"/>
      <c r="I18" s="423"/>
      <c r="J18" s="267"/>
      <c r="K18" s="267"/>
    </row>
    <row r="19" spans="1:11" ht="11.4" customHeight="1">
      <c r="A19" s="210">
        <v>3</v>
      </c>
      <c r="B19" s="299" t="s">
        <v>635</v>
      </c>
      <c r="C19" s="270" t="s">
        <v>390</v>
      </c>
      <c r="D19" s="264">
        <f>10*10^5/10^7</f>
        <v>0.1</v>
      </c>
      <c r="E19" s="264">
        <f>D19*I19</f>
        <v>0.1</v>
      </c>
      <c r="F19" s="264">
        <f>D19*J19</f>
        <v>0.1</v>
      </c>
      <c r="G19" s="271">
        <f>D19*K19</f>
        <v>0.1</v>
      </c>
      <c r="H19" s="307" t="s">
        <v>650</v>
      </c>
      <c r="I19" s="423">
        <v>1</v>
      </c>
      <c r="J19" s="267">
        <v>1</v>
      </c>
      <c r="K19" s="267">
        <v>1</v>
      </c>
    </row>
    <row r="20" spans="1:11" ht="11.4" hidden="1" customHeight="1">
      <c r="A20" s="210">
        <v>7</v>
      </c>
      <c r="B20" s="299" t="s">
        <v>411</v>
      </c>
      <c r="C20" s="270" t="s">
        <v>391</v>
      </c>
      <c r="D20" s="268">
        <v>0</v>
      </c>
      <c r="E20" s="264">
        <v>0</v>
      </c>
      <c r="F20" s="264">
        <f t="shared" si="4"/>
        <v>0</v>
      </c>
      <c r="G20" s="271">
        <f>D20*$K$9</f>
        <v>0</v>
      </c>
      <c r="H20" s="307"/>
      <c r="I20" s="267"/>
      <c r="J20" s="267"/>
      <c r="K20" s="267"/>
    </row>
    <row r="21" spans="1:11" ht="12.6" thickBot="1">
      <c r="A21" s="250"/>
      <c r="B21" s="273" t="s">
        <v>19</v>
      </c>
      <c r="C21" s="251"/>
      <c r="D21" s="274">
        <f>SUM(D10,D15:D20)</f>
        <v>59.591300000000004</v>
      </c>
      <c r="E21" s="274">
        <f>SUM(E10,E15:E20)</f>
        <v>56.076940000000008</v>
      </c>
      <c r="F21" s="274">
        <f>SUM(F10,F15:F20)</f>
        <v>28.467090000000006</v>
      </c>
      <c r="G21" s="274">
        <f t="shared" ref="G21" si="7">SUM(G10,G15:G20)</f>
        <v>11.591680000000002</v>
      </c>
      <c r="H21" s="275"/>
    </row>
    <row r="22" spans="1:11">
      <c r="D22" s="269"/>
    </row>
    <row r="23" spans="1:11" ht="11.4" customHeight="1">
      <c r="A23" s="302" t="s">
        <v>363</v>
      </c>
      <c r="B23" s="303"/>
      <c r="C23" s="303"/>
      <c r="D23" s="303"/>
      <c r="E23" s="303"/>
      <c r="F23" s="303"/>
      <c r="G23" s="303"/>
      <c r="H23" s="304"/>
    </row>
    <row r="24" spans="1:11" ht="150" customHeight="1">
      <c r="A24" s="494" t="s">
        <v>392</v>
      </c>
      <c r="B24" s="495"/>
      <c r="C24" s="495"/>
      <c r="D24" s="495"/>
      <c r="E24" s="495"/>
      <c r="F24" s="495"/>
      <c r="G24" s="495"/>
      <c r="H24" s="496"/>
    </row>
    <row r="25" spans="1:11">
      <c r="A25" s="226"/>
      <c r="B25" s="226"/>
      <c r="C25" s="226"/>
      <c r="D25" s="226"/>
      <c r="E25" s="226"/>
      <c r="F25" s="226"/>
      <c r="G25" s="226"/>
      <c r="H25" s="226"/>
      <c r="I25" s="219"/>
      <c r="J25" s="219"/>
      <c r="K25" s="219"/>
    </row>
    <row r="26" spans="1:11">
      <c r="A26" s="226"/>
      <c r="B26" s="226"/>
      <c r="C26" s="226"/>
      <c r="D26" s="226"/>
      <c r="E26" s="226"/>
      <c r="F26" s="226"/>
      <c r="G26" s="226"/>
      <c r="H26" s="226"/>
      <c r="I26" s="219"/>
      <c r="J26" s="219"/>
      <c r="K26" s="219"/>
    </row>
    <row r="27" spans="1:11">
      <c r="A27" s="226"/>
      <c r="B27" s="226"/>
      <c r="C27" s="226"/>
      <c r="D27" s="226"/>
      <c r="E27" s="226"/>
      <c r="F27" s="226"/>
      <c r="G27" s="226"/>
      <c r="H27" s="226"/>
      <c r="I27" s="219"/>
      <c r="J27" s="219"/>
      <c r="K27" s="219"/>
    </row>
    <row r="28" spans="1:11">
      <c r="A28" s="226"/>
      <c r="B28" s="226"/>
      <c r="C28" s="226"/>
      <c r="D28" s="226"/>
      <c r="E28" s="226"/>
      <c r="F28" s="226"/>
      <c r="G28" s="226"/>
      <c r="H28" s="226"/>
      <c r="I28" s="219"/>
      <c r="J28" s="219"/>
      <c r="K28" s="219"/>
    </row>
    <row r="29" spans="1:11">
      <c r="A29" s="226"/>
      <c r="B29" s="226"/>
      <c r="C29" s="226"/>
      <c r="D29" s="226"/>
      <c r="E29" s="226"/>
      <c r="F29" s="226"/>
      <c r="G29" s="226"/>
      <c r="H29" s="226"/>
      <c r="I29" s="219"/>
      <c r="J29" s="219"/>
      <c r="K29" s="219"/>
    </row>
    <row r="30" spans="1:11">
      <c r="A30" s="219"/>
      <c r="B30" s="219"/>
      <c r="C30" s="219"/>
      <c r="D30" s="219"/>
      <c r="E30" s="219"/>
      <c r="F30" s="219"/>
      <c r="G30" s="219"/>
      <c r="H30" s="219"/>
      <c r="I30" s="219"/>
      <c r="J30" s="219"/>
      <c r="K30" s="219"/>
    </row>
    <row r="31" spans="1:11">
      <c r="A31" s="219"/>
      <c r="B31" s="219"/>
      <c r="C31" s="219"/>
      <c r="D31" s="219"/>
      <c r="E31" s="219"/>
      <c r="F31" s="219"/>
      <c r="G31" s="219"/>
      <c r="H31" s="219"/>
      <c r="I31" s="219"/>
      <c r="J31" s="219"/>
      <c r="K31" s="219"/>
    </row>
    <row r="32" spans="1:11">
      <c r="A32" s="219"/>
      <c r="B32" s="219"/>
      <c r="C32" s="219"/>
      <c r="D32" s="219"/>
      <c r="E32" s="219"/>
      <c r="F32" s="219"/>
      <c r="G32" s="219"/>
      <c r="H32" s="219"/>
      <c r="I32" s="219"/>
      <c r="J32" s="219"/>
      <c r="K32" s="219"/>
    </row>
    <row r="33" spans="1:11">
      <c r="A33" s="219"/>
      <c r="B33" s="219"/>
      <c r="C33" s="219"/>
      <c r="D33" s="219"/>
      <c r="E33" s="219"/>
      <c r="F33" s="219"/>
      <c r="G33" s="219"/>
      <c r="H33" s="219"/>
      <c r="I33" s="219"/>
      <c r="J33" s="219"/>
      <c r="K33" s="219"/>
    </row>
    <row r="34" spans="1:11">
      <c r="A34" s="219"/>
      <c r="B34" s="219"/>
      <c r="C34" s="219"/>
      <c r="D34" s="219"/>
      <c r="E34" s="219"/>
      <c r="F34" s="219"/>
      <c r="G34" s="219"/>
      <c r="H34" s="219"/>
      <c r="I34" s="219"/>
      <c r="J34" s="219"/>
      <c r="K34" s="219"/>
    </row>
    <row r="35" spans="1:11">
      <c r="A35" s="219"/>
      <c r="B35" s="219"/>
      <c r="C35" s="219"/>
      <c r="D35" s="219"/>
      <c r="E35" s="219"/>
      <c r="F35" s="219"/>
      <c r="G35" s="219"/>
      <c r="H35" s="219"/>
      <c r="I35" s="219"/>
      <c r="J35" s="219"/>
      <c r="K35" s="219"/>
    </row>
    <row r="36" spans="1:11">
      <c r="A36" s="219"/>
      <c r="B36" s="219"/>
      <c r="C36" s="219"/>
      <c r="D36" s="219"/>
      <c r="E36" s="219"/>
      <c r="F36" s="219"/>
      <c r="G36" s="219"/>
      <c r="H36" s="219"/>
      <c r="I36" s="219"/>
      <c r="J36" s="219"/>
      <c r="K36" s="219"/>
    </row>
    <row r="37" spans="1:11">
      <c r="A37" s="219"/>
      <c r="B37" s="219"/>
      <c r="C37" s="219"/>
      <c r="D37" s="219"/>
      <c r="E37" s="219"/>
      <c r="F37" s="219"/>
      <c r="G37" s="219"/>
      <c r="H37" s="219"/>
      <c r="I37" s="219"/>
      <c r="J37" s="219"/>
      <c r="K37" s="219"/>
    </row>
    <row r="38" spans="1:11">
      <c r="A38" s="219"/>
      <c r="B38" s="219"/>
      <c r="C38" s="219"/>
      <c r="D38" s="219"/>
      <c r="E38" s="219"/>
      <c r="F38" s="219"/>
      <c r="G38" s="219"/>
      <c r="H38" s="219"/>
      <c r="I38" s="219"/>
      <c r="J38" s="219"/>
      <c r="K38" s="219"/>
    </row>
    <row r="39" spans="1:11">
      <c r="A39" s="219"/>
      <c r="B39" s="219"/>
      <c r="C39" s="219"/>
      <c r="D39" s="219"/>
      <c r="E39" s="219"/>
      <c r="F39" s="219"/>
      <c r="G39" s="219"/>
      <c r="H39" s="219"/>
      <c r="I39" s="219"/>
      <c r="J39" s="219"/>
      <c r="K39" s="219"/>
    </row>
    <row r="40" spans="1:11">
      <c r="A40" s="219"/>
      <c r="B40" s="219"/>
      <c r="C40" s="219"/>
      <c r="D40" s="219"/>
      <c r="E40" s="219"/>
      <c r="F40" s="219"/>
      <c r="G40" s="219"/>
      <c r="H40" s="219"/>
      <c r="I40" s="219"/>
      <c r="J40" s="219"/>
      <c r="K40" s="219"/>
    </row>
    <row r="41" spans="1:11">
      <c r="A41" s="219"/>
      <c r="B41" s="219"/>
      <c r="C41" s="219"/>
      <c r="D41" s="219"/>
      <c r="E41" s="219"/>
      <c r="F41" s="219"/>
      <c r="G41" s="219"/>
      <c r="H41" s="219"/>
      <c r="I41" s="219"/>
      <c r="J41" s="219"/>
      <c r="K41" s="219"/>
    </row>
    <row r="42" spans="1:11">
      <c r="A42" s="219"/>
      <c r="B42" s="219"/>
      <c r="C42" s="219"/>
      <c r="D42" s="219"/>
      <c r="E42" s="219"/>
      <c r="F42" s="219"/>
      <c r="G42" s="219"/>
      <c r="H42" s="219"/>
      <c r="I42" s="219"/>
      <c r="J42" s="219"/>
      <c r="K42" s="219"/>
    </row>
    <row r="43" spans="1:11">
      <c r="A43" s="219"/>
      <c r="B43" s="219"/>
      <c r="C43" s="219"/>
      <c r="D43" s="219"/>
      <c r="E43" s="219"/>
      <c r="F43" s="219"/>
      <c r="G43" s="219"/>
      <c r="H43" s="219"/>
      <c r="I43" s="219"/>
      <c r="J43" s="219"/>
      <c r="K43" s="219"/>
    </row>
    <row r="44" spans="1:11">
      <c r="A44" s="219"/>
      <c r="B44" s="219"/>
      <c r="C44" s="219"/>
      <c r="D44" s="219"/>
      <c r="E44" s="219"/>
      <c r="F44" s="219"/>
      <c r="G44" s="219"/>
      <c r="H44" s="219"/>
      <c r="I44" s="219"/>
      <c r="J44" s="219"/>
      <c r="K44" s="219"/>
    </row>
    <row r="45" spans="1:11">
      <c r="A45" s="219"/>
      <c r="B45" s="219"/>
      <c r="C45" s="219"/>
      <c r="D45" s="219"/>
      <c r="E45" s="219"/>
      <c r="F45" s="219"/>
      <c r="G45" s="219"/>
      <c r="H45" s="219"/>
      <c r="I45" s="219"/>
      <c r="J45" s="219"/>
      <c r="K45" s="219"/>
    </row>
    <row r="46" spans="1:11">
      <c r="A46" s="219"/>
      <c r="B46" s="219"/>
      <c r="C46" s="219"/>
      <c r="D46" s="219"/>
      <c r="E46" s="219"/>
      <c r="F46" s="219"/>
      <c r="G46" s="219"/>
      <c r="H46" s="219"/>
      <c r="I46" s="219"/>
      <c r="J46" s="219"/>
      <c r="K46" s="219"/>
    </row>
    <row r="47" spans="1:11">
      <c r="A47" s="219"/>
      <c r="B47" s="219"/>
      <c r="C47" s="219"/>
      <c r="D47" s="219"/>
      <c r="E47" s="219"/>
      <c r="F47" s="219"/>
      <c r="G47" s="219"/>
      <c r="H47" s="219"/>
      <c r="I47" s="219"/>
      <c r="J47" s="219"/>
      <c r="K47" s="219"/>
    </row>
    <row r="48" spans="1:11">
      <c r="A48" s="219"/>
      <c r="B48" s="219"/>
      <c r="C48" s="219"/>
      <c r="D48" s="219"/>
      <c r="E48" s="219"/>
      <c r="F48" s="219"/>
      <c r="G48" s="219"/>
      <c r="H48" s="219"/>
      <c r="I48" s="219"/>
      <c r="J48" s="219"/>
      <c r="K48" s="219"/>
    </row>
    <row r="49" spans="1:11">
      <c r="A49" s="219"/>
      <c r="B49" s="219"/>
      <c r="C49" s="219"/>
      <c r="D49" s="219"/>
      <c r="E49" s="219"/>
      <c r="F49" s="219"/>
      <c r="G49" s="219"/>
      <c r="H49" s="219"/>
      <c r="I49" s="219"/>
      <c r="J49" s="219"/>
      <c r="K49" s="219"/>
    </row>
    <row r="50" spans="1:11">
      <c r="A50" s="219"/>
      <c r="B50" s="219"/>
      <c r="C50" s="219"/>
      <c r="D50" s="219"/>
      <c r="E50" s="219"/>
      <c r="F50" s="219"/>
      <c r="G50" s="219"/>
      <c r="H50" s="219"/>
    </row>
  </sheetData>
  <mergeCells count="4">
    <mergeCell ref="A4:H4"/>
    <mergeCell ref="A24:H24"/>
    <mergeCell ref="A1:H1"/>
    <mergeCell ref="A2:H2"/>
  </mergeCells>
  <dataValidations count="3">
    <dataValidation type="list" allowBlank="1" showInputMessage="1" showErrorMessage="1" sqref="B23:C23 D30:D97 D22">
      <formula1>"Loan. Advance"</formula1>
    </dataValidation>
    <dataValidation type="list" allowBlank="1" showInputMessage="1" showErrorMessage="1" sqref="I21:I96">
      <formula1>"On follow up party says it will be realised soon, Dispute in offered services, Dispute in Invoicing, Pending without reason, Unfairly held up by the party "</formula1>
    </dataValidation>
    <dataValidation type="list" allowBlank="1" showInputMessage="1" showErrorMessage="1" sqref="J21:K96">
      <formula1>"Good, Defunct, Goods against advance already delivered"</formula1>
    </dataValidation>
  </dataValidations>
  <pageMargins left="0.34" right="0.27" top="0.75" bottom="0.75" header="0.3" footer="0.3"/>
  <pageSetup paperSize="9" scale="84" fitToHeight="0"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61"/>
  <sheetViews>
    <sheetView workbookViewId="0">
      <selection activeCell="Y5" sqref="Y5"/>
    </sheetView>
  </sheetViews>
  <sheetFormatPr defaultRowHeight="14.4"/>
  <cols>
    <col min="2" max="2" width="13.5546875" style="77" bestFit="1" customWidth="1"/>
    <col min="3" max="3" width="18.88671875" style="77" customWidth="1"/>
    <col min="4" max="4" width="21.6640625" style="77" customWidth="1"/>
    <col min="5" max="5" width="13.6640625" style="77" customWidth="1"/>
    <col min="6" max="7" width="8.88671875" style="77" customWidth="1"/>
    <col min="8" max="8" width="15.88671875" style="77" customWidth="1"/>
    <col min="9" max="9" width="25.33203125" style="77" customWidth="1"/>
    <col min="10" max="20" width="0" style="77" hidden="1" customWidth="1"/>
    <col min="24" max="24" width="17.5546875" customWidth="1"/>
    <col min="25" max="25" width="15.33203125" customWidth="1"/>
    <col min="26" max="26" width="15.109375" hidden="1" customWidth="1"/>
    <col min="27" max="27" width="16.33203125" customWidth="1"/>
    <col min="28" max="28" width="15.6640625" customWidth="1"/>
  </cols>
  <sheetData>
    <row r="2" spans="2:30" ht="15" thickBot="1">
      <c r="B2" s="74"/>
      <c r="C2" s="75"/>
      <c r="D2" s="75"/>
      <c r="E2" s="75"/>
      <c r="F2" s="75"/>
      <c r="G2" s="75"/>
      <c r="H2" s="75"/>
      <c r="I2" s="75"/>
      <c r="J2" s="75"/>
      <c r="K2" s="75"/>
      <c r="L2" s="75"/>
      <c r="M2" s="75"/>
      <c r="N2" s="75"/>
      <c r="O2" s="75"/>
      <c r="P2" s="75"/>
      <c r="Q2" s="75"/>
      <c r="R2" s="75"/>
      <c r="S2" s="75"/>
      <c r="T2" s="75"/>
    </row>
    <row r="3" spans="2:30" s="76" customFormat="1" ht="49.2" customHeight="1" thickBot="1">
      <c r="B3" s="97" t="s">
        <v>225</v>
      </c>
      <c r="C3" s="97" t="s">
        <v>226</v>
      </c>
      <c r="D3" s="97" t="s">
        <v>227</v>
      </c>
      <c r="E3" s="97" t="s">
        <v>228</v>
      </c>
      <c r="F3" s="97" t="s">
        <v>229</v>
      </c>
      <c r="G3" s="97" t="s">
        <v>230</v>
      </c>
      <c r="H3" s="97" t="s">
        <v>231</v>
      </c>
      <c r="I3" s="97" t="s">
        <v>274</v>
      </c>
      <c r="J3" s="79" t="s">
        <v>232</v>
      </c>
      <c r="K3" s="79"/>
      <c r="L3" s="79"/>
      <c r="M3" s="80"/>
      <c r="N3" s="69" t="s">
        <v>233</v>
      </c>
      <c r="O3" s="69" t="s">
        <v>234</v>
      </c>
      <c r="P3" s="78" t="s">
        <v>235</v>
      </c>
      <c r="Q3" s="80"/>
      <c r="R3" s="78" t="s">
        <v>236</v>
      </c>
      <c r="S3" s="80"/>
      <c r="T3" s="70" t="s">
        <v>237</v>
      </c>
      <c r="W3" s="497"/>
      <c r="X3" s="497"/>
      <c r="Y3" s="497"/>
      <c r="Z3" s="497"/>
      <c r="AA3" s="497"/>
      <c r="AB3" s="497"/>
    </row>
    <row r="4" spans="2:30" ht="31.95" customHeight="1" thickBot="1">
      <c r="B4" s="85" t="s">
        <v>238</v>
      </c>
      <c r="C4" s="85" t="s">
        <v>239</v>
      </c>
      <c r="D4" s="85" t="s">
        <v>240</v>
      </c>
      <c r="E4" s="85" t="s">
        <v>241</v>
      </c>
      <c r="F4" s="85" t="s">
        <v>242</v>
      </c>
      <c r="G4" s="85" t="s">
        <v>243</v>
      </c>
      <c r="H4" s="85" t="s">
        <v>244</v>
      </c>
      <c r="I4" s="85" t="s">
        <v>245</v>
      </c>
      <c r="J4" s="82" t="s">
        <v>246</v>
      </c>
      <c r="K4" s="82"/>
      <c r="L4" s="82"/>
      <c r="M4" s="83"/>
      <c r="N4" s="66" t="s">
        <v>247</v>
      </c>
      <c r="O4" s="66" t="s">
        <v>248</v>
      </c>
      <c r="P4" s="81" t="s">
        <v>249</v>
      </c>
      <c r="Q4" s="83"/>
      <c r="R4" s="81" t="s">
        <v>250</v>
      </c>
      <c r="S4" s="83"/>
      <c r="T4" s="71" t="s">
        <v>251</v>
      </c>
      <c r="W4" s="3" t="s">
        <v>287</v>
      </c>
      <c r="X4" s="3"/>
      <c r="Y4" s="3"/>
      <c r="Z4" s="3"/>
      <c r="AA4" s="3"/>
    </row>
    <row r="5" spans="2:30" ht="40.950000000000003" customHeight="1" thickBot="1">
      <c r="B5" s="85"/>
      <c r="C5" s="85"/>
      <c r="D5" s="85"/>
      <c r="E5" s="85"/>
      <c r="F5" s="85"/>
      <c r="G5" s="85"/>
      <c r="H5" s="85"/>
      <c r="I5" s="85"/>
      <c r="J5" s="82" t="s">
        <v>252</v>
      </c>
      <c r="K5" s="82"/>
      <c r="L5" s="83"/>
      <c r="M5" s="66" t="s">
        <v>253</v>
      </c>
      <c r="N5" s="66"/>
      <c r="O5" s="66"/>
      <c r="P5" s="66" t="s">
        <v>254</v>
      </c>
      <c r="Q5" s="66" t="s">
        <v>255</v>
      </c>
      <c r="R5" s="66" t="s">
        <v>254</v>
      </c>
      <c r="S5" s="66" t="s">
        <v>255</v>
      </c>
      <c r="T5" s="71"/>
      <c r="W5" t="s">
        <v>288</v>
      </c>
      <c r="X5" t="s">
        <v>289</v>
      </c>
      <c r="Y5" t="s">
        <v>295</v>
      </c>
      <c r="Z5" t="s">
        <v>328</v>
      </c>
      <c r="AA5" t="s">
        <v>296</v>
      </c>
      <c r="AB5" t="s">
        <v>297</v>
      </c>
    </row>
    <row r="6" spans="2:30" ht="31.2" customHeight="1">
      <c r="B6" s="85"/>
      <c r="C6" s="85"/>
      <c r="D6" s="85"/>
      <c r="E6" s="85"/>
      <c r="F6" s="85"/>
      <c r="G6" s="85"/>
      <c r="H6" s="85"/>
      <c r="I6" s="85"/>
      <c r="J6" s="84" t="s">
        <v>256</v>
      </c>
      <c r="K6" s="66" t="s">
        <v>257</v>
      </c>
      <c r="L6" s="66" t="s">
        <v>17</v>
      </c>
      <c r="M6" s="66"/>
      <c r="N6" s="66"/>
      <c r="O6" s="66"/>
      <c r="P6" s="66" t="s">
        <v>258</v>
      </c>
      <c r="Q6" s="66" t="s">
        <v>259</v>
      </c>
      <c r="R6" s="66" t="s">
        <v>258</v>
      </c>
      <c r="S6" s="66" t="s">
        <v>259</v>
      </c>
      <c r="T6" s="71"/>
      <c r="W6">
        <v>1</v>
      </c>
      <c r="X6" t="s">
        <v>290</v>
      </c>
      <c r="Y6">
        <v>23757076900.37986</v>
      </c>
      <c r="AA6">
        <v>30025518715.68935</v>
      </c>
      <c r="AB6">
        <v>14852772103.251511</v>
      </c>
    </row>
    <row r="7" spans="2:30" ht="29.4" thickBot="1">
      <c r="B7" s="96" t="s">
        <v>258</v>
      </c>
      <c r="C7" s="86" t="s">
        <v>260</v>
      </c>
      <c r="D7" s="88">
        <v>5</v>
      </c>
      <c r="E7" s="88" t="s">
        <v>261</v>
      </c>
      <c r="F7" s="88" t="s">
        <v>262</v>
      </c>
      <c r="G7" s="88" t="s">
        <v>262</v>
      </c>
      <c r="H7" s="88" t="s">
        <v>261</v>
      </c>
      <c r="I7" s="90">
        <v>0.57130000000000003</v>
      </c>
      <c r="J7" s="67" t="s">
        <v>261</v>
      </c>
      <c r="K7" s="67" t="s">
        <v>262</v>
      </c>
      <c r="L7" s="67" t="s">
        <v>261</v>
      </c>
      <c r="M7" s="67">
        <v>57.13</v>
      </c>
      <c r="N7" s="67" t="s">
        <v>262</v>
      </c>
      <c r="O7" s="67">
        <v>57.13</v>
      </c>
      <c r="P7" s="67" t="s">
        <v>262</v>
      </c>
      <c r="Q7" s="67" t="s">
        <v>262</v>
      </c>
      <c r="R7" s="67" t="s">
        <v>263</v>
      </c>
      <c r="S7" s="67">
        <v>86.65</v>
      </c>
      <c r="T7" s="72" t="s">
        <v>261</v>
      </c>
      <c r="W7">
        <v>2</v>
      </c>
      <c r="X7" t="s">
        <v>291</v>
      </c>
      <c r="Y7">
        <v>30244836.299999963</v>
      </c>
      <c r="AA7">
        <v>46917335.896499425</v>
      </c>
      <c r="AB7">
        <v>4793673.272760232</v>
      </c>
      <c r="AD7" s="4">
        <f>AB7/10^7</f>
        <v>0.47936732727602321</v>
      </c>
    </row>
    <row r="8" spans="2:30" ht="28.2" thickBot="1">
      <c r="B8" s="96" t="s">
        <v>259</v>
      </c>
      <c r="C8" s="87" t="s">
        <v>264</v>
      </c>
      <c r="D8" s="89" t="s">
        <v>265</v>
      </c>
      <c r="E8" s="89" t="s">
        <v>266</v>
      </c>
      <c r="F8" s="89" t="s">
        <v>262</v>
      </c>
      <c r="G8" s="89" t="s">
        <v>262</v>
      </c>
      <c r="H8" s="89" t="s">
        <v>266</v>
      </c>
      <c r="I8" s="91">
        <v>0.42870000000000003</v>
      </c>
      <c r="J8" s="68" t="s">
        <v>266</v>
      </c>
      <c r="K8" s="68" t="s">
        <v>262</v>
      </c>
      <c r="L8" s="68" t="s">
        <v>266</v>
      </c>
      <c r="M8" s="68">
        <v>42.87</v>
      </c>
      <c r="N8" s="68" t="s">
        <v>262</v>
      </c>
      <c r="O8" s="68">
        <v>42.87</v>
      </c>
      <c r="P8" s="68" t="s">
        <v>262</v>
      </c>
      <c r="Q8" s="68" t="s">
        <v>262</v>
      </c>
      <c r="R8" s="68" t="s">
        <v>262</v>
      </c>
      <c r="S8" s="68" t="s">
        <v>262</v>
      </c>
      <c r="T8" s="73" t="s">
        <v>267</v>
      </c>
      <c r="W8">
        <v>3</v>
      </c>
      <c r="X8" t="s">
        <v>292</v>
      </c>
      <c r="Y8">
        <v>34940429.110000186</v>
      </c>
      <c r="AA8">
        <v>32682552.967274804</v>
      </c>
      <c r="AB8">
        <v>4885810.0508841248</v>
      </c>
    </row>
    <row r="9" spans="2:30" ht="29.4" thickBot="1">
      <c r="B9" s="96" t="s">
        <v>275</v>
      </c>
      <c r="C9" s="86" t="s">
        <v>268</v>
      </c>
      <c r="D9" s="88">
        <v>0</v>
      </c>
      <c r="E9" s="88" t="s">
        <v>262</v>
      </c>
      <c r="F9" s="88" t="s">
        <v>262</v>
      </c>
      <c r="G9" s="88" t="s">
        <v>262</v>
      </c>
      <c r="H9" s="88">
        <v>0</v>
      </c>
      <c r="I9" s="92">
        <v>0</v>
      </c>
      <c r="J9" s="67" t="s">
        <v>262</v>
      </c>
      <c r="K9" s="67" t="s">
        <v>262</v>
      </c>
      <c r="L9" s="67" t="s">
        <v>262</v>
      </c>
      <c r="M9" s="67" t="s">
        <v>262</v>
      </c>
      <c r="N9" s="67" t="s">
        <v>262</v>
      </c>
      <c r="O9" s="67" t="s">
        <v>262</v>
      </c>
      <c r="P9" s="67" t="s">
        <v>262</v>
      </c>
      <c r="Q9" s="67" t="s">
        <v>262</v>
      </c>
      <c r="R9" s="67" t="s">
        <v>262</v>
      </c>
      <c r="S9" s="67" t="s">
        <v>262</v>
      </c>
      <c r="T9" s="72" t="s">
        <v>262</v>
      </c>
      <c r="W9">
        <v>4</v>
      </c>
      <c r="X9" t="s">
        <v>293</v>
      </c>
      <c r="Y9">
        <v>88595995.539999485</v>
      </c>
      <c r="AA9">
        <v>29722656.541275993</v>
      </c>
      <c r="AB9">
        <v>21781744.297849663</v>
      </c>
    </row>
    <row r="10" spans="2:30" ht="30" customHeight="1" thickBot="1">
      <c r="B10" s="96" t="s">
        <v>276</v>
      </c>
      <c r="C10" s="87" t="s">
        <v>269</v>
      </c>
      <c r="D10" s="89">
        <v>0</v>
      </c>
      <c r="E10" s="89" t="s">
        <v>262</v>
      </c>
      <c r="F10" s="89" t="s">
        <v>262</v>
      </c>
      <c r="G10" s="89" t="s">
        <v>262</v>
      </c>
      <c r="H10" s="89">
        <v>0</v>
      </c>
      <c r="I10" s="92">
        <v>0</v>
      </c>
      <c r="J10" s="68" t="s">
        <v>262</v>
      </c>
      <c r="K10" s="68" t="s">
        <v>262</v>
      </c>
      <c r="L10" s="68" t="s">
        <v>262</v>
      </c>
      <c r="M10" s="68" t="s">
        <v>262</v>
      </c>
      <c r="N10" s="68" t="s">
        <v>262</v>
      </c>
      <c r="O10" s="68" t="s">
        <v>262</v>
      </c>
      <c r="P10" s="68" t="s">
        <v>262</v>
      </c>
      <c r="Q10" s="68" t="s">
        <v>262</v>
      </c>
      <c r="R10" s="68" t="s">
        <v>262</v>
      </c>
      <c r="S10" s="68" t="s">
        <v>262</v>
      </c>
      <c r="T10" s="73" t="s">
        <v>262</v>
      </c>
      <c r="W10">
        <v>5</v>
      </c>
      <c r="X10" t="s">
        <v>34</v>
      </c>
      <c r="Y10">
        <v>14883290.939999999</v>
      </c>
      <c r="AA10">
        <v>18815738.576473266</v>
      </c>
      <c r="AB10">
        <v>1744425.5440153177</v>
      </c>
    </row>
    <row r="11" spans="2:30" ht="29.4" thickBot="1">
      <c r="B11" s="96" t="s">
        <v>277</v>
      </c>
      <c r="C11" s="86" t="s">
        <v>270</v>
      </c>
      <c r="D11" s="88">
        <v>0</v>
      </c>
      <c r="E11" s="88" t="s">
        <v>262</v>
      </c>
      <c r="F11" s="88" t="s">
        <v>262</v>
      </c>
      <c r="G11" s="88" t="s">
        <v>262</v>
      </c>
      <c r="H11" s="88">
        <v>0</v>
      </c>
      <c r="I11" s="92">
        <v>0</v>
      </c>
      <c r="J11" s="67" t="s">
        <v>262</v>
      </c>
      <c r="K11" s="67" t="s">
        <v>262</v>
      </c>
      <c r="L11" s="67" t="s">
        <v>262</v>
      </c>
      <c r="M11" s="67" t="s">
        <v>262</v>
      </c>
      <c r="N11" s="67" t="s">
        <v>262</v>
      </c>
      <c r="O11" s="67" t="s">
        <v>262</v>
      </c>
      <c r="P11" s="67" t="s">
        <v>262</v>
      </c>
      <c r="Q11" s="67" t="s">
        <v>262</v>
      </c>
      <c r="R11" s="67" t="s">
        <v>262</v>
      </c>
      <c r="S11" s="67" t="s">
        <v>262</v>
      </c>
      <c r="T11" s="72" t="s">
        <v>262</v>
      </c>
      <c r="W11">
        <v>6</v>
      </c>
      <c r="X11" t="s">
        <v>294</v>
      </c>
      <c r="Y11">
        <v>135262179.69999999</v>
      </c>
      <c r="AA11">
        <v>145558358.95278639</v>
      </c>
      <c r="AB11">
        <v>21833753.842917956</v>
      </c>
    </row>
    <row r="12" spans="2:30" ht="28.2" thickBot="1">
      <c r="B12" s="93"/>
      <c r="C12" s="93" t="s">
        <v>19</v>
      </c>
      <c r="D12" s="94" t="s">
        <v>271</v>
      </c>
      <c r="E12" s="94" t="s">
        <v>272</v>
      </c>
      <c r="F12" s="94" t="s">
        <v>262</v>
      </c>
      <c r="G12" s="94" t="s">
        <v>262</v>
      </c>
      <c r="H12" s="94" t="s">
        <v>272</v>
      </c>
      <c r="I12" s="95">
        <v>1</v>
      </c>
      <c r="J12" s="68" t="s">
        <v>272</v>
      </c>
      <c r="K12" s="68" t="s">
        <v>262</v>
      </c>
      <c r="L12" s="68" t="s">
        <v>272</v>
      </c>
      <c r="M12" s="68">
        <v>100</v>
      </c>
      <c r="N12" s="68" t="s">
        <v>262</v>
      </c>
      <c r="O12" s="68">
        <v>100</v>
      </c>
      <c r="P12" s="68" t="s">
        <v>262</v>
      </c>
      <c r="Q12" s="68" t="s">
        <v>262</v>
      </c>
      <c r="R12" s="68" t="s">
        <v>263</v>
      </c>
      <c r="S12" s="68">
        <v>49.51</v>
      </c>
      <c r="T12" s="73" t="s">
        <v>273</v>
      </c>
    </row>
    <row r="16" spans="2:30">
      <c r="B16" s="22"/>
      <c r="C16" s="22"/>
      <c r="D16" s="22"/>
    </row>
    <row r="17" spans="2:25">
      <c r="B17" s="98" t="s">
        <v>278</v>
      </c>
      <c r="C17" s="98" t="s">
        <v>279</v>
      </c>
      <c r="D17" s="98" t="s">
        <v>280</v>
      </c>
      <c r="X17" s="7" t="s">
        <v>37</v>
      </c>
    </row>
    <row r="18" spans="2:25">
      <c r="B18" s="99" t="s">
        <v>281</v>
      </c>
      <c r="C18" s="99" t="s">
        <v>282</v>
      </c>
      <c r="D18" s="100">
        <v>13984961304</v>
      </c>
      <c r="X18" s="7" t="s">
        <v>30</v>
      </c>
    </row>
    <row r="19" spans="2:25">
      <c r="B19" s="99" t="s">
        <v>283</v>
      </c>
      <c r="C19" s="99" t="s">
        <v>284</v>
      </c>
      <c r="D19" s="100">
        <v>83251773</v>
      </c>
      <c r="X19" s="101" t="s">
        <v>31</v>
      </c>
    </row>
    <row r="20" spans="2:25">
      <c r="B20" s="99" t="s">
        <v>285</v>
      </c>
      <c r="C20" s="99" t="s">
        <v>284</v>
      </c>
      <c r="D20" s="100">
        <v>25207352</v>
      </c>
      <c r="X20" s="101" t="s">
        <v>32</v>
      </c>
    </row>
    <row r="21" spans="2:25">
      <c r="B21" s="99" t="s">
        <v>286</v>
      </c>
      <c r="C21" s="99" t="s">
        <v>284</v>
      </c>
      <c r="D21" s="100">
        <v>128131053</v>
      </c>
      <c r="X21" s="101" t="s">
        <v>33</v>
      </c>
    </row>
    <row r="22" spans="2:25">
      <c r="B22" s="22"/>
      <c r="C22" s="22"/>
      <c r="D22" s="22"/>
      <c r="X22" s="101" t="s">
        <v>34</v>
      </c>
    </row>
    <row r="23" spans="2:25">
      <c r="X23" s="7" t="s">
        <v>35</v>
      </c>
    </row>
    <row r="24" spans="2:25">
      <c r="X24" s="101" t="s">
        <v>36</v>
      </c>
    </row>
    <row r="27" spans="2:25">
      <c r="I27" s="131"/>
      <c r="J27" s="131"/>
      <c r="K27" s="131"/>
      <c r="L27" s="131"/>
      <c r="M27" s="131"/>
      <c r="N27" s="131"/>
      <c r="O27" s="131"/>
      <c r="P27" s="131"/>
      <c r="Q27" s="131"/>
      <c r="R27" s="131"/>
      <c r="S27" s="131"/>
      <c r="T27" s="131"/>
      <c r="U27" s="33"/>
      <c r="V27" s="33"/>
      <c r="W27" s="33"/>
      <c r="X27" s="33"/>
      <c r="Y27" s="33"/>
    </row>
    <row r="28" spans="2:25">
      <c r="B28" s="498" t="s">
        <v>298</v>
      </c>
      <c r="C28" s="498" t="s">
        <v>299</v>
      </c>
      <c r="D28" s="111" t="s">
        <v>300</v>
      </c>
      <c r="E28" s="111" t="s">
        <v>301</v>
      </c>
      <c r="G28" s="102"/>
      <c r="I28" s="132"/>
      <c r="J28" s="132"/>
      <c r="K28" s="131"/>
      <c r="L28" s="131"/>
      <c r="M28" s="131"/>
      <c r="N28" s="131"/>
      <c r="O28" s="131"/>
      <c r="P28" s="131"/>
      <c r="Q28" s="131"/>
      <c r="R28" s="131"/>
      <c r="S28" s="131"/>
      <c r="T28" s="131"/>
      <c r="U28" s="33"/>
      <c r="V28" s="33"/>
      <c r="W28" s="33"/>
      <c r="X28" s="33"/>
      <c r="Y28" s="33"/>
    </row>
    <row r="29" spans="2:25" ht="26.4">
      <c r="B29" s="498"/>
      <c r="C29" s="498"/>
      <c r="D29" s="112" t="s">
        <v>302</v>
      </c>
      <c r="E29" s="112" t="s">
        <v>302</v>
      </c>
      <c r="G29" s="103"/>
      <c r="I29" s="103"/>
      <c r="J29" s="133"/>
      <c r="K29" s="131"/>
      <c r="L29" s="131"/>
      <c r="M29" s="131"/>
      <c r="N29" s="131"/>
      <c r="O29" s="131"/>
      <c r="P29" s="131"/>
      <c r="Q29" s="131"/>
      <c r="R29" s="131"/>
      <c r="S29" s="131"/>
      <c r="T29" s="131"/>
      <c r="U29" s="33"/>
      <c r="V29" s="33"/>
      <c r="W29" s="33"/>
      <c r="X29" s="131"/>
      <c r="Y29" s="131"/>
    </row>
    <row r="30" spans="2:25">
      <c r="B30" s="113" t="s">
        <v>303</v>
      </c>
      <c r="C30" s="114" t="s">
        <v>304</v>
      </c>
      <c r="D30" s="115"/>
      <c r="E30" s="115"/>
      <c r="G30" s="104"/>
      <c r="I30" s="104"/>
      <c r="J30" s="104"/>
      <c r="K30" s="131"/>
      <c r="L30" s="131"/>
      <c r="M30" s="131"/>
      <c r="N30" s="131"/>
      <c r="O30" s="131"/>
      <c r="P30" s="131"/>
      <c r="Q30" s="131"/>
      <c r="R30" s="131"/>
      <c r="S30" s="131"/>
      <c r="T30" s="131"/>
      <c r="U30" s="33"/>
      <c r="V30" s="33"/>
      <c r="W30" s="33"/>
      <c r="X30" s="132"/>
      <c r="Y30" s="132"/>
    </row>
    <row r="31" spans="2:25" ht="40.200000000000003">
      <c r="B31" s="113"/>
      <c r="C31" s="116" t="s">
        <v>305</v>
      </c>
      <c r="D31" s="115"/>
      <c r="E31" s="115"/>
      <c r="G31" s="104"/>
      <c r="I31" s="104"/>
      <c r="J31" s="104"/>
      <c r="K31" s="131"/>
      <c r="L31" s="131"/>
      <c r="M31" s="131"/>
      <c r="N31" s="131"/>
      <c r="O31" s="131"/>
      <c r="P31" s="131"/>
      <c r="Q31" s="131"/>
      <c r="R31" s="131"/>
      <c r="S31" s="131"/>
      <c r="T31" s="131"/>
      <c r="U31" s="33"/>
      <c r="V31" s="33"/>
      <c r="W31" s="33"/>
      <c r="X31" s="103"/>
      <c r="Y31" s="133"/>
    </row>
    <row r="32" spans="2:25">
      <c r="B32" s="117">
        <v>1</v>
      </c>
      <c r="C32" s="118" t="s">
        <v>306</v>
      </c>
      <c r="D32" s="119">
        <v>0</v>
      </c>
      <c r="E32" s="119">
        <v>21800</v>
      </c>
      <c r="G32" s="105"/>
      <c r="I32" s="105"/>
      <c r="J32" s="110"/>
      <c r="K32" s="131"/>
      <c r="L32" s="131"/>
      <c r="M32" s="131"/>
      <c r="N32" s="131"/>
      <c r="O32" s="131"/>
      <c r="P32" s="131"/>
      <c r="Q32" s="131"/>
      <c r="R32" s="131"/>
      <c r="S32" s="131"/>
      <c r="T32" s="131"/>
      <c r="U32" s="33"/>
      <c r="V32" s="33"/>
      <c r="W32" s="33"/>
      <c r="X32" s="104"/>
      <c r="Y32" s="104"/>
    </row>
    <row r="33" spans="2:25">
      <c r="B33" s="117">
        <v>2</v>
      </c>
      <c r="C33" s="118" t="s">
        <v>307</v>
      </c>
      <c r="D33" s="119"/>
      <c r="E33" s="119">
        <v>16648.240000000002</v>
      </c>
      <c r="G33" s="106"/>
      <c r="I33" s="106"/>
      <c r="J33" s="106"/>
      <c r="K33" s="131"/>
      <c r="L33" s="131"/>
      <c r="M33" s="131"/>
      <c r="N33" s="131"/>
      <c r="O33" s="131"/>
      <c r="P33" s="131"/>
      <c r="Q33" s="131"/>
      <c r="R33" s="131"/>
      <c r="S33" s="131"/>
      <c r="T33" s="131"/>
      <c r="U33" s="33"/>
      <c r="V33" s="33"/>
      <c r="W33" s="33"/>
      <c r="X33" s="104"/>
      <c r="Y33" s="104"/>
    </row>
    <row r="34" spans="2:25">
      <c r="B34" s="117">
        <v>3</v>
      </c>
      <c r="C34" s="118" t="s">
        <v>308</v>
      </c>
      <c r="D34" s="119"/>
      <c r="E34" s="119">
        <v>5460</v>
      </c>
      <c r="G34" s="106"/>
      <c r="I34" s="106"/>
      <c r="J34" s="106"/>
      <c r="K34" s="131"/>
      <c r="L34" s="131"/>
      <c r="M34" s="131"/>
      <c r="N34" s="131"/>
      <c r="O34" s="131"/>
      <c r="P34" s="131"/>
      <c r="Q34" s="131"/>
      <c r="R34" s="131"/>
      <c r="S34" s="131"/>
      <c r="T34" s="131"/>
      <c r="U34" s="33"/>
      <c r="V34" s="33"/>
      <c r="W34" s="33"/>
      <c r="X34" s="105"/>
      <c r="Y34" s="110"/>
    </row>
    <row r="35" spans="2:25">
      <c r="B35" s="117">
        <v>4</v>
      </c>
      <c r="C35" s="118" t="s">
        <v>309</v>
      </c>
      <c r="D35" s="119"/>
      <c r="E35" s="119">
        <v>1007.5</v>
      </c>
      <c r="G35" s="107"/>
      <c r="I35" s="107"/>
      <c r="J35" s="106"/>
      <c r="K35" s="131"/>
      <c r="L35" s="131"/>
      <c r="M35" s="131"/>
      <c r="N35" s="131"/>
      <c r="O35" s="131"/>
      <c r="P35" s="131"/>
      <c r="Q35" s="131"/>
      <c r="R35" s="131"/>
      <c r="S35" s="131"/>
      <c r="T35" s="131"/>
      <c r="U35" s="33"/>
      <c r="V35" s="33"/>
      <c r="W35" s="33"/>
      <c r="X35" s="106"/>
      <c r="Y35" s="106"/>
    </row>
    <row r="36" spans="2:25">
      <c r="B36" s="117"/>
      <c r="C36" s="108" t="s">
        <v>310</v>
      </c>
      <c r="D36" s="119">
        <f>SUM(D32:D35)</f>
        <v>0</v>
      </c>
      <c r="E36" s="109">
        <f>SUM(E32:E35)</f>
        <v>44915.740000000005</v>
      </c>
      <c r="G36" s="107"/>
      <c r="I36" s="134"/>
      <c r="J36" s="134"/>
      <c r="K36" s="131"/>
      <c r="L36" s="131"/>
      <c r="M36" s="131"/>
      <c r="N36" s="131"/>
      <c r="O36" s="131"/>
      <c r="P36" s="131"/>
      <c r="Q36" s="131"/>
      <c r="R36" s="131"/>
      <c r="S36" s="131"/>
      <c r="T36" s="131"/>
      <c r="U36" s="33"/>
      <c r="V36" s="33"/>
      <c r="W36" s="33"/>
      <c r="X36" s="106"/>
      <c r="Y36" s="106"/>
    </row>
    <row r="37" spans="2:25" ht="27">
      <c r="B37" s="117">
        <v>5</v>
      </c>
      <c r="C37" s="120" t="s">
        <v>311</v>
      </c>
      <c r="D37" s="119"/>
      <c r="E37" s="119">
        <f>29294.04+8.31</f>
        <v>29302.350000000002</v>
      </c>
      <c r="G37" s="107"/>
      <c r="I37" s="110"/>
      <c r="J37" s="110"/>
      <c r="K37" s="131"/>
      <c r="L37" s="131"/>
      <c r="M37" s="131"/>
      <c r="N37" s="131"/>
      <c r="O37" s="131"/>
      <c r="P37" s="131"/>
      <c r="Q37" s="131"/>
      <c r="R37" s="131"/>
      <c r="S37" s="131"/>
      <c r="T37" s="131"/>
      <c r="U37" s="33"/>
      <c r="V37" s="33"/>
      <c r="W37" s="33"/>
      <c r="X37" s="107"/>
      <c r="Y37" s="106"/>
    </row>
    <row r="38" spans="2:25">
      <c r="B38" s="117"/>
      <c r="C38" s="108" t="s">
        <v>312</v>
      </c>
      <c r="D38" s="109">
        <f>+D36+D37</f>
        <v>0</v>
      </c>
      <c r="E38" s="109">
        <f>+E36+E37</f>
        <v>74218.090000000011</v>
      </c>
      <c r="G38" s="107"/>
      <c r="I38" s="134"/>
      <c r="J38" s="134"/>
      <c r="K38" s="131"/>
      <c r="L38" s="131"/>
      <c r="M38" s="131"/>
      <c r="N38" s="131"/>
      <c r="O38" s="131"/>
      <c r="P38" s="131"/>
      <c r="Q38" s="131"/>
      <c r="R38" s="131"/>
      <c r="S38" s="131"/>
      <c r="T38" s="131"/>
      <c r="U38" s="33"/>
      <c r="V38" s="33"/>
      <c r="W38" s="33"/>
      <c r="X38" s="110"/>
      <c r="Y38" s="110"/>
    </row>
    <row r="39" spans="2:25" ht="40.200000000000003">
      <c r="B39" s="117"/>
      <c r="C39" s="116" t="s">
        <v>313</v>
      </c>
      <c r="D39" s="119"/>
      <c r="E39" s="119"/>
      <c r="G39" s="107"/>
      <c r="I39" s="110"/>
      <c r="J39" s="110"/>
      <c r="K39" s="131"/>
      <c r="L39" s="131"/>
      <c r="M39" s="131"/>
      <c r="N39" s="131"/>
      <c r="O39" s="131"/>
      <c r="P39" s="131"/>
      <c r="Q39" s="131"/>
      <c r="R39" s="131"/>
      <c r="S39" s="131"/>
      <c r="T39" s="131"/>
      <c r="U39" s="33"/>
      <c r="V39" s="33"/>
      <c r="W39" s="33"/>
      <c r="X39" s="110"/>
      <c r="Y39" s="110"/>
    </row>
    <row r="40" spans="2:25" ht="40.200000000000003">
      <c r="B40" s="117">
        <v>6</v>
      </c>
      <c r="C40" s="121" t="s">
        <v>314</v>
      </c>
      <c r="D40" s="119"/>
      <c r="E40" s="119">
        <v>2398.2399999999998</v>
      </c>
      <c r="G40" s="107"/>
      <c r="I40" s="107"/>
      <c r="J40" s="106"/>
      <c r="K40" s="131"/>
      <c r="L40" s="131"/>
      <c r="M40" s="131"/>
      <c r="N40" s="131"/>
      <c r="O40" s="131"/>
      <c r="P40" s="131"/>
      <c r="Q40" s="131"/>
      <c r="R40" s="131"/>
      <c r="S40" s="131"/>
      <c r="T40" s="131"/>
      <c r="U40" s="33"/>
      <c r="V40" s="33"/>
      <c r="W40" s="33"/>
      <c r="X40" s="134"/>
      <c r="Y40" s="134"/>
    </row>
    <row r="41" spans="2:25" ht="27">
      <c r="B41" s="117">
        <v>7</v>
      </c>
      <c r="C41" s="121" t="s">
        <v>311</v>
      </c>
      <c r="D41" s="119"/>
      <c r="E41" s="119">
        <v>1987.41</v>
      </c>
      <c r="G41" s="107"/>
      <c r="I41" s="110"/>
      <c r="J41" s="110"/>
      <c r="K41" s="131"/>
      <c r="L41" s="131"/>
      <c r="M41" s="131"/>
      <c r="N41" s="131"/>
      <c r="O41" s="131"/>
      <c r="P41" s="131"/>
      <c r="Q41" s="131"/>
      <c r="R41" s="131"/>
      <c r="S41" s="131"/>
      <c r="T41" s="131"/>
      <c r="U41" s="33"/>
      <c r="V41" s="33"/>
      <c r="W41" s="33"/>
      <c r="X41" s="110"/>
      <c r="Y41" s="110"/>
    </row>
    <row r="42" spans="2:25">
      <c r="B42" s="117"/>
      <c r="C42" s="108" t="s">
        <v>315</v>
      </c>
      <c r="D42" s="109">
        <f>+D40+D41</f>
        <v>0</v>
      </c>
      <c r="E42" s="109">
        <f>+E40+E41</f>
        <v>4385.6499999999996</v>
      </c>
      <c r="G42" s="107"/>
      <c r="I42" s="134"/>
      <c r="J42" s="134"/>
      <c r="K42" s="131"/>
      <c r="L42" s="131"/>
      <c r="M42" s="131"/>
      <c r="N42" s="131"/>
      <c r="O42" s="131"/>
      <c r="P42" s="131"/>
      <c r="Q42" s="131"/>
      <c r="R42" s="131"/>
      <c r="S42" s="131"/>
      <c r="T42" s="131"/>
      <c r="U42" s="33"/>
      <c r="V42" s="33"/>
      <c r="W42" s="33"/>
      <c r="X42" s="107"/>
      <c r="Y42" s="106"/>
    </row>
    <row r="43" spans="2:25" ht="27">
      <c r="B43" s="117"/>
      <c r="C43" s="116" t="s">
        <v>316</v>
      </c>
      <c r="D43" s="119"/>
      <c r="E43" s="119"/>
      <c r="G43" s="107"/>
      <c r="I43" s="110"/>
      <c r="J43" s="110"/>
      <c r="K43" s="131"/>
      <c r="L43" s="131"/>
      <c r="M43" s="131"/>
      <c r="N43" s="131"/>
      <c r="O43" s="131"/>
      <c r="P43" s="131"/>
      <c r="Q43" s="131"/>
      <c r="R43" s="131"/>
      <c r="S43" s="131"/>
      <c r="T43" s="131"/>
      <c r="U43" s="33"/>
      <c r="V43" s="33"/>
      <c r="W43" s="33"/>
      <c r="X43" s="110"/>
      <c r="Y43" s="110"/>
    </row>
    <row r="44" spans="2:25" ht="27">
      <c r="B44" s="117">
        <v>8</v>
      </c>
      <c r="C44" s="121" t="s">
        <v>317</v>
      </c>
      <c r="D44" s="119">
        <v>5.58</v>
      </c>
      <c r="E44" s="122">
        <f>441.87-139.18</f>
        <v>302.69</v>
      </c>
      <c r="G44" s="110"/>
      <c r="I44" s="107"/>
      <c r="J44" s="106"/>
      <c r="K44" s="131"/>
      <c r="L44" s="131"/>
      <c r="M44" s="131"/>
      <c r="N44" s="131"/>
      <c r="O44" s="131"/>
      <c r="P44" s="131"/>
      <c r="Q44" s="131"/>
      <c r="R44" s="131"/>
      <c r="S44" s="131"/>
      <c r="T44" s="131"/>
      <c r="U44" s="33"/>
      <c r="V44" s="33"/>
      <c r="W44" s="33"/>
      <c r="X44" s="134"/>
      <c r="Y44" s="134"/>
    </row>
    <row r="45" spans="2:25" ht="27">
      <c r="B45" s="117">
        <v>9</v>
      </c>
      <c r="C45" s="121" t="s">
        <v>311</v>
      </c>
      <c r="D45" s="119"/>
      <c r="E45" s="119">
        <v>139.18</v>
      </c>
      <c r="G45" s="110"/>
      <c r="I45" s="110"/>
      <c r="J45" s="110"/>
      <c r="K45" s="131"/>
      <c r="L45" s="131"/>
      <c r="M45" s="131"/>
      <c r="N45" s="131"/>
      <c r="O45" s="131"/>
      <c r="P45" s="131"/>
      <c r="Q45" s="131"/>
      <c r="R45" s="131"/>
      <c r="S45" s="131"/>
      <c r="T45" s="131"/>
      <c r="U45" s="33"/>
      <c r="V45" s="33"/>
      <c r="W45" s="33"/>
      <c r="X45" s="110"/>
      <c r="Y45" s="110"/>
    </row>
    <row r="46" spans="2:25">
      <c r="B46" s="117"/>
      <c r="C46" s="108" t="s">
        <v>318</v>
      </c>
      <c r="D46" s="109">
        <f>SUM(D44:D45)</f>
        <v>5.58</v>
      </c>
      <c r="E46" s="109">
        <f>SUM(E44:E45)</f>
        <v>441.87</v>
      </c>
      <c r="G46" s="107"/>
      <c r="I46" s="134"/>
      <c r="J46" s="134"/>
      <c r="K46" s="131"/>
      <c r="L46" s="131"/>
      <c r="M46" s="131"/>
      <c r="N46" s="131"/>
      <c r="O46" s="131"/>
      <c r="P46" s="131"/>
      <c r="Q46" s="131"/>
      <c r="R46" s="131"/>
      <c r="S46" s="131"/>
      <c r="T46" s="131"/>
      <c r="U46" s="33"/>
      <c r="V46" s="33"/>
      <c r="W46" s="33"/>
      <c r="X46" s="110"/>
      <c r="Y46" s="106"/>
    </row>
    <row r="47" spans="2:25">
      <c r="B47" s="117"/>
      <c r="C47" s="123"/>
      <c r="D47" s="119"/>
      <c r="E47" s="119"/>
      <c r="G47" s="107"/>
      <c r="I47" s="107"/>
      <c r="J47" s="106"/>
      <c r="K47" s="131"/>
      <c r="L47" s="131"/>
      <c r="M47" s="131"/>
      <c r="N47" s="131"/>
      <c r="O47" s="131"/>
      <c r="P47" s="131"/>
      <c r="Q47" s="131"/>
      <c r="R47" s="131"/>
      <c r="S47" s="131"/>
      <c r="T47" s="131"/>
      <c r="U47" s="33"/>
      <c r="V47" s="33"/>
      <c r="W47" s="33"/>
      <c r="X47" s="110"/>
      <c r="Y47" s="106"/>
    </row>
    <row r="48" spans="2:25" ht="40.200000000000003">
      <c r="B48" s="117"/>
      <c r="C48" s="116" t="s">
        <v>319</v>
      </c>
      <c r="D48" s="119"/>
      <c r="E48" s="119"/>
      <c r="G48" s="107"/>
      <c r="I48" s="107"/>
      <c r="J48" s="106"/>
      <c r="K48" s="131"/>
      <c r="L48" s="131"/>
      <c r="M48" s="131"/>
      <c r="N48" s="131"/>
      <c r="O48" s="131"/>
      <c r="P48" s="131"/>
      <c r="Q48" s="131"/>
      <c r="R48" s="131"/>
      <c r="S48" s="131"/>
      <c r="T48" s="131"/>
      <c r="U48" s="33"/>
      <c r="V48" s="33"/>
      <c r="W48" s="33"/>
      <c r="X48" s="134"/>
      <c r="Y48" s="134"/>
    </row>
    <row r="49" spans="2:25">
      <c r="B49" s="117">
        <v>10</v>
      </c>
      <c r="C49" s="124" t="s">
        <v>320</v>
      </c>
      <c r="D49" s="122"/>
      <c r="E49" s="122">
        <v>123933.14046449999</v>
      </c>
      <c r="G49" s="106"/>
      <c r="I49" s="107"/>
      <c r="J49" s="106"/>
      <c r="K49" s="131"/>
      <c r="L49" s="131"/>
      <c r="M49" s="131"/>
      <c r="N49" s="131"/>
      <c r="O49" s="131"/>
      <c r="P49" s="131"/>
      <c r="Q49" s="131"/>
      <c r="R49" s="131"/>
      <c r="S49" s="131"/>
      <c r="T49" s="131"/>
      <c r="U49" s="33"/>
      <c r="V49" s="33"/>
      <c r="W49" s="33"/>
      <c r="X49" s="107"/>
      <c r="Y49" s="106"/>
    </row>
    <row r="50" spans="2:25">
      <c r="B50" s="117">
        <v>11</v>
      </c>
      <c r="C50" s="124" t="s">
        <v>321</v>
      </c>
      <c r="D50" s="119"/>
      <c r="E50" s="119">
        <v>6985.6380027999994</v>
      </c>
      <c r="G50" s="106"/>
      <c r="I50" s="110"/>
      <c r="J50" s="110"/>
      <c r="K50" s="131"/>
      <c r="L50" s="131"/>
      <c r="M50" s="131"/>
      <c r="N50" s="131"/>
      <c r="O50" s="131"/>
      <c r="P50" s="131"/>
      <c r="Q50" s="131"/>
      <c r="R50" s="131"/>
      <c r="S50" s="131"/>
      <c r="T50" s="131"/>
      <c r="U50" s="33"/>
      <c r="V50" s="33"/>
      <c r="W50" s="33"/>
      <c r="X50" s="107"/>
      <c r="Y50" s="106"/>
    </row>
    <row r="51" spans="2:25">
      <c r="B51" s="117"/>
      <c r="C51" s="124"/>
      <c r="D51" s="119"/>
      <c r="E51" s="119">
        <f>+E49+E50</f>
        <v>130918.77846729998</v>
      </c>
      <c r="G51" s="106"/>
      <c r="I51" s="110"/>
      <c r="J51" s="110"/>
      <c r="K51" s="131"/>
      <c r="L51" s="131"/>
      <c r="M51" s="131"/>
      <c r="N51" s="131"/>
      <c r="O51" s="131"/>
      <c r="P51" s="131"/>
      <c r="Q51" s="131"/>
      <c r="R51" s="131"/>
      <c r="S51" s="131"/>
      <c r="T51" s="131"/>
      <c r="U51" s="33"/>
      <c r="V51" s="33"/>
      <c r="W51" s="33"/>
      <c r="X51" s="107"/>
      <c r="Y51" s="106"/>
    </row>
    <row r="52" spans="2:25" ht="27">
      <c r="B52" s="117">
        <v>12</v>
      </c>
      <c r="C52" s="121" t="s">
        <v>311</v>
      </c>
      <c r="D52" s="122"/>
      <c r="E52" s="122">
        <v>42552.330026339405</v>
      </c>
      <c r="G52" s="106"/>
      <c r="I52" s="107"/>
      <c r="J52" s="106"/>
      <c r="K52" s="131"/>
      <c r="L52" s="131"/>
      <c r="M52" s="131"/>
      <c r="N52" s="131"/>
      <c r="O52" s="131"/>
      <c r="P52" s="131"/>
      <c r="Q52" s="131"/>
      <c r="R52" s="131"/>
      <c r="S52" s="131"/>
      <c r="T52" s="131"/>
      <c r="U52" s="33"/>
      <c r="V52" s="33"/>
      <c r="W52" s="33"/>
      <c r="X52" s="110"/>
      <c r="Y52" s="110"/>
    </row>
    <row r="53" spans="2:25">
      <c r="B53" s="117"/>
      <c r="C53" s="108" t="s">
        <v>322</v>
      </c>
      <c r="D53" s="109">
        <f>SUM(D49:D52)</f>
        <v>0</v>
      </c>
      <c r="E53" s="109">
        <f>+E51+E52</f>
        <v>173471.10849363939</v>
      </c>
      <c r="G53" s="106"/>
      <c r="I53" s="134"/>
      <c r="J53" s="134"/>
      <c r="K53" s="131"/>
      <c r="L53" s="131"/>
      <c r="M53" s="131"/>
      <c r="N53" s="131"/>
      <c r="O53" s="131"/>
      <c r="P53" s="131"/>
      <c r="Q53" s="131"/>
      <c r="R53" s="131"/>
      <c r="S53" s="131"/>
      <c r="T53" s="131"/>
      <c r="U53" s="33"/>
      <c r="V53" s="33"/>
      <c r="W53" s="33"/>
      <c r="X53" s="110"/>
      <c r="Y53" s="110"/>
    </row>
    <row r="54" spans="2:25">
      <c r="B54" s="113" t="s">
        <v>323</v>
      </c>
      <c r="C54" s="114" t="s">
        <v>324</v>
      </c>
      <c r="D54" s="125"/>
      <c r="E54" s="125"/>
      <c r="G54" s="106"/>
      <c r="I54" s="106"/>
      <c r="J54" s="106"/>
      <c r="K54" s="131"/>
      <c r="L54" s="131"/>
      <c r="M54" s="131"/>
      <c r="N54" s="131"/>
      <c r="O54" s="131"/>
      <c r="P54" s="131"/>
      <c r="Q54" s="131"/>
      <c r="R54" s="131"/>
      <c r="S54" s="131"/>
      <c r="T54" s="131"/>
      <c r="U54" s="33"/>
      <c r="V54" s="33"/>
      <c r="W54" s="33"/>
      <c r="X54" s="107"/>
      <c r="Y54" s="106"/>
    </row>
    <row r="55" spans="2:25" ht="43.2">
      <c r="B55" s="117">
        <v>13</v>
      </c>
      <c r="C55" s="126" t="s">
        <v>325</v>
      </c>
      <c r="D55" s="127">
        <v>2177.9499999999998</v>
      </c>
      <c r="E55" s="127">
        <v>1352.48</v>
      </c>
      <c r="G55" s="106"/>
      <c r="I55" s="106"/>
      <c r="J55" s="135"/>
      <c r="K55" s="131"/>
      <c r="L55" s="131"/>
      <c r="M55" s="131"/>
      <c r="N55" s="131"/>
      <c r="O55" s="131"/>
      <c r="P55" s="131"/>
      <c r="Q55" s="131"/>
      <c r="R55" s="131"/>
      <c r="S55" s="131"/>
      <c r="T55" s="131"/>
      <c r="U55" s="33"/>
      <c r="V55" s="33"/>
      <c r="W55" s="33"/>
      <c r="X55" s="134"/>
      <c r="Y55" s="134"/>
    </row>
    <row r="56" spans="2:25">
      <c r="B56" s="117"/>
      <c r="C56" s="124"/>
      <c r="D56" s="125"/>
      <c r="E56" s="125"/>
      <c r="G56" s="106"/>
      <c r="I56" s="106"/>
      <c r="J56" s="106"/>
      <c r="K56" s="131"/>
      <c r="L56" s="131"/>
      <c r="M56" s="131"/>
      <c r="N56" s="131"/>
      <c r="O56" s="131"/>
      <c r="P56" s="131"/>
      <c r="Q56" s="131"/>
      <c r="R56" s="131"/>
      <c r="S56" s="131"/>
      <c r="T56" s="131"/>
      <c r="U56" s="33"/>
      <c r="V56" s="33"/>
      <c r="W56" s="33"/>
      <c r="X56" s="106"/>
      <c r="Y56" s="106"/>
    </row>
    <row r="57" spans="2:25">
      <c r="B57" s="128"/>
      <c r="C57" s="129" t="s">
        <v>326</v>
      </c>
      <c r="D57" s="130">
        <f>+D53+D46+D42+D38+D55</f>
        <v>2183.5299999999997</v>
      </c>
      <c r="E57" s="130">
        <f>+E53+E46+E42+E38+E55</f>
        <v>253869.19849363939</v>
      </c>
      <c r="G57" s="106"/>
      <c r="I57" s="134"/>
      <c r="J57" s="134"/>
      <c r="K57" s="131"/>
      <c r="L57" s="131"/>
      <c r="M57" s="131"/>
      <c r="N57" s="131"/>
      <c r="O57" s="131"/>
      <c r="P57" s="131"/>
      <c r="Q57" s="131"/>
      <c r="R57" s="131"/>
      <c r="S57" s="131"/>
      <c r="T57" s="131"/>
      <c r="U57" s="33"/>
      <c r="V57" s="33"/>
      <c r="W57" s="33"/>
      <c r="X57" s="106"/>
      <c r="Y57" s="135"/>
    </row>
    <row r="58" spans="2:25">
      <c r="I58" s="131"/>
      <c r="J58" s="131"/>
      <c r="K58" s="131"/>
      <c r="L58" s="131"/>
      <c r="M58" s="131"/>
      <c r="N58" s="131"/>
      <c r="O58" s="131"/>
      <c r="P58" s="131"/>
      <c r="Q58" s="131"/>
      <c r="R58" s="131"/>
      <c r="S58" s="131"/>
      <c r="T58" s="131"/>
      <c r="U58" s="33"/>
      <c r="V58" s="33"/>
      <c r="W58" s="33"/>
      <c r="X58" s="106"/>
      <c r="Y58" s="106"/>
    </row>
    <row r="59" spans="2:25">
      <c r="I59" s="131"/>
      <c r="J59" s="131"/>
      <c r="K59" s="131"/>
      <c r="L59" s="131"/>
      <c r="M59" s="131"/>
      <c r="N59" s="131"/>
      <c r="O59" s="131"/>
      <c r="P59" s="131"/>
      <c r="Q59" s="131"/>
      <c r="R59" s="131"/>
      <c r="S59" s="131"/>
      <c r="T59" s="131"/>
      <c r="U59" s="33"/>
      <c r="V59" s="33"/>
      <c r="W59" s="33"/>
      <c r="X59" s="134"/>
      <c r="Y59" s="134"/>
    </row>
    <row r="60" spans="2:25">
      <c r="I60" s="131"/>
      <c r="J60" s="131"/>
      <c r="K60" s="131"/>
      <c r="L60" s="131"/>
      <c r="M60" s="131"/>
      <c r="N60" s="131"/>
      <c r="O60" s="131"/>
      <c r="P60" s="131"/>
      <c r="Q60" s="131"/>
      <c r="R60" s="131"/>
      <c r="S60" s="131"/>
      <c r="T60" s="131"/>
      <c r="U60" s="33"/>
      <c r="V60" s="33"/>
      <c r="W60" s="33"/>
      <c r="X60" s="131"/>
      <c r="Y60" s="131"/>
    </row>
    <row r="61" spans="2:25">
      <c r="I61" s="131"/>
      <c r="J61" s="131"/>
      <c r="K61" s="131"/>
      <c r="L61" s="131"/>
      <c r="M61" s="131"/>
      <c r="N61" s="131"/>
      <c r="O61" s="131"/>
      <c r="P61" s="131"/>
      <c r="Q61" s="131"/>
      <c r="R61" s="131"/>
      <c r="S61" s="131"/>
      <c r="T61" s="131"/>
      <c r="U61" s="33"/>
      <c r="V61" s="33"/>
      <c r="W61" s="33"/>
      <c r="X61" s="131"/>
      <c r="Y61" s="131"/>
    </row>
  </sheetData>
  <mergeCells count="3">
    <mergeCell ref="W3:AB3"/>
    <mergeCell ref="B28:B29"/>
    <mergeCell ref="C28:C29"/>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71"/>
  <sheetViews>
    <sheetView showGridLines="0" workbookViewId="0">
      <selection activeCell="B88" sqref="B88"/>
    </sheetView>
  </sheetViews>
  <sheetFormatPr defaultRowHeight="14.4"/>
  <cols>
    <col min="1" max="1" width="3.33203125" customWidth="1"/>
    <col min="2" max="2" width="24.33203125" customWidth="1"/>
    <col min="3" max="3" width="24" style="15" customWidth="1"/>
    <col min="4" max="22" width="15.6640625" style="15" customWidth="1"/>
  </cols>
  <sheetData>
    <row r="2" spans="2:22" ht="18.600000000000001" customHeight="1">
      <c r="B2" s="137" t="s">
        <v>330</v>
      </c>
      <c r="C2" s="136"/>
      <c r="D2" s="136"/>
      <c r="E2" s="136"/>
      <c r="F2" s="136"/>
      <c r="G2" s="136"/>
      <c r="H2" s="136"/>
      <c r="I2" s="136"/>
      <c r="J2" s="136"/>
      <c r="K2" s="136"/>
      <c r="L2" s="136"/>
      <c r="M2" s="136"/>
      <c r="N2" s="136"/>
      <c r="O2" s="136"/>
      <c r="P2" s="136"/>
      <c r="Q2" s="136"/>
      <c r="R2" s="136"/>
      <c r="S2" s="136"/>
      <c r="T2" s="136"/>
      <c r="U2" s="136"/>
      <c r="V2" s="136"/>
    </row>
    <row r="3" spans="2:22" ht="9.6" customHeight="1"/>
    <row r="4" spans="2:22" ht="19.2" customHeight="1">
      <c r="B4" s="2" t="s">
        <v>329</v>
      </c>
      <c r="C4" s="138">
        <v>2003</v>
      </c>
      <c r="D4" s="138">
        <f>C4+1</f>
        <v>2004</v>
      </c>
      <c r="E4" s="138">
        <f t="shared" ref="E4:V4" si="0">D4+1</f>
        <v>2005</v>
      </c>
      <c r="F4" s="138">
        <f t="shared" si="0"/>
        <v>2006</v>
      </c>
      <c r="G4" s="138">
        <f t="shared" si="0"/>
        <v>2007</v>
      </c>
      <c r="H4" s="138">
        <f t="shared" si="0"/>
        <v>2008</v>
      </c>
      <c r="I4" s="138">
        <f t="shared" si="0"/>
        <v>2009</v>
      </c>
      <c r="J4" s="138">
        <f t="shared" si="0"/>
        <v>2010</v>
      </c>
      <c r="K4" s="138">
        <f t="shared" si="0"/>
        <v>2011</v>
      </c>
      <c r="L4" s="138">
        <f t="shared" si="0"/>
        <v>2012</v>
      </c>
      <c r="M4" s="138">
        <f t="shared" si="0"/>
        <v>2013</v>
      </c>
      <c r="N4" s="138">
        <f t="shared" si="0"/>
        <v>2014</v>
      </c>
      <c r="O4" s="138">
        <f t="shared" si="0"/>
        <v>2015</v>
      </c>
      <c r="P4" s="138">
        <f t="shared" si="0"/>
        <v>2016</v>
      </c>
      <c r="Q4" s="138">
        <f t="shared" si="0"/>
        <v>2017</v>
      </c>
      <c r="R4" s="138">
        <f t="shared" si="0"/>
        <v>2018</v>
      </c>
      <c r="S4" s="138">
        <f t="shared" si="0"/>
        <v>2019</v>
      </c>
      <c r="T4" s="138">
        <f t="shared" si="0"/>
        <v>2020</v>
      </c>
      <c r="U4" s="138">
        <f t="shared" si="0"/>
        <v>2021</v>
      </c>
      <c r="V4" s="138">
        <f t="shared" si="0"/>
        <v>2022</v>
      </c>
    </row>
    <row r="5" spans="2:22" ht="13.2" customHeight="1"/>
    <row r="6" spans="2:22" ht="18" customHeight="1">
      <c r="B6" t="s">
        <v>331</v>
      </c>
      <c r="C6" s="15">
        <v>99.4</v>
      </c>
      <c r="D6" s="15">
        <v>99.9</v>
      </c>
      <c r="E6" s="15">
        <v>116.6</v>
      </c>
      <c r="F6" s="15">
        <v>115.4</v>
      </c>
      <c r="G6" s="15">
        <v>110.8</v>
      </c>
      <c r="H6" s="15">
        <v>113.3</v>
      </c>
      <c r="I6" s="15">
        <v>115.3</v>
      </c>
      <c r="J6" s="15">
        <v>124.1</v>
      </c>
      <c r="K6" s="15">
        <v>138.5</v>
      </c>
      <c r="L6" s="15">
        <v>130.80000000000001</v>
      </c>
      <c r="M6" s="15">
        <v>131.1</v>
      </c>
      <c r="N6" s="15">
        <v>119.5</v>
      </c>
      <c r="O6" s="15">
        <v>78</v>
      </c>
      <c r="P6" s="15">
        <v>112.3</v>
      </c>
      <c r="Q6" s="15">
        <v>125.4</v>
      </c>
      <c r="R6" s="15">
        <v>133.1</v>
      </c>
      <c r="S6" s="15">
        <v>49</v>
      </c>
      <c r="T6" s="15">
        <v>58</v>
      </c>
      <c r="U6" s="15">
        <v>62.2</v>
      </c>
      <c r="V6" s="15">
        <v>76.5</v>
      </c>
    </row>
    <row r="7" spans="2:22" ht="18.600000000000001" customHeight="1">
      <c r="B7" t="s">
        <v>332</v>
      </c>
      <c r="C7" s="15">
        <v>1.1870000000000001</v>
      </c>
      <c r="D7" s="15">
        <v>1.194</v>
      </c>
      <c r="E7" s="15">
        <v>1.393</v>
      </c>
      <c r="F7" s="15">
        <v>1.379</v>
      </c>
      <c r="G7" s="15">
        <v>1.3240000000000001</v>
      </c>
      <c r="H7" s="15">
        <v>1.3540000000000001</v>
      </c>
      <c r="I7" s="15">
        <v>1.3779999999999999</v>
      </c>
      <c r="J7" s="15">
        <v>1.482</v>
      </c>
      <c r="K7" s="15">
        <v>1.655</v>
      </c>
      <c r="L7" s="15">
        <v>1.5629999999999999</v>
      </c>
      <c r="M7" s="15">
        <v>1.5660000000000001</v>
      </c>
      <c r="N7" s="15">
        <v>1.4279999999999999</v>
      </c>
      <c r="O7" s="15">
        <v>0.93200000000000005</v>
      </c>
      <c r="P7" s="15">
        <v>1.3420000000000001</v>
      </c>
      <c r="Q7" s="15">
        <v>1.498</v>
      </c>
      <c r="R7" s="15">
        <v>1.59</v>
      </c>
      <c r="S7" s="15">
        <v>0.58499999999999996</v>
      </c>
      <c r="T7" s="15">
        <v>0.69299999999999995</v>
      </c>
      <c r="U7" s="15">
        <v>0.74299999999999999</v>
      </c>
      <c r="V7" s="15">
        <v>0.91400000000000003</v>
      </c>
    </row>
    <row r="10" spans="2:22">
      <c r="B10" t="s">
        <v>333</v>
      </c>
      <c r="C10" s="15">
        <v>5.8460000000000001</v>
      </c>
      <c r="D10" s="15">
        <v>5.7560000000000002</v>
      </c>
      <c r="E10" s="15">
        <v>5.718</v>
      </c>
      <c r="F10" s="15">
        <v>5.6619999999999999</v>
      </c>
      <c r="G10" s="15">
        <v>5.6379999999999999</v>
      </c>
      <c r="H10" s="15">
        <v>5.6070000000000002</v>
      </c>
      <c r="I10" s="15">
        <v>5.6139999999999999</v>
      </c>
      <c r="J10" s="15">
        <v>5.5880000000000001</v>
      </c>
      <c r="K10" s="15">
        <v>5.5990000000000002</v>
      </c>
      <c r="L10" s="15">
        <v>5.6349999999999998</v>
      </c>
      <c r="M10" s="15">
        <v>5.6</v>
      </c>
      <c r="N10" s="15">
        <v>5.734</v>
      </c>
      <c r="O10" s="15">
        <v>6.0039999999999996</v>
      </c>
      <c r="P10" s="15">
        <v>5.8019999999999996</v>
      </c>
      <c r="Q10" s="15">
        <v>5.6989999999999998</v>
      </c>
      <c r="R10" s="15">
        <v>5.6529999999999996</v>
      </c>
      <c r="S10" s="15">
        <v>5.9820000000000002</v>
      </c>
      <c r="T10" s="15">
        <v>6.14</v>
      </c>
      <c r="U10" s="15">
        <v>6.0890000000000004</v>
      </c>
      <c r="V10" s="15">
        <v>6.2080000000000002</v>
      </c>
    </row>
    <row r="11" spans="2:22">
      <c r="B11" t="s">
        <v>334</v>
      </c>
      <c r="C11" s="15">
        <v>6.5780000000000003</v>
      </c>
      <c r="D11" s="15">
        <v>6.34</v>
      </c>
      <c r="E11" s="15">
        <v>5.9980000000000002</v>
      </c>
      <c r="F11" s="15">
        <v>5.5449999999999999</v>
      </c>
      <c r="G11" s="15">
        <v>5.5289999999999999</v>
      </c>
      <c r="H11" s="15">
        <v>5.335</v>
      </c>
      <c r="I11" s="15">
        <v>5.2919999999999998</v>
      </c>
      <c r="J11" s="15">
        <v>5.173</v>
      </c>
      <c r="K11" s="15">
        <v>5.0469999999999997</v>
      </c>
      <c r="L11" s="15">
        <v>5.1959999999999997</v>
      </c>
      <c r="M11" s="15">
        <v>5.1289999999999996</v>
      </c>
      <c r="N11" s="15">
        <v>5.3250000000000002</v>
      </c>
      <c r="O11" s="15">
        <v>5.6589999999999998</v>
      </c>
      <c r="P11" s="15">
        <v>5.5549999999999997</v>
      </c>
      <c r="Q11" s="15">
        <v>5.4749999999999996</v>
      </c>
      <c r="R11" s="15">
        <v>5.3959999999999999</v>
      </c>
      <c r="S11" s="15">
        <v>8.7050000000000001</v>
      </c>
      <c r="T11" s="15">
        <v>7.5910000000000002</v>
      </c>
      <c r="U11" s="15">
        <v>6.9710000000000001</v>
      </c>
      <c r="V11" s="15">
        <v>6.4690000000000003</v>
      </c>
    </row>
    <row r="69" spans="3:10">
      <c r="D69" s="138">
        <v>2015</v>
      </c>
      <c r="E69" s="138">
        <f t="shared" ref="E69:J69" si="1">D69+1</f>
        <v>2016</v>
      </c>
      <c r="F69" s="138">
        <f t="shared" si="1"/>
        <v>2017</v>
      </c>
      <c r="G69" s="138">
        <f t="shared" si="1"/>
        <v>2018</v>
      </c>
      <c r="H69" s="138">
        <f t="shared" si="1"/>
        <v>2019</v>
      </c>
      <c r="I69" s="138">
        <f t="shared" si="1"/>
        <v>2020</v>
      </c>
      <c r="J69" s="138">
        <f t="shared" si="1"/>
        <v>2021</v>
      </c>
    </row>
    <row r="71" spans="3:10">
      <c r="C71" s="15" t="s">
        <v>335</v>
      </c>
      <c r="D71" s="15">
        <v>186</v>
      </c>
      <c r="E71" s="15">
        <v>188</v>
      </c>
      <c r="F71" s="15">
        <v>214</v>
      </c>
      <c r="G71" s="15">
        <v>213</v>
      </c>
      <c r="H71" s="15">
        <v>217</v>
      </c>
      <c r="I71" s="15">
        <v>192</v>
      </c>
      <c r="J71" s="15">
        <v>255</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2:J48"/>
  <sheetViews>
    <sheetView showGridLines="0" topLeftCell="A20" workbookViewId="0">
      <selection activeCell="H49" sqref="H49"/>
    </sheetView>
  </sheetViews>
  <sheetFormatPr defaultRowHeight="14.4"/>
  <cols>
    <col min="1" max="1" width="17.44140625" customWidth="1"/>
    <col min="2" max="2" width="28.6640625" customWidth="1"/>
    <col min="3" max="3" width="18.88671875" customWidth="1"/>
    <col min="4" max="4" width="4.109375" customWidth="1"/>
    <col min="5" max="5" width="37" customWidth="1"/>
    <col min="6" max="6" width="14.6640625" hidden="1" customWidth="1"/>
    <col min="7" max="7" width="3.88671875" customWidth="1"/>
    <col min="8" max="8" width="25" customWidth="1"/>
    <col min="10" max="10" width="12" customWidth="1"/>
  </cols>
  <sheetData>
    <row r="2" spans="2:10" ht="17.25" customHeight="1">
      <c r="B2" s="21" t="s">
        <v>39</v>
      </c>
      <c r="C2" s="20"/>
      <c r="D2" s="20"/>
      <c r="E2" s="20"/>
      <c r="F2" s="20"/>
      <c r="G2" s="20"/>
      <c r="H2" s="20"/>
      <c r="I2" s="20"/>
      <c r="J2" s="20"/>
    </row>
    <row r="3" spans="2:10" ht="10.5" customHeight="1"/>
    <row r="4" spans="2:10" ht="18" customHeight="1">
      <c r="B4" s="2" t="s">
        <v>90</v>
      </c>
      <c r="C4" s="1"/>
      <c r="D4" s="1"/>
      <c r="E4" s="1"/>
      <c r="F4" s="1"/>
      <c r="G4" s="1"/>
      <c r="H4" s="1"/>
      <c r="I4" s="1"/>
      <c r="J4" s="1"/>
    </row>
    <row r="5" spans="2:10" ht="9.75" customHeight="1"/>
    <row r="6" spans="2:10" ht="18" customHeight="1">
      <c r="B6" s="2" t="s">
        <v>346</v>
      </c>
      <c r="C6" s="2"/>
      <c r="D6" s="2"/>
      <c r="E6" s="14" t="s">
        <v>18</v>
      </c>
      <c r="F6" s="2" t="s">
        <v>327</v>
      </c>
      <c r="G6" s="2"/>
      <c r="H6" s="14" t="s">
        <v>1</v>
      </c>
      <c r="I6" s="2"/>
      <c r="J6" s="13" t="s">
        <v>16</v>
      </c>
    </row>
    <row r="7" spans="2:10" ht="10.5" customHeight="1">
      <c r="E7" s="22"/>
    </row>
    <row r="8" spans="2:10" ht="18.75" customHeight="1">
      <c r="B8" s="9" t="s">
        <v>11</v>
      </c>
      <c r="E8" s="22"/>
    </row>
    <row r="9" spans="2:10" ht="20.25" customHeight="1">
      <c r="B9" s="24" t="str">
        <f>UPPER('[1]NF Balancesheet'!$C$9)</f>
        <v>(A) PROPERTY, PLANT AND EQUIPMENT</v>
      </c>
      <c r="E9" s="22"/>
    </row>
    <row r="10" spans="2:10">
      <c r="B10" s="7" t="s">
        <v>37</v>
      </c>
      <c r="E10" s="6">
        <f>101945.77*10^5/10^7</f>
        <v>1019.4577</v>
      </c>
      <c r="F10" s="6">
        <f>101945.77*10^5/10^7</f>
        <v>1019.4577</v>
      </c>
      <c r="H10" s="147"/>
      <c r="J10" s="28"/>
    </row>
    <row r="11" spans="2:10">
      <c r="B11" s="7" t="s">
        <v>30</v>
      </c>
      <c r="E11" s="6">
        <f>7540.206*10^5/10^7</f>
        <v>75.402060000000006</v>
      </c>
      <c r="F11" s="6">
        <f>7540.206*10^5/10^7</f>
        <v>75.402060000000006</v>
      </c>
      <c r="H11" s="147"/>
      <c r="J11" s="28"/>
    </row>
    <row r="12" spans="2:10">
      <c r="B12" s="7" t="s">
        <v>31</v>
      </c>
      <c r="E12" s="6">
        <f>100719.927*10^5/10^7</f>
        <v>1007.19927</v>
      </c>
      <c r="F12" s="6">
        <f>100719.927*10^5/10^7</f>
        <v>1007.19927</v>
      </c>
      <c r="H12" s="147"/>
      <c r="J12" s="28"/>
    </row>
    <row r="13" spans="2:10">
      <c r="B13" s="7" t="s">
        <v>32</v>
      </c>
      <c r="E13" s="6">
        <f>26.37*10^5/10^7</f>
        <v>0.26369999999999999</v>
      </c>
      <c r="F13" s="6">
        <f>26.37*10^5/10^7</f>
        <v>0.26369999999999999</v>
      </c>
      <c r="H13" s="147"/>
      <c r="J13" s="28"/>
    </row>
    <row r="14" spans="2:10">
      <c r="B14" s="7" t="s">
        <v>33</v>
      </c>
      <c r="E14" s="6">
        <f>247.88*10^5/10^7</f>
        <v>2.4788000000000001</v>
      </c>
      <c r="F14" s="6">
        <f>247.88*10^5/10^7</f>
        <v>2.4788000000000001</v>
      </c>
      <c r="H14" s="147"/>
      <c r="J14" s="28"/>
    </row>
    <row r="15" spans="2:10">
      <c r="B15" s="7" t="s">
        <v>34</v>
      </c>
      <c r="E15" s="6">
        <f>23.91*10^5/10^7</f>
        <v>0.23910000000000001</v>
      </c>
      <c r="F15" s="6">
        <f>23.91*10^5/10^7</f>
        <v>0.23910000000000001</v>
      </c>
      <c r="H15" s="147"/>
      <c r="J15" s="28"/>
    </row>
    <row r="16" spans="2:10">
      <c r="B16" s="7" t="s">
        <v>35</v>
      </c>
      <c r="E16" s="6">
        <f>68.07*10^5/10^7</f>
        <v>0.68069999999999986</v>
      </c>
      <c r="F16" s="6">
        <f>68.07*10^5/10^7</f>
        <v>0.68069999999999986</v>
      </c>
      <c r="H16" s="147"/>
      <c r="J16" s="28"/>
    </row>
    <row r="17" spans="1:10">
      <c r="B17" s="7" t="s">
        <v>36</v>
      </c>
      <c r="E17" s="6">
        <f>46.63*10^5/10^7</f>
        <v>0.46629999999999999</v>
      </c>
      <c r="F17" s="6">
        <f>46.63*10^5/10^7</f>
        <v>0.46629999999999999</v>
      </c>
      <c r="H17" s="147"/>
      <c r="J17" s="28"/>
    </row>
    <row r="18" spans="1:10" ht="18.75" customHeight="1">
      <c r="B18" s="19" t="s">
        <v>12</v>
      </c>
      <c r="C18" s="19"/>
      <c r="D18" s="19"/>
      <c r="E18" s="11">
        <f>SUM(E10:E17)</f>
        <v>2106.1876299999994</v>
      </c>
      <c r="F18" s="11">
        <f>SUM(F10:F17)</f>
        <v>2106.1876299999994</v>
      </c>
      <c r="G18" s="23"/>
      <c r="H18" s="11">
        <f>12814386635.7532/10^7</f>
        <v>1281.4386635753201</v>
      </c>
      <c r="I18" s="11"/>
      <c r="J18" s="11"/>
    </row>
    <row r="19" spans="1:10">
      <c r="E19" s="22"/>
      <c r="F19" s="22"/>
    </row>
    <row r="20" spans="1:10">
      <c r="B20" s="24" t="s">
        <v>91</v>
      </c>
      <c r="E20" s="22"/>
      <c r="F20" s="22"/>
    </row>
    <row r="21" spans="1:10">
      <c r="E21" s="22"/>
      <c r="F21" s="22"/>
    </row>
    <row r="22" spans="1:10">
      <c r="B22" s="39" t="s">
        <v>92</v>
      </c>
      <c r="E22" s="5">
        <f>E31</f>
        <v>0.23734472400000001</v>
      </c>
      <c r="F22" s="5">
        <f>F31</f>
        <v>0.23734472400000001</v>
      </c>
      <c r="H22" s="6">
        <f>H31</f>
        <v>0.14679172400000001</v>
      </c>
    </row>
    <row r="23" spans="1:10">
      <c r="C23" s="31"/>
      <c r="E23" s="5"/>
      <c r="F23" s="5"/>
    </row>
    <row r="24" spans="1:10">
      <c r="B24" s="31" t="s">
        <v>339</v>
      </c>
      <c r="D24" s="16"/>
      <c r="F24" s="5"/>
    </row>
    <row r="25" spans="1:10">
      <c r="A25" s="428" t="s">
        <v>340</v>
      </c>
      <c r="B25" s="140" t="s">
        <v>341</v>
      </c>
      <c r="D25" s="16"/>
      <c r="E25" s="5">
        <f>0.669*10^5/10^7</f>
        <v>6.6899999999999998E-3</v>
      </c>
      <c r="F25" s="5">
        <f>0.669*10^5/10^7</f>
        <v>6.6899999999999998E-3</v>
      </c>
      <c r="H25" s="143">
        <f>'Non Current -CWIP- I'!E6</f>
        <v>5.352E-3</v>
      </c>
      <c r="J25" s="149"/>
    </row>
    <row r="26" spans="1:10">
      <c r="A26" s="428"/>
      <c r="B26" s="140" t="s">
        <v>342</v>
      </c>
      <c r="D26" s="16"/>
      <c r="E26" s="5">
        <f>7.843*10^5/10^7</f>
        <v>7.843E-2</v>
      </c>
      <c r="F26" s="5">
        <f>7.843*10^5/10^7</f>
        <v>7.843E-2</v>
      </c>
      <c r="H26" s="143">
        <f>'Non Current -CWIP- I'!E7</f>
        <v>3.9215E-2</v>
      </c>
      <c r="J26" s="149"/>
    </row>
    <row r="27" spans="1:10">
      <c r="A27" s="428"/>
      <c r="B27" s="140" t="s">
        <v>347</v>
      </c>
      <c r="D27" s="16"/>
      <c r="E27" s="5">
        <f>5.2224724*10^5/10^7</f>
        <v>5.2224724E-2</v>
      </c>
      <c r="F27" s="5">
        <f>5.2224724*10^5/10^7</f>
        <v>5.2224724E-2</v>
      </c>
      <c r="H27" s="143">
        <f>'Non Current -CWIP- I'!E8</f>
        <v>5.2224724E-2</v>
      </c>
      <c r="J27" s="149"/>
    </row>
    <row r="28" spans="1:10">
      <c r="A28" s="428"/>
      <c r="B28" s="148" t="s">
        <v>343</v>
      </c>
      <c r="C28" s="3"/>
      <c r="D28" s="3"/>
      <c r="E28" s="8">
        <f>SUM(E25:E27)</f>
        <v>0.137344724</v>
      </c>
      <c r="F28" s="8">
        <f>SUM(F25:F27)</f>
        <v>0.137344724</v>
      </c>
      <c r="G28" s="3"/>
      <c r="H28" s="8">
        <f>SUM(H25:H27)</f>
        <v>9.6791723999999996E-2</v>
      </c>
      <c r="I28" s="3"/>
      <c r="J28" s="149"/>
    </row>
    <row r="29" spans="1:10">
      <c r="A29" s="428" t="s">
        <v>344</v>
      </c>
      <c r="B29" s="140" t="s">
        <v>345</v>
      </c>
      <c r="D29" s="16"/>
      <c r="E29" s="5">
        <f>10*10^5/10^7</f>
        <v>0.1</v>
      </c>
      <c r="F29" s="5">
        <f>10*10^5/10^7</f>
        <v>0.1</v>
      </c>
      <c r="H29" s="15">
        <f>'Non Current -CWIP- I'!E9</f>
        <v>0.05</v>
      </c>
      <c r="J29" s="149"/>
    </row>
    <row r="30" spans="1:10">
      <c r="A30" s="428"/>
      <c r="B30" s="140" t="s">
        <v>343</v>
      </c>
      <c r="D30" s="16"/>
      <c r="E30" s="5">
        <f>E29</f>
        <v>0.1</v>
      </c>
      <c r="F30" s="5">
        <f>F29</f>
        <v>0.1</v>
      </c>
      <c r="H30" s="5">
        <f>H29</f>
        <v>0.05</v>
      </c>
    </row>
    <row r="31" spans="1:10">
      <c r="B31" s="429" t="s">
        <v>13</v>
      </c>
      <c r="C31" s="429"/>
      <c r="D31" s="429"/>
      <c r="E31" s="11">
        <f>E28+E30</f>
        <v>0.23734472400000001</v>
      </c>
      <c r="F31" s="11">
        <f>F28+F30</f>
        <v>0.23734472400000001</v>
      </c>
      <c r="G31" s="17"/>
      <c r="H31" s="11">
        <f>H28+H30</f>
        <v>0.14679172400000001</v>
      </c>
      <c r="I31" s="17"/>
      <c r="J31" s="17"/>
    </row>
    <row r="32" spans="1:10">
      <c r="B32" s="39"/>
      <c r="E32" s="5"/>
      <c r="F32" s="5"/>
    </row>
    <row r="33" spans="2:10">
      <c r="B33" s="24" t="s">
        <v>93</v>
      </c>
      <c r="E33" s="22"/>
      <c r="F33" s="22"/>
    </row>
    <row r="34" spans="2:10">
      <c r="E34" s="22"/>
      <c r="F34" s="22"/>
    </row>
    <row r="35" spans="2:10">
      <c r="B35" s="3" t="s">
        <v>94</v>
      </c>
      <c r="E35" s="22"/>
      <c r="F35" s="22"/>
    </row>
    <row r="36" spans="2:10">
      <c r="E36" s="22"/>
      <c r="F36" s="22"/>
    </row>
    <row r="37" spans="2:10">
      <c r="B37" t="s">
        <v>95</v>
      </c>
      <c r="E37" s="6">
        <v>0</v>
      </c>
      <c r="F37" s="6">
        <v>0</v>
      </c>
      <c r="H37" s="6">
        <f t="shared" ref="H37:H42" si="0">F37</f>
        <v>0</v>
      </c>
      <c r="J37" s="149"/>
    </row>
    <row r="38" spans="2:10">
      <c r="B38" t="s">
        <v>96</v>
      </c>
      <c r="E38" s="6">
        <v>0</v>
      </c>
      <c r="F38" s="6">
        <v>0</v>
      </c>
      <c r="H38" s="6">
        <f t="shared" si="0"/>
        <v>0</v>
      </c>
      <c r="J38" s="149"/>
    </row>
    <row r="39" spans="2:10">
      <c r="B39" t="s">
        <v>97</v>
      </c>
      <c r="E39" s="6">
        <v>0</v>
      </c>
      <c r="F39" s="6">
        <v>0</v>
      </c>
      <c r="H39" s="6">
        <f t="shared" si="0"/>
        <v>0</v>
      </c>
      <c r="J39" s="149"/>
    </row>
    <row r="40" spans="2:10">
      <c r="B40" t="s">
        <v>98</v>
      </c>
      <c r="E40" s="6">
        <v>0</v>
      </c>
      <c r="F40" s="6">
        <v>0</v>
      </c>
      <c r="H40" s="6">
        <f t="shared" si="0"/>
        <v>0</v>
      </c>
      <c r="J40" s="149"/>
    </row>
    <row r="41" spans="2:10">
      <c r="B41" t="s">
        <v>99</v>
      </c>
      <c r="E41" s="5">
        <f>475.04*10^5/10^7</f>
        <v>4.7504</v>
      </c>
      <c r="F41" s="5">
        <f>475.04*10^5/10^7-475.04*10^5/10^7</f>
        <v>0</v>
      </c>
      <c r="H41" s="6">
        <f>'Non Current Financial Asset- I'!E10</f>
        <v>4.7504</v>
      </c>
      <c r="J41" s="149"/>
    </row>
    <row r="42" spans="2:10">
      <c r="B42" t="s">
        <v>100</v>
      </c>
      <c r="E42" s="6">
        <v>0</v>
      </c>
      <c r="F42" s="6">
        <v>0</v>
      </c>
      <c r="H42" s="6">
        <f t="shared" si="0"/>
        <v>0</v>
      </c>
      <c r="J42" s="149"/>
    </row>
    <row r="43" spans="2:10">
      <c r="B43" s="19" t="s">
        <v>14</v>
      </c>
      <c r="C43" s="10"/>
      <c r="D43" s="10"/>
      <c r="E43" s="11">
        <f>SUM(E37:E42)</f>
        <v>4.7504</v>
      </c>
      <c r="F43" s="11">
        <f>SUM(F37:F42)</f>
        <v>0</v>
      </c>
      <c r="G43" s="10"/>
      <c r="H43" s="11">
        <f>SUM(H37:H42)</f>
        <v>4.7504</v>
      </c>
      <c r="I43" s="10"/>
      <c r="J43" s="10"/>
    </row>
    <row r="44" spans="2:10">
      <c r="E44" s="22"/>
      <c r="F44" s="22"/>
    </row>
    <row r="45" spans="2:10">
      <c r="E45" s="22"/>
      <c r="F45" s="22"/>
    </row>
    <row r="46" spans="2:10">
      <c r="E46" s="22"/>
      <c r="F46" s="22"/>
    </row>
    <row r="47" spans="2:10">
      <c r="E47" s="22"/>
      <c r="F47" s="22"/>
      <c r="H47" s="4"/>
      <c r="J47" s="22"/>
    </row>
    <row r="48" spans="2:10" ht="20.25" customHeight="1">
      <c r="B48" s="25" t="s">
        <v>15</v>
      </c>
      <c r="C48" s="25"/>
      <c r="D48" s="25"/>
      <c r="E48" s="26">
        <f>E18+E31+E43</f>
        <v>2111.1753747239995</v>
      </c>
      <c r="F48" s="26">
        <f>F18+F31+F43</f>
        <v>2106.4249747239996</v>
      </c>
      <c r="G48" s="27"/>
      <c r="H48" s="26">
        <f>H18+H31+H43</f>
        <v>1286.33585529932</v>
      </c>
      <c r="I48" s="27"/>
      <c r="J48" s="29"/>
    </row>
  </sheetData>
  <mergeCells count="3">
    <mergeCell ref="A25:A28"/>
    <mergeCell ref="A29:A30"/>
    <mergeCell ref="B31:D31"/>
  </mergeCell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2:K184"/>
  <sheetViews>
    <sheetView showGridLines="0" topLeftCell="A90" workbookViewId="0">
      <selection activeCell="C150" sqref="C150"/>
    </sheetView>
  </sheetViews>
  <sheetFormatPr defaultRowHeight="14.4"/>
  <cols>
    <col min="1" max="1" width="3.6640625" customWidth="1"/>
    <col min="2" max="2" width="40.5546875" customWidth="1"/>
    <col min="3" max="3" width="4.5546875" customWidth="1"/>
    <col min="4" max="4" width="4.109375" customWidth="1"/>
    <col min="5" max="5" width="37" customWidth="1"/>
    <col min="6" max="6" width="5.6640625" customWidth="1"/>
    <col min="7" max="7" width="3.88671875" customWidth="1"/>
    <col min="8" max="8" width="25" customWidth="1"/>
    <col min="10" max="10" width="12" customWidth="1"/>
    <col min="13" max="13" width="11" bestFit="1" customWidth="1"/>
  </cols>
  <sheetData>
    <row r="2" spans="2:10" ht="17.25" customHeight="1">
      <c r="B2" s="21" t="s">
        <v>39</v>
      </c>
      <c r="C2" s="20"/>
      <c r="D2" s="20"/>
      <c r="E2" s="20"/>
      <c r="F2" s="20"/>
      <c r="G2" s="20"/>
      <c r="H2" s="20"/>
      <c r="I2" s="20"/>
      <c r="J2" s="20"/>
    </row>
    <row r="3" spans="2:10" ht="10.5" customHeight="1"/>
    <row r="4" spans="2:10" ht="18" customHeight="1">
      <c r="B4" s="2" t="s">
        <v>21</v>
      </c>
      <c r="C4" s="1"/>
      <c r="D4" s="1"/>
      <c r="E4" s="1"/>
      <c r="F4" s="1"/>
      <c r="G4" s="1"/>
      <c r="H4" s="1"/>
      <c r="I4" s="1"/>
      <c r="J4" s="1"/>
    </row>
    <row r="5" spans="2:10" ht="9.75" customHeight="1"/>
    <row r="6" spans="2:10" ht="18" customHeight="1">
      <c r="B6" s="2" t="s">
        <v>346</v>
      </c>
      <c r="C6" s="2"/>
      <c r="D6" s="2"/>
      <c r="E6" s="14" t="s">
        <v>18</v>
      </c>
      <c r="F6" s="2"/>
      <c r="G6" s="2"/>
      <c r="H6" s="14" t="s">
        <v>1</v>
      </c>
      <c r="I6" s="2"/>
      <c r="J6" s="13" t="s">
        <v>16</v>
      </c>
    </row>
    <row r="7" spans="2:10" ht="10.5" customHeight="1">
      <c r="E7" s="22"/>
    </row>
    <row r="8" spans="2:10" ht="16.5" customHeight="1">
      <c r="B8" s="3" t="s">
        <v>25</v>
      </c>
      <c r="E8" s="22"/>
    </row>
    <row r="9" spans="2:10" ht="18.75" customHeight="1">
      <c r="B9" s="24" t="s">
        <v>22</v>
      </c>
      <c r="E9" s="22"/>
    </row>
    <row r="10" spans="2:10" ht="18.75" customHeight="1">
      <c r="B10" s="32" t="s">
        <v>126</v>
      </c>
      <c r="E10" s="22"/>
    </row>
    <row r="11" spans="2:10" ht="18.75" customHeight="1">
      <c r="B11" s="42" t="s">
        <v>128</v>
      </c>
      <c r="E11" s="22">
        <f>62100*10^5/10^7</f>
        <v>621</v>
      </c>
      <c r="H11" s="15">
        <f>E11*J11</f>
        <v>621</v>
      </c>
      <c r="J11" s="141">
        <v>1</v>
      </c>
    </row>
    <row r="12" spans="2:10" ht="18.75" customHeight="1">
      <c r="B12" s="42" t="s">
        <v>129</v>
      </c>
      <c r="E12" s="22">
        <f>18000*10^5/10^7</f>
        <v>180</v>
      </c>
      <c r="H12" s="15">
        <f>E12*J12</f>
        <v>180</v>
      </c>
      <c r="J12" s="141">
        <v>1</v>
      </c>
    </row>
    <row r="13" spans="2:10" ht="18.75" customHeight="1">
      <c r="B13" s="43" t="s">
        <v>19</v>
      </c>
      <c r="C13" s="17"/>
      <c r="D13" s="17"/>
      <c r="E13" s="30">
        <f>SUM(E11:E12)</f>
        <v>801</v>
      </c>
      <c r="F13" s="17"/>
      <c r="G13" s="17"/>
      <c r="H13" s="30">
        <f>SUM(H11:H12)</f>
        <v>801</v>
      </c>
      <c r="I13" s="17"/>
      <c r="J13" s="17"/>
    </row>
    <row r="14" spans="2:10" ht="18.75" customHeight="1">
      <c r="B14" s="32" t="s">
        <v>127</v>
      </c>
      <c r="E14" s="22"/>
    </row>
    <row r="15" spans="2:10" ht="18.75" customHeight="1">
      <c r="B15" s="42" t="s">
        <v>130</v>
      </c>
      <c r="E15" s="5">
        <f>5980.65*10^5/10^7</f>
        <v>59.8065</v>
      </c>
      <c r="H15" s="6">
        <f>E15*J15</f>
        <v>59.8065</v>
      </c>
      <c r="J15" s="141">
        <v>1</v>
      </c>
    </row>
    <row r="16" spans="2:10" ht="18.75" customHeight="1">
      <c r="B16" s="43" t="s">
        <v>17</v>
      </c>
      <c r="C16" s="17"/>
      <c r="D16" s="17"/>
      <c r="E16" s="11">
        <f>SUM(E15)</f>
        <v>59.8065</v>
      </c>
      <c r="F16" s="17"/>
      <c r="G16" s="17"/>
      <c r="H16" s="11">
        <f>SUM(H15)</f>
        <v>59.8065</v>
      </c>
      <c r="I16" s="17"/>
      <c r="J16" s="17"/>
    </row>
    <row r="17" spans="2:10" ht="18.75" customHeight="1">
      <c r="B17" s="44"/>
      <c r="C17" s="35"/>
      <c r="D17" s="35"/>
      <c r="E17" s="31"/>
      <c r="F17" s="35"/>
      <c r="G17" s="35"/>
      <c r="H17" s="35"/>
      <c r="I17" s="35"/>
      <c r="J17" s="35"/>
    </row>
    <row r="18" spans="2:10" ht="18.75" customHeight="1">
      <c r="B18" s="45" t="s">
        <v>161</v>
      </c>
      <c r="C18" s="35"/>
      <c r="D18" s="35"/>
      <c r="E18" s="31"/>
      <c r="F18" s="35"/>
      <c r="G18" s="35"/>
      <c r="H18" s="35"/>
      <c r="I18" s="35"/>
      <c r="J18" s="35"/>
    </row>
    <row r="19" spans="2:10" ht="18.75" customHeight="1">
      <c r="B19" s="32"/>
      <c r="E19" s="22"/>
    </row>
    <row r="20" spans="2:10" ht="18.75" customHeight="1">
      <c r="B20" s="32" t="s">
        <v>135</v>
      </c>
      <c r="C20" s="16"/>
      <c r="D20" s="16"/>
      <c r="E20" s="22"/>
    </row>
    <row r="21" spans="2:10" ht="18.75" customHeight="1">
      <c r="B21" s="42" t="s">
        <v>23</v>
      </c>
      <c r="C21" s="16"/>
      <c r="E21" s="142">
        <f>51853.8504834*10^5/10^7</f>
        <v>518.53850483400004</v>
      </c>
      <c r="H21" s="6">
        <f>E21*J21</f>
        <v>518.53850483400004</v>
      </c>
      <c r="J21" s="141">
        <v>1</v>
      </c>
    </row>
    <row r="22" spans="2:10" ht="18.75" customHeight="1">
      <c r="B22" s="42" t="s">
        <v>136</v>
      </c>
      <c r="C22" s="16"/>
      <c r="E22" s="6">
        <v>0</v>
      </c>
      <c r="H22" s="15">
        <f>E22*J22</f>
        <v>0</v>
      </c>
      <c r="J22" s="141">
        <v>1</v>
      </c>
    </row>
    <row r="23" spans="2:10" ht="18.75" customHeight="1">
      <c r="B23" s="42" t="s">
        <v>137</v>
      </c>
      <c r="C23" s="16"/>
      <c r="E23" s="16"/>
    </row>
    <row r="24" spans="2:10" ht="18.75" customHeight="1">
      <c r="B24" s="42" t="s">
        <v>138</v>
      </c>
      <c r="C24" s="16"/>
      <c r="E24" s="6">
        <v>0</v>
      </c>
      <c r="H24" s="6">
        <f>E24*J24</f>
        <v>0</v>
      </c>
      <c r="J24" s="141">
        <v>1</v>
      </c>
    </row>
    <row r="25" spans="2:10" ht="18.75" customHeight="1">
      <c r="B25" s="42"/>
      <c r="C25" s="16"/>
      <c r="E25" s="16"/>
    </row>
    <row r="26" spans="2:10" ht="18.75" customHeight="1">
      <c r="B26" s="46" t="s">
        <v>24</v>
      </c>
      <c r="C26" s="17"/>
      <c r="D26" s="17"/>
      <c r="E26" s="12">
        <f>SUM(E21:E24)</f>
        <v>518.53850483400004</v>
      </c>
      <c r="F26" s="10"/>
      <c r="G26" s="10"/>
      <c r="H26" s="12">
        <f>SUM(H21:H24)</f>
        <v>518.53850483400004</v>
      </c>
      <c r="I26" s="10"/>
      <c r="J26" s="10"/>
    </row>
    <row r="27" spans="2:10" ht="18.75" customHeight="1">
      <c r="B27" s="42"/>
      <c r="C27" s="16"/>
      <c r="E27" s="16"/>
    </row>
    <row r="28" spans="2:10" ht="18.75" customHeight="1">
      <c r="B28" s="32" t="s">
        <v>139</v>
      </c>
      <c r="C28" s="16"/>
      <c r="E28" s="16"/>
    </row>
    <row r="29" spans="2:10" ht="18.75" customHeight="1">
      <c r="B29" s="42" t="s">
        <v>23</v>
      </c>
      <c r="C29" s="16"/>
      <c r="E29" s="6">
        <v>0</v>
      </c>
      <c r="H29" s="6">
        <f>E29*J29</f>
        <v>0</v>
      </c>
      <c r="J29" s="141">
        <v>1</v>
      </c>
    </row>
    <row r="30" spans="2:10" ht="18.75" customHeight="1">
      <c r="B30" s="42" t="s">
        <v>140</v>
      </c>
      <c r="C30" s="16"/>
      <c r="E30" s="6">
        <v>0</v>
      </c>
      <c r="H30" s="6">
        <f>E30*J30</f>
        <v>0</v>
      </c>
      <c r="J30" s="141">
        <v>1</v>
      </c>
    </row>
    <row r="31" spans="2:10" ht="18.75" customHeight="1">
      <c r="B31" s="42" t="s">
        <v>133</v>
      </c>
      <c r="C31" s="16"/>
      <c r="E31" s="6">
        <v>0</v>
      </c>
      <c r="H31" s="6">
        <f>E31*J31</f>
        <v>0</v>
      </c>
      <c r="J31" s="141">
        <v>1</v>
      </c>
    </row>
    <row r="32" spans="2:10" ht="18.75" customHeight="1">
      <c r="B32" s="32" t="s">
        <v>24</v>
      </c>
      <c r="C32" s="3"/>
      <c r="D32" s="3"/>
      <c r="E32" s="6">
        <f>SUM(E29:E31)</f>
        <v>0</v>
      </c>
      <c r="H32" s="6">
        <f>SUM(H29:H31)</f>
        <v>0</v>
      </c>
      <c r="J32" s="141">
        <v>1</v>
      </c>
    </row>
    <row r="33" spans="2:10" ht="18.75" customHeight="1">
      <c r="B33" s="42"/>
      <c r="C33" s="16"/>
      <c r="E33" s="16"/>
      <c r="J33" s="141"/>
    </row>
    <row r="34" spans="2:10" ht="18.75" customHeight="1">
      <c r="B34" s="32" t="s">
        <v>141</v>
      </c>
      <c r="C34" s="16"/>
      <c r="E34" s="16"/>
    </row>
    <row r="35" spans="2:10" ht="18.75" customHeight="1">
      <c r="B35" s="42" t="s">
        <v>23</v>
      </c>
      <c r="C35" s="16"/>
      <c r="E35" s="142">
        <f>109619.34997*10^5/10^7</f>
        <v>1096.1934997000001</v>
      </c>
      <c r="H35" s="6">
        <f>E35*J35</f>
        <v>1096.1934997000001</v>
      </c>
      <c r="J35" s="141">
        <v>1</v>
      </c>
    </row>
    <row r="36" spans="2:10" ht="18.75" customHeight="1">
      <c r="B36" s="42" t="s">
        <v>136</v>
      </c>
      <c r="C36" s="16"/>
      <c r="E36" s="6">
        <v>0</v>
      </c>
      <c r="H36" s="6">
        <f>E36*J36</f>
        <v>0</v>
      </c>
      <c r="J36" s="141">
        <v>1</v>
      </c>
    </row>
    <row r="37" spans="2:10" ht="18.75" customHeight="1">
      <c r="B37" s="42" t="s">
        <v>131</v>
      </c>
      <c r="C37" s="16"/>
      <c r="E37" s="6">
        <v>0</v>
      </c>
      <c r="H37" s="6">
        <f>E37*J37</f>
        <v>0</v>
      </c>
      <c r="J37" s="141">
        <v>1</v>
      </c>
    </row>
    <row r="38" spans="2:10" ht="18.75" customHeight="1">
      <c r="B38" s="46" t="s">
        <v>24</v>
      </c>
      <c r="C38" s="17"/>
      <c r="D38" s="17"/>
      <c r="E38" s="12">
        <f>SUM(E35:E37)</f>
        <v>1096.1934997000001</v>
      </c>
      <c r="F38" s="10"/>
      <c r="G38" s="10"/>
      <c r="H38" s="12">
        <f>SUM(H35:H37)</f>
        <v>1096.1934997000001</v>
      </c>
      <c r="I38" s="10"/>
      <c r="J38" s="10"/>
    </row>
    <row r="39" spans="2:10" ht="18.75" customHeight="1">
      <c r="B39" s="42"/>
      <c r="C39" s="16"/>
      <c r="E39" s="16"/>
    </row>
    <row r="40" spans="2:10" ht="18.75" customHeight="1">
      <c r="B40" s="42" t="s">
        <v>142</v>
      </c>
      <c r="C40" s="16"/>
      <c r="E40" s="16"/>
    </row>
    <row r="41" spans="2:10" ht="18.75" customHeight="1">
      <c r="B41" s="42" t="s">
        <v>23</v>
      </c>
      <c r="C41" s="16"/>
      <c r="E41" s="6">
        <v>0</v>
      </c>
      <c r="H41" s="6">
        <f>E41*J41</f>
        <v>0</v>
      </c>
      <c r="J41" s="141">
        <v>1</v>
      </c>
    </row>
    <row r="42" spans="2:10" ht="18.75" customHeight="1">
      <c r="B42" s="42" t="s">
        <v>132</v>
      </c>
      <c r="C42" s="16"/>
      <c r="E42" s="6">
        <v>0</v>
      </c>
      <c r="H42" s="6">
        <f>E42*J42</f>
        <v>0</v>
      </c>
      <c r="J42" s="141">
        <v>1</v>
      </c>
    </row>
    <row r="43" spans="2:10" ht="18.75" customHeight="1">
      <c r="B43" s="42" t="s">
        <v>133</v>
      </c>
      <c r="C43" s="16"/>
      <c r="E43" s="6">
        <v>0</v>
      </c>
      <c r="H43" s="6">
        <f>E43*J43</f>
        <v>0</v>
      </c>
      <c r="J43" s="141">
        <v>1</v>
      </c>
    </row>
    <row r="44" spans="2:10" ht="18.75" customHeight="1">
      <c r="B44" s="46" t="s">
        <v>24</v>
      </c>
      <c r="C44" s="17"/>
      <c r="D44" s="17"/>
      <c r="E44" s="12">
        <f>SUM(E41:E43)</f>
        <v>0</v>
      </c>
      <c r="F44" s="10"/>
      <c r="G44" s="10"/>
      <c r="H44" s="12">
        <f>SUM(H41:H43)</f>
        <v>0</v>
      </c>
      <c r="I44" s="10"/>
      <c r="J44" s="10"/>
    </row>
    <row r="45" spans="2:10" ht="18.75" customHeight="1">
      <c r="B45" s="42"/>
      <c r="C45" s="16"/>
      <c r="E45" s="16"/>
    </row>
    <row r="46" spans="2:10" ht="18.75" customHeight="1">
      <c r="B46" s="32" t="s">
        <v>143</v>
      </c>
      <c r="C46" s="16"/>
      <c r="E46" s="16"/>
    </row>
    <row r="47" spans="2:10" ht="18.75" customHeight="1">
      <c r="B47" s="42" t="s">
        <v>23</v>
      </c>
      <c r="C47" s="16"/>
      <c r="E47" s="142">
        <f>13379.7233321*10^5/10^7</f>
        <v>133.79723332099999</v>
      </c>
      <c r="H47" s="6">
        <f t="shared" ref="H47:H53" si="0">E47*J47</f>
        <v>133.79723332099999</v>
      </c>
      <c r="J47" s="141">
        <v>1</v>
      </c>
    </row>
    <row r="48" spans="2:10" ht="18.75" customHeight="1">
      <c r="B48" s="42" t="s">
        <v>136</v>
      </c>
      <c r="C48" s="16"/>
      <c r="E48" s="6">
        <v>0</v>
      </c>
      <c r="H48" s="6">
        <f t="shared" si="0"/>
        <v>0</v>
      </c>
      <c r="J48" s="141">
        <v>1</v>
      </c>
    </row>
    <row r="49" spans="2:10" ht="18.75" customHeight="1">
      <c r="B49" s="42" t="s">
        <v>140</v>
      </c>
      <c r="C49" s="16"/>
      <c r="E49" s="6">
        <v>0</v>
      </c>
      <c r="H49" s="6">
        <f t="shared" si="0"/>
        <v>0</v>
      </c>
      <c r="J49" s="141">
        <v>1</v>
      </c>
    </row>
    <row r="50" spans="2:10" ht="18.75" customHeight="1">
      <c r="B50" s="42" t="s">
        <v>144</v>
      </c>
      <c r="C50" s="16"/>
      <c r="E50" s="6">
        <v>0</v>
      </c>
      <c r="H50" s="6">
        <f t="shared" si="0"/>
        <v>0</v>
      </c>
      <c r="J50" s="141">
        <v>1</v>
      </c>
    </row>
    <row r="51" spans="2:10" ht="18.75" customHeight="1">
      <c r="B51" s="42" t="s">
        <v>145</v>
      </c>
      <c r="C51" s="16"/>
      <c r="E51" s="6">
        <v>0</v>
      </c>
      <c r="H51" s="6">
        <f t="shared" si="0"/>
        <v>0</v>
      </c>
      <c r="J51" s="141">
        <v>1</v>
      </c>
    </row>
    <row r="52" spans="2:10" ht="18.75" customHeight="1">
      <c r="B52" s="42" t="s">
        <v>146</v>
      </c>
      <c r="C52" s="16"/>
      <c r="E52" s="6">
        <v>0</v>
      </c>
      <c r="H52" s="6">
        <f t="shared" si="0"/>
        <v>0</v>
      </c>
      <c r="J52" s="141">
        <v>1</v>
      </c>
    </row>
    <row r="53" spans="2:10" ht="18.75" customHeight="1">
      <c r="B53" s="42" t="s">
        <v>147</v>
      </c>
      <c r="C53" s="16"/>
      <c r="E53" s="6">
        <v>0</v>
      </c>
      <c r="H53" s="6">
        <f t="shared" si="0"/>
        <v>0</v>
      </c>
      <c r="J53" s="141">
        <v>1</v>
      </c>
    </row>
    <row r="54" spans="2:10" ht="18.75" customHeight="1">
      <c r="B54" s="42"/>
      <c r="C54" s="16"/>
      <c r="E54" s="16"/>
    </row>
    <row r="55" spans="2:10" ht="18.75" customHeight="1">
      <c r="B55" s="46" t="s">
        <v>24</v>
      </c>
      <c r="C55" s="17"/>
      <c r="D55" s="17"/>
      <c r="E55" s="12">
        <f>SUM(E47:E53)</f>
        <v>133.79723332099999</v>
      </c>
      <c r="F55" s="10"/>
      <c r="G55" s="10"/>
      <c r="H55" s="12">
        <f>SUM(H47:H53)</f>
        <v>133.79723332099999</v>
      </c>
      <c r="I55" s="10"/>
      <c r="J55" s="10"/>
    </row>
    <row r="56" spans="2:10" ht="18.75" customHeight="1">
      <c r="B56" s="42"/>
      <c r="C56" s="16"/>
      <c r="E56" s="16"/>
    </row>
    <row r="57" spans="2:10" ht="18.75" customHeight="1">
      <c r="B57" s="32" t="s">
        <v>148</v>
      </c>
      <c r="C57" s="16"/>
      <c r="E57" s="16"/>
    </row>
    <row r="58" spans="2:10" ht="18.75" customHeight="1">
      <c r="B58" s="42" t="s">
        <v>149</v>
      </c>
      <c r="C58" s="16"/>
      <c r="E58" s="48">
        <f>-231657.957*10^5/10^7</f>
        <v>-2316.5795699999999</v>
      </c>
      <c r="H58" s="144">
        <f>E58*J58</f>
        <v>-2316.5795699999999</v>
      </c>
      <c r="J58" s="141">
        <v>1</v>
      </c>
    </row>
    <row r="59" spans="2:10" ht="18.75" customHeight="1">
      <c r="B59" s="42" t="s">
        <v>150</v>
      </c>
      <c r="C59" s="16"/>
      <c r="E59" s="48">
        <f>-66990.62*10^5/10^7</f>
        <v>-669.90620000000001</v>
      </c>
      <c r="H59" s="144">
        <f>E59*J59</f>
        <v>-669.90620000000001</v>
      </c>
      <c r="J59" s="141">
        <v>1</v>
      </c>
    </row>
    <row r="60" spans="2:10" ht="18.75" customHeight="1">
      <c r="B60" s="42" t="s">
        <v>151</v>
      </c>
      <c r="C60" s="16"/>
      <c r="E60" s="6">
        <v>0</v>
      </c>
      <c r="H60" s="6">
        <f>E60*J60</f>
        <v>0</v>
      </c>
      <c r="J60" s="141">
        <v>1</v>
      </c>
    </row>
    <row r="61" spans="2:10" ht="18.75" customHeight="1">
      <c r="B61" s="42"/>
      <c r="C61" s="16"/>
      <c r="E61" s="48">
        <f>SUM(E58:E60)</f>
        <v>-2986.4857699999998</v>
      </c>
      <c r="H61" s="48">
        <f>SUM(H58:H60)</f>
        <v>-2986.4857699999998</v>
      </c>
      <c r="J61" s="141">
        <v>1</v>
      </c>
    </row>
    <row r="62" spans="2:10" ht="18.75" customHeight="1">
      <c r="B62" s="42" t="s">
        <v>152</v>
      </c>
      <c r="C62" s="16"/>
      <c r="E62" s="16"/>
    </row>
    <row r="63" spans="2:10" ht="18.75" customHeight="1">
      <c r="B63" s="42" t="s">
        <v>134</v>
      </c>
      <c r="C63" s="16"/>
      <c r="E63" s="6">
        <v>0</v>
      </c>
      <c r="H63" s="6">
        <f>E63*J63</f>
        <v>0</v>
      </c>
      <c r="J63" s="141">
        <v>1</v>
      </c>
    </row>
    <row r="64" spans="2:10" ht="18.75" customHeight="1">
      <c r="B64" s="42" t="s">
        <v>153</v>
      </c>
      <c r="C64" s="16"/>
      <c r="E64" s="6">
        <v>0</v>
      </c>
      <c r="H64" s="6">
        <f>E64*J64</f>
        <v>0</v>
      </c>
      <c r="J64" s="141">
        <v>1</v>
      </c>
    </row>
    <row r="65" spans="2:10" ht="18.75" customHeight="1">
      <c r="B65" s="42" t="s">
        <v>154</v>
      </c>
      <c r="C65" s="16"/>
      <c r="E65" s="6">
        <v>0</v>
      </c>
      <c r="H65" s="6">
        <f>E65*J65</f>
        <v>0</v>
      </c>
      <c r="J65" s="141">
        <v>1</v>
      </c>
    </row>
    <row r="66" spans="2:10" ht="18.75" customHeight="1">
      <c r="B66" s="42" t="s">
        <v>155</v>
      </c>
      <c r="C66" s="16"/>
      <c r="E66" s="6">
        <v>0</v>
      </c>
      <c r="H66" s="6">
        <f>E66*J66</f>
        <v>0</v>
      </c>
      <c r="J66" s="141">
        <v>1</v>
      </c>
    </row>
    <row r="67" spans="2:10" ht="18.75" customHeight="1">
      <c r="B67" s="46" t="s">
        <v>24</v>
      </c>
      <c r="C67" s="17"/>
      <c r="D67" s="17"/>
      <c r="E67" s="49">
        <f>SUM(E61,E63:E66)</f>
        <v>-2986.4857699999998</v>
      </c>
      <c r="F67" s="10"/>
      <c r="G67" s="10"/>
      <c r="H67" s="49">
        <f>SUM(H61,H63:H66)</f>
        <v>-2986.4857699999998</v>
      </c>
      <c r="I67" s="10"/>
      <c r="J67" s="10"/>
    </row>
    <row r="68" spans="2:10" ht="18.75" customHeight="1">
      <c r="B68" s="42"/>
      <c r="C68" s="16"/>
      <c r="E68" s="16"/>
    </row>
    <row r="69" spans="2:10" ht="18.75" customHeight="1">
      <c r="B69" s="32" t="s">
        <v>156</v>
      </c>
      <c r="C69" s="16"/>
      <c r="E69" s="16"/>
    </row>
    <row r="70" spans="2:10" ht="18.75" customHeight="1">
      <c r="B70" s="42" t="s">
        <v>157</v>
      </c>
      <c r="C70" s="16"/>
      <c r="E70" s="16"/>
    </row>
    <row r="71" spans="2:10" ht="18.75" customHeight="1">
      <c r="B71" s="42" t="s">
        <v>158</v>
      </c>
      <c r="C71" s="16"/>
      <c r="E71" s="16"/>
    </row>
    <row r="72" spans="2:10" ht="18.75" customHeight="1">
      <c r="B72" s="42" t="s">
        <v>23</v>
      </c>
      <c r="C72" s="16"/>
      <c r="E72" s="142">
        <f>601.6122263*10^5/10^7</f>
        <v>6.0161222629999997</v>
      </c>
      <c r="H72" s="6">
        <f>E72*J72</f>
        <v>6.0161222629999997</v>
      </c>
      <c r="J72" s="141">
        <v>1</v>
      </c>
    </row>
    <row r="73" spans="2:10" ht="18.75" customHeight="1">
      <c r="B73" s="42" t="s">
        <v>159</v>
      </c>
      <c r="C73" s="16"/>
      <c r="E73" s="142">
        <f>86.896925*10^5/10^7</f>
        <v>0.86896925000000003</v>
      </c>
      <c r="H73" s="6">
        <f>E73*J73</f>
        <v>0.86896925000000003</v>
      </c>
      <c r="J73" s="141">
        <v>1</v>
      </c>
    </row>
    <row r="74" spans="2:10" ht="18.75" customHeight="1">
      <c r="B74" s="46" t="s">
        <v>24</v>
      </c>
      <c r="C74" s="17"/>
      <c r="D74" s="17"/>
      <c r="E74" s="12">
        <f>SUM(E72:E73)</f>
        <v>6.8850915129999999</v>
      </c>
      <c r="F74" s="10"/>
      <c r="G74" s="10"/>
      <c r="H74" s="12">
        <f>SUM(H72:H73)</f>
        <v>6.8850915129999999</v>
      </c>
      <c r="I74" s="10"/>
      <c r="J74" s="10"/>
    </row>
    <row r="75" spans="2:10" ht="18.75" customHeight="1">
      <c r="B75" s="46" t="s">
        <v>160</v>
      </c>
      <c r="C75" s="17"/>
      <c r="D75" s="17"/>
      <c r="E75" s="49">
        <f>SUM(E74,E67,E55,E44,E38,E32,E26)</f>
        <v>-1231.0714406319994</v>
      </c>
      <c r="F75" s="10"/>
      <c r="G75" s="10"/>
      <c r="H75" s="49">
        <f>SUM(H74,H67,H55,H44,H38,H32,H26)</f>
        <v>-1231.0714406319994</v>
      </c>
      <c r="I75" s="10"/>
      <c r="J75" s="10"/>
    </row>
    <row r="76" spans="2:10" ht="18.75" customHeight="1">
      <c r="B76" s="42"/>
      <c r="C76" s="16"/>
      <c r="E76" s="47"/>
    </row>
    <row r="78" spans="2:10" ht="18.75" customHeight="1">
      <c r="B78" s="25" t="s">
        <v>207</v>
      </c>
      <c r="C78" s="25"/>
      <c r="D78" s="25"/>
      <c r="E78" s="64">
        <f>SUM(E75,E16)</f>
        <v>-1171.2649406319995</v>
      </c>
      <c r="F78" s="26"/>
      <c r="G78" s="26"/>
      <c r="H78" s="64">
        <f>SUM(H75,H16)</f>
        <v>-1171.2649406319995</v>
      </c>
      <c r="I78" s="27"/>
      <c r="J78" s="29"/>
    </row>
    <row r="79" spans="2:10" s="59" customFormat="1" ht="18.75" customHeight="1">
      <c r="B79" s="60"/>
      <c r="C79" s="60"/>
      <c r="D79" s="60"/>
      <c r="E79" s="61"/>
      <c r="F79" s="61"/>
      <c r="G79" s="61"/>
      <c r="H79" s="61"/>
      <c r="I79" s="62"/>
      <c r="J79" s="63"/>
    </row>
    <row r="80" spans="2:10" ht="18.75" customHeight="1">
      <c r="B80" s="38" t="s">
        <v>196</v>
      </c>
      <c r="E80" s="22"/>
    </row>
    <row r="81" spans="2:10" ht="18.75" customHeight="1">
      <c r="B81" s="3" t="s">
        <v>26</v>
      </c>
      <c r="E81" s="22"/>
    </row>
    <row r="82" spans="2:10" ht="18.75" customHeight="1">
      <c r="B82" s="32" t="s">
        <v>197</v>
      </c>
      <c r="E82" s="22"/>
    </row>
    <row r="83" spans="2:10" ht="18.75" customHeight="1">
      <c r="B83" s="32" t="s">
        <v>162</v>
      </c>
      <c r="C83" s="16"/>
      <c r="E83" s="22"/>
    </row>
    <row r="84" spans="2:10" ht="18.75" customHeight="1">
      <c r="B84" s="42" t="s">
        <v>163</v>
      </c>
      <c r="E84" s="6">
        <v>0</v>
      </c>
      <c r="H84" s="6">
        <f>E84*J84</f>
        <v>0</v>
      </c>
      <c r="J84" s="141">
        <v>1</v>
      </c>
    </row>
    <row r="85" spans="2:10" ht="18.75" customHeight="1">
      <c r="B85" s="42" t="s">
        <v>164</v>
      </c>
      <c r="E85" s="6">
        <v>0</v>
      </c>
      <c r="H85" s="6">
        <f>E85*J85</f>
        <v>0</v>
      </c>
      <c r="J85" s="141">
        <v>1</v>
      </c>
    </row>
    <row r="86" spans="2:10" ht="18.75" customHeight="1">
      <c r="B86" s="42" t="s">
        <v>165</v>
      </c>
      <c r="E86" s="47">
        <f>5.58*10^5/10^7</f>
        <v>5.5800000000000002E-2</v>
      </c>
      <c r="H86" s="6">
        <f>E86*J86</f>
        <v>5.5800000000000002E-2</v>
      </c>
      <c r="J86" s="141">
        <v>1</v>
      </c>
    </row>
    <row r="87" spans="2:10" ht="18.75" customHeight="1">
      <c r="B87" s="32" t="s">
        <v>166</v>
      </c>
      <c r="E87" s="16"/>
    </row>
    <row r="88" spans="2:10" ht="18.75" customHeight="1">
      <c r="B88" s="42" t="s">
        <v>167</v>
      </c>
      <c r="E88" s="6">
        <v>0</v>
      </c>
      <c r="H88" s="6">
        <f>E88*J88</f>
        <v>0</v>
      </c>
      <c r="J88" s="141">
        <v>1</v>
      </c>
    </row>
    <row r="89" spans="2:10" ht="18.75" customHeight="1">
      <c r="B89" s="32" t="s">
        <v>169</v>
      </c>
      <c r="E89" s="16"/>
    </row>
    <row r="90" spans="2:10" ht="18.75" customHeight="1">
      <c r="B90" s="42" t="s">
        <v>168</v>
      </c>
      <c r="E90" s="142">
        <f>2177.95*10^5/10^7</f>
        <v>21.779499999999999</v>
      </c>
      <c r="H90" s="6">
        <f>E90*J90</f>
        <v>21.779499999999999</v>
      </c>
      <c r="J90" s="141">
        <v>1</v>
      </c>
    </row>
    <row r="91" spans="2:10" ht="18.75" customHeight="1">
      <c r="B91" s="46" t="s">
        <v>170</v>
      </c>
      <c r="C91" s="17"/>
      <c r="D91" s="17"/>
      <c r="E91" s="12">
        <f>SUM(E84:E86,E88,E90)</f>
        <v>21.8353</v>
      </c>
      <c r="F91" s="17"/>
      <c r="G91" s="17"/>
      <c r="H91" s="12">
        <f>SUM(H84:H86,H88,H90)</f>
        <v>21.8353</v>
      </c>
      <c r="I91" s="17"/>
      <c r="J91" s="17"/>
    </row>
    <row r="92" spans="2:10" ht="18.75" customHeight="1">
      <c r="B92" s="54"/>
      <c r="C92" s="35"/>
      <c r="D92" s="35"/>
      <c r="E92" s="55"/>
      <c r="F92" s="35"/>
      <c r="G92" s="35"/>
      <c r="H92" s="35"/>
      <c r="I92" s="35"/>
      <c r="J92" s="35"/>
    </row>
    <row r="93" spans="2:10" ht="18.75" customHeight="1">
      <c r="B93" s="54" t="s">
        <v>198</v>
      </c>
      <c r="C93" s="35"/>
      <c r="D93" s="35"/>
      <c r="E93" s="55"/>
      <c r="F93" s="35"/>
      <c r="G93" s="35"/>
      <c r="H93" s="35"/>
      <c r="I93" s="35"/>
      <c r="J93" s="35"/>
    </row>
    <row r="94" spans="2:10" ht="18.75" customHeight="1">
      <c r="B94" s="56" t="s">
        <v>193</v>
      </c>
      <c r="C94" s="57"/>
      <c r="E94" s="146">
        <f>6767.38*10^5/10^7</f>
        <v>67.6738</v>
      </c>
      <c r="F94" s="35"/>
      <c r="G94" s="35"/>
      <c r="H94" s="6">
        <f>E94*J94</f>
        <v>67.6738</v>
      </c>
      <c r="I94" s="35"/>
      <c r="J94" s="141">
        <v>1</v>
      </c>
    </row>
    <row r="95" spans="2:10" ht="18.75" customHeight="1">
      <c r="B95" s="56" t="s">
        <v>194</v>
      </c>
      <c r="C95" s="57"/>
      <c r="E95" s="146">
        <f>219.35*10^5/10^7</f>
        <v>2.1934999999999998</v>
      </c>
      <c r="F95" s="35"/>
      <c r="G95" s="35"/>
      <c r="H95" s="6">
        <f>E95*J95</f>
        <v>2.1934999999999998</v>
      </c>
      <c r="I95" s="35"/>
      <c r="J95" s="141">
        <v>1</v>
      </c>
    </row>
    <row r="96" spans="2:10" ht="18.75" customHeight="1">
      <c r="B96" s="56" t="s">
        <v>195</v>
      </c>
      <c r="C96" s="57"/>
      <c r="E96" s="58">
        <v>0</v>
      </c>
      <c r="F96" s="35"/>
      <c r="G96" s="35"/>
      <c r="H96" s="6">
        <f>E96*J96</f>
        <v>0</v>
      </c>
      <c r="I96" s="35"/>
      <c r="J96" s="141">
        <v>1</v>
      </c>
    </row>
    <row r="97" spans="2:10" ht="18.75" customHeight="1">
      <c r="B97" s="46" t="s">
        <v>17</v>
      </c>
      <c r="C97" s="17"/>
      <c r="D97" s="17"/>
      <c r="E97" s="12">
        <f>SUM(E94:E96)</f>
        <v>69.8673</v>
      </c>
      <c r="F97" s="17"/>
      <c r="G97" s="17"/>
      <c r="H97" s="12">
        <f>SUM(H94:H96)</f>
        <v>69.8673</v>
      </c>
      <c r="I97" s="17"/>
      <c r="J97" s="17"/>
    </row>
    <row r="98" spans="2:10" ht="18.75" customHeight="1">
      <c r="B98" s="32"/>
      <c r="E98" s="22"/>
    </row>
    <row r="99" spans="2:10" ht="18.75" customHeight="1">
      <c r="B99" s="32" t="s">
        <v>199</v>
      </c>
      <c r="E99" s="22"/>
    </row>
    <row r="100" spans="2:10" ht="18.75" customHeight="1">
      <c r="B100" s="32"/>
      <c r="E100" s="22"/>
    </row>
    <row r="101" spans="2:10" ht="18.75" customHeight="1">
      <c r="B101" s="42" t="s">
        <v>171</v>
      </c>
      <c r="C101" s="16"/>
      <c r="D101" s="16"/>
      <c r="E101" s="22"/>
    </row>
    <row r="102" spans="2:10" ht="18.75" customHeight="1">
      <c r="B102" s="42" t="s">
        <v>172</v>
      </c>
      <c r="C102" s="16"/>
      <c r="E102" s="142">
        <f>508.86*10^5/10^7</f>
        <v>5.0885999999999996</v>
      </c>
      <c r="H102" s="6">
        <f>E102*J102</f>
        <v>5.0885999999999996</v>
      </c>
      <c r="J102" s="141">
        <v>1</v>
      </c>
    </row>
    <row r="103" spans="2:10" ht="18.75" customHeight="1">
      <c r="B103" s="42" t="s">
        <v>173</v>
      </c>
      <c r="C103" s="16"/>
      <c r="E103" s="142">
        <v>0</v>
      </c>
      <c r="H103" s="6">
        <f>E103*J103</f>
        <v>0</v>
      </c>
      <c r="J103" s="141">
        <v>1</v>
      </c>
    </row>
    <row r="104" spans="2:10" ht="18.75" customHeight="1">
      <c r="B104" s="42" t="s">
        <v>174</v>
      </c>
      <c r="C104" s="16"/>
      <c r="E104" s="142">
        <v>0</v>
      </c>
      <c r="H104" s="6">
        <f>E104*J104</f>
        <v>0</v>
      </c>
      <c r="J104" s="141">
        <v>1</v>
      </c>
    </row>
    <row r="105" spans="2:10" ht="18.75" customHeight="1">
      <c r="B105" s="42"/>
      <c r="C105" s="16"/>
      <c r="E105" s="142"/>
    </row>
    <row r="106" spans="2:10" ht="18.75" customHeight="1">
      <c r="B106" s="42" t="s">
        <v>175</v>
      </c>
      <c r="C106" s="16"/>
      <c r="E106" s="142">
        <v>0</v>
      </c>
      <c r="H106" s="6">
        <f>E106*J106</f>
        <v>0</v>
      </c>
      <c r="J106" s="141">
        <v>1</v>
      </c>
    </row>
    <row r="107" spans="2:10" ht="18.75" customHeight="1">
      <c r="B107" s="42" t="s">
        <v>176</v>
      </c>
      <c r="C107" s="16"/>
      <c r="E107" s="142">
        <v>0</v>
      </c>
      <c r="H107" s="6">
        <f>E107*J107</f>
        <v>0</v>
      </c>
      <c r="J107" s="141">
        <v>1</v>
      </c>
    </row>
    <row r="108" spans="2:10" ht="18.75" customHeight="1">
      <c r="B108" s="42"/>
      <c r="C108" s="16"/>
      <c r="E108" s="142"/>
    </row>
    <row r="109" spans="2:10" ht="18.75" customHeight="1">
      <c r="B109" s="46" t="s">
        <v>17</v>
      </c>
      <c r="C109" s="17"/>
      <c r="D109" s="17"/>
      <c r="E109" s="12">
        <f>SUM(E102:E107)</f>
        <v>5.0885999999999996</v>
      </c>
      <c r="F109" s="10"/>
      <c r="G109" s="10"/>
      <c r="H109" s="12">
        <f>SUM(H102:H107)</f>
        <v>5.0885999999999996</v>
      </c>
      <c r="I109" s="10"/>
      <c r="J109" s="10"/>
    </row>
    <row r="110" spans="2:10" ht="18.75" customHeight="1">
      <c r="B110" s="32"/>
      <c r="E110" s="5"/>
    </row>
    <row r="111" spans="2:10" ht="18.75" customHeight="1">
      <c r="B111" s="32" t="s">
        <v>200</v>
      </c>
      <c r="E111" s="5"/>
    </row>
    <row r="112" spans="2:10" ht="18.75" customHeight="1">
      <c r="B112" s="32"/>
      <c r="E112" s="5"/>
    </row>
    <row r="113" spans="1:10" ht="18.75" customHeight="1">
      <c r="A113" s="53"/>
      <c r="B113" s="50" t="s">
        <v>177</v>
      </c>
      <c r="E113" s="5">
        <f>31226.17*10^5/10^7</f>
        <v>312.26170000000002</v>
      </c>
      <c r="H113" s="6">
        <f t="shared" ref="H113:H119" si="1">E113*J113</f>
        <v>312.26170000000002</v>
      </c>
      <c r="J113" s="141">
        <v>1</v>
      </c>
    </row>
    <row r="114" spans="1:10" ht="18.75" customHeight="1">
      <c r="A114" s="53"/>
      <c r="B114" s="50" t="s">
        <v>37</v>
      </c>
      <c r="E114" s="5">
        <v>0</v>
      </c>
      <c r="H114" s="6">
        <f t="shared" si="1"/>
        <v>0</v>
      </c>
      <c r="J114" s="141">
        <v>1</v>
      </c>
    </row>
    <row r="115" spans="1:10" ht="18.75" customHeight="1">
      <c r="A115" s="53"/>
      <c r="B115" s="51" t="s">
        <v>178</v>
      </c>
      <c r="E115" s="5">
        <f>328.82*10^5/10^7</f>
        <v>3.2881999999999998</v>
      </c>
      <c r="H115" s="6">
        <f t="shared" si="1"/>
        <v>3.2881999999999998</v>
      </c>
      <c r="J115" s="141">
        <v>1</v>
      </c>
    </row>
    <row r="116" spans="1:10" ht="18.75" customHeight="1">
      <c r="A116" s="53"/>
      <c r="B116" s="51" t="s">
        <v>179</v>
      </c>
      <c r="E116" s="5">
        <f>6842.76*10^5/10^7</f>
        <v>68.427599999999998</v>
      </c>
      <c r="H116" s="6">
        <f t="shared" si="1"/>
        <v>68.427599999999998</v>
      </c>
      <c r="J116" s="141">
        <v>1</v>
      </c>
    </row>
    <row r="117" spans="1:10" ht="18.75" customHeight="1">
      <c r="A117" s="53"/>
      <c r="B117" s="50" t="s">
        <v>180</v>
      </c>
      <c r="E117" s="5">
        <v>0</v>
      </c>
      <c r="H117" s="6">
        <f t="shared" si="1"/>
        <v>0</v>
      </c>
      <c r="J117" s="141">
        <v>1</v>
      </c>
    </row>
    <row r="118" spans="1:10" ht="18.75" customHeight="1">
      <c r="A118" s="53"/>
      <c r="B118" s="50" t="s">
        <v>181</v>
      </c>
      <c r="E118" s="5">
        <v>0</v>
      </c>
      <c r="H118" s="6">
        <f t="shared" si="1"/>
        <v>0</v>
      </c>
      <c r="J118" s="141">
        <v>1</v>
      </c>
    </row>
    <row r="119" spans="1:10" ht="18.75" customHeight="1">
      <c r="A119" s="53"/>
      <c r="B119" s="50" t="s">
        <v>182</v>
      </c>
      <c r="E119" s="5">
        <v>0</v>
      </c>
      <c r="H119" s="6">
        <f t="shared" si="1"/>
        <v>0</v>
      </c>
      <c r="J119" s="141">
        <v>1</v>
      </c>
    </row>
    <row r="120" spans="1:10" ht="18.75" customHeight="1">
      <c r="B120" s="52" t="s">
        <v>208</v>
      </c>
      <c r="C120" s="10"/>
      <c r="D120" s="10"/>
      <c r="E120" s="11">
        <f>E113-E115-E116</f>
        <v>240.54590000000002</v>
      </c>
      <c r="F120" s="10"/>
      <c r="G120" s="10"/>
      <c r="H120" s="11">
        <f>H113-H115-H116</f>
        <v>240.54590000000002</v>
      </c>
      <c r="I120" s="10"/>
      <c r="J120" s="10"/>
    </row>
    <row r="121" spans="1:10" ht="18.75" customHeight="1">
      <c r="B121" s="32"/>
      <c r="E121" s="5"/>
    </row>
    <row r="122" spans="1:10" ht="18.75" customHeight="1">
      <c r="B122" s="32" t="s">
        <v>201</v>
      </c>
      <c r="E122" s="5"/>
    </row>
    <row r="123" spans="1:10" ht="18.75" customHeight="1">
      <c r="B123" s="42" t="s">
        <v>183</v>
      </c>
      <c r="E123" s="5"/>
    </row>
    <row r="124" spans="1:10" ht="18.75" customHeight="1">
      <c r="B124" s="42" t="s">
        <v>184</v>
      </c>
      <c r="E124" s="5">
        <f>343.67*10^5/10^7</f>
        <v>3.4367000000000001</v>
      </c>
      <c r="H124" s="6">
        <f>E124*J124</f>
        <v>3.4367000000000001</v>
      </c>
      <c r="J124" s="141">
        <v>1</v>
      </c>
    </row>
    <row r="125" spans="1:10" ht="18.75" customHeight="1">
      <c r="B125" s="42" t="s">
        <v>185</v>
      </c>
      <c r="E125" s="5">
        <f>2.12*10^5/10^7</f>
        <v>2.12E-2</v>
      </c>
      <c r="H125" s="6">
        <f>E125*J125</f>
        <v>2.12E-2</v>
      </c>
      <c r="J125" s="141">
        <v>1</v>
      </c>
    </row>
    <row r="126" spans="1:10" ht="18.75" customHeight="1">
      <c r="B126" s="42" t="s">
        <v>186</v>
      </c>
      <c r="E126" s="5"/>
    </row>
    <row r="127" spans="1:10" ht="18.75" customHeight="1">
      <c r="B127" s="42" t="s">
        <v>187</v>
      </c>
      <c r="E127" s="5">
        <v>0</v>
      </c>
      <c r="H127" s="6">
        <f>E127*J127</f>
        <v>0</v>
      </c>
      <c r="J127" s="141">
        <v>1</v>
      </c>
    </row>
    <row r="128" spans="1:10" ht="18.75" customHeight="1">
      <c r="B128" s="42" t="s">
        <v>188</v>
      </c>
      <c r="E128" s="5">
        <v>0</v>
      </c>
      <c r="H128" s="6">
        <f>E128*J128</f>
        <v>0</v>
      </c>
      <c r="J128" s="141">
        <v>1</v>
      </c>
    </row>
    <row r="129" spans="2:11" ht="18.75" customHeight="1">
      <c r="B129" s="42" t="s">
        <v>189</v>
      </c>
      <c r="E129" s="5">
        <v>0</v>
      </c>
      <c r="H129" s="6">
        <f>E129*J129</f>
        <v>0</v>
      </c>
      <c r="J129" s="141">
        <v>1</v>
      </c>
    </row>
    <row r="130" spans="2:11" ht="18.75" customHeight="1">
      <c r="B130" s="46" t="s">
        <v>17</v>
      </c>
      <c r="C130" s="17"/>
      <c r="D130" s="17"/>
      <c r="E130" s="11">
        <f>SUM(E124:E129)</f>
        <v>3.4579</v>
      </c>
      <c r="F130" s="17"/>
      <c r="G130" s="17"/>
      <c r="H130" s="11">
        <f>SUM(H124:H129)</f>
        <v>3.4579</v>
      </c>
      <c r="I130" s="17"/>
      <c r="J130" s="17"/>
      <c r="K130" s="35"/>
    </row>
    <row r="131" spans="2:11" ht="18.75" customHeight="1">
      <c r="B131" s="54"/>
      <c r="C131" s="35"/>
      <c r="D131" s="35"/>
      <c r="E131" s="145"/>
      <c r="F131" s="35"/>
      <c r="G131" s="35"/>
      <c r="H131" s="35"/>
      <c r="I131" s="35"/>
      <c r="J131" s="35"/>
      <c r="K131" s="35"/>
    </row>
    <row r="132" spans="2:11" ht="18.75" customHeight="1">
      <c r="B132" s="25" t="s">
        <v>209</v>
      </c>
      <c r="C132" s="25"/>
      <c r="D132" s="25"/>
      <c r="E132" s="26">
        <f>SUM(E91,E97,E109,E120,E130)</f>
        <v>340.79500000000002</v>
      </c>
      <c r="F132" s="26"/>
      <c r="G132" s="26"/>
      <c r="H132" s="26">
        <f>SUM(H91,H97,H109,H120,H130)</f>
        <v>340.79500000000002</v>
      </c>
      <c r="I132" s="27"/>
      <c r="J132" s="29"/>
      <c r="K132" s="35"/>
    </row>
    <row r="133" spans="2:11" ht="18.75" customHeight="1">
      <c r="B133" s="32"/>
      <c r="E133" s="5"/>
    </row>
    <row r="134" spans="2:11" ht="18.75" customHeight="1">
      <c r="B134" s="3" t="s">
        <v>190</v>
      </c>
      <c r="E134" s="5"/>
    </row>
    <row r="135" spans="2:11" ht="18.75" customHeight="1">
      <c r="B135" s="32" t="s">
        <v>197</v>
      </c>
      <c r="E135" s="5"/>
    </row>
    <row r="136" spans="2:11" ht="18.75" customHeight="1">
      <c r="B136" s="32" t="s">
        <v>162</v>
      </c>
      <c r="E136" s="5"/>
    </row>
    <row r="137" spans="2:11" ht="18.75" customHeight="1">
      <c r="B137" s="42" t="s">
        <v>163</v>
      </c>
      <c r="E137" s="5">
        <f>78603.7255063606*10^5/10^7</f>
        <v>786.03725506360593</v>
      </c>
      <c r="H137" s="6">
        <f>E137*J137</f>
        <v>786.03725506360593</v>
      </c>
      <c r="J137" s="141">
        <v>1</v>
      </c>
    </row>
    <row r="138" spans="2:11" ht="18.75" customHeight="1">
      <c r="B138" s="42" t="s">
        <v>164</v>
      </c>
      <c r="E138" s="5"/>
    </row>
    <row r="139" spans="2:11" ht="18.75" customHeight="1">
      <c r="B139" s="42" t="s">
        <v>165</v>
      </c>
      <c r="E139" s="5">
        <f>441.87*10^5/10^7</f>
        <v>4.4187000000000003</v>
      </c>
      <c r="H139" s="6">
        <f>E139*J139</f>
        <v>4.4187000000000003</v>
      </c>
      <c r="J139" s="141">
        <v>1</v>
      </c>
    </row>
    <row r="140" spans="2:11" ht="18.75" customHeight="1">
      <c r="B140" s="32" t="s">
        <v>166</v>
      </c>
      <c r="E140" s="4"/>
    </row>
    <row r="141" spans="2:11" ht="18.75" customHeight="1">
      <c r="B141" s="42" t="s">
        <v>167</v>
      </c>
      <c r="E141" s="5">
        <f>173471.108493639*10^5/10^7</f>
        <v>1734.7110849363899</v>
      </c>
      <c r="H141" s="6">
        <f>E141*J141</f>
        <v>1734.7110849363899</v>
      </c>
      <c r="J141" s="141">
        <v>1</v>
      </c>
    </row>
    <row r="142" spans="2:11" ht="18.75" customHeight="1">
      <c r="B142" s="32" t="s">
        <v>169</v>
      </c>
      <c r="E142" s="4"/>
    </row>
    <row r="143" spans="2:11" ht="18.75" customHeight="1">
      <c r="B143" s="42" t="s">
        <v>168</v>
      </c>
      <c r="E143" s="5">
        <f>1352.48*10^5/10^7</f>
        <v>13.524800000000001</v>
      </c>
      <c r="H143" s="6">
        <f>E143*J143</f>
        <v>13.524800000000001</v>
      </c>
      <c r="J143" s="141">
        <v>1</v>
      </c>
    </row>
    <row r="144" spans="2:11" ht="18.75" customHeight="1">
      <c r="B144" s="46" t="s">
        <v>170</v>
      </c>
      <c r="C144" s="17"/>
      <c r="D144" s="17"/>
      <c r="E144" s="12">
        <f>SUM(E137:E143)</f>
        <v>2538.6918399999959</v>
      </c>
      <c r="F144" s="17"/>
      <c r="G144" s="17"/>
      <c r="H144" s="12">
        <f>SUM(H137:H143)</f>
        <v>2538.6918399999959</v>
      </c>
      <c r="I144" s="17"/>
      <c r="J144" s="17"/>
    </row>
    <row r="145" spans="2:10" ht="18.75" customHeight="1">
      <c r="B145" s="32"/>
      <c r="E145" s="5"/>
    </row>
    <row r="146" spans="2:10" ht="18.75" customHeight="1">
      <c r="B146" s="32" t="s">
        <v>202</v>
      </c>
      <c r="E146" s="5"/>
    </row>
    <row r="147" spans="2:10" ht="18.75" customHeight="1">
      <c r="E147" s="5"/>
    </row>
    <row r="148" spans="2:10" ht="18.75" customHeight="1">
      <c r="B148" s="42" t="s">
        <v>191</v>
      </c>
      <c r="E148" s="6">
        <f>100.52*10^5/10^7</f>
        <v>1.0052000000000001</v>
      </c>
      <c r="H148" s="6">
        <f>E148*J148</f>
        <v>1.0052000000000001</v>
      </c>
      <c r="J148" s="141">
        <v>1</v>
      </c>
    </row>
    <row r="149" spans="2:10" ht="18.75" customHeight="1">
      <c r="B149" s="42" t="s">
        <v>192</v>
      </c>
      <c r="E149" s="6">
        <f>98666.78*10^5/10^7</f>
        <v>986.66780000000006</v>
      </c>
      <c r="H149" s="6">
        <f>E149*J149</f>
        <v>986.66780000000006</v>
      </c>
      <c r="J149" s="141">
        <v>1</v>
      </c>
    </row>
    <row r="150" spans="2:10" ht="18.75" customHeight="1">
      <c r="B150" s="46" t="s">
        <v>17</v>
      </c>
      <c r="C150" s="17"/>
      <c r="D150" s="17"/>
      <c r="E150" s="11">
        <f>SUM(E148:E149)</f>
        <v>987.673</v>
      </c>
      <c r="F150" s="17"/>
      <c r="G150" s="17"/>
      <c r="H150" s="11">
        <f>SUM(H148:H149)</f>
        <v>987.673</v>
      </c>
      <c r="I150" s="17"/>
      <c r="J150" s="17"/>
    </row>
    <row r="151" spans="2:10" ht="18.75" customHeight="1">
      <c r="B151" s="32"/>
      <c r="E151" s="5"/>
    </row>
    <row r="152" spans="2:10" ht="18.75" customHeight="1">
      <c r="B152" s="54" t="s">
        <v>203</v>
      </c>
      <c r="C152" s="35"/>
      <c r="D152" s="35"/>
      <c r="E152" s="55"/>
      <c r="F152" s="35"/>
      <c r="G152" s="35"/>
      <c r="H152" s="35"/>
      <c r="I152" s="35"/>
      <c r="J152" s="35"/>
    </row>
    <row r="153" spans="2:10" ht="18.75" customHeight="1">
      <c r="B153" s="56" t="s">
        <v>193</v>
      </c>
      <c r="C153" s="57"/>
      <c r="E153" s="146">
        <f>405.52*10^5/10^7</f>
        <v>4.0552000000000001</v>
      </c>
      <c r="F153" s="35"/>
      <c r="G153" s="35"/>
      <c r="H153" s="6">
        <f>E153*J153</f>
        <v>4.0552000000000001</v>
      </c>
      <c r="I153" s="35"/>
      <c r="J153" s="141">
        <v>1</v>
      </c>
    </row>
    <row r="154" spans="2:10" ht="18.75" customHeight="1">
      <c r="B154" s="56" t="s">
        <v>194</v>
      </c>
      <c r="C154" s="57"/>
      <c r="E154" s="146">
        <v>0</v>
      </c>
      <c r="F154" s="35"/>
      <c r="G154" s="35"/>
      <c r="H154" s="6">
        <f>E154*J154</f>
        <v>0</v>
      </c>
      <c r="I154" s="35"/>
      <c r="J154" s="141">
        <v>1</v>
      </c>
    </row>
    <row r="155" spans="2:10" ht="18.75" customHeight="1">
      <c r="B155" s="56" t="s">
        <v>195</v>
      </c>
      <c r="C155" s="57"/>
      <c r="E155" s="146">
        <f>1069.47*10^5/10^7</f>
        <v>10.694699999999999</v>
      </c>
      <c r="F155" s="35"/>
      <c r="G155" s="35"/>
      <c r="H155" s="6">
        <f>E155*J155</f>
        <v>10.694699999999999</v>
      </c>
      <c r="I155" s="35"/>
      <c r="J155" s="141">
        <v>1</v>
      </c>
    </row>
    <row r="156" spans="2:10" ht="18.75" customHeight="1">
      <c r="B156" s="46" t="s">
        <v>17</v>
      </c>
      <c r="C156" s="17"/>
      <c r="D156" s="17"/>
      <c r="E156" s="12">
        <f>SUM(E153:E155)</f>
        <v>14.7499</v>
      </c>
      <c r="F156" s="17"/>
      <c r="G156" s="17"/>
      <c r="H156" s="12">
        <f>SUM(H153:H155)</f>
        <v>14.7499</v>
      </c>
      <c r="I156" s="17"/>
      <c r="J156" s="17"/>
    </row>
    <row r="157" spans="2:10" ht="18.75" customHeight="1">
      <c r="B157" s="32"/>
      <c r="E157" s="5"/>
    </row>
    <row r="158" spans="2:10" ht="18.75" customHeight="1">
      <c r="B158" s="32" t="s">
        <v>222</v>
      </c>
      <c r="E158" s="5"/>
    </row>
    <row r="159" spans="2:10" ht="18.75" customHeight="1">
      <c r="B159" s="42" t="s">
        <v>183</v>
      </c>
      <c r="E159" s="5"/>
    </row>
    <row r="160" spans="2:10" ht="18.75" customHeight="1">
      <c r="B160" s="42" t="s">
        <v>184</v>
      </c>
      <c r="E160" s="6">
        <f>343.67*10^5/10^7</f>
        <v>3.4367000000000001</v>
      </c>
      <c r="H160" s="6">
        <f>E160*J160</f>
        <v>3.4367000000000001</v>
      </c>
      <c r="J160" s="141">
        <v>1</v>
      </c>
    </row>
    <row r="161" spans="2:10" ht="18.75" customHeight="1">
      <c r="B161" s="42" t="s">
        <v>185</v>
      </c>
      <c r="E161" s="6">
        <f>4.24*10^5/10^7</f>
        <v>4.24E-2</v>
      </c>
      <c r="H161" s="6">
        <f>E161*J161</f>
        <v>4.24E-2</v>
      </c>
      <c r="J161" s="141">
        <v>1</v>
      </c>
    </row>
    <row r="162" spans="2:10" ht="18.75" customHeight="1">
      <c r="B162" s="42" t="s">
        <v>186</v>
      </c>
      <c r="E162" s="6"/>
    </row>
    <row r="163" spans="2:10" ht="18.75" customHeight="1">
      <c r="B163" s="42" t="s">
        <v>187</v>
      </c>
      <c r="E163" s="6">
        <f>2804.97*10^5/10^7</f>
        <v>28.049700000000001</v>
      </c>
      <c r="H163" s="6">
        <f>E163*J163</f>
        <v>28.049700000000001</v>
      </c>
      <c r="J163" s="141">
        <v>1</v>
      </c>
    </row>
    <row r="164" spans="2:10" ht="18.75" customHeight="1">
      <c r="B164" s="42" t="s">
        <v>188</v>
      </c>
      <c r="E164" s="6">
        <f>35*10^5/10^7</f>
        <v>0.35</v>
      </c>
      <c r="H164" s="6">
        <f>E164*J164</f>
        <v>0.35</v>
      </c>
      <c r="J164" s="141">
        <v>1</v>
      </c>
    </row>
    <row r="165" spans="2:10" ht="18.75" customHeight="1">
      <c r="B165" s="42" t="s">
        <v>189</v>
      </c>
      <c r="E165" s="6">
        <f>895.1*10^5/10^7</f>
        <v>8.9510000000000005</v>
      </c>
      <c r="H165" s="6">
        <f>E165*J165</f>
        <v>8.9510000000000005</v>
      </c>
      <c r="J165" s="141">
        <v>1</v>
      </c>
    </row>
    <row r="166" spans="2:10" ht="18.75" customHeight="1">
      <c r="B166" s="46" t="s">
        <v>17</v>
      </c>
      <c r="C166" s="17"/>
      <c r="D166" s="17"/>
      <c r="E166" s="11">
        <f>SUM(E160:E165)</f>
        <v>40.829800000000006</v>
      </c>
      <c r="F166" s="17"/>
      <c r="G166" s="17"/>
      <c r="H166" s="11">
        <f>SUM(H160:H165)</f>
        <v>40.829800000000006</v>
      </c>
      <c r="I166" s="17"/>
      <c r="J166" s="17"/>
    </row>
    <row r="167" spans="2:10" ht="18.75" customHeight="1">
      <c r="B167" s="32"/>
      <c r="E167" s="5"/>
    </row>
    <row r="168" spans="2:10" ht="18.75" customHeight="1">
      <c r="B168" s="32" t="s">
        <v>204</v>
      </c>
      <c r="E168" s="5"/>
    </row>
    <row r="169" spans="2:10" ht="18.75" customHeight="1">
      <c r="B169" s="32"/>
      <c r="E169" s="5"/>
    </row>
    <row r="170" spans="2:10" ht="18.75" customHeight="1">
      <c r="B170" s="42" t="s">
        <v>171</v>
      </c>
      <c r="C170" s="16"/>
      <c r="D170" s="16"/>
      <c r="E170" s="5"/>
    </row>
    <row r="171" spans="2:10" ht="18.75" customHeight="1">
      <c r="B171" s="42" t="s">
        <v>172</v>
      </c>
      <c r="C171" s="16"/>
      <c r="E171" s="142">
        <f>408.23*10^5/10^7</f>
        <v>4.0823</v>
      </c>
      <c r="H171" s="6">
        <f>E171*J171</f>
        <v>4.0823</v>
      </c>
      <c r="J171" s="141">
        <v>1</v>
      </c>
    </row>
    <row r="172" spans="2:10" ht="18.75" customHeight="1">
      <c r="B172" s="42" t="s">
        <v>173</v>
      </c>
      <c r="C172" s="16"/>
      <c r="E172" s="142">
        <f>136.8*10^5/10^7</f>
        <v>1.3680000000000001</v>
      </c>
      <c r="H172" s="6">
        <f>E172*J172</f>
        <v>1.3680000000000001</v>
      </c>
      <c r="J172" s="141">
        <v>1</v>
      </c>
    </row>
    <row r="173" spans="2:10" ht="18.75" customHeight="1">
      <c r="B173" s="42" t="s">
        <v>174</v>
      </c>
      <c r="C173" s="16"/>
      <c r="E173" s="142">
        <v>0</v>
      </c>
      <c r="H173" s="6">
        <f>E173*J173</f>
        <v>0</v>
      </c>
      <c r="J173" s="141">
        <v>1</v>
      </c>
    </row>
    <row r="174" spans="2:10" ht="18.75" customHeight="1">
      <c r="B174" s="42"/>
      <c r="C174" s="16"/>
      <c r="E174" s="142"/>
    </row>
    <row r="175" spans="2:10" ht="18.75" customHeight="1">
      <c r="B175" s="42" t="s">
        <v>175</v>
      </c>
      <c r="C175" s="16"/>
      <c r="E175" s="142">
        <v>0</v>
      </c>
      <c r="H175" s="6">
        <f>E175*J175</f>
        <v>0</v>
      </c>
      <c r="J175" s="141">
        <v>1</v>
      </c>
    </row>
    <row r="176" spans="2:10" ht="18.75" customHeight="1">
      <c r="B176" s="42" t="s">
        <v>176</v>
      </c>
      <c r="C176" s="16"/>
      <c r="E176" s="142">
        <v>0</v>
      </c>
      <c r="H176" s="6">
        <f>E176*J176</f>
        <v>0</v>
      </c>
      <c r="J176" s="141">
        <v>1</v>
      </c>
    </row>
    <row r="177" spans="2:10" ht="18.75" customHeight="1">
      <c r="B177" s="42"/>
      <c r="C177" s="16"/>
      <c r="E177" s="142"/>
    </row>
    <row r="178" spans="2:10" ht="18.75" customHeight="1">
      <c r="B178" s="46" t="s">
        <v>17</v>
      </c>
      <c r="C178" s="17"/>
      <c r="D178" s="17"/>
      <c r="E178" s="12">
        <f>SUM(E171:E176)</f>
        <v>5.4503000000000004</v>
      </c>
      <c r="F178" s="10"/>
      <c r="G178" s="10"/>
      <c r="H178" s="12">
        <f>SUM(H171:H176)</f>
        <v>5.4503000000000004</v>
      </c>
      <c r="I178" s="10"/>
      <c r="J178" s="10"/>
    </row>
    <row r="179" spans="2:10" ht="18.75" customHeight="1">
      <c r="B179" s="54"/>
      <c r="C179" s="35"/>
      <c r="D179" s="35"/>
      <c r="E179" s="44"/>
      <c r="F179" s="33"/>
      <c r="G179" s="33"/>
      <c r="H179" s="33"/>
      <c r="I179" s="33"/>
      <c r="J179" s="33"/>
    </row>
    <row r="180" spans="2:10" ht="18.75" customHeight="1">
      <c r="B180" s="25" t="s">
        <v>210</v>
      </c>
      <c r="C180" s="25"/>
      <c r="D180" s="25"/>
      <c r="E180" s="26">
        <f>SUM(E144,E150,E156,E166,E178)</f>
        <v>3587.3948399999954</v>
      </c>
      <c r="F180" s="26"/>
      <c r="G180" s="26"/>
      <c r="H180" s="26">
        <f>SUM(H144,H150,H156,H166,H178)</f>
        <v>3587.3948399999954</v>
      </c>
      <c r="I180" s="27"/>
      <c r="J180" s="29"/>
    </row>
    <row r="181" spans="2:10" ht="18.75" customHeight="1">
      <c r="B181" s="32"/>
      <c r="E181" s="22"/>
    </row>
    <row r="182" spans="2:10" ht="18.75" customHeight="1">
      <c r="B182" s="25" t="s">
        <v>205</v>
      </c>
      <c r="C182" s="25"/>
      <c r="D182" s="25"/>
      <c r="E182" s="26">
        <f>SUM(E132,E180)</f>
        <v>3928.1898399999955</v>
      </c>
      <c r="F182" s="26"/>
      <c r="G182" s="26"/>
      <c r="H182" s="26">
        <f>SUM(H132,H180)</f>
        <v>3928.1898399999955</v>
      </c>
      <c r="I182" s="27"/>
      <c r="J182" s="29"/>
    </row>
    <row r="184" spans="2:10">
      <c r="B184" s="25" t="s">
        <v>206</v>
      </c>
      <c r="C184" s="25"/>
      <c r="D184" s="25"/>
      <c r="E184" s="26">
        <f>SUM(E78,E182)</f>
        <v>2756.9248993679957</v>
      </c>
      <c r="F184" s="26"/>
      <c r="G184" s="26"/>
      <c r="H184" s="26">
        <f>SUM(H78,H182)</f>
        <v>2756.9248993679957</v>
      </c>
      <c r="I184" s="27"/>
      <c r="J184" s="29"/>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2:I71"/>
  <sheetViews>
    <sheetView showGridLines="0" topLeftCell="B37" workbookViewId="0">
      <selection activeCell="G77" sqref="G77"/>
    </sheetView>
  </sheetViews>
  <sheetFormatPr defaultRowHeight="14.4"/>
  <cols>
    <col min="1" max="1" width="5.5546875" customWidth="1"/>
    <col min="2" max="2" width="39.6640625" customWidth="1"/>
    <col min="3" max="3" width="27.33203125" customWidth="1"/>
    <col min="4" max="4" width="19.77734375" hidden="1" customWidth="1"/>
    <col min="5" max="5" width="19.88671875" customWidth="1"/>
    <col min="6" max="6" width="8.88671875" customWidth="1"/>
    <col min="7" max="7" width="12" customWidth="1"/>
    <col min="8" max="8" width="39.109375" bestFit="1" customWidth="1"/>
    <col min="9" max="9" width="35.44140625" bestFit="1" customWidth="1"/>
  </cols>
  <sheetData>
    <row r="2" spans="1:9" ht="17.25" customHeight="1">
      <c r="B2" s="21" t="s">
        <v>39</v>
      </c>
      <c r="C2" s="20"/>
      <c r="D2" s="20"/>
      <c r="E2" s="20"/>
      <c r="F2" s="20"/>
      <c r="G2" s="20"/>
      <c r="H2" s="20"/>
      <c r="I2" s="20"/>
    </row>
    <row r="3" spans="1:9" ht="10.5" customHeight="1"/>
    <row r="4" spans="1:9" ht="18" customHeight="1">
      <c r="B4" s="2" t="s">
        <v>7</v>
      </c>
      <c r="C4" s="1"/>
      <c r="D4" s="1"/>
      <c r="E4" s="1"/>
      <c r="F4" s="1"/>
      <c r="G4" s="1"/>
      <c r="H4" s="1"/>
      <c r="I4" s="1"/>
    </row>
    <row r="5" spans="1:9" ht="9.75" customHeight="1"/>
    <row r="6" spans="1:9" ht="18" customHeight="1">
      <c r="B6" s="2" t="s">
        <v>346</v>
      </c>
      <c r="C6" s="14" t="s">
        <v>18</v>
      </c>
      <c r="D6" s="2" t="s">
        <v>327</v>
      </c>
      <c r="E6" s="14" t="s">
        <v>1</v>
      </c>
      <c r="F6" s="2"/>
      <c r="G6" s="13" t="s">
        <v>16</v>
      </c>
      <c r="H6" s="2" t="s">
        <v>348</v>
      </c>
      <c r="I6" s="2" t="s">
        <v>349</v>
      </c>
    </row>
    <row r="7" spans="1:9" ht="10.5" customHeight="1">
      <c r="C7" s="22"/>
    </row>
    <row r="8" spans="1:9" ht="18.75" customHeight="1">
      <c r="B8" s="9" t="s">
        <v>121</v>
      </c>
      <c r="C8" s="22"/>
    </row>
    <row r="9" spans="1:9" ht="18.75" customHeight="1">
      <c r="B9" s="40" t="s">
        <v>107</v>
      </c>
      <c r="C9" s="6">
        <f>453.91*10^5/10^7</f>
        <v>4.5391000000000004</v>
      </c>
      <c r="D9" s="5">
        <f>C9-0.83-3.18</f>
        <v>0.52910000000000013</v>
      </c>
      <c r="E9" s="6">
        <f>'Inventories - II'!G5</f>
        <v>3.802</v>
      </c>
      <c r="F9" s="196"/>
      <c r="G9" s="149"/>
    </row>
    <row r="10" spans="1:9" ht="18.75" customHeight="1">
      <c r="B10" s="40" t="s">
        <v>101</v>
      </c>
      <c r="C10" s="6">
        <f>445.77*10^5/10^7</f>
        <v>4.4577</v>
      </c>
      <c r="D10" s="5">
        <f>445.77*10^5/10^7-4.46</f>
        <v>-2.2999999999999687E-3</v>
      </c>
      <c r="E10" s="6">
        <f>'Inventories - II'!G6</f>
        <v>4.0119300000000004</v>
      </c>
      <c r="F10" s="196"/>
      <c r="G10" s="149"/>
    </row>
    <row r="11" spans="1:9" ht="18.75" customHeight="1">
      <c r="A11" s="426" t="s">
        <v>223</v>
      </c>
      <c r="B11" s="40" t="s">
        <v>412</v>
      </c>
      <c r="C11" s="6">
        <f>'Inventories - II'!F7</f>
        <v>18.438600000000001</v>
      </c>
      <c r="D11" s="5">
        <f>909.25*10^5/10^7-15.72-1.24</f>
        <v>-7.8675000000000015</v>
      </c>
      <c r="E11" s="6">
        <f>'Inventories - II'!G7</f>
        <v>16.594740000000002</v>
      </c>
      <c r="F11" s="196"/>
      <c r="G11" s="149"/>
    </row>
    <row r="12" spans="1:9" ht="18.75" customHeight="1">
      <c r="B12" s="40" t="s">
        <v>102</v>
      </c>
      <c r="C12" s="6">
        <f>989.71*10^5/10^7</f>
        <v>9.8971</v>
      </c>
      <c r="D12" s="5">
        <f>989.71*10^5/10^7-4.07-4</f>
        <v>1.8270999999999997</v>
      </c>
      <c r="E12" s="6">
        <f>'Inventories - II'!G8</f>
        <v>7.9176800000000007</v>
      </c>
      <c r="F12" s="196"/>
      <c r="G12" s="149"/>
    </row>
    <row r="13" spans="1:9" ht="18.75" customHeight="1">
      <c r="B13" s="40" t="s">
        <v>104</v>
      </c>
      <c r="C13" s="6">
        <f>177.66*10^5/10^7</f>
        <v>1.7766</v>
      </c>
      <c r="D13" s="5">
        <f>177.66*10^5/10^7-0.89-0.01</f>
        <v>0.87659999999999993</v>
      </c>
      <c r="E13" s="6">
        <f>'Inventories - II'!G10</f>
        <v>1.7766</v>
      </c>
      <c r="F13" s="196"/>
      <c r="G13" s="149"/>
    </row>
    <row r="14" spans="1:9" ht="18.75" customHeight="1">
      <c r="A14" s="430" t="s">
        <v>224</v>
      </c>
      <c r="B14" s="40" t="s">
        <v>105</v>
      </c>
      <c r="C14" s="6">
        <f>726.64*10^5/10^7</f>
        <v>7.2664</v>
      </c>
      <c r="D14" s="5">
        <f>726.64*10^5/10^7-4.35</f>
        <v>2.9164000000000003</v>
      </c>
      <c r="E14" s="6">
        <f>'Inventories - II'!G11</f>
        <v>7.2664</v>
      </c>
      <c r="F14" s="196"/>
      <c r="G14" s="149"/>
    </row>
    <row r="15" spans="1:9" ht="18.75" customHeight="1">
      <c r="A15" s="430"/>
      <c r="B15" s="40" t="s">
        <v>106</v>
      </c>
      <c r="C15" s="5">
        <f>2.67*10^5/10^7</f>
        <v>2.6700000000000002E-2</v>
      </c>
      <c r="D15" s="5">
        <f>2.67*10^5/10^7</f>
        <v>2.6700000000000002E-2</v>
      </c>
      <c r="E15" s="6">
        <f>'Inventories - II'!G12</f>
        <v>2.6700000000000002E-2</v>
      </c>
      <c r="F15" s="196"/>
      <c r="G15" s="149"/>
    </row>
    <row r="16" spans="1:9" s="3" customFormat="1" ht="18.75" customHeight="1">
      <c r="B16" s="19" t="s">
        <v>12</v>
      </c>
      <c r="C16" s="11">
        <f>SUM(C9:C15)</f>
        <v>46.402200000000001</v>
      </c>
      <c r="D16" s="11">
        <f>SUM(D9:D15)</f>
        <v>-1.693900000000002</v>
      </c>
      <c r="E16" s="11">
        <f>SUM(E9:E15)</f>
        <v>41.396050000000002</v>
      </c>
      <c r="F16" s="10"/>
      <c r="G16" s="10"/>
    </row>
    <row r="17" spans="2:7" ht="18.75" customHeight="1">
      <c r="B17" s="40"/>
      <c r="D17" s="22"/>
      <c r="E17" s="4"/>
    </row>
    <row r="18" spans="2:7" ht="18.75" customHeight="1">
      <c r="B18" s="41"/>
      <c r="D18" s="22"/>
      <c r="E18" s="4"/>
    </row>
    <row r="19" spans="2:7" ht="18.75" customHeight="1">
      <c r="B19" s="9" t="s">
        <v>20</v>
      </c>
      <c r="D19" s="22"/>
      <c r="E19" s="4"/>
    </row>
    <row r="20" spans="2:7" ht="18.75" customHeight="1">
      <c r="B20" s="40" t="s">
        <v>108</v>
      </c>
      <c r="C20" s="6">
        <f>45910.15*10^5/10^7</f>
        <v>459.10149999999999</v>
      </c>
      <c r="D20" s="5">
        <f>45910.15*10^5/10^7-442.79-0.56</f>
        <v>15.751499999999966</v>
      </c>
      <c r="E20" s="6">
        <f>'Trade Receivables - III'!E5</f>
        <v>15.751499999999966</v>
      </c>
      <c r="F20" s="196"/>
      <c r="G20" s="149"/>
    </row>
    <row r="21" spans="2:7" ht="18.75" customHeight="1">
      <c r="B21" s="40" t="s">
        <v>109</v>
      </c>
      <c r="C21" s="6">
        <f>4181.27*10^5/10^7</f>
        <v>41.812700000000007</v>
      </c>
      <c r="D21" s="5">
        <f>4181.27*10^5/10^7-42.14</f>
        <v>-0.32729999999999393</v>
      </c>
      <c r="E21" s="6">
        <f>'Trade Receivables - III'!E6</f>
        <v>21.608000000000001</v>
      </c>
      <c r="F21" s="196"/>
      <c r="G21" s="149"/>
    </row>
    <row r="22" spans="2:7" ht="18.75" customHeight="1">
      <c r="B22" s="40" t="s">
        <v>110</v>
      </c>
      <c r="C22" s="6">
        <f>6276.63*10^5/10^7</f>
        <v>62.766300000000001</v>
      </c>
      <c r="D22" s="5">
        <f>6276.63*10^5/10^7</f>
        <v>62.766300000000001</v>
      </c>
      <c r="E22" s="6">
        <f>'Trade Receivables - III'!E7</f>
        <v>25.106520000000003</v>
      </c>
      <c r="F22" s="196"/>
      <c r="G22" s="149"/>
    </row>
    <row r="23" spans="2:7" ht="18.75" customHeight="1">
      <c r="B23" s="40"/>
      <c r="C23" s="8">
        <f>SUM(C20:C22)</f>
        <v>563.68049999999994</v>
      </c>
      <c r="D23" s="8">
        <f>SUM(D20:D22)</f>
        <v>78.190499999999972</v>
      </c>
      <c r="E23" s="8">
        <f>SUM(E20:E22)</f>
        <v>62.466019999999972</v>
      </c>
      <c r="F23" s="196"/>
      <c r="G23" s="149"/>
    </row>
    <row r="24" spans="2:7" ht="18.75" customHeight="1">
      <c r="B24" s="40" t="s">
        <v>112</v>
      </c>
      <c r="C24" s="5">
        <f>7874.83*10^5/10^7</f>
        <v>78.7483</v>
      </c>
      <c r="D24" s="5">
        <f>7874.83*10^5/10^7</f>
        <v>78.7483</v>
      </c>
      <c r="E24" s="6">
        <f t="shared" ref="E24" si="0">D24*G24</f>
        <v>0</v>
      </c>
      <c r="F24" s="196"/>
      <c r="G24" s="149"/>
    </row>
    <row r="25" spans="2:7" ht="18.75" customHeight="1">
      <c r="B25" s="19" t="s">
        <v>13</v>
      </c>
      <c r="C25" s="12">
        <f>C23-C24</f>
        <v>484.93219999999997</v>
      </c>
      <c r="D25" s="12">
        <f>D23-D24</f>
        <v>-0.55780000000002872</v>
      </c>
      <c r="E25" s="12">
        <f>E23-E24</f>
        <v>62.466019999999972</v>
      </c>
      <c r="F25" s="10"/>
      <c r="G25" s="10"/>
    </row>
    <row r="26" spans="2:7" ht="18.75" customHeight="1">
      <c r="D26" s="22"/>
      <c r="E26" s="4"/>
    </row>
    <row r="27" spans="2:7" ht="18.75" customHeight="1">
      <c r="B27" s="9" t="s">
        <v>122</v>
      </c>
      <c r="D27" s="22"/>
      <c r="E27" s="4"/>
    </row>
    <row r="28" spans="2:7" ht="18.75" customHeight="1">
      <c r="B28" s="18" t="s">
        <v>113</v>
      </c>
      <c r="D28" s="22"/>
      <c r="E28" s="4"/>
    </row>
    <row r="29" spans="2:7" ht="18.75" customHeight="1">
      <c r="B29" s="7"/>
      <c r="D29" s="22"/>
      <c r="E29" s="4"/>
    </row>
    <row r="30" spans="2:7" ht="18.75" customHeight="1">
      <c r="B30" s="7" t="s">
        <v>115</v>
      </c>
      <c r="C30" s="6">
        <f>2096.94*10^5/10^7</f>
        <v>20.9694</v>
      </c>
      <c r="D30" s="5">
        <f>2096.94*10^5/10^7-19.56-1.03</f>
        <v>0.37940000000000151</v>
      </c>
      <c r="E30" s="6">
        <f>'C&amp;CE and Bank Bal. - IV'!D8</f>
        <v>5.2194000000000003</v>
      </c>
      <c r="F30" s="196"/>
      <c r="G30" s="149"/>
    </row>
    <row r="31" spans="2:7" ht="18.75" customHeight="1">
      <c r="B31" s="7" t="s">
        <v>117</v>
      </c>
      <c r="C31" s="6">
        <f>14.57*10^5/10^7</f>
        <v>0.1457</v>
      </c>
      <c r="D31" s="5">
        <f>14.57*10^5/10^7</f>
        <v>0.1457</v>
      </c>
      <c r="E31" s="6">
        <f>'C&amp;CE and Bank Bal. - IV'!D10</f>
        <v>0.1457</v>
      </c>
      <c r="F31" s="196"/>
      <c r="G31" s="149"/>
    </row>
    <row r="32" spans="2:7" ht="18.75" customHeight="1">
      <c r="B32" s="19" t="s">
        <v>14</v>
      </c>
      <c r="C32" s="12">
        <f>SUM(C30:C31)</f>
        <v>21.115100000000002</v>
      </c>
      <c r="D32" s="12">
        <f>SUM(D30:D31)</f>
        <v>0.52510000000000145</v>
      </c>
      <c r="E32" s="12">
        <f>SUM(E30:E31)</f>
        <v>5.3651</v>
      </c>
      <c r="F32" s="10"/>
      <c r="G32" s="10"/>
    </row>
    <row r="33" spans="2:7" ht="18.75" customHeight="1">
      <c r="B33" s="7"/>
      <c r="D33" s="22"/>
      <c r="E33" s="4"/>
    </row>
    <row r="34" spans="2:7" ht="18.75" customHeight="1">
      <c r="B34" s="9" t="s">
        <v>123</v>
      </c>
      <c r="D34" s="22"/>
      <c r="E34" s="4"/>
    </row>
    <row r="35" spans="2:7" ht="18.75" customHeight="1">
      <c r="B35" s="7"/>
      <c r="D35" s="22"/>
      <c r="E35" s="4"/>
    </row>
    <row r="36" spans="2:7" ht="18.75" customHeight="1">
      <c r="B36" s="7" t="s">
        <v>118</v>
      </c>
      <c r="C36" s="6">
        <f>229.44*10^5/10^7</f>
        <v>2.2944</v>
      </c>
      <c r="D36" s="5">
        <f>229.44*10^5/10^7</f>
        <v>2.2944</v>
      </c>
      <c r="E36" s="6">
        <f>'C&amp;CE and Bank Bal. - IV'!D13</f>
        <v>2.2944</v>
      </c>
      <c r="G36" s="149"/>
    </row>
    <row r="37" spans="2:7" ht="18.75" customHeight="1">
      <c r="B37" s="7" t="s">
        <v>119</v>
      </c>
      <c r="C37" s="6">
        <f>2017.3*10^5/10^7</f>
        <v>20.172999999999998</v>
      </c>
      <c r="D37" s="5">
        <f>2017.3*10^5/10^7-14-6</f>
        <v>0.17299999999999827</v>
      </c>
      <c r="E37" s="6">
        <f>'C&amp;CE and Bank Bal. - IV'!D14</f>
        <v>0.17299999999999827</v>
      </c>
      <c r="F37" s="196"/>
      <c r="G37" s="149"/>
    </row>
    <row r="38" spans="2:7" ht="18.75" customHeight="1">
      <c r="C38" s="15"/>
      <c r="D38" s="22"/>
      <c r="E38" s="4"/>
    </row>
    <row r="39" spans="2:7" s="3" customFormat="1" ht="18.75" customHeight="1">
      <c r="B39" s="19" t="s">
        <v>120</v>
      </c>
      <c r="C39" s="11">
        <f>SUM(C36:C37)</f>
        <v>22.467399999999998</v>
      </c>
      <c r="D39" s="11">
        <f>SUM(D36:D37)</f>
        <v>2.4673999999999983</v>
      </c>
      <c r="E39" s="11">
        <f>SUM(E36:E37)</f>
        <v>2.4673999999999983</v>
      </c>
      <c r="F39" s="17"/>
      <c r="G39" s="17"/>
    </row>
    <row r="40" spans="2:7" ht="18.75" customHeight="1">
      <c r="B40" s="7"/>
      <c r="D40" s="22"/>
      <c r="E40" s="4"/>
    </row>
    <row r="41" spans="2:7" ht="18.75" customHeight="1">
      <c r="B41" s="9" t="s">
        <v>124</v>
      </c>
      <c r="D41" s="22"/>
      <c r="E41" s="4"/>
    </row>
    <row r="42" spans="2:7" ht="18.75" customHeight="1">
      <c r="B42" s="3" t="s">
        <v>94</v>
      </c>
      <c r="D42" s="22"/>
      <c r="E42" s="4"/>
    </row>
    <row r="43" spans="2:7" ht="18.75" customHeight="1">
      <c r="B43" s="37"/>
      <c r="D43" s="22"/>
      <c r="E43" s="4"/>
    </row>
    <row r="44" spans="2:7" ht="18.75" customHeight="1">
      <c r="B44" t="s">
        <v>96</v>
      </c>
      <c r="C44" s="6">
        <f>81.69*10^5/10^7</f>
        <v>0.81689999999999996</v>
      </c>
      <c r="D44" s="5">
        <f>81.69*10^5/10^7</f>
        <v>0.81689999999999996</v>
      </c>
      <c r="E44" s="6">
        <f>'Financial Assets- V'!E7</f>
        <v>0.65351999999999999</v>
      </c>
      <c r="F44" s="196"/>
      <c r="G44" s="149"/>
    </row>
    <row r="45" spans="2:7" ht="18.75" customHeight="1">
      <c r="B45" t="s">
        <v>97</v>
      </c>
      <c r="C45" s="6">
        <f>625.68*10^5/10^7</f>
        <v>6.2567999999999993</v>
      </c>
      <c r="D45" s="5">
        <f>625.68*10^5/10^7-6.26</f>
        <v>-3.2000000000005357E-3</v>
      </c>
      <c r="E45" s="6">
        <f>'Financial Assets- V'!E8</f>
        <v>-3.2000000000005357E-3</v>
      </c>
      <c r="F45" s="196"/>
      <c r="G45" s="149"/>
    </row>
    <row r="46" spans="2:7" ht="18.75" customHeight="1">
      <c r="B46" t="s">
        <v>99</v>
      </c>
      <c r="C46" s="6">
        <f>52.67*10^5/10^7</f>
        <v>0.52669999999999995</v>
      </c>
      <c r="D46" s="5">
        <f>52.67*10^5/10^7-52.67*10^5/10^7</f>
        <v>0</v>
      </c>
      <c r="E46" s="6">
        <f>'Financial Assets- V'!E10</f>
        <v>0.52669999999999995</v>
      </c>
      <c r="F46" s="196"/>
      <c r="G46" s="149"/>
    </row>
    <row r="47" spans="2:7" ht="18.75" customHeight="1">
      <c r="B47" t="s">
        <v>100</v>
      </c>
      <c r="C47" s="5">
        <f>0.9*10^5/10^7</f>
        <v>8.9999999999999993E-3</v>
      </c>
      <c r="D47" s="5">
        <f>0.9*10^5/10^7</f>
        <v>8.9999999999999993E-3</v>
      </c>
      <c r="E47" s="6">
        <f>'Financial Assets- V'!E11</f>
        <v>4.4999999999999997E-3</v>
      </c>
      <c r="F47" s="196"/>
      <c r="G47" s="149"/>
    </row>
    <row r="48" spans="2:7" ht="18.75" customHeight="1">
      <c r="B48" s="19" t="s">
        <v>125</v>
      </c>
      <c r="C48" s="11">
        <f>SUM(C44:C47)</f>
        <v>7.6093999999999991</v>
      </c>
      <c r="D48" s="11">
        <f>SUM(D44:D47)</f>
        <v>0.82269999999999943</v>
      </c>
      <c r="E48" s="11">
        <f>SUM(E44:E47)</f>
        <v>1.1815199999999992</v>
      </c>
      <c r="F48" s="17"/>
      <c r="G48" s="17"/>
    </row>
    <row r="49" spans="2:7" ht="18.75" customHeight="1">
      <c r="B49" s="7"/>
      <c r="D49" s="22"/>
      <c r="E49" s="4"/>
    </row>
    <row r="50" spans="2:7" ht="18.75" customHeight="1">
      <c r="B50" s="9" t="s">
        <v>211</v>
      </c>
      <c r="D50" s="22"/>
      <c r="E50" s="4"/>
    </row>
    <row r="51" spans="2:7" ht="18.75" customHeight="1">
      <c r="B51" s="7"/>
      <c r="D51" s="22"/>
      <c r="E51" s="4"/>
    </row>
    <row r="52" spans="2:7" ht="18.75" customHeight="1">
      <c r="B52" s="7" t="s">
        <v>212</v>
      </c>
      <c r="C52" s="5">
        <f>363.18*10^5/10^7</f>
        <v>3.6318000000000001</v>
      </c>
      <c r="D52" s="22">
        <f>363.18*10^5/10^7</f>
        <v>3.6318000000000001</v>
      </c>
      <c r="E52" s="6">
        <f>'Financial Assets- V'!F14</f>
        <v>3.6318000000000001</v>
      </c>
      <c r="F52" s="196"/>
      <c r="G52" s="149"/>
    </row>
    <row r="53" spans="2:7" ht="18.75" customHeight="1">
      <c r="B53" s="19" t="s">
        <v>213</v>
      </c>
      <c r="C53" s="11">
        <f>SUM(C52)</f>
        <v>3.6318000000000001</v>
      </c>
      <c r="D53" s="11">
        <f>SUM(D52)</f>
        <v>3.6318000000000001</v>
      </c>
      <c r="E53" s="11">
        <f>SUM(E52)</f>
        <v>3.6318000000000001</v>
      </c>
      <c r="F53" s="17"/>
      <c r="G53" s="17"/>
    </row>
    <row r="54" spans="2:7" ht="18.75" customHeight="1">
      <c r="B54" s="7"/>
      <c r="D54" s="22"/>
      <c r="E54" s="4"/>
    </row>
    <row r="55" spans="2:7" ht="18.75" customHeight="1">
      <c r="B55" s="9" t="s">
        <v>338</v>
      </c>
      <c r="D55" s="22"/>
      <c r="E55" s="4"/>
    </row>
    <row r="56" spans="2:7" ht="18.75" customHeight="1">
      <c r="B56" s="7"/>
      <c r="D56" s="22"/>
      <c r="E56" s="4"/>
    </row>
    <row r="57" spans="2:7" ht="18.75" customHeight="1">
      <c r="B57" s="7" t="s">
        <v>633</v>
      </c>
      <c r="D57" s="22"/>
      <c r="E57" s="4"/>
    </row>
    <row r="58" spans="2:7" ht="18.75" customHeight="1">
      <c r="B58" s="7" t="s">
        <v>219</v>
      </c>
      <c r="C58" s="6">
        <f>5189.79*10^5/10^7</f>
        <v>51.8979</v>
      </c>
      <c r="D58" s="5">
        <f>5189.79*10^5/10^7-47.26-4.64</f>
        <v>-2.0999999999977703E-3</v>
      </c>
      <c r="E58" s="6">
        <f>'Other Current Assest-VI'!E12</f>
        <v>46.243900000000004</v>
      </c>
      <c r="G58" s="149">
        <v>1</v>
      </c>
    </row>
    <row r="59" spans="2:7" ht="18.75" customHeight="1">
      <c r="B59" s="7" t="s">
        <v>220</v>
      </c>
      <c r="C59" s="5">
        <f>362.11*10^5/10^7</f>
        <v>3.6211000000000002</v>
      </c>
      <c r="D59" s="5">
        <f>362.11*10^5/10^7</f>
        <v>3.6211000000000002</v>
      </c>
      <c r="E59" s="6">
        <f>'Other Current Assest-VI'!E13</f>
        <v>2.8968800000000003</v>
      </c>
      <c r="F59" s="196">
        <f>D59/C59</f>
        <v>1</v>
      </c>
      <c r="G59" s="149">
        <v>1</v>
      </c>
    </row>
    <row r="60" spans="2:7" ht="18.75" customHeight="1">
      <c r="B60" s="18"/>
      <c r="C60" s="8">
        <f>SUM(C58:C59)</f>
        <v>55.518999999999998</v>
      </c>
      <c r="D60" s="8">
        <f>SUM(D58:D59)</f>
        <v>3.6190000000000024</v>
      </c>
      <c r="E60" s="8">
        <f>SUM(E58:E59)</f>
        <v>49.140780000000007</v>
      </c>
      <c r="F60" s="3"/>
      <c r="G60" s="150"/>
    </row>
    <row r="61" spans="2:7" ht="18.75" customHeight="1">
      <c r="B61" s="7" t="s">
        <v>218</v>
      </c>
      <c r="C61" s="5">
        <f>362.11*10^5/10^7</f>
        <v>3.6211000000000002</v>
      </c>
      <c r="D61" s="5">
        <f>C61</f>
        <v>3.6211000000000002</v>
      </c>
      <c r="E61" s="6">
        <f>'Other Current Assest-VI'!E14</f>
        <v>-2.0999999999977703E-3</v>
      </c>
      <c r="F61" s="196">
        <f>D61/C61</f>
        <v>1</v>
      </c>
      <c r="G61" s="149">
        <v>1</v>
      </c>
    </row>
    <row r="62" spans="2:7" ht="18.75" customHeight="1">
      <c r="B62" s="65" t="s">
        <v>337</v>
      </c>
      <c r="C62" s="11">
        <f>C60-C61</f>
        <v>51.8979</v>
      </c>
      <c r="D62" s="11">
        <f>D60-D61</f>
        <v>-2.0999999999977703E-3</v>
      </c>
      <c r="E62" s="11">
        <f>E60-E61</f>
        <v>49.142880000000005</v>
      </c>
      <c r="F62" s="17"/>
      <c r="G62" s="17"/>
    </row>
    <row r="63" spans="2:7" ht="18.75" customHeight="1">
      <c r="B63" s="7"/>
      <c r="D63" s="22"/>
      <c r="E63" s="4"/>
    </row>
    <row r="64" spans="2:7" ht="18.75" customHeight="1">
      <c r="B64" s="7" t="s">
        <v>634</v>
      </c>
      <c r="C64" s="6">
        <f>759.34*10^5/10^7</f>
        <v>7.5933999999999999</v>
      </c>
      <c r="D64" s="5">
        <f>759.34*10^5/10^7-7.59</f>
        <v>3.4000000000000696E-3</v>
      </c>
      <c r="E64" s="6">
        <f>'Other Current Assest-VI'!E17</f>
        <v>6.83406</v>
      </c>
      <c r="G64" s="149">
        <v>1</v>
      </c>
    </row>
    <row r="65" spans="2:7" ht="18.75" customHeight="1">
      <c r="B65" s="7" t="s">
        <v>635</v>
      </c>
      <c r="C65" s="22">
        <f>10*10^5/10^7</f>
        <v>0.1</v>
      </c>
      <c r="D65" s="22">
        <f>10*10^5/10^7</f>
        <v>0.1</v>
      </c>
      <c r="E65" s="6">
        <f>'Other Current Assest-VI'!E19</f>
        <v>0.1</v>
      </c>
      <c r="F65" s="196">
        <f>D65/C65</f>
        <v>1</v>
      </c>
      <c r="G65" s="149">
        <v>1</v>
      </c>
    </row>
    <row r="66" spans="2:7" ht="18.75" customHeight="1">
      <c r="B66" s="65" t="s">
        <v>336</v>
      </c>
      <c r="C66" s="11">
        <f>SUM(C64:C65)</f>
        <v>7.6933999999999996</v>
      </c>
      <c r="D66" s="11">
        <f>SUM(D64:D65)</f>
        <v>0.10340000000000008</v>
      </c>
      <c r="E66" s="11">
        <f>SUM(E64:E65)</f>
        <v>6.9340599999999997</v>
      </c>
      <c r="F66" s="17"/>
      <c r="G66" s="17"/>
    </row>
    <row r="67" spans="2:7" ht="18.75" customHeight="1">
      <c r="B67" s="7"/>
      <c r="D67" s="22"/>
      <c r="E67" s="4"/>
    </row>
    <row r="68" spans="2:7" ht="18.75" customHeight="1">
      <c r="B68" s="65" t="s">
        <v>664</v>
      </c>
      <c r="C68" s="11">
        <f>SUM(C62,C66)</f>
        <v>59.591299999999997</v>
      </c>
      <c r="D68" s="11" t="e">
        <f>SUM(D66,D62,#REF!)</f>
        <v>#REF!</v>
      </c>
      <c r="E68" s="11">
        <f>SUM(E62,E66)</f>
        <v>56.076940000000008</v>
      </c>
      <c r="F68" s="17"/>
      <c r="G68" s="17"/>
    </row>
    <row r="69" spans="2:7" ht="18.75" customHeight="1">
      <c r="B69" s="7"/>
      <c r="D69" s="22"/>
      <c r="E69" s="4"/>
    </row>
    <row r="70" spans="2:7" ht="18.75" customHeight="1">
      <c r="B70" s="7"/>
      <c r="D70" s="22"/>
      <c r="E70" s="4"/>
    </row>
    <row r="71" spans="2:7" ht="20.25" customHeight="1">
      <c r="B71" s="25" t="s">
        <v>17</v>
      </c>
      <c r="C71" s="26">
        <f>SUM(C16,C25,C32,C39,C48,C53,C68)</f>
        <v>645.74940000000004</v>
      </c>
      <c r="D71" s="26" t="e">
        <f>SUM(D16,D25,D32,D39,D48,D53,D68)</f>
        <v>#REF!</v>
      </c>
      <c r="E71" s="26">
        <f>SUM(E16,E25,E32,E39,E48,E53,E68)</f>
        <v>172.58482999999998</v>
      </c>
      <c r="F71" s="27"/>
      <c r="G71" s="29"/>
    </row>
  </sheetData>
  <mergeCells count="1">
    <mergeCell ref="A14:A15"/>
  </mergeCells>
  <pageMargins left="0.25" right="0.25"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F4" zoomScale="99" zoomScaleNormal="99" workbookViewId="0">
      <selection activeCell="H9" sqref="H9"/>
    </sheetView>
  </sheetViews>
  <sheetFormatPr defaultRowHeight="14.4"/>
  <cols>
    <col min="2" max="2" width="29.21875" customWidth="1"/>
    <col min="3" max="3" width="11.77734375" customWidth="1"/>
    <col min="4" max="4" width="10" customWidth="1"/>
    <col min="5" max="5" width="12.5546875" customWidth="1"/>
    <col min="6" max="6" width="12.33203125" customWidth="1"/>
    <col min="7" max="7" width="12.5546875" customWidth="1"/>
    <col min="8" max="8" width="64.21875" customWidth="1"/>
  </cols>
  <sheetData>
    <row r="1" spans="1:11">
      <c r="A1" s="434" t="s">
        <v>447</v>
      </c>
      <c r="B1" s="434"/>
      <c r="C1" s="434"/>
      <c r="D1" s="434"/>
      <c r="E1" s="434"/>
      <c r="F1" s="434"/>
      <c r="G1" s="434"/>
      <c r="H1" s="434"/>
    </row>
    <row r="2" spans="1:11" ht="15" thickBot="1">
      <c r="A2" s="435" t="s">
        <v>422</v>
      </c>
      <c r="B2" s="435"/>
      <c r="C2" s="435"/>
      <c r="D2" s="435"/>
      <c r="E2" s="435"/>
      <c r="F2" s="435"/>
      <c r="G2" s="435"/>
      <c r="H2" s="435"/>
    </row>
    <row r="3" spans="1:11" ht="52.2" customHeight="1" thickBot="1">
      <c r="A3" s="337" t="s">
        <v>350</v>
      </c>
      <c r="B3" s="337" t="s">
        <v>367</v>
      </c>
      <c r="C3" s="336" t="s">
        <v>364</v>
      </c>
      <c r="D3" s="337" t="s">
        <v>365</v>
      </c>
      <c r="E3" s="339" t="s">
        <v>356</v>
      </c>
      <c r="F3" s="339" t="s">
        <v>420</v>
      </c>
      <c r="G3" s="339" t="s">
        <v>419</v>
      </c>
      <c r="H3" s="337" t="s">
        <v>357</v>
      </c>
    </row>
    <row r="4" spans="1:11">
      <c r="A4" s="436" t="s">
        <v>409</v>
      </c>
      <c r="B4" s="437"/>
      <c r="C4" s="437"/>
      <c r="D4" s="437"/>
      <c r="E4" s="437"/>
      <c r="F4" s="437"/>
      <c r="G4" s="437"/>
      <c r="H4" s="438"/>
    </row>
    <row r="5" spans="1:11">
      <c r="A5" s="331"/>
      <c r="B5" s="335" t="s">
        <v>92</v>
      </c>
      <c r="C5" s="331"/>
      <c r="D5" s="331"/>
      <c r="E5" s="331"/>
      <c r="F5" s="331"/>
      <c r="G5" s="331"/>
      <c r="H5" s="331"/>
    </row>
    <row r="6" spans="1:11" ht="70.8" customHeight="1">
      <c r="A6" s="231">
        <v>1</v>
      </c>
      <c r="B6" s="361" t="s">
        <v>341</v>
      </c>
      <c r="C6" s="300">
        <f>0.669*10^5/10^7</f>
        <v>6.6899999999999998E-3</v>
      </c>
      <c r="D6" s="232" t="s">
        <v>432</v>
      </c>
      <c r="E6" s="334">
        <f>C6*I6</f>
        <v>5.352E-3</v>
      </c>
      <c r="F6" s="334">
        <f>E6*J6</f>
        <v>4.2816E-3</v>
      </c>
      <c r="G6" s="352">
        <f>E6*K6</f>
        <v>2.676E-3</v>
      </c>
      <c r="H6" s="312" t="s">
        <v>438</v>
      </c>
      <c r="I6" s="149">
        <v>0.8</v>
      </c>
      <c r="J6" s="149">
        <v>0.8</v>
      </c>
      <c r="K6" s="149">
        <v>0.5</v>
      </c>
    </row>
    <row r="7" spans="1:11" ht="83.4" customHeight="1">
      <c r="A7" s="231">
        <v>2</v>
      </c>
      <c r="B7" s="361" t="s">
        <v>342</v>
      </c>
      <c r="C7" s="300">
        <f>7.843*10^5/10^7</f>
        <v>7.843E-2</v>
      </c>
      <c r="D7" s="232" t="s">
        <v>434</v>
      </c>
      <c r="E7" s="334">
        <f>C7*I7</f>
        <v>3.9215E-2</v>
      </c>
      <c r="F7" s="334">
        <f>E7*J7</f>
        <v>3.1372000000000004E-2</v>
      </c>
      <c r="G7" s="352">
        <f>E7*K7</f>
        <v>1.1764499999999999E-2</v>
      </c>
      <c r="H7" s="312" t="s">
        <v>632</v>
      </c>
      <c r="I7" s="149">
        <v>0.5</v>
      </c>
      <c r="J7" s="149">
        <v>0.8</v>
      </c>
      <c r="K7" s="149">
        <v>0.3</v>
      </c>
    </row>
    <row r="8" spans="1:11" ht="72" customHeight="1">
      <c r="A8" s="231">
        <v>3</v>
      </c>
      <c r="B8" s="361" t="s">
        <v>347</v>
      </c>
      <c r="C8" s="300">
        <f>5.2224724*10^5/10^7</f>
        <v>5.2224724E-2</v>
      </c>
      <c r="D8" s="232" t="s">
        <v>433</v>
      </c>
      <c r="E8" s="334">
        <f>C8*I8</f>
        <v>5.2224724E-2</v>
      </c>
      <c r="F8" s="334">
        <f t="shared" ref="F8:F9" si="0">E8*J8</f>
        <v>5.2224724E-2</v>
      </c>
      <c r="G8" s="352">
        <f t="shared" ref="G8:G9" si="1">E8*K8</f>
        <v>5.2224724E-2</v>
      </c>
      <c r="H8" s="312" t="s">
        <v>439</v>
      </c>
      <c r="I8" s="149">
        <v>1</v>
      </c>
      <c r="J8" s="149">
        <v>1</v>
      </c>
      <c r="K8" s="149">
        <v>1</v>
      </c>
    </row>
    <row r="9" spans="1:11" ht="79.8">
      <c r="A9" s="231">
        <v>4</v>
      </c>
      <c r="B9" s="361" t="s">
        <v>345</v>
      </c>
      <c r="C9" s="300">
        <f>10*10^5/10^7</f>
        <v>0.1</v>
      </c>
      <c r="D9" s="232" t="s">
        <v>434</v>
      </c>
      <c r="E9" s="334">
        <f t="shared" ref="E9" si="2">C9*I9</f>
        <v>0.05</v>
      </c>
      <c r="F9" s="334">
        <f t="shared" si="0"/>
        <v>2.5000000000000001E-2</v>
      </c>
      <c r="G9" s="352">
        <f t="shared" si="1"/>
        <v>1.4999999999999999E-2</v>
      </c>
      <c r="H9" s="312" t="s">
        <v>631</v>
      </c>
      <c r="I9" s="149">
        <v>0.5</v>
      </c>
      <c r="J9" s="149">
        <v>0.5</v>
      </c>
      <c r="K9" s="149">
        <v>0.3</v>
      </c>
    </row>
    <row r="10" spans="1:11">
      <c r="A10" s="305"/>
      <c r="B10" s="332" t="s">
        <v>421</v>
      </c>
      <c r="C10" s="301">
        <f>SUM(C6:C9)</f>
        <v>0.23734472400000001</v>
      </c>
      <c r="D10" s="301"/>
      <c r="E10" s="301">
        <f>SUM(E6:E9)</f>
        <v>0.14679172400000001</v>
      </c>
      <c r="F10" s="301">
        <f>SUM(F6:F9)</f>
        <v>0.112878324</v>
      </c>
      <c r="G10" s="301">
        <f>SUM(G6:G9)</f>
        <v>8.1665223999999995E-2</v>
      </c>
      <c r="H10" s="333"/>
    </row>
    <row r="11" spans="1:11">
      <c r="A11" s="235"/>
      <c r="B11" s="236"/>
      <c r="C11" s="237"/>
      <c r="D11" s="237"/>
      <c r="E11" s="238"/>
      <c r="F11" s="238"/>
      <c r="G11" s="238"/>
      <c r="H11" s="219"/>
    </row>
    <row r="12" spans="1:11">
      <c r="A12" s="439" t="s">
        <v>363</v>
      </c>
      <c r="B12" s="440"/>
      <c r="C12" s="440"/>
      <c r="D12" s="440"/>
      <c r="E12" s="440"/>
      <c r="F12" s="440"/>
      <c r="G12" s="440"/>
      <c r="H12" s="441"/>
    </row>
    <row r="13" spans="1:11">
      <c r="A13" s="442" t="s">
        <v>444</v>
      </c>
      <c r="B13" s="443"/>
      <c r="C13" s="443"/>
      <c r="D13" s="443"/>
      <c r="E13" s="443"/>
      <c r="F13" s="443"/>
      <c r="G13" s="443"/>
      <c r="H13" s="444"/>
    </row>
    <row r="14" spans="1:11">
      <c r="A14" s="445"/>
      <c r="B14" s="446"/>
      <c r="C14" s="446"/>
      <c r="D14" s="446"/>
      <c r="E14" s="446"/>
      <c r="F14" s="446"/>
      <c r="G14" s="446"/>
      <c r="H14" s="447"/>
    </row>
    <row r="15" spans="1:11">
      <c r="A15" s="445"/>
      <c r="B15" s="446"/>
      <c r="C15" s="446"/>
      <c r="D15" s="446"/>
      <c r="E15" s="446"/>
      <c r="F15" s="446"/>
      <c r="G15" s="446"/>
      <c r="H15" s="447"/>
    </row>
    <row r="16" spans="1:11">
      <c r="A16" s="445"/>
      <c r="B16" s="446"/>
      <c r="C16" s="446"/>
      <c r="D16" s="446"/>
      <c r="E16" s="446"/>
      <c r="F16" s="446"/>
      <c r="G16" s="446"/>
      <c r="H16" s="447"/>
    </row>
    <row r="17" spans="1:9">
      <c r="A17" s="445"/>
      <c r="B17" s="446"/>
      <c r="C17" s="446"/>
      <c r="D17" s="446"/>
      <c r="E17" s="446"/>
      <c r="F17" s="446"/>
      <c r="G17" s="446"/>
      <c r="H17" s="447"/>
    </row>
    <row r="18" spans="1:9">
      <c r="A18" s="445"/>
      <c r="B18" s="446"/>
      <c r="C18" s="446"/>
      <c r="D18" s="446"/>
      <c r="E18" s="446"/>
      <c r="F18" s="446"/>
      <c r="G18" s="446"/>
      <c r="H18" s="447"/>
    </row>
    <row r="19" spans="1:9">
      <c r="A19" s="445"/>
      <c r="B19" s="446"/>
      <c r="C19" s="446"/>
      <c r="D19" s="446"/>
      <c r="E19" s="446"/>
      <c r="F19" s="446"/>
      <c r="G19" s="446"/>
      <c r="H19" s="447"/>
    </row>
    <row r="20" spans="1:9">
      <c r="A20" s="445"/>
      <c r="B20" s="446"/>
      <c r="C20" s="446"/>
      <c r="D20" s="446"/>
      <c r="E20" s="446"/>
      <c r="F20" s="446"/>
      <c r="G20" s="446"/>
      <c r="H20" s="447"/>
    </row>
    <row r="21" spans="1:9">
      <c r="A21" s="445"/>
      <c r="B21" s="446"/>
      <c r="C21" s="446"/>
      <c r="D21" s="446"/>
      <c r="E21" s="446"/>
      <c r="F21" s="446"/>
      <c r="G21" s="446"/>
      <c r="H21" s="447"/>
    </row>
    <row r="22" spans="1:9">
      <c r="A22" s="445"/>
      <c r="B22" s="446"/>
      <c r="C22" s="446"/>
      <c r="D22" s="446"/>
      <c r="E22" s="446"/>
      <c r="F22" s="446"/>
      <c r="G22" s="446"/>
      <c r="H22" s="447"/>
    </row>
    <row r="23" spans="1:9">
      <c r="A23" s="448"/>
      <c r="B23" s="449"/>
      <c r="C23" s="449"/>
      <c r="D23" s="449"/>
      <c r="E23" s="449"/>
      <c r="F23" s="449"/>
      <c r="G23" s="449"/>
      <c r="H23" s="450"/>
    </row>
    <row r="28" spans="1:9">
      <c r="E28" s="431" t="s">
        <v>424</v>
      </c>
      <c r="F28" s="431"/>
      <c r="G28" s="431"/>
      <c r="H28" s="340"/>
      <c r="I28" s="340"/>
    </row>
    <row r="29" spans="1:9">
      <c r="E29" s="158" t="s">
        <v>425</v>
      </c>
      <c r="F29" s="432" t="s">
        <v>426</v>
      </c>
      <c r="G29" s="433"/>
      <c r="H29" s="433"/>
      <c r="I29" s="433"/>
    </row>
    <row r="30" spans="1:9" ht="28.2">
      <c r="E30" s="341"/>
      <c r="F30" s="342" t="s">
        <v>427</v>
      </c>
      <c r="G30" s="342" t="s">
        <v>428</v>
      </c>
      <c r="H30" s="342" t="s">
        <v>429</v>
      </c>
      <c r="I30" s="343" t="s">
        <v>430</v>
      </c>
    </row>
    <row r="31" spans="1:9">
      <c r="E31" s="344" t="s">
        <v>341</v>
      </c>
      <c r="F31" s="124">
        <v>0</v>
      </c>
      <c r="G31" s="345">
        <v>0.66900000000000004</v>
      </c>
      <c r="H31" s="124">
        <v>0</v>
      </c>
      <c r="I31" s="124">
        <v>0</v>
      </c>
    </row>
    <row r="32" spans="1:9">
      <c r="E32" s="344" t="s">
        <v>342</v>
      </c>
      <c r="F32" s="124">
        <v>0</v>
      </c>
      <c r="G32" s="124">
        <v>0</v>
      </c>
      <c r="H32" s="346">
        <v>0</v>
      </c>
      <c r="I32" s="347">
        <v>7.843</v>
      </c>
    </row>
    <row r="33" spans="5:9" ht="145.19999999999999">
      <c r="E33" s="348" t="s">
        <v>345</v>
      </c>
      <c r="F33" s="124">
        <v>0</v>
      </c>
      <c r="G33" s="124">
        <v>0</v>
      </c>
      <c r="H33" s="346">
        <v>0</v>
      </c>
      <c r="I33" s="345">
        <v>10</v>
      </c>
    </row>
    <row r="34" spans="5:9" ht="39.6">
      <c r="E34" s="349" t="s">
        <v>431</v>
      </c>
      <c r="F34" s="345">
        <v>5.2224724000000009</v>
      </c>
      <c r="G34" s="124">
        <v>0</v>
      </c>
      <c r="H34" s="124">
        <v>0</v>
      </c>
      <c r="I34" s="124">
        <v>0</v>
      </c>
    </row>
    <row r="35" spans="5:9">
      <c r="E35" s="350" t="s">
        <v>17</v>
      </c>
      <c r="F35" s="351">
        <f>SUM(F31:F34)</f>
        <v>5.2224724000000009</v>
      </c>
      <c r="G35" s="351">
        <f t="shared" ref="G35:I35" si="3">SUM(G31:G34)</f>
        <v>0.66900000000000004</v>
      </c>
      <c r="H35" s="351">
        <f t="shared" si="3"/>
        <v>0</v>
      </c>
      <c r="I35" s="351">
        <f t="shared" si="3"/>
        <v>17.843</v>
      </c>
    </row>
  </sheetData>
  <mergeCells count="7">
    <mergeCell ref="E28:G28"/>
    <mergeCell ref="F29:I29"/>
    <mergeCell ref="A1:H1"/>
    <mergeCell ref="A2:H2"/>
    <mergeCell ref="A4:H4"/>
    <mergeCell ref="A12:H12"/>
    <mergeCell ref="A13:H23"/>
  </mergeCells>
  <dataValidations count="1">
    <dataValidation type="list" allowBlank="1" showInputMessage="1" showErrorMessage="1" sqref="E11:G11">
      <formula1>"Very good, Very less, Full payment realization not possible but partial payment can be realised if follow up is done properly, Not possible, Defunct"</formula1>
    </dataValidation>
  </dataValidations>
  <pageMargins left="0.7" right="0.7" top="0.75" bottom="0.75" header="0.3" footer="0.3"/>
  <ignoredErrors>
    <ignoredError sqref="F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C7" sqref="C7:C11"/>
    </sheetView>
  </sheetViews>
  <sheetFormatPr defaultColWidth="8.88671875" defaultRowHeight="11.4"/>
  <cols>
    <col min="1" max="1" width="6.109375" style="197" bestFit="1" customWidth="1"/>
    <col min="2" max="2" width="9.88671875" style="197" customWidth="1"/>
    <col min="3" max="3" width="31.44140625" style="197" customWidth="1"/>
    <col min="4" max="4" width="24.44140625" style="197" customWidth="1"/>
    <col min="5" max="6" width="18.6640625" style="197" customWidth="1"/>
    <col min="7" max="7" width="24.44140625" style="197" customWidth="1"/>
    <col min="8" max="8" width="11.6640625" style="197" customWidth="1"/>
    <col min="9" max="16384" width="8.88671875" style="197"/>
  </cols>
  <sheetData>
    <row r="1" spans="1:9">
      <c r="E1" s="276"/>
    </row>
    <row r="2" spans="1:9" ht="14.4" customHeight="1">
      <c r="B2" s="452" t="s">
        <v>393</v>
      </c>
      <c r="C2" s="452"/>
      <c r="D2" s="452"/>
      <c r="E2" s="452"/>
      <c r="F2" s="452"/>
      <c r="G2" s="452"/>
      <c r="H2" s="452"/>
      <c r="I2" s="277"/>
    </row>
    <row r="3" spans="1:9" ht="12" thickBot="1">
      <c r="A3" s="278"/>
      <c r="B3" s="453" t="s">
        <v>423</v>
      </c>
      <c r="C3" s="453"/>
      <c r="D3" s="453"/>
      <c r="E3" s="453"/>
      <c r="F3" s="453"/>
      <c r="G3" s="453"/>
      <c r="H3" s="453"/>
    </row>
    <row r="4" spans="1:9" ht="23.4" customHeight="1" thickBot="1">
      <c r="A4" s="279"/>
      <c r="B4" s="280" t="s">
        <v>394</v>
      </c>
      <c r="C4" s="280" t="s">
        <v>289</v>
      </c>
      <c r="D4" s="281" t="s">
        <v>395</v>
      </c>
      <c r="E4" s="228" t="s">
        <v>356</v>
      </c>
      <c r="F4" s="339" t="s">
        <v>420</v>
      </c>
      <c r="G4" s="339" t="s">
        <v>419</v>
      </c>
      <c r="H4" s="280" t="s">
        <v>396</v>
      </c>
    </row>
    <row r="5" spans="1:9">
      <c r="A5" s="282"/>
      <c r="B5" s="454" t="s">
        <v>397</v>
      </c>
      <c r="C5" s="454"/>
      <c r="D5" s="454"/>
      <c r="E5" s="454"/>
      <c r="F5" s="454"/>
      <c r="G5" s="454"/>
      <c r="H5" s="454"/>
    </row>
    <row r="6" spans="1:9">
      <c r="A6" s="282"/>
      <c r="B6" s="283">
        <v>1</v>
      </c>
      <c r="C6" s="285" t="s">
        <v>435</v>
      </c>
      <c r="D6" s="286">
        <f>'Non Current Financial Asset- I'!C12</f>
        <v>4.7504</v>
      </c>
      <c r="E6" s="286">
        <f>'Non Current Financial Asset- I'!E12</f>
        <v>4.7504</v>
      </c>
      <c r="F6" s="286">
        <f>'Non Current Financial Asset- I'!F12</f>
        <v>3.5628000000000002</v>
      </c>
      <c r="G6" s="286">
        <f>'Non Current Financial Asset- I'!G12</f>
        <v>0.95008000000000004</v>
      </c>
      <c r="H6" s="284" t="s">
        <v>398</v>
      </c>
    </row>
    <row r="7" spans="1:9">
      <c r="A7" s="282"/>
      <c r="B7" s="283">
        <v>2</v>
      </c>
      <c r="C7" s="285" t="s">
        <v>399</v>
      </c>
      <c r="D7" s="286">
        <f>'Inventories - II'!F13</f>
        <v>46.402200000000001</v>
      </c>
      <c r="E7" s="286">
        <f>'Inventories - II'!G13</f>
        <v>41.396050000000002</v>
      </c>
      <c r="F7" s="286">
        <f>'Inventories - II'!H13</f>
        <v>41.218389999999999</v>
      </c>
      <c r="G7" s="286">
        <f>'Inventories - II'!I13</f>
        <v>17.707510900000003</v>
      </c>
      <c r="H7" s="284" t="s">
        <v>400</v>
      </c>
    </row>
    <row r="8" spans="1:9">
      <c r="A8" s="282"/>
      <c r="B8" s="283">
        <v>3</v>
      </c>
      <c r="C8" s="285" t="s">
        <v>401</v>
      </c>
      <c r="D8" s="287">
        <f>'Trade Receivables - III'!C11</f>
        <v>484.93219999999997</v>
      </c>
      <c r="E8" s="287">
        <f>'Trade Receivables - III'!E11</f>
        <v>62.466019999999972</v>
      </c>
      <c r="F8" s="287">
        <f>'Trade Receivables - III'!F11</f>
        <v>26.911409999999986</v>
      </c>
      <c r="G8" s="287">
        <f>'Trade Receivables - III'!G9</f>
        <v>11.587729999999993</v>
      </c>
      <c r="H8" s="284" t="s">
        <v>402</v>
      </c>
    </row>
    <row r="9" spans="1:9">
      <c r="A9" s="282"/>
      <c r="B9" s="283">
        <v>4</v>
      </c>
      <c r="C9" s="197" t="s">
        <v>436</v>
      </c>
      <c r="D9" s="286">
        <f>'C&amp;CE and Bank Bal. - IV'!C11+'C&amp;CE and Bank Bal. - IV'!C15</f>
        <v>43.582499999999996</v>
      </c>
      <c r="E9" s="286">
        <f>'C&amp;CE and Bank Bal. - IV'!D11+'C&amp;CE and Bank Bal. - IV'!D15</f>
        <v>7.8324999999999978</v>
      </c>
      <c r="F9" s="286">
        <f>'C&amp;CE and Bank Bal. - IV'!E11+'C&amp;CE and Bank Bal. - IV'!E15</f>
        <v>7.8324999999999978</v>
      </c>
      <c r="G9" s="286">
        <f>'C&amp;CE and Bank Bal. - IV'!F11+'C&amp;CE and Bank Bal. - IV'!F15</f>
        <v>7.8324999999999978</v>
      </c>
      <c r="H9" s="284" t="s">
        <v>403</v>
      </c>
    </row>
    <row r="10" spans="1:9">
      <c r="A10" s="282"/>
      <c r="B10" s="283">
        <v>5</v>
      </c>
      <c r="C10" s="285" t="s">
        <v>441</v>
      </c>
      <c r="D10" s="286">
        <f>'Financial Assets- V'!D12+'Financial Assets- V'!D15</f>
        <v>11.241199999999999</v>
      </c>
      <c r="E10" s="286">
        <f>'Financial Assets- V'!E12+'Financial Assets- V'!E15</f>
        <v>4.8133199999999992</v>
      </c>
      <c r="F10" s="286">
        <f>'Financial Assets- V'!F12+'Financial Assets- V'!F15</f>
        <v>4.4366250000000003</v>
      </c>
      <c r="G10" s="286">
        <f>'Financial Assets- V'!G12+'Financial Assets- V'!G15</f>
        <v>3.9826600000000001</v>
      </c>
      <c r="H10" s="284" t="s">
        <v>404</v>
      </c>
    </row>
    <row r="11" spans="1:9">
      <c r="A11" s="282"/>
      <c r="B11" s="283">
        <v>6</v>
      </c>
      <c r="C11" s="285" t="s">
        <v>405</v>
      </c>
      <c r="D11" s="286">
        <f>'Other Current Assest-VI'!D21</f>
        <v>59.591300000000004</v>
      </c>
      <c r="E11" s="286">
        <f>'Other Current Assest-VI'!E21</f>
        <v>56.076940000000008</v>
      </c>
      <c r="F11" s="286">
        <f>'Other Current Assest-VI'!F21</f>
        <v>28.467090000000006</v>
      </c>
      <c r="G11" s="286">
        <f>'Other Current Assest-VI'!G21</f>
        <v>11.591680000000002</v>
      </c>
      <c r="H11" s="283" t="s">
        <v>406</v>
      </c>
    </row>
    <row r="12" spans="1:9" ht="12">
      <c r="A12" s="279"/>
      <c r="B12" s="455" t="s">
        <v>19</v>
      </c>
      <c r="C12" s="456"/>
      <c r="D12" s="288">
        <f>SUM(D6:D11)</f>
        <v>650.49980000000005</v>
      </c>
      <c r="E12" s="288">
        <f>SUM(E6:E11)</f>
        <v>177.33522999999997</v>
      </c>
      <c r="F12" s="288">
        <f>SUM(F6:F11)</f>
        <v>112.42881499999999</v>
      </c>
      <c r="G12" s="288">
        <f>SUM(G6:G11)</f>
        <v>53.652160899999998</v>
      </c>
      <c r="H12" s="289"/>
    </row>
    <row r="13" spans="1:9" ht="12">
      <c r="A13" s="290"/>
      <c r="B13" s="291"/>
      <c r="C13" s="292"/>
      <c r="D13" s="293"/>
      <c r="E13" s="294"/>
      <c r="F13" s="294"/>
      <c r="G13" s="294"/>
      <c r="H13" s="293"/>
    </row>
    <row r="14" spans="1:9" ht="14.4" customHeight="1">
      <c r="A14" s="295" t="s">
        <v>407</v>
      </c>
      <c r="B14" s="457" t="s">
        <v>363</v>
      </c>
      <c r="C14" s="457"/>
      <c r="D14" s="457"/>
      <c r="E14" s="457"/>
      <c r="F14" s="457"/>
      <c r="G14" s="457"/>
      <c r="H14" s="457"/>
    </row>
    <row r="15" spans="1:9" ht="14.4" customHeight="1">
      <c r="A15" s="225"/>
      <c r="B15" s="451" t="s">
        <v>408</v>
      </c>
      <c r="C15" s="451"/>
      <c r="D15" s="451"/>
      <c r="E15" s="451"/>
      <c r="F15" s="451"/>
      <c r="G15" s="451"/>
      <c r="H15" s="451"/>
    </row>
    <row r="16" spans="1:9">
      <c r="A16" s="225"/>
      <c r="B16" s="451"/>
      <c r="C16" s="451"/>
      <c r="D16" s="451"/>
      <c r="E16" s="451"/>
      <c r="F16" s="451"/>
      <c r="G16" s="451"/>
      <c r="H16" s="451"/>
    </row>
    <row r="17" spans="1:8">
      <c r="A17" s="225"/>
      <c r="B17" s="451"/>
      <c r="C17" s="451"/>
      <c r="D17" s="451"/>
      <c r="E17" s="451"/>
      <c r="F17" s="451"/>
      <c r="G17" s="451"/>
      <c r="H17" s="451"/>
    </row>
    <row r="18" spans="1:8">
      <c r="A18" s="225"/>
      <c r="B18" s="451"/>
      <c r="C18" s="451"/>
      <c r="D18" s="451"/>
      <c r="E18" s="451"/>
      <c r="F18" s="451"/>
      <c r="G18" s="451"/>
      <c r="H18" s="451"/>
    </row>
    <row r="19" spans="1:8">
      <c r="A19" s="225"/>
      <c r="B19" s="451"/>
      <c r="C19" s="451"/>
      <c r="D19" s="451"/>
      <c r="E19" s="451"/>
      <c r="F19" s="451"/>
      <c r="G19" s="451"/>
      <c r="H19" s="451"/>
    </row>
    <row r="20" spans="1:8">
      <c r="A20" s="225"/>
      <c r="B20" s="451"/>
      <c r="C20" s="451"/>
      <c r="D20" s="451"/>
      <c r="E20" s="451"/>
      <c r="F20" s="451"/>
      <c r="G20" s="451"/>
      <c r="H20" s="451"/>
    </row>
    <row r="21" spans="1:8">
      <c r="A21" s="225"/>
      <c r="B21" s="451"/>
      <c r="C21" s="451"/>
      <c r="D21" s="451"/>
      <c r="E21" s="451"/>
      <c r="F21" s="451"/>
      <c r="G21" s="451"/>
      <c r="H21" s="451"/>
    </row>
    <row r="22" spans="1:8">
      <c r="A22" s="225"/>
      <c r="B22" s="451"/>
      <c r="C22" s="451"/>
      <c r="D22" s="451"/>
      <c r="E22" s="451"/>
      <c r="F22" s="451"/>
      <c r="G22" s="451"/>
      <c r="H22" s="451"/>
    </row>
    <row r="23" spans="1:8">
      <c r="A23" s="225"/>
      <c r="B23" s="451"/>
      <c r="C23" s="451"/>
      <c r="D23" s="451"/>
      <c r="E23" s="451"/>
      <c r="F23" s="451"/>
      <c r="G23" s="451"/>
      <c r="H23" s="451"/>
    </row>
    <row r="24" spans="1:8">
      <c r="A24" s="225"/>
      <c r="B24" s="451"/>
      <c r="C24" s="451"/>
      <c r="D24" s="451"/>
      <c r="E24" s="451"/>
      <c r="F24" s="451"/>
      <c r="G24" s="451"/>
      <c r="H24" s="451"/>
    </row>
    <row r="25" spans="1:8">
      <c r="A25" s="225"/>
      <c r="B25" s="451"/>
      <c r="C25" s="451"/>
      <c r="D25" s="451"/>
      <c r="E25" s="451"/>
      <c r="F25" s="451"/>
      <c r="G25" s="451"/>
      <c r="H25" s="451"/>
    </row>
    <row r="26" spans="1:8">
      <c r="B26" s="451"/>
      <c r="C26" s="451"/>
      <c r="D26" s="451"/>
      <c r="E26" s="451"/>
      <c r="F26" s="451"/>
      <c r="G26" s="451"/>
      <c r="H26" s="451"/>
    </row>
    <row r="27" spans="1:8">
      <c r="B27" s="451"/>
      <c r="C27" s="451"/>
      <c r="D27" s="451"/>
      <c r="E27" s="451"/>
      <c r="F27" s="451"/>
      <c r="G27" s="451"/>
      <c r="H27" s="451"/>
    </row>
    <row r="28" spans="1:8">
      <c r="B28" s="451"/>
      <c r="C28" s="451"/>
      <c r="D28" s="451"/>
      <c r="E28" s="451"/>
      <c r="F28" s="451"/>
      <c r="G28" s="451"/>
      <c r="H28" s="451"/>
    </row>
    <row r="29" spans="1:8">
      <c r="B29" s="226"/>
      <c r="C29" s="226"/>
      <c r="D29" s="226"/>
      <c r="E29" s="226"/>
      <c r="F29" s="226"/>
      <c r="G29" s="226"/>
      <c r="H29" s="226"/>
    </row>
    <row r="30" spans="1:8">
      <c r="B30" s="226"/>
      <c r="C30" s="226"/>
      <c r="D30" s="226"/>
      <c r="E30" s="226"/>
      <c r="F30" s="226"/>
      <c r="G30" s="226"/>
      <c r="H30" s="226"/>
    </row>
    <row r="31" spans="1:8">
      <c r="B31" s="226"/>
      <c r="C31" s="226"/>
      <c r="D31" s="226"/>
      <c r="E31" s="226"/>
      <c r="F31" s="226"/>
      <c r="G31" s="226"/>
      <c r="H31" s="226"/>
    </row>
  </sheetData>
  <mergeCells count="6">
    <mergeCell ref="B15:H28"/>
    <mergeCell ref="B2:H2"/>
    <mergeCell ref="B3:H3"/>
    <mergeCell ref="B5:H5"/>
    <mergeCell ref="B12:C12"/>
    <mergeCell ref="B14:H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8"/>
  <sheetViews>
    <sheetView topLeftCell="A4" zoomScale="102" zoomScaleNormal="102" workbookViewId="0">
      <selection activeCell="E10" sqref="E10"/>
    </sheetView>
  </sheetViews>
  <sheetFormatPr defaultRowHeight="14.4"/>
  <cols>
    <col min="1" max="1" width="7.5546875" customWidth="1"/>
    <col min="2" max="2" width="25.77734375" customWidth="1"/>
    <col min="3" max="3" width="11.6640625" customWidth="1"/>
    <col min="4" max="4" width="0" hidden="1" customWidth="1"/>
    <col min="5" max="5" width="11.88671875" customWidth="1"/>
    <col min="6" max="7" width="14.6640625" customWidth="1"/>
    <col min="8" max="8" width="37.88671875" customWidth="1"/>
    <col min="9" max="9" width="15.88671875" customWidth="1"/>
    <col min="10" max="10" width="35.44140625" customWidth="1"/>
    <col min="11" max="11" width="11.6640625" bestFit="1" customWidth="1"/>
    <col min="12" max="12" width="12.77734375" customWidth="1"/>
    <col min="13" max="13" width="18.88671875" customWidth="1"/>
    <col min="14" max="14" width="38.109375" customWidth="1"/>
  </cols>
  <sheetData>
    <row r="1" spans="1:11">
      <c r="A1" s="452" t="s">
        <v>448</v>
      </c>
      <c r="B1" s="452"/>
      <c r="C1" s="452"/>
      <c r="D1" s="452"/>
      <c r="E1" s="452"/>
      <c r="F1" s="452"/>
      <c r="G1" s="452"/>
      <c r="H1" s="452"/>
    </row>
    <row r="2" spans="1:11" ht="15" thickBot="1">
      <c r="A2" s="458" t="s">
        <v>423</v>
      </c>
      <c r="B2" s="459"/>
      <c r="C2" s="459"/>
      <c r="D2" s="459"/>
      <c r="E2" s="459"/>
      <c r="F2" s="459"/>
      <c r="G2" s="459"/>
      <c r="H2" s="459"/>
    </row>
    <row r="3" spans="1:11" ht="60.6" thickBot="1">
      <c r="A3" s="338" t="s">
        <v>350</v>
      </c>
      <c r="B3" s="338" t="s">
        <v>367</v>
      </c>
      <c r="C3" s="336" t="s">
        <v>364</v>
      </c>
      <c r="D3" s="338" t="s">
        <v>365</v>
      </c>
      <c r="E3" s="339" t="s">
        <v>356</v>
      </c>
      <c r="F3" s="339" t="s">
        <v>420</v>
      </c>
      <c r="G3" s="339" t="s">
        <v>419</v>
      </c>
      <c r="H3" s="337" t="s">
        <v>357</v>
      </c>
    </row>
    <row r="4" spans="1:11">
      <c r="A4" s="436" t="s">
        <v>409</v>
      </c>
      <c r="B4" s="437"/>
      <c r="C4" s="437"/>
      <c r="D4" s="437"/>
      <c r="E4" s="437"/>
      <c r="F4" s="437"/>
      <c r="G4" s="437"/>
      <c r="H4" s="438"/>
    </row>
    <row r="5" spans="1:11" ht="14.4" customHeight="1">
      <c r="A5" s="331"/>
      <c r="B5" s="362" t="s">
        <v>94</v>
      </c>
      <c r="C5" s="331"/>
      <c r="D5" s="331"/>
      <c r="E5" s="331"/>
      <c r="F5" s="331"/>
      <c r="G5" s="331"/>
      <c r="H5" s="331"/>
    </row>
    <row r="6" spans="1:11" hidden="1">
      <c r="A6" s="231">
        <v>1</v>
      </c>
      <c r="B6" s="362" t="s">
        <v>95</v>
      </c>
      <c r="C6" s="363">
        <v>0</v>
      </c>
      <c r="D6" s="363" t="s">
        <v>366</v>
      </c>
      <c r="E6" s="363">
        <v>0</v>
      </c>
      <c r="F6" s="363">
        <v>0</v>
      </c>
      <c r="G6" s="363">
        <v>0</v>
      </c>
      <c r="H6" s="152"/>
    </row>
    <row r="7" spans="1:11" hidden="1">
      <c r="A7" s="231">
        <v>2</v>
      </c>
      <c r="B7" s="362" t="s">
        <v>96</v>
      </c>
      <c r="C7" s="363">
        <v>0</v>
      </c>
      <c r="D7" s="363"/>
      <c r="E7" s="363">
        <v>0</v>
      </c>
      <c r="F7" s="363">
        <v>0</v>
      </c>
      <c r="G7" s="363">
        <v>0</v>
      </c>
      <c r="H7" s="152"/>
    </row>
    <row r="8" spans="1:11" hidden="1">
      <c r="A8" s="231">
        <v>3</v>
      </c>
      <c r="B8" s="362" t="s">
        <v>97</v>
      </c>
      <c r="C8" s="363">
        <v>0</v>
      </c>
      <c r="D8" s="363" t="s">
        <v>366</v>
      </c>
      <c r="E8" s="363">
        <v>0</v>
      </c>
      <c r="F8" s="363">
        <v>0</v>
      </c>
      <c r="G8" s="363">
        <v>0</v>
      </c>
      <c r="H8" s="152"/>
    </row>
    <row r="9" spans="1:11" hidden="1">
      <c r="A9" s="231">
        <v>4</v>
      </c>
      <c r="B9" s="362" t="s">
        <v>98</v>
      </c>
      <c r="C9" s="363">
        <v>0</v>
      </c>
      <c r="D9" s="363"/>
      <c r="E9" s="363">
        <v>0</v>
      </c>
      <c r="F9" s="363">
        <v>0</v>
      </c>
      <c r="G9" s="363">
        <v>0</v>
      </c>
      <c r="H9" s="152"/>
    </row>
    <row r="10" spans="1:11" ht="254.4" customHeight="1">
      <c r="A10" s="231">
        <v>1</v>
      </c>
      <c r="B10" s="362" t="s">
        <v>99</v>
      </c>
      <c r="C10" s="233">
        <f>475.04*10^5/10^7</f>
        <v>4.7504</v>
      </c>
      <c r="D10" s="233"/>
      <c r="E10" s="233">
        <f>C10*I10</f>
        <v>4.7504</v>
      </c>
      <c r="F10" s="233">
        <f>C10*J10</f>
        <v>3.5628000000000002</v>
      </c>
      <c r="G10" s="233">
        <f>C10*K10</f>
        <v>0.95008000000000004</v>
      </c>
      <c r="H10" s="299" t="s">
        <v>637</v>
      </c>
      <c r="I10" s="141">
        <v>1</v>
      </c>
      <c r="J10" s="211">
        <v>0.75</v>
      </c>
      <c r="K10" s="211">
        <v>0.2</v>
      </c>
    </row>
    <row r="11" spans="1:11" hidden="1">
      <c r="A11" s="231">
        <v>6</v>
      </c>
      <c r="B11" s="362" t="s">
        <v>100</v>
      </c>
      <c r="C11" s="363">
        <v>0</v>
      </c>
      <c r="D11" s="363" t="s">
        <v>366</v>
      </c>
      <c r="E11" s="363">
        <v>0</v>
      </c>
      <c r="F11" s="363">
        <v>0</v>
      </c>
      <c r="G11" s="363">
        <v>0</v>
      </c>
      <c r="H11" s="312"/>
    </row>
    <row r="12" spans="1:11" ht="14.4" customHeight="1">
      <c r="A12" s="305"/>
      <c r="B12" s="372" t="s">
        <v>663</v>
      </c>
      <c r="C12" s="301">
        <f>SUM(C6:C11)</f>
        <v>4.7504</v>
      </c>
      <c r="D12" s="301"/>
      <c r="E12" s="301">
        <f>SUM(E6:E11)</f>
        <v>4.7504</v>
      </c>
      <c r="F12" s="301">
        <f>SUM(F6:F11)</f>
        <v>3.5628000000000002</v>
      </c>
      <c r="G12" s="301">
        <f>SUM(G6:G11)</f>
        <v>0.95008000000000004</v>
      </c>
      <c r="H12" s="333"/>
    </row>
    <row r="13" spans="1:11">
      <c r="A13" s="235"/>
      <c r="B13" s="236"/>
      <c r="C13" s="237"/>
      <c r="D13" s="237"/>
      <c r="E13" s="238"/>
      <c r="F13" s="238"/>
      <c r="G13" s="238"/>
      <c r="H13" s="219"/>
    </row>
    <row r="14" spans="1:11">
      <c r="A14" s="439" t="s">
        <v>363</v>
      </c>
      <c r="B14" s="440"/>
      <c r="C14" s="440"/>
      <c r="D14" s="440"/>
      <c r="E14" s="440"/>
      <c r="F14" s="440"/>
      <c r="G14" s="440"/>
      <c r="H14" s="441"/>
    </row>
    <row r="15" spans="1:11">
      <c r="A15" s="442" t="s">
        <v>445</v>
      </c>
      <c r="B15" s="443"/>
      <c r="C15" s="443"/>
      <c r="D15" s="443"/>
      <c r="E15" s="443"/>
      <c r="F15" s="443"/>
      <c r="G15" s="443"/>
      <c r="H15" s="444"/>
    </row>
    <row r="16" spans="1:11">
      <c r="A16" s="445"/>
      <c r="B16" s="446"/>
      <c r="C16" s="446"/>
      <c r="D16" s="446"/>
      <c r="E16" s="446"/>
      <c r="F16" s="446"/>
      <c r="G16" s="446"/>
      <c r="H16" s="447"/>
    </row>
    <row r="17" spans="1:14" ht="14.4" customHeight="1">
      <c r="A17" s="445"/>
      <c r="B17" s="446"/>
      <c r="C17" s="446"/>
      <c r="D17" s="446"/>
      <c r="E17" s="446"/>
      <c r="F17" s="446"/>
      <c r="G17" s="446"/>
      <c r="H17" s="447"/>
    </row>
    <row r="18" spans="1:14">
      <c r="A18" s="445"/>
      <c r="B18" s="446"/>
      <c r="C18" s="446"/>
      <c r="D18" s="446"/>
      <c r="E18" s="446"/>
      <c r="F18" s="446"/>
      <c r="G18" s="446"/>
      <c r="H18" s="447"/>
    </row>
    <row r="19" spans="1:14">
      <c r="A19" s="445"/>
      <c r="B19" s="446"/>
      <c r="C19" s="446"/>
      <c r="D19" s="446"/>
      <c r="E19" s="446"/>
      <c r="F19" s="446"/>
      <c r="G19" s="446"/>
      <c r="H19" s="447"/>
    </row>
    <row r="20" spans="1:14">
      <c r="A20" s="445"/>
      <c r="B20" s="446"/>
      <c r="C20" s="446"/>
      <c r="D20" s="446"/>
      <c r="E20" s="446"/>
      <c r="F20" s="446"/>
      <c r="G20" s="446"/>
      <c r="H20" s="447"/>
    </row>
    <row r="21" spans="1:14" ht="14.4" customHeight="1">
      <c r="A21" s="445"/>
      <c r="B21" s="446"/>
      <c r="C21" s="446"/>
      <c r="D21" s="446"/>
      <c r="E21" s="446"/>
      <c r="F21" s="446"/>
      <c r="G21" s="446"/>
      <c r="H21" s="447"/>
    </row>
    <row r="22" spans="1:14">
      <c r="A22" s="445"/>
      <c r="B22" s="446"/>
      <c r="C22" s="446"/>
      <c r="D22" s="446"/>
      <c r="E22" s="446"/>
      <c r="F22" s="446"/>
      <c r="G22" s="446"/>
      <c r="H22" s="447"/>
    </row>
    <row r="23" spans="1:14">
      <c r="A23" s="445"/>
      <c r="B23" s="446"/>
      <c r="C23" s="446"/>
      <c r="D23" s="446"/>
      <c r="E23" s="446"/>
      <c r="F23" s="446"/>
      <c r="G23" s="446"/>
      <c r="H23" s="447"/>
    </row>
    <row r="24" spans="1:14">
      <c r="A24" s="445"/>
      <c r="B24" s="446"/>
      <c r="C24" s="446"/>
      <c r="D24" s="446"/>
      <c r="E24" s="446"/>
      <c r="F24" s="446"/>
      <c r="G24" s="446"/>
      <c r="H24" s="447"/>
    </row>
    <row r="25" spans="1:14">
      <c r="A25" s="448"/>
      <c r="B25" s="449"/>
      <c r="C25" s="449"/>
      <c r="D25" s="449"/>
      <c r="E25" s="449"/>
      <c r="F25" s="449"/>
      <c r="G25" s="449"/>
      <c r="H25" s="450"/>
    </row>
    <row r="26" spans="1:14">
      <c r="I26" s="452" t="s">
        <v>609</v>
      </c>
      <c r="J26" s="452"/>
      <c r="K26" s="452"/>
      <c r="L26" s="452"/>
      <c r="M26" s="452"/>
      <c r="N26" s="452"/>
    </row>
    <row r="27" spans="1:14">
      <c r="I27" s="458" t="s">
        <v>423</v>
      </c>
      <c r="J27" s="459"/>
      <c r="K27" s="459"/>
      <c r="L27" s="459"/>
      <c r="M27" s="459"/>
      <c r="N27" s="459"/>
    </row>
    <row r="28" spans="1:14">
      <c r="I28" s="378" t="s">
        <v>456</v>
      </c>
      <c r="J28" s="379" t="s">
        <v>457</v>
      </c>
      <c r="K28" s="380" t="s">
        <v>458</v>
      </c>
      <c r="L28" s="381" t="s">
        <v>459</v>
      </c>
      <c r="M28" s="381" t="s">
        <v>460</v>
      </c>
      <c r="N28" s="381" t="s">
        <v>461</v>
      </c>
    </row>
    <row r="29" spans="1:14">
      <c r="A29" s="436"/>
      <c r="B29" s="437"/>
      <c r="C29" s="437"/>
      <c r="D29" s="437"/>
      <c r="E29" s="437"/>
      <c r="F29" s="437"/>
      <c r="G29" s="437"/>
      <c r="H29" s="438"/>
      <c r="I29" s="460" t="s">
        <v>610</v>
      </c>
      <c r="J29" s="460"/>
      <c r="K29" s="460"/>
      <c r="L29" s="460"/>
      <c r="M29" s="460"/>
      <c r="N29" s="460"/>
    </row>
    <row r="30" spans="1:14" ht="28.8">
      <c r="I30" s="382" t="s">
        <v>462</v>
      </c>
      <c r="J30" s="383" t="s">
        <v>463</v>
      </c>
      <c r="K30" s="384">
        <v>4500</v>
      </c>
      <c r="L30" s="385" t="s">
        <v>464</v>
      </c>
      <c r="M30" s="385">
        <v>3034</v>
      </c>
      <c r="N30" s="386" t="s">
        <v>465</v>
      </c>
    </row>
    <row r="31" spans="1:14">
      <c r="I31" s="387">
        <v>39351</v>
      </c>
      <c r="J31" s="388" t="s">
        <v>466</v>
      </c>
      <c r="K31" s="389">
        <v>2150</v>
      </c>
      <c r="L31" s="385" t="s">
        <v>467</v>
      </c>
      <c r="M31" s="385">
        <v>5300</v>
      </c>
      <c r="N31" s="461" t="s">
        <v>468</v>
      </c>
    </row>
    <row r="32" spans="1:14">
      <c r="I32" s="387">
        <v>40457</v>
      </c>
      <c r="J32" s="388" t="s">
        <v>466</v>
      </c>
      <c r="K32" s="389">
        <v>4550</v>
      </c>
      <c r="L32" s="385" t="s">
        <v>467</v>
      </c>
      <c r="M32" s="385">
        <v>4194</v>
      </c>
      <c r="N32" s="461"/>
    </row>
    <row r="33" spans="9:14">
      <c r="I33" s="387">
        <v>41747</v>
      </c>
      <c r="J33" s="388" t="s">
        <v>466</v>
      </c>
      <c r="K33" s="389">
        <v>6000</v>
      </c>
      <c r="L33" s="385" t="s">
        <v>467</v>
      </c>
      <c r="M33" s="385">
        <v>2904</v>
      </c>
      <c r="N33" s="461"/>
    </row>
    <row r="34" spans="9:14">
      <c r="I34" s="387">
        <v>43272</v>
      </c>
      <c r="J34" s="388" t="s">
        <v>466</v>
      </c>
      <c r="K34" s="389">
        <v>5470</v>
      </c>
      <c r="L34" s="385" t="s">
        <v>467</v>
      </c>
      <c r="M34" s="385">
        <v>1379</v>
      </c>
      <c r="N34" s="461"/>
    </row>
    <row r="35" spans="9:14" ht="28.8">
      <c r="I35" s="387">
        <v>39436</v>
      </c>
      <c r="J35" s="388" t="s">
        <v>469</v>
      </c>
      <c r="K35" s="390">
        <v>2835000</v>
      </c>
      <c r="L35" s="385" t="s">
        <v>467</v>
      </c>
      <c r="M35" s="385">
        <v>5215</v>
      </c>
      <c r="N35" s="386" t="s">
        <v>470</v>
      </c>
    </row>
    <row r="36" spans="9:14">
      <c r="I36" s="387">
        <v>38786</v>
      </c>
      <c r="J36" s="388" t="s">
        <v>471</v>
      </c>
      <c r="K36" s="390">
        <v>18000</v>
      </c>
      <c r="L36" s="385" t="s">
        <v>467</v>
      </c>
      <c r="M36" s="385">
        <v>5865</v>
      </c>
      <c r="N36" s="461" t="s">
        <v>472</v>
      </c>
    </row>
    <row r="37" spans="9:14">
      <c r="I37" s="387">
        <v>39499</v>
      </c>
      <c r="J37" s="388" t="s">
        <v>471</v>
      </c>
      <c r="K37" s="390">
        <v>16000</v>
      </c>
      <c r="L37" s="385" t="s">
        <v>467</v>
      </c>
      <c r="M37" s="385">
        <v>5152</v>
      </c>
      <c r="N37" s="461"/>
    </row>
    <row r="38" spans="9:14">
      <c r="I38" s="387">
        <v>38964</v>
      </c>
      <c r="J38" s="388" t="s">
        <v>473</v>
      </c>
      <c r="K38" s="390">
        <v>61200</v>
      </c>
      <c r="L38" s="385" t="s">
        <v>467</v>
      </c>
      <c r="M38" s="385">
        <v>5687</v>
      </c>
      <c r="N38" s="461" t="s">
        <v>474</v>
      </c>
    </row>
    <row r="39" spans="9:14">
      <c r="I39" s="387">
        <v>39506</v>
      </c>
      <c r="J39" s="388" t="s">
        <v>473</v>
      </c>
      <c r="K39" s="390">
        <v>6500</v>
      </c>
      <c r="L39" s="385" t="s">
        <v>467</v>
      </c>
      <c r="M39" s="385">
        <v>5145</v>
      </c>
      <c r="N39" s="461"/>
    </row>
    <row r="40" spans="9:14">
      <c r="I40" s="387">
        <v>40857</v>
      </c>
      <c r="J40" s="388" t="s">
        <v>473</v>
      </c>
      <c r="K40" s="390">
        <v>500</v>
      </c>
      <c r="L40" s="385" t="s">
        <v>467</v>
      </c>
      <c r="M40" s="385">
        <v>3794</v>
      </c>
      <c r="N40" s="461"/>
    </row>
    <row r="41" spans="9:14">
      <c r="I41" s="387">
        <v>40870</v>
      </c>
      <c r="J41" s="388" t="s">
        <v>473</v>
      </c>
      <c r="K41" s="390">
        <v>500</v>
      </c>
      <c r="L41" s="385" t="s">
        <v>467</v>
      </c>
      <c r="M41" s="385">
        <v>3781</v>
      </c>
      <c r="N41" s="461"/>
    </row>
    <row r="42" spans="9:14" ht="28.8">
      <c r="I42" s="387">
        <v>41764</v>
      </c>
      <c r="J42" s="388" t="s">
        <v>475</v>
      </c>
      <c r="K42" s="390">
        <v>3400</v>
      </c>
      <c r="L42" s="385" t="s">
        <v>467</v>
      </c>
      <c r="M42" s="385">
        <v>2522</v>
      </c>
      <c r="N42" s="386" t="s">
        <v>476</v>
      </c>
    </row>
    <row r="43" spans="9:14">
      <c r="I43" s="387">
        <v>36799</v>
      </c>
      <c r="J43" s="388" t="s">
        <v>477</v>
      </c>
      <c r="K43" s="390">
        <v>7293300</v>
      </c>
      <c r="L43" s="385" t="s">
        <v>467</v>
      </c>
      <c r="M43" s="385">
        <v>7852</v>
      </c>
      <c r="N43" s="461" t="s">
        <v>468</v>
      </c>
    </row>
    <row r="44" spans="9:14">
      <c r="I44" s="387">
        <v>39330</v>
      </c>
      <c r="J44" s="388" t="s">
        <v>477</v>
      </c>
      <c r="K44" s="390">
        <v>24210</v>
      </c>
      <c r="L44" s="385" t="s">
        <v>467</v>
      </c>
      <c r="M44" s="385">
        <v>5321</v>
      </c>
      <c r="N44" s="461"/>
    </row>
    <row r="45" spans="9:14">
      <c r="I45" s="387">
        <v>42913</v>
      </c>
      <c r="J45" s="388" t="s">
        <v>477</v>
      </c>
      <c r="K45" s="390">
        <v>1038000</v>
      </c>
      <c r="L45" s="385" t="s">
        <v>467</v>
      </c>
      <c r="M45" s="385">
        <v>1738</v>
      </c>
      <c r="N45" s="461"/>
    </row>
    <row r="46" spans="9:14" ht="28.8">
      <c r="I46" s="387">
        <v>37042</v>
      </c>
      <c r="J46" s="388" t="s">
        <v>478</v>
      </c>
      <c r="K46" s="390">
        <v>24000</v>
      </c>
      <c r="L46" s="385" t="s">
        <v>467</v>
      </c>
      <c r="M46" s="385">
        <v>7609</v>
      </c>
      <c r="N46" s="386" t="s">
        <v>479</v>
      </c>
    </row>
    <row r="47" spans="9:14">
      <c r="I47" s="391" t="s">
        <v>480</v>
      </c>
      <c r="J47" s="392" t="s">
        <v>481</v>
      </c>
      <c r="K47" s="393">
        <v>350574</v>
      </c>
      <c r="L47" s="385" t="s">
        <v>482</v>
      </c>
      <c r="M47" s="385">
        <v>6509</v>
      </c>
      <c r="N47" s="461" t="s">
        <v>465</v>
      </c>
    </row>
    <row r="48" spans="9:14">
      <c r="I48" s="391" t="s">
        <v>483</v>
      </c>
      <c r="J48" s="392" t="s">
        <v>484</v>
      </c>
      <c r="K48" s="393">
        <v>8500000</v>
      </c>
      <c r="L48" s="385" t="s">
        <v>482</v>
      </c>
      <c r="M48" s="385">
        <v>5371</v>
      </c>
      <c r="N48" s="461"/>
    </row>
    <row r="49" spans="9:14">
      <c r="I49" s="391" t="s">
        <v>485</v>
      </c>
      <c r="J49" s="392" t="s">
        <v>486</v>
      </c>
      <c r="K49" s="393">
        <v>1650000</v>
      </c>
      <c r="L49" s="385" t="s">
        <v>482</v>
      </c>
      <c r="M49" s="385">
        <v>2007</v>
      </c>
      <c r="N49" s="461"/>
    </row>
    <row r="50" spans="9:14">
      <c r="I50" s="391" t="s">
        <v>487</v>
      </c>
      <c r="J50" s="392" t="s">
        <v>488</v>
      </c>
      <c r="K50" s="393">
        <v>420000</v>
      </c>
      <c r="L50" s="385" t="s">
        <v>482</v>
      </c>
      <c r="M50" s="385">
        <v>1969</v>
      </c>
      <c r="N50" s="461"/>
    </row>
    <row r="51" spans="9:14">
      <c r="I51" s="394" t="s">
        <v>489</v>
      </c>
      <c r="J51" s="395" t="s">
        <v>490</v>
      </c>
      <c r="K51" s="396">
        <v>1680000</v>
      </c>
      <c r="L51" s="385" t="s">
        <v>482</v>
      </c>
      <c r="M51" s="385">
        <v>2088</v>
      </c>
      <c r="N51" s="461"/>
    </row>
    <row r="52" spans="9:14">
      <c r="I52" s="391" t="s">
        <v>489</v>
      </c>
      <c r="J52" s="395" t="s">
        <v>491</v>
      </c>
      <c r="K52" s="393">
        <v>1200000</v>
      </c>
      <c r="L52" s="385" t="s">
        <v>482</v>
      </c>
      <c r="M52" s="385">
        <v>2088</v>
      </c>
      <c r="N52" s="461"/>
    </row>
    <row r="53" spans="9:14">
      <c r="I53" s="397" t="s">
        <v>492</v>
      </c>
      <c r="J53" s="398" t="s">
        <v>493</v>
      </c>
      <c r="K53" s="390">
        <v>1412908</v>
      </c>
      <c r="L53" s="385" t="s">
        <v>494</v>
      </c>
      <c r="M53" s="385">
        <v>8125</v>
      </c>
      <c r="N53" s="461" t="s">
        <v>495</v>
      </c>
    </row>
    <row r="54" spans="9:14">
      <c r="I54" s="397" t="s">
        <v>496</v>
      </c>
      <c r="J54" s="398" t="s">
        <v>497</v>
      </c>
      <c r="K54" s="390">
        <v>15171.5</v>
      </c>
      <c r="L54" s="385" t="s">
        <v>494</v>
      </c>
      <c r="M54" s="385">
        <v>7151</v>
      </c>
      <c r="N54" s="461"/>
    </row>
    <row r="55" spans="9:14">
      <c r="I55" s="397" t="s">
        <v>498</v>
      </c>
      <c r="J55" s="398" t="s">
        <v>499</v>
      </c>
      <c r="K55" s="390">
        <v>15000</v>
      </c>
      <c r="L55" s="385" t="s">
        <v>494</v>
      </c>
      <c r="M55" s="385">
        <v>4017</v>
      </c>
      <c r="N55" s="461"/>
    </row>
    <row r="56" spans="9:14">
      <c r="I56" s="397" t="s">
        <v>500</v>
      </c>
      <c r="J56" s="398" t="s">
        <v>501</v>
      </c>
      <c r="K56" s="390">
        <v>100000</v>
      </c>
      <c r="L56" s="385" t="s">
        <v>494</v>
      </c>
      <c r="M56" s="385">
        <v>1694</v>
      </c>
      <c r="N56" s="461"/>
    </row>
    <row r="57" spans="9:14">
      <c r="I57" s="399" t="s">
        <v>502</v>
      </c>
      <c r="J57" s="398" t="s">
        <v>503</v>
      </c>
      <c r="K57" s="390">
        <v>8736</v>
      </c>
      <c r="L57" s="385" t="s">
        <v>494</v>
      </c>
      <c r="M57" s="385">
        <v>1</v>
      </c>
      <c r="N57" s="461"/>
    </row>
    <row r="58" spans="9:14">
      <c r="I58" s="397" t="s">
        <v>504</v>
      </c>
      <c r="J58" s="398" t="s">
        <v>505</v>
      </c>
      <c r="K58" s="390">
        <v>36790</v>
      </c>
      <c r="L58" s="385" t="s">
        <v>494</v>
      </c>
      <c r="M58" s="385">
        <v>4360</v>
      </c>
      <c r="N58" s="461"/>
    </row>
    <row r="59" spans="9:14">
      <c r="I59" s="397" t="s">
        <v>506</v>
      </c>
      <c r="J59" s="398" t="s">
        <v>507</v>
      </c>
      <c r="K59" s="390">
        <v>150000</v>
      </c>
      <c r="L59" s="385" t="s">
        <v>494</v>
      </c>
      <c r="M59" s="385">
        <v>3471</v>
      </c>
      <c r="N59" s="461"/>
    </row>
    <row r="60" spans="9:14">
      <c r="I60" s="397" t="s">
        <v>508</v>
      </c>
      <c r="J60" s="398" t="s">
        <v>509</v>
      </c>
      <c r="K60" s="390">
        <v>5000</v>
      </c>
      <c r="L60" s="385" t="s">
        <v>494</v>
      </c>
      <c r="M60" s="385">
        <v>5125</v>
      </c>
      <c r="N60" s="461"/>
    </row>
    <row r="61" spans="9:14">
      <c r="I61" s="397" t="s">
        <v>510</v>
      </c>
      <c r="J61" s="398" t="s">
        <v>511</v>
      </c>
      <c r="K61" s="390">
        <v>88500</v>
      </c>
      <c r="L61" s="385" t="s">
        <v>494</v>
      </c>
      <c r="M61" s="385">
        <v>2653</v>
      </c>
      <c r="N61" s="461"/>
    </row>
    <row r="62" spans="9:14">
      <c r="I62" s="397" t="s">
        <v>512</v>
      </c>
      <c r="J62" s="398" t="s">
        <v>513</v>
      </c>
      <c r="K62" s="390">
        <v>62400</v>
      </c>
      <c r="L62" s="385" t="s">
        <v>494</v>
      </c>
      <c r="M62" s="385">
        <v>4270</v>
      </c>
      <c r="N62" s="461"/>
    </row>
    <row r="63" spans="9:14">
      <c r="I63" s="397" t="s">
        <v>514</v>
      </c>
      <c r="J63" s="398" t="s">
        <v>515</v>
      </c>
      <c r="K63" s="390">
        <v>300000</v>
      </c>
      <c r="L63" s="385" t="s">
        <v>494</v>
      </c>
      <c r="M63" s="385">
        <v>3834</v>
      </c>
      <c r="N63" s="461"/>
    </row>
    <row r="64" spans="9:14">
      <c r="I64" s="400" t="s">
        <v>516</v>
      </c>
      <c r="J64" s="398" t="s">
        <v>517</v>
      </c>
      <c r="K64" s="390">
        <v>6293424</v>
      </c>
      <c r="L64" s="385" t="s">
        <v>494</v>
      </c>
      <c r="M64" s="385">
        <v>1551</v>
      </c>
      <c r="N64" s="461"/>
    </row>
    <row r="65" spans="9:14">
      <c r="I65" s="397" t="s">
        <v>518</v>
      </c>
      <c r="J65" s="398" t="s">
        <v>519</v>
      </c>
      <c r="K65" s="390">
        <v>10000</v>
      </c>
      <c r="L65" s="385" t="s">
        <v>494</v>
      </c>
      <c r="M65" s="385">
        <v>2577</v>
      </c>
      <c r="N65" s="461"/>
    </row>
    <row r="66" spans="9:14">
      <c r="I66" s="397" t="s">
        <v>520</v>
      </c>
      <c r="J66" s="398" t="s">
        <v>521</v>
      </c>
      <c r="K66" s="390">
        <v>5743</v>
      </c>
      <c r="L66" s="385" t="s">
        <v>494</v>
      </c>
      <c r="M66" s="385">
        <v>377</v>
      </c>
      <c r="N66" s="461"/>
    </row>
    <row r="67" spans="9:14">
      <c r="I67" s="397" t="s">
        <v>522</v>
      </c>
      <c r="J67" s="398" t="s">
        <v>523</v>
      </c>
      <c r="K67" s="390">
        <v>100000</v>
      </c>
      <c r="L67" s="385" t="s">
        <v>494</v>
      </c>
      <c r="M67" s="385">
        <v>1</v>
      </c>
      <c r="N67" s="461"/>
    </row>
    <row r="68" spans="9:14">
      <c r="I68" s="397" t="s">
        <v>522</v>
      </c>
      <c r="J68" s="401" t="s">
        <v>524</v>
      </c>
      <c r="K68" s="402">
        <v>12000</v>
      </c>
      <c r="L68" s="385" t="s">
        <v>482</v>
      </c>
      <c r="M68" s="385">
        <v>1533</v>
      </c>
      <c r="N68" s="461" t="s">
        <v>465</v>
      </c>
    </row>
    <row r="69" spans="9:14">
      <c r="I69" s="397" t="s">
        <v>522</v>
      </c>
      <c r="J69" s="401" t="s">
        <v>525</v>
      </c>
      <c r="K69" s="402">
        <v>90000</v>
      </c>
      <c r="L69" s="385" t="s">
        <v>482</v>
      </c>
      <c r="M69" s="385">
        <v>2152</v>
      </c>
      <c r="N69" s="461"/>
    </row>
    <row r="70" spans="9:14">
      <c r="I70" s="397" t="s">
        <v>522</v>
      </c>
      <c r="J70" s="401" t="s">
        <v>526</v>
      </c>
      <c r="K70" s="402">
        <v>60000</v>
      </c>
      <c r="L70" s="385" t="s">
        <v>482</v>
      </c>
      <c r="M70" s="385">
        <v>1857</v>
      </c>
      <c r="N70" s="461"/>
    </row>
    <row r="71" spans="9:14">
      <c r="I71" s="397" t="s">
        <v>522</v>
      </c>
      <c r="J71" s="401" t="s">
        <v>527</v>
      </c>
      <c r="K71" s="402">
        <v>15600</v>
      </c>
      <c r="L71" s="385" t="s">
        <v>482</v>
      </c>
      <c r="M71" s="385">
        <v>1660</v>
      </c>
      <c r="N71" s="461"/>
    </row>
    <row r="72" spans="9:14">
      <c r="I72" s="397" t="s">
        <v>522</v>
      </c>
      <c r="J72" s="401" t="s">
        <v>528</v>
      </c>
      <c r="K72" s="402">
        <v>60000</v>
      </c>
      <c r="L72" s="385" t="s">
        <v>482</v>
      </c>
      <c r="M72" s="385">
        <v>1584</v>
      </c>
      <c r="N72" s="461"/>
    </row>
    <row r="73" spans="9:14">
      <c r="I73" s="397" t="s">
        <v>522</v>
      </c>
      <c r="J73" s="398" t="s">
        <v>529</v>
      </c>
      <c r="K73" s="390">
        <v>14931</v>
      </c>
      <c r="L73" s="385" t="s">
        <v>482</v>
      </c>
      <c r="M73" s="385">
        <v>4761</v>
      </c>
      <c r="N73" s="461" t="s">
        <v>465</v>
      </c>
    </row>
    <row r="74" spans="9:14">
      <c r="I74" s="397" t="s">
        <v>522</v>
      </c>
      <c r="J74" s="398" t="s">
        <v>524</v>
      </c>
      <c r="K74" s="390">
        <v>21000</v>
      </c>
      <c r="L74" s="385" t="s">
        <v>482</v>
      </c>
      <c r="M74" s="385">
        <v>5700</v>
      </c>
      <c r="N74" s="461"/>
    </row>
    <row r="75" spans="9:14">
      <c r="I75" s="397" t="s">
        <v>522</v>
      </c>
      <c r="J75" s="398" t="s">
        <v>530</v>
      </c>
      <c r="K75" s="390">
        <v>20682</v>
      </c>
      <c r="L75" s="385" t="s">
        <v>482</v>
      </c>
      <c r="M75" s="385">
        <v>5700</v>
      </c>
      <c r="N75" s="461"/>
    </row>
    <row r="76" spans="9:14">
      <c r="I76" s="397" t="s">
        <v>522</v>
      </c>
      <c r="J76" s="398" t="s">
        <v>531</v>
      </c>
      <c r="K76" s="390">
        <v>52494</v>
      </c>
      <c r="L76" s="385" t="s">
        <v>482</v>
      </c>
      <c r="M76" s="385">
        <v>5700</v>
      </c>
      <c r="N76" s="461"/>
    </row>
    <row r="77" spans="9:14">
      <c r="I77" s="397" t="s">
        <v>522</v>
      </c>
      <c r="J77" s="398" t="s">
        <v>532</v>
      </c>
      <c r="K77" s="390">
        <v>30000</v>
      </c>
      <c r="L77" s="385" t="s">
        <v>482</v>
      </c>
      <c r="M77" s="385">
        <v>5700</v>
      </c>
      <c r="N77" s="461"/>
    </row>
    <row r="78" spans="9:14">
      <c r="I78" s="397" t="s">
        <v>522</v>
      </c>
      <c r="J78" s="398" t="s">
        <v>533</v>
      </c>
      <c r="K78" s="390">
        <v>61260</v>
      </c>
      <c r="L78" s="385" t="s">
        <v>482</v>
      </c>
      <c r="M78" s="385">
        <v>2815</v>
      </c>
      <c r="N78" s="461"/>
    </row>
    <row r="79" spans="9:14">
      <c r="I79" s="397" t="s">
        <v>522</v>
      </c>
      <c r="J79" s="398" t="s">
        <v>534</v>
      </c>
      <c r="K79" s="390">
        <v>30000</v>
      </c>
      <c r="L79" s="385" t="s">
        <v>482</v>
      </c>
      <c r="M79" s="385">
        <v>3354</v>
      </c>
      <c r="N79" s="461"/>
    </row>
    <row r="80" spans="9:14">
      <c r="I80" s="397" t="s">
        <v>522</v>
      </c>
      <c r="J80" s="398" t="s">
        <v>535</v>
      </c>
      <c r="K80" s="390">
        <v>25000</v>
      </c>
      <c r="L80" s="385" t="s">
        <v>482</v>
      </c>
      <c r="M80" s="385">
        <v>5340</v>
      </c>
      <c r="N80" s="461"/>
    </row>
    <row r="81" spans="9:14">
      <c r="I81" s="397" t="s">
        <v>522</v>
      </c>
      <c r="J81" s="398" t="s">
        <v>536</v>
      </c>
      <c r="K81" s="390">
        <v>14000</v>
      </c>
      <c r="L81" s="385" t="s">
        <v>482</v>
      </c>
      <c r="M81" s="385">
        <v>4062</v>
      </c>
      <c r="N81" s="461"/>
    </row>
    <row r="82" spans="9:14">
      <c r="I82" s="397" t="s">
        <v>522</v>
      </c>
      <c r="J82" s="398" t="s">
        <v>537</v>
      </c>
      <c r="K82" s="390">
        <v>74000</v>
      </c>
      <c r="L82" s="385" t="s">
        <v>482</v>
      </c>
      <c r="M82" s="385">
        <v>1744</v>
      </c>
      <c r="N82" s="461"/>
    </row>
    <row r="83" spans="9:14">
      <c r="I83" s="397" t="s">
        <v>522</v>
      </c>
      <c r="J83" s="398" t="s">
        <v>538</v>
      </c>
      <c r="K83" s="390">
        <v>45000</v>
      </c>
      <c r="L83" s="385" t="s">
        <v>482</v>
      </c>
      <c r="M83" s="385">
        <v>4962</v>
      </c>
      <c r="N83" s="461"/>
    </row>
    <row r="84" spans="9:14">
      <c r="I84" s="397" t="s">
        <v>522</v>
      </c>
      <c r="J84" s="398" t="s">
        <v>539</v>
      </c>
      <c r="K84" s="390">
        <v>50000</v>
      </c>
      <c r="L84" s="385" t="s">
        <v>482</v>
      </c>
      <c r="M84" s="385">
        <v>4077</v>
      </c>
      <c r="N84" s="461"/>
    </row>
    <row r="85" spans="9:14">
      <c r="I85" s="397" t="s">
        <v>522</v>
      </c>
      <c r="J85" s="398" t="s">
        <v>540</v>
      </c>
      <c r="K85" s="390">
        <v>50000</v>
      </c>
      <c r="L85" s="385" t="s">
        <v>482</v>
      </c>
      <c r="M85" s="385">
        <v>3458</v>
      </c>
      <c r="N85" s="461"/>
    </row>
    <row r="86" spans="9:14">
      <c r="I86" s="397" t="s">
        <v>522</v>
      </c>
      <c r="J86" s="398" t="s">
        <v>541</v>
      </c>
      <c r="K86" s="390">
        <v>25000</v>
      </c>
      <c r="L86" s="385" t="s">
        <v>482</v>
      </c>
      <c r="M86" s="385">
        <v>2527</v>
      </c>
      <c r="N86" s="461"/>
    </row>
    <row r="87" spans="9:14">
      <c r="I87" s="397" t="s">
        <v>522</v>
      </c>
      <c r="J87" s="398" t="s">
        <v>542</v>
      </c>
      <c r="K87" s="390">
        <v>60000</v>
      </c>
      <c r="L87" s="385" t="s">
        <v>482</v>
      </c>
      <c r="M87" s="385">
        <v>1118</v>
      </c>
      <c r="N87" s="461"/>
    </row>
    <row r="88" spans="9:14">
      <c r="I88" s="397" t="s">
        <v>522</v>
      </c>
      <c r="J88" s="398" t="s">
        <v>543</v>
      </c>
      <c r="K88" s="390">
        <v>140000</v>
      </c>
      <c r="L88" s="385" t="s">
        <v>482</v>
      </c>
      <c r="M88" s="385">
        <v>469</v>
      </c>
      <c r="N88" s="461"/>
    </row>
    <row r="89" spans="9:14">
      <c r="I89" s="397" t="s">
        <v>522</v>
      </c>
      <c r="J89" s="398" t="s">
        <v>544</v>
      </c>
      <c r="K89" s="390">
        <v>63000</v>
      </c>
      <c r="L89" s="385" t="s">
        <v>482</v>
      </c>
      <c r="M89" s="385">
        <v>106</v>
      </c>
      <c r="N89" s="461"/>
    </row>
    <row r="90" spans="9:14">
      <c r="I90" s="397" t="s">
        <v>522</v>
      </c>
      <c r="J90" s="398" t="s">
        <v>545</v>
      </c>
      <c r="K90" s="390">
        <v>3400</v>
      </c>
      <c r="L90" s="385" t="s">
        <v>546</v>
      </c>
      <c r="M90" s="385">
        <v>2512</v>
      </c>
      <c r="N90" s="461" t="s">
        <v>547</v>
      </c>
    </row>
    <row r="91" spans="9:14">
      <c r="I91" s="397" t="s">
        <v>522</v>
      </c>
      <c r="J91" s="398" t="s">
        <v>548</v>
      </c>
      <c r="K91" s="390">
        <v>50000</v>
      </c>
      <c r="L91" s="385" t="s">
        <v>546</v>
      </c>
      <c r="M91" s="385">
        <v>1278</v>
      </c>
      <c r="N91" s="461"/>
    </row>
    <row r="92" spans="9:14">
      <c r="I92" s="397" t="s">
        <v>522</v>
      </c>
      <c r="J92" s="398" t="s">
        <v>549</v>
      </c>
      <c r="K92" s="390">
        <v>125000</v>
      </c>
      <c r="L92" s="385" t="s">
        <v>546</v>
      </c>
      <c r="M92" s="385">
        <v>1278</v>
      </c>
      <c r="N92" s="461"/>
    </row>
    <row r="93" spans="9:14">
      <c r="I93" s="397" t="s">
        <v>522</v>
      </c>
      <c r="J93" s="398" t="s">
        <v>550</v>
      </c>
      <c r="K93" s="403">
        <v>-7782290</v>
      </c>
      <c r="L93" s="403" t="s">
        <v>546</v>
      </c>
      <c r="M93" s="403">
        <v>180</v>
      </c>
      <c r="N93" s="461" t="s">
        <v>551</v>
      </c>
    </row>
    <row r="94" spans="9:14">
      <c r="I94" s="397" t="s">
        <v>522</v>
      </c>
      <c r="J94" s="401" t="s">
        <v>552</v>
      </c>
      <c r="K94" s="402">
        <v>3341</v>
      </c>
      <c r="L94" s="385" t="s">
        <v>546</v>
      </c>
      <c r="M94" s="385">
        <v>1693</v>
      </c>
      <c r="N94" s="461"/>
    </row>
    <row r="95" spans="9:14">
      <c r="I95" s="397" t="s">
        <v>522</v>
      </c>
      <c r="J95" s="398" t="s">
        <v>553</v>
      </c>
      <c r="K95" s="390">
        <v>7000</v>
      </c>
      <c r="L95" s="385" t="s">
        <v>546</v>
      </c>
      <c r="M95" s="385">
        <v>8126</v>
      </c>
      <c r="N95" s="461" t="s">
        <v>554</v>
      </c>
    </row>
    <row r="96" spans="9:14">
      <c r="I96" s="397" t="s">
        <v>522</v>
      </c>
      <c r="J96" s="398" t="s">
        <v>555</v>
      </c>
      <c r="K96" s="390">
        <v>115000</v>
      </c>
      <c r="L96" s="385" t="s">
        <v>546</v>
      </c>
      <c r="M96" s="385">
        <v>3867</v>
      </c>
      <c r="N96" s="461"/>
    </row>
    <row r="97" spans="9:14">
      <c r="I97" s="397" t="s">
        <v>522</v>
      </c>
      <c r="J97" s="398" t="s">
        <v>556</v>
      </c>
      <c r="K97" s="390">
        <v>13377</v>
      </c>
      <c r="L97" s="385" t="s">
        <v>546</v>
      </c>
      <c r="M97" s="385">
        <v>5700</v>
      </c>
      <c r="N97" s="461"/>
    </row>
    <row r="98" spans="9:14">
      <c r="I98" s="397" t="s">
        <v>522</v>
      </c>
      <c r="J98" s="398" t="s">
        <v>532</v>
      </c>
      <c r="K98" s="390">
        <v>21990</v>
      </c>
      <c r="L98" s="385" t="s">
        <v>546</v>
      </c>
      <c r="M98" s="385">
        <v>5700</v>
      </c>
      <c r="N98" s="461"/>
    </row>
    <row r="99" spans="9:14">
      <c r="I99" s="397" t="s">
        <v>522</v>
      </c>
      <c r="J99" s="398" t="s">
        <v>533</v>
      </c>
      <c r="K99" s="390">
        <v>6240</v>
      </c>
      <c r="L99" s="385" t="s">
        <v>546</v>
      </c>
      <c r="M99" s="385">
        <v>5700</v>
      </c>
      <c r="N99" s="461"/>
    </row>
    <row r="100" spans="9:14">
      <c r="I100" s="397" t="s">
        <v>522</v>
      </c>
      <c r="J100" s="398" t="s">
        <v>557</v>
      </c>
      <c r="K100" s="390">
        <v>5500</v>
      </c>
      <c r="L100" s="385" t="s">
        <v>546</v>
      </c>
      <c r="M100" s="385">
        <v>577</v>
      </c>
      <c r="N100" s="461"/>
    </row>
    <row r="101" spans="9:14">
      <c r="I101" s="397" t="s">
        <v>522</v>
      </c>
      <c r="J101" s="398" t="s">
        <v>558</v>
      </c>
      <c r="K101" s="390">
        <v>5200</v>
      </c>
      <c r="L101" s="385" t="s">
        <v>546</v>
      </c>
      <c r="M101" s="385">
        <v>5137</v>
      </c>
      <c r="N101" s="461"/>
    </row>
    <row r="102" spans="9:14">
      <c r="I102" s="397" t="s">
        <v>522</v>
      </c>
      <c r="J102" s="398" t="s">
        <v>559</v>
      </c>
      <c r="K102" s="390">
        <v>216000</v>
      </c>
      <c r="L102" s="385" t="s">
        <v>546</v>
      </c>
      <c r="M102" s="385">
        <v>2808</v>
      </c>
      <c r="N102" s="461"/>
    </row>
    <row r="103" spans="9:14">
      <c r="I103" s="397" t="s">
        <v>522</v>
      </c>
      <c r="J103" s="398" t="s">
        <v>560</v>
      </c>
      <c r="K103" s="390">
        <v>15000</v>
      </c>
      <c r="L103" s="385" t="s">
        <v>546</v>
      </c>
      <c r="M103" s="385">
        <v>4643</v>
      </c>
      <c r="N103" s="461"/>
    </row>
    <row r="104" spans="9:14">
      <c r="I104" s="397" t="s">
        <v>522</v>
      </c>
      <c r="J104" s="398" t="s">
        <v>561</v>
      </c>
      <c r="K104" s="390">
        <v>24000</v>
      </c>
      <c r="L104" s="385" t="s">
        <v>546</v>
      </c>
      <c r="M104" s="404">
        <v>45</v>
      </c>
      <c r="N104" s="461"/>
    </row>
    <row r="105" spans="9:14">
      <c r="I105" s="397" t="s">
        <v>522</v>
      </c>
      <c r="J105" s="398" t="s">
        <v>562</v>
      </c>
      <c r="K105" s="390">
        <v>8000</v>
      </c>
      <c r="L105" s="385" t="s">
        <v>546</v>
      </c>
      <c r="M105" s="385">
        <v>455</v>
      </c>
      <c r="N105" s="461"/>
    </row>
    <row r="106" spans="9:14">
      <c r="I106" s="397" t="s">
        <v>522</v>
      </c>
      <c r="J106" s="398" t="s">
        <v>563</v>
      </c>
      <c r="K106" s="390">
        <v>8000</v>
      </c>
      <c r="L106" s="385" t="s">
        <v>546</v>
      </c>
      <c r="M106" s="385">
        <v>576</v>
      </c>
      <c r="N106" s="461"/>
    </row>
    <row r="107" spans="9:14">
      <c r="I107" s="397" t="s">
        <v>522</v>
      </c>
      <c r="J107" s="398" t="s">
        <v>564</v>
      </c>
      <c r="K107" s="390">
        <v>49000</v>
      </c>
      <c r="L107" s="385" t="s">
        <v>546</v>
      </c>
      <c r="M107" s="385">
        <v>455</v>
      </c>
      <c r="N107" s="461"/>
    </row>
    <row r="108" spans="9:14">
      <c r="I108" s="397" t="s">
        <v>522</v>
      </c>
      <c r="J108" s="398" t="s">
        <v>565</v>
      </c>
      <c r="K108" s="390">
        <v>10000</v>
      </c>
      <c r="L108" s="385" t="s">
        <v>546</v>
      </c>
      <c r="M108" s="385">
        <v>3811</v>
      </c>
      <c r="N108" s="461"/>
    </row>
    <row r="109" spans="9:14">
      <c r="I109" s="397" t="s">
        <v>522</v>
      </c>
      <c r="J109" s="398" t="s">
        <v>566</v>
      </c>
      <c r="K109" s="390">
        <v>25000</v>
      </c>
      <c r="L109" s="385" t="s">
        <v>546</v>
      </c>
      <c r="M109" s="385">
        <v>3811</v>
      </c>
      <c r="N109" s="461"/>
    </row>
    <row r="110" spans="9:14">
      <c r="I110" s="397" t="s">
        <v>522</v>
      </c>
      <c r="J110" s="398" t="s">
        <v>567</v>
      </c>
      <c r="K110" s="390">
        <v>10000</v>
      </c>
      <c r="L110" s="385" t="s">
        <v>546</v>
      </c>
      <c r="M110" s="385">
        <v>3811</v>
      </c>
      <c r="N110" s="461"/>
    </row>
    <row r="111" spans="9:14">
      <c r="I111" s="397" t="s">
        <v>522</v>
      </c>
      <c r="J111" s="398" t="s">
        <v>568</v>
      </c>
      <c r="K111" s="390">
        <v>20000</v>
      </c>
      <c r="L111" s="385" t="s">
        <v>546</v>
      </c>
      <c r="M111" s="385">
        <v>3800</v>
      </c>
      <c r="N111" s="461"/>
    </row>
    <row r="112" spans="9:14">
      <c r="I112" s="397" t="s">
        <v>522</v>
      </c>
      <c r="J112" s="398" t="s">
        <v>569</v>
      </c>
      <c r="K112" s="390">
        <v>10000</v>
      </c>
      <c r="L112" s="385" t="s">
        <v>546</v>
      </c>
      <c r="M112" s="385">
        <v>3104</v>
      </c>
      <c r="N112" s="461"/>
    </row>
    <row r="113" spans="9:14">
      <c r="I113" s="397" t="s">
        <v>522</v>
      </c>
      <c r="J113" s="398" t="s">
        <v>550</v>
      </c>
      <c r="K113" s="390">
        <v>10361299.609999999</v>
      </c>
      <c r="L113" s="385" t="s">
        <v>546</v>
      </c>
      <c r="M113" s="385">
        <v>2197</v>
      </c>
      <c r="N113" s="461"/>
    </row>
    <row r="114" spans="9:14">
      <c r="I114" s="397" t="s">
        <v>522</v>
      </c>
      <c r="J114" s="398" t="s">
        <v>570</v>
      </c>
      <c r="K114" s="390">
        <v>500</v>
      </c>
      <c r="L114" s="385" t="s">
        <v>546</v>
      </c>
      <c r="M114" s="385">
        <v>2922</v>
      </c>
      <c r="N114" s="461"/>
    </row>
    <row r="115" spans="9:14">
      <c r="I115" s="397" t="s">
        <v>522</v>
      </c>
      <c r="J115" s="398" t="s">
        <v>571</v>
      </c>
      <c r="K115" s="390">
        <v>45000</v>
      </c>
      <c r="L115" s="385" t="s">
        <v>546</v>
      </c>
      <c r="M115" s="385">
        <v>3376</v>
      </c>
      <c r="N115" s="461"/>
    </row>
    <row r="116" spans="9:14">
      <c r="I116" s="397" t="s">
        <v>522</v>
      </c>
      <c r="J116" s="398" t="s">
        <v>557</v>
      </c>
      <c r="K116" s="390">
        <v>3000</v>
      </c>
      <c r="L116" s="385" t="s">
        <v>494</v>
      </c>
      <c r="M116" s="385" t="s">
        <v>572</v>
      </c>
      <c r="N116" s="461" t="s">
        <v>573</v>
      </c>
    </row>
    <row r="117" spans="9:14">
      <c r="I117" s="397" t="s">
        <v>522</v>
      </c>
      <c r="J117" s="398" t="s">
        <v>574</v>
      </c>
      <c r="K117" s="390">
        <v>20000</v>
      </c>
      <c r="L117" s="385" t="s">
        <v>494</v>
      </c>
      <c r="M117" s="385">
        <v>2851</v>
      </c>
      <c r="N117" s="461"/>
    </row>
    <row r="118" spans="9:14">
      <c r="I118" s="397" t="s">
        <v>522</v>
      </c>
      <c r="J118" s="398" t="s">
        <v>575</v>
      </c>
      <c r="K118" s="390">
        <v>25000</v>
      </c>
      <c r="L118" s="385" t="s">
        <v>494</v>
      </c>
      <c r="M118" s="385">
        <v>4391</v>
      </c>
      <c r="N118" s="461"/>
    </row>
    <row r="119" spans="9:14">
      <c r="I119" s="397" t="s">
        <v>522</v>
      </c>
      <c r="J119" s="398" t="s">
        <v>576</v>
      </c>
      <c r="K119" s="390">
        <v>100000</v>
      </c>
      <c r="L119" s="385" t="s">
        <v>494</v>
      </c>
      <c r="M119" s="385">
        <v>4390</v>
      </c>
      <c r="N119" s="461"/>
    </row>
    <row r="120" spans="9:14">
      <c r="I120" s="397" t="s">
        <v>522</v>
      </c>
      <c r="J120" s="398" t="s">
        <v>577</v>
      </c>
      <c r="K120" s="390">
        <v>20000</v>
      </c>
      <c r="L120" s="385" t="s">
        <v>494</v>
      </c>
      <c r="M120" s="385">
        <v>3030</v>
      </c>
      <c r="N120" s="461"/>
    </row>
    <row r="121" spans="9:14">
      <c r="I121" s="397" t="s">
        <v>522</v>
      </c>
      <c r="J121" s="398" t="s">
        <v>578</v>
      </c>
      <c r="K121" s="390">
        <v>150000</v>
      </c>
      <c r="L121" s="385" t="s">
        <v>494</v>
      </c>
      <c r="M121" s="385">
        <v>5794</v>
      </c>
      <c r="N121" s="461"/>
    </row>
    <row r="122" spans="9:14">
      <c r="I122" s="397" t="s">
        <v>522</v>
      </c>
      <c r="J122" s="398" t="s">
        <v>579</v>
      </c>
      <c r="K122" s="390">
        <v>50000</v>
      </c>
      <c r="L122" s="385" t="s">
        <v>494</v>
      </c>
      <c r="M122" s="385">
        <v>5843</v>
      </c>
      <c r="N122" s="461"/>
    </row>
    <row r="123" spans="9:14">
      <c r="I123" s="397" t="s">
        <v>522</v>
      </c>
      <c r="J123" s="398" t="s">
        <v>580</v>
      </c>
      <c r="K123" s="390">
        <v>64000</v>
      </c>
      <c r="L123" s="385" t="s">
        <v>494</v>
      </c>
      <c r="M123" s="385">
        <v>5843</v>
      </c>
      <c r="N123" s="461"/>
    </row>
    <row r="124" spans="9:14">
      <c r="I124" s="397" t="s">
        <v>522</v>
      </c>
      <c r="J124" s="398" t="s">
        <v>581</v>
      </c>
      <c r="K124" s="390">
        <v>25000</v>
      </c>
      <c r="L124" s="385" t="s">
        <v>494</v>
      </c>
      <c r="M124" s="385">
        <v>5843</v>
      </c>
      <c r="N124" s="461"/>
    </row>
    <row r="125" spans="9:14">
      <c r="I125" s="397" t="s">
        <v>522</v>
      </c>
      <c r="J125" s="398" t="s">
        <v>582</v>
      </c>
      <c r="K125" s="390">
        <v>20000</v>
      </c>
      <c r="L125" s="385" t="s">
        <v>494</v>
      </c>
      <c r="M125" s="385">
        <v>3252</v>
      </c>
      <c r="N125" s="461"/>
    </row>
    <row r="126" spans="9:14">
      <c r="I126" s="397" t="s">
        <v>522</v>
      </c>
      <c r="J126" s="398" t="s">
        <v>583</v>
      </c>
      <c r="K126" s="390">
        <v>450000</v>
      </c>
      <c r="L126" s="385" t="s">
        <v>494</v>
      </c>
      <c r="M126" s="385" t="s">
        <v>584</v>
      </c>
      <c r="N126" s="461"/>
    </row>
    <row r="127" spans="9:14">
      <c r="I127" s="397" t="s">
        <v>522</v>
      </c>
      <c r="J127" s="398" t="s">
        <v>585</v>
      </c>
      <c r="K127" s="390">
        <v>1332600</v>
      </c>
      <c r="L127" s="385" t="s">
        <v>494</v>
      </c>
      <c r="M127" s="385" t="s">
        <v>586</v>
      </c>
      <c r="N127" s="461"/>
    </row>
    <row r="128" spans="9:14">
      <c r="I128" s="397" t="s">
        <v>522</v>
      </c>
      <c r="J128" s="398" t="s">
        <v>587</v>
      </c>
      <c r="K128" s="390">
        <v>5625</v>
      </c>
      <c r="L128" s="385" t="s">
        <v>494</v>
      </c>
      <c r="M128" s="385">
        <v>4177</v>
      </c>
      <c r="N128" s="461"/>
    </row>
    <row r="129" spans="9:14">
      <c r="I129" s="397" t="s">
        <v>522</v>
      </c>
      <c r="J129" s="398" t="s">
        <v>588</v>
      </c>
      <c r="K129" s="390">
        <v>187500</v>
      </c>
      <c r="L129" s="385" t="s">
        <v>494</v>
      </c>
      <c r="M129" s="385">
        <v>2922</v>
      </c>
      <c r="N129" s="461"/>
    </row>
    <row r="130" spans="9:14">
      <c r="I130" s="397" t="s">
        <v>522</v>
      </c>
      <c r="J130" s="398" t="s">
        <v>589</v>
      </c>
      <c r="K130" s="390">
        <v>551600</v>
      </c>
      <c r="L130" s="385" t="s">
        <v>494</v>
      </c>
      <c r="M130" s="385" t="s">
        <v>590</v>
      </c>
      <c r="N130" s="461"/>
    </row>
    <row r="131" spans="9:14">
      <c r="I131" s="397" t="s">
        <v>522</v>
      </c>
      <c r="J131" s="398" t="s">
        <v>591</v>
      </c>
      <c r="K131" s="390">
        <v>675000</v>
      </c>
      <c r="L131" s="385" t="s">
        <v>494</v>
      </c>
      <c r="M131" s="385">
        <v>2192</v>
      </c>
      <c r="N131" s="461"/>
    </row>
    <row r="132" spans="9:14">
      <c r="I132" s="397" t="s">
        <v>522</v>
      </c>
      <c r="J132" s="398" t="s">
        <v>592</v>
      </c>
      <c r="K132" s="390">
        <v>1215077</v>
      </c>
      <c r="L132" s="385" t="s">
        <v>494</v>
      </c>
      <c r="M132" s="385" t="s">
        <v>593</v>
      </c>
      <c r="N132" s="461"/>
    </row>
    <row r="133" spans="9:14">
      <c r="I133" s="397" t="s">
        <v>522</v>
      </c>
      <c r="J133" s="398" t="s">
        <v>594</v>
      </c>
      <c r="K133" s="390">
        <v>20000</v>
      </c>
      <c r="L133" s="385" t="s">
        <v>494</v>
      </c>
      <c r="M133" s="385">
        <v>1094</v>
      </c>
      <c r="N133" s="461"/>
    </row>
    <row r="134" spans="9:14">
      <c r="I134" s="397" t="s">
        <v>522</v>
      </c>
      <c r="J134" s="398" t="s">
        <v>595</v>
      </c>
      <c r="K134" s="390">
        <v>100000</v>
      </c>
      <c r="L134" s="385" t="s">
        <v>494</v>
      </c>
      <c r="M134" s="385" t="s">
        <v>596</v>
      </c>
      <c r="N134" s="461"/>
    </row>
    <row r="135" spans="9:14">
      <c r="I135" s="397" t="s">
        <v>522</v>
      </c>
      <c r="J135" s="398" t="s">
        <v>597</v>
      </c>
      <c r="K135" s="390">
        <v>40000</v>
      </c>
      <c r="L135" s="385" t="s">
        <v>494</v>
      </c>
      <c r="M135" s="385">
        <v>1595</v>
      </c>
      <c r="N135" s="461"/>
    </row>
    <row r="136" spans="9:14">
      <c r="I136" s="397" t="s">
        <v>522</v>
      </c>
      <c r="J136" s="398" t="s">
        <v>598</v>
      </c>
      <c r="K136" s="390">
        <v>200000</v>
      </c>
      <c r="L136" s="385" t="s">
        <v>494</v>
      </c>
      <c r="M136" s="385">
        <v>1300</v>
      </c>
      <c r="N136" s="461"/>
    </row>
    <row r="137" spans="9:14">
      <c r="I137" s="397" t="s">
        <v>522</v>
      </c>
      <c r="J137" s="398" t="s">
        <v>599</v>
      </c>
      <c r="K137" s="390">
        <v>15000</v>
      </c>
      <c r="L137" s="385" t="s">
        <v>494</v>
      </c>
      <c r="M137" s="385">
        <v>1008</v>
      </c>
      <c r="N137" s="461"/>
    </row>
    <row r="138" spans="9:14">
      <c r="I138" s="397" t="s">
        <v>522</v>
      </c>
      <c r="J138" s="398" t="s">
        <v>557</v>
      </c>
      <c r="K138" s="390">
        <v>3000</v>
      </c>
      <c r="L138" s="385" t="s">
        <v>494</v>
      </c>
      <c r="M138" s="385">
        <v>3287</v>
      </c>
      <c r="N138" s="461" t="s">
        <v>600</v>
      </c>
    </row>
    <row r="139" spans="9:14">
      <c r="I139" s="397" t="s">
        <v>522</v>
      </c>
      <c r="J139" s="398" t="s">
        <v>601</v>
      </c>
      <c r="K139" s="390">
        <v>1465552</v>
      </c>
      <c r="L139" s="385" t="s">
        <v>494</v>
      </c>
      <c r="M139" s="385">
        <v>3287</v>
      </c>
      <c r="N139" s="461"/>
    </row>
    <row r="140" spans="9:14">
      <c r="I140" s="397" t="s">
        <v>522</v>
      </c>
      <c r="J140" s="398" t="s">
        <v>602</v>
      </c>
      <c r="K140" s="390">
        <v>2330381</v>
      </c>
      <c r="L140" s="385" t="s">
        <v>494</v>
      </c>
      <c r="M140" s="385" t="s">
        <v>603</v>
      </c>
      <c r="N140" s="461"/>
    </row>
    <row r="141" spans="9:14">
      <c r="I141" s="397" t="s">
        <v>522</v>
      </c>
      <c r="J141" s="398" t="s">
        <v>604</v>
      </c>
      <c r="K141" s="390">
        <v>232400</v>
      </c>
      <c r="L141" s="385" t="s">
        <v>494</v>
      </c>
      <c r="M141" s="385">
        <v>2752</v>
      </c>
      <c r="N141" s="461"/>
    </row>
    <row r="142" spans="9:14">
      <c r="I142" s="397" t="s">
        <v>522</v>
      </c>
      <c r="J142" s="405" t="s">
        <v>605</v>
      </c>
      <c r="K142" s="406">
        <v>7000</v>
      </c>
      <c r="L142" s="385" t="s">
        <v>482</v>
      </c>
      <c r="M142" s="385">
        <v>1723</v>
      </c>
      <c r="N142" s="461" t="s">
        <v>465</v>
      </c>
    </row>
    <row r="143" spans="9:14">
      <c r="I143" s="397" t="s">
        <v>522</v>
      </c>
      <c r="J143" s="405" t="s">
        <v>606</v>
      </c>
      <c r="K143" s="406">
        <v>36000</v>
      </c>
      <c r="L143" s="385" t="s">
        <v>482</v>
      </c>
      <c r="M143" s="385">
        <v>2337</v>
      </c>
      <c r="N143" s="461"/>
    </row>
    <row r="144" spans="9:14">
      <c r="I144" s="397" t="s">
        <v>522</v>
      </c>
      <c r="J144" s="405" t="s">
        <v>607</v>
      </c>
      <c r="K144" s="406">
        <v>12000</v>
      </c>
      <c r="L144" s="385" t="s">
        <v>482</v>
      </c>
      <c r="M144" s="385">
        <v>1885</v>
      </c>
      <c r="N144" s="461"/>
    </row>
    <row r="145" spans="9:14">
      <c r="I145" s="397" t="s">
        <v>522</v>
      </c>
      <c r="J145" s="405" t="s">
        <v>608</v>
      </c>
      <c r="K145" s="406">
        <v>16000</v>
      </c>
      <c r="L145" s="385" t="s">
        <v>482</v>
      </c>
      <c r="M145" s="385">
        <v>35</v>
      </c>
      <c r="N145" s="461"/>
    </row>
    <row r="147" spans="9:14">
      <c r="I147" s="439" t="s">
        <v>363</v>
      </c>
      <c r="J147" s="440"/>
      <c r="K147" s="440"/>
      <c r="L147" s="440"/>
      <c r="M147" s="440"/>
      <c r="N147" s="440"/>
    </row>
    <row r="148" spans="9:14">
      <c r="I148" s="442" t="s">
        <v>445</v>
      </c>
      <c r="J148" s="443"/>
      <c r="K148" s="443"/>
      <c r="L148" s="443"/>
      <c r="M148" s="443"/>
      <c r="N148" s="443"/>
    </row>
    <row r="149" spans="9:14">
      <c r="I149" s="445"/>
      <c r="J149" s="446"/>
      <c r="K149" s="446"/>
      <c r="L149" s="446"/>
      <c r="M149" s="446"/>
      <c r="N149" s="446"/>
    </row>
    <row r="150" spans="9:14">
      <c r="I150" s="445"/>
      <c r="J150" s="446"/>
      <c r="K150" s="446"/>
      <c r="L150" s="446"/>
      <c r="M150" s="446"/>
      <c r="N150" s="446"/>
    </row>
    <row r="151" spans="9:14">
      <c r="I151" s="445"/>
      <c r="J151" s="446"/>
      <c r="K151" s="446"/>
      <c r="L151" s="446"/>
      <c r="M151" s="446"/>
      <c r="N151" s="446"/>
    </row>
    <row r="152" spans="9:14">
      <c r="I152" s="445"/>
      <c r="J152" s="446"/>
      <c r="K152" s="446"/>
      <c r="L152" s="446"/>
      <c r="M152" s="446"/>
      <c r="N152" s="446"/>
    </row>
    <row r="153" spans="9:14">
      <c r="I153" s="445"/>
      <c r="J153" s="446"/>
      <c r="K153" s="446"/>
      <c r="L153" s="446"/>
      <c r="M153" s="446"/>
      <c r="N153" s="446"/>
    </row>
    <row r="154" spans="9:14">
      <c r="I154" s="445"/>
      <c r="J154" s="446"/>
      <c r="K154" s="446"/>
      <c r="L154" s="446"/>
      <c r="M154" s="446"/>
      <c r="N154" s="446"/>
    </row>
    <row r="155" spans="9:14">
      <c r="I155" s="445"/>
      <c r="J155" s="446"/>
      <c r="K155" s="446"/>
      <c r="L155" s="446"/>
      <c r="M155" s="446"/>
      <c r="N155" s="446"/>
    </row>
    <row r="156" spans="9:14">
      <c r="I156" s="445"/>
      <c r="J156" s="446"/>
      <c r="K156" s="446"/>
      <c r="L156" s="446"/>
      <c r="M156" s="446"/>
      <c r="N156" s="446"/>
    </row>
    <row r="157" spans="9:14">
      <c r="I157" s="445"/>
      <c r="J157" s="446"/>
      <c r="K157" s="446"/>
      <c r="L157" s="446"/>
      <c r="M157" s="446"/>
      <c r="N157" s="446"/>
    </row>
    <row r="158" spans="9:14">
      <c r="I158" s="448"/>
      <c r="J158" s="449"/>
      <c r="K158" s="449"/>
      <c r="L158" s="449"/>
      <c r="M158" s="449"/>
      <c r="N158" s="449"/>
    </row>
  </sheetData>
  <mergeCells count="25">
    <mergeCell ref="I147:N147"/>
    <mergeCell ref="I148:N158"/>
    <mergeCell ref="N138:N141"/>
    <mergeCell ref="N142:N145"/>
    <mergeCell ref="I26:N26"/>
    <mergeCell ref="I27:N27"/>
    <mergeCell ref="N93:N94"/>
    <mergeCell ref="N95:N115"/>
    <mergeCell ref="N116:N137"/>
    <mergeCell ref="A29:H29"/>
    <mergeCell ref="I29:N29"/>
    <mergeCell ref="N68:N72"/>
    <mergeCell ref="N73:N89"/>
    <mergeCell ref="N90:N92"/>
    <mergeCell ref="N31:N34"/>
    <mergeCell ref="N36:N37"/>
    <mergeCell ref="N38:N41"/>
    <mergeCell ref="N43:N45"/>
    <mergeCell ref="N47:N52"/>
    <mergeCell ref="N53:N67"/>
    <mergeCell ref="A4:H4"/>
    <mergeCell ref="A14:H14"/>
    <mergeCell ref="A15:H25"/>
    <mergeCell ref="A1:H1"/>
    <mergeCell ref="A2:H2"/>
  </mergeCells>
  <dataValidations count="1">
    <dataValidation type="list" allowBlank="1" showInputMessage="1" showErrorMessage="1" sqref="E13:G13">
      <formula1>"Very good, Very less, Full payment realization not possible but partial payment can be realised if follow up is done properly, Not possible, Defunct"</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
  <sheetViews>
    <sheetView showGridLines="0" zoomScaleNormal="100" workbookViewId="0">
      <pane ySplit="3" topLeftCell="A7" activePane="bottomLeft" state="frozen"/>
      <selection pane="bottomLeft" activeCell="F7" sqref="F7"/>
    </sheetView>
  </sheetViews>
  <sheetFormatPr defaultColWidth="8.88671875" defaultRowHeight="11.4"/>
  <cols>
    <col min="1" max="1" width="8.33203125" style="197" customWidth="1"/>
    <col min="2" max="2" width="20.5546875" style="197" customWidth="1"/>
    <col min="3" max="3" width="29.44140625" style="197" hidden="1" customWidth="1"/>
    <col min="4" max="4" width="13.109375" style="197" hidden="1" customWidth="1"/>
    <col min="5" max="5" width="11.33203125" style="197" hidden="1" customWidth="1"/>
    <col min="6" max="6" width="24.33203125" style="197" customWidth="1"/>
    <col min="7" max="7" width="15" style="197" customWidth="1"/>
    <col min="8" max="8" width="14.5546875" style="197" bestFit="1" customWidth="1"/>
    <col min="9" max="9" width="18.109375" style="221" bestFit="1" customWidth="1"/>
    <col min="10" max="10" width="46.6640625" style="197" customWidth="1"/>
    <col min="11" max="16384" width="8.88671875" style="197"/>
  </cols>
  <sheetData>
    <row r="1" spans="1:15" ht="12">
      <c r="A1" s="464" t="s">
        <v>651</v>
      </c>
      <c r="B1" s="464"/>
      <c r="C1" s="464"/>
      <c r="D1" s="464"/>
      <c r="E1" s="464"/>
      <c r="F1" s="464"/>
      <c r="G1" s="464"/>
      <c r="H1" s="464"/>
      <c r="I1" s="464"/>
      <c r="J1" s="464"/>
    </row>
    <row r="2" spans="1:15" ht="12" thickBot="1">
      <c r="A2" s="465" t="s">
        <v>423</v>
      </c>
      <c r="B2" s="466"/>
      <c r="C2" s="466"/>
      <c r="D2" s="466"/>
      <c r="E2" s="466"/>
      <c r="F2" s="466"/>
      <c r="G2" s="466"/>
      <c r="H2" s="466"/>
      <c r="I2" s="466"/>
      <c r="J2" s="466"/>
    </row>
    <row r="3" spans="1:15" ht="36.6" thickBot="1">
      <c r="A3" s="198" t="s">
        <v>350</v>
      </c>
      <c r="B3" s="198" t="s">
        <v>351</v>
      </c>
      <c r="C3" s="198" t="s">
        <v>352</v>
      </c>
      <c r="D3" s="198" t="s">
        <v>353</v>
      </c>
      <c r="E3" s="198" t="s">
        <v>354</v>
      </c>
      <c r="F3" s="198" t="s">
        <v>355</v>
      </c>
      <c r="G3" s="198" t="s">
        <v>356</v>
      </c>
      <c r="H3" s="199" t="s">
        <v>420</v>
      </c>
      <c r="I3" s="199" t="s">
        <v>419</v>
      </c>
      <c r="J3" s="198" t="s">
        <v>357</v>
      </c>
    </row>
    <row r="4" spans="1:15">
      <c r="A4" s="467" t="s">
        <v>409</v>
      </c>
      <c r="B4" s="468"/>
      <c r="C4" s="468"/>
      <c r="D4" s="468"/>
      <c r="E4" s="468"/>
      <c r="F4" s="468"/>
      <c r="G4" s="468"/>
      <c r="H4" s="468"/>
      <c r="I4" s="468"/>
      <c r="J4" s="469"/>
    </row>
    <row r="5" spans="1:15" ht="68.25" customHeight="1">
      <c r="A5" s="200">
        <v>1</v>
      </c>
      <c r="B5" s="299" t="s">
        <v>360</v>
      </c>
      <c r="C5" s="201" t="s">
        <v>358</v>
      </c>
      <c r="D5" s="202">
        <v>25729</v>
      </c>
      <c r="E5" s="203">
        <v>333.17</v>
      </c>
      <c r="F5" s="162">
        <f>453.91*10^5/10^7</f>
        <v>4.5391000000000004</v>
      </c>
      <c r="G5" s="162">
        <f>0.16+0.83*20%+0.37*80%+3.18</f>
        <v>3.802</v>
      </c>
      <c r="H5" s="328">
        <f>G5</f>
        <v>3.802</v>
      </c>
      <c r="I5" s="328">
        <f>F5*M5</f>
        <v>1.3617300000000001</v>
      </c>
      <c r="J5" s="308" t="s">
        <v>638</v>
      </c>
      <c r="K5" s="205"/>
      <c r="L5" s="205">
        <v>0.5</v>
      </c>
      <c r="M5" s="205">
        <v>0.3</v>
      </c>
      <c r="O5" s="197">
        <f>3.18+0.16+0.37</f>
        <v>3.7100000000000004</v>
      </c>
    </row>
    <row r="6" spans="1:15" ht="121.5" customHeight="1">
      <c r="A6" s="200">
        <v>2</v>
      </c>
      <c r="B6" s="40" t="s">
        <v>101</v>
      </c>
      <c r="C6" s="201" t="s">
        <v>359</v>
      </c>
      <c r="D6" s="202">
        <v>2075</v>
      </c>
      <c r="E6" s="206">
        <v>820</v>
      </c>
      <c r="F6" s="162">
        <f>445.77*10^5/10^7</f>
        <v>4.4577</v>
      </c>
      <c r="G6" s="162">
        <f>F6*K6</f>
        <v>4.0119300000000004</v>
      </c>
      <c r="H6" s="328">
        <f>F6*L6</f>
        <v>4.0119300000000004</v>
      </c>
      <c r="I6" s="328">
        <f>F6*M6</f>
        <v>0.89154</v>
      </c>
      <c r="J6" s="308" t="s">
        <v>639</v>
      </c>
      <c r="K6" s="211">
        <v>0.9</v>
      </c>
      <c r="L6" s="205">
        <v>0.9</v>
      </c>
      <c r="M6" s="205">
        <v>0.2</v>
      </c>
    </row>
    <row r="7" spans="1:15" ht="56.25" customHeight="1">
      <c r="A7" s="200">
        <v>3</v>
      </c>
      <c r="B7" s="298" t="s">
        <v>412</v>
      </c>
      <c r="C7" s="207" t="s">
        <v>361</v>
      </c>
      <c r="D7" s="208">
        <v>381748.29</v>
      </c>
      <c r="E7" s="208">
        <v>36.29</v>
      </c>
      <c r="F7" s="162">
        <f>909.25*10^5/10^7 + 934.61*10^5/10^7</f>
        <v>18.438600000000001</v>
      </c>
      <c r="G7" s="162">
        <f>F7*K7</f>
        <v>16.594740000000002</v>
      </c>
      <c r="H7" s="162">
        <f>F7*L7</f>
        <v>16.594740000000002</v>
      </c>
      <c r="I7" s="4">
        <v>3.0349309</v>
      </c>
      <c r="J7" s="308" t="s">
        <v>640</v>
      </c>
      <c r="K7" s="211">
        <v>0.9</v>
      </c>
      <c r="L7" s="211">
        <v>0.9</v>
      </c>
      <c r="M7" s="211"/>
    </row>
    <row r="8" spans="1:15" ht="61.5" customHeight="1">
      <c r="A8" s="318">
        <v>4</v>
      </c>
      <c r="B8" s="297" t="s">
        <v>102</v>
      </c>
      <c r="C8" s="207"/>
      <c r="D8" s="202"/>
      <c r="E8" s="208"/>
      <c r="F8" s="162">
        <f>989.71*10^5/10^7</f>
        <v>9.8971</v>
      </c>
      <c r="G8" s="162">
        <f>F8*K8</f>
        <v>7.9176800000000007</v>
      </c>
      <c r="H8" s="162">
        <f>F8*L8</f>
        <v>7.9176800000000007</v>
      </c>
      <c r="I8" s="328">
        <f>F8*M8</f>
        <v>4.94855</v>
      </c>
      <c r="J8" s="319" t="s">
        <v>641</v>
      </c>
      <c r="K8" s="211">
        <v>0.8</v>
      </c>
      <c r="L8" s="211">
        <v>0.8</v>
      </c>
      <c r="M8" s="211">
        <v>0.5</v>
      </c>
    </row>
    <row r="9" spans="1:15" ht="61.5" hidden="1" customHeight="1">
      <c r="A9" s="318">
        <v>5</v>
      </c>
      <c r="B9" s="298" t="s">
        <v>103</v>
      </c>
      <c r="C9" s="207"/>
      <c r="D9" s="202"/>
      <c r="E9" s="208"/>
      <c r="F9" s="162">
        <v>0</v>
      </c>
      <c r="G9" s="162">
        <v>0</v>
      </c>
      <c r="H9" s="162">
        <v>0</v>
      </c>
      <c r="I9" s="162">
        <v>0</v>
      </c>
      <c r="J9" s="308"/>
    </row>
    <row r="10" spans="1:15" ht="61.5" customHeight="1">
      <c r="A10" s="318">
        <v>5</v>
      </c>
      <c r="B10" s="297" t="s">
        <v>104</v>
      </c>
      <c r="C10" s="207"/>
      <c r="D10" s="202"/>
      <c r="E10" s="208"/>
      <c r="F10" s="162">
        <f>177.66*10^5/10^7</f>
        <v>1.7766</v>
      </c>
      <c r="G10" s="162">
        <f>F10*K10</f>
        <v>1.7766</v>
      </c>
      <c r="H10" s="328">
        <f>F10*L10</f>
        <v>1.59894</v>
      </c>
      <c r="I10" s="328">
        <f>F10*M10</f>
        <v>0.17766000000000001</v>
      </c>
      <c r="J10" s="308" t="s">
        <v>642</v>
      </c>
      <c r="K10" s="211">
        <v>1</v>
      </c>
      <c r="L10" s="211">
        <v>0.9</v>
      </c>
      <c r="M10" s="211">
        <v>0.1</v>
      </c>
    </row>
    <row r="11" spans="1:15" ht="61.5" customHeight="1">
      <c r="A11" s="318">
        <v>6</v>
      </c>
      <c r="B11" s="297" t="s">
        <v>105</v>
      </c>
      <c r="C11" s="207"/>
      <c r="D11" s="202"/>
      <c r="E11" s="208"/>
      <c r="F11" s="162">
        <f>726.64*10^5/10^7</f>
        <v>7.2664</v>
      </c>
      <c r="G11" s="162">
        <f>F11*K11</f>
        <v>7.2664</v>
      </c>
      <c r="H11" s="328">
        <f>F11*L11</f>
        <v>7.2664</v>
      </c>
      <c r="I11" s="328">
        <f>F11*M11</f>
        <v>7.2664</v>
      </c>
      <c r="J11" s="308" t="s">
        <v>643</v>
      </c>
      <c r="K11" s="211">
        <v>1</v>
      </c>
      <c r="L11" s="211">
        <v>1</v>
      </c>
      <c r="M11" s="211">
        <v>1</v>
      </c>
    </row>
    <row r="12" spans="1:15" ht="57.75" customHeight="1">
      <c r="A12" s="318">
        <v>7</v>
      </c>
      <c r="B12" s="297" t="s">
        <v>106</v>
      </c>
      <c r="C12" s="209" t="s">
        <v>362</v>
      </c>
      <c r="D12" s="210" t="s">
        <v>262</v>
      </c>
      <c r="E12" s="210" t="s">
        <v>262</v>
      </c>
      <c r="F12" s="162">
        <f>2.67*10^5/10^7</f>
        <v>2.6700000000000002E-2</v>
      </c>
      <c r="G12" s="162">
        <f>F12*K12</f>
        <v>2.6700000000000002E-2</v>
      </c>
      <c r="H12" s="328">
        <f>F12*L12</f>
        <v>2.6700000000000002E-2</v>
      </c>
      <c r="I12" s="328">
        <f>F12*M12</f>
        <v>2.6700000000000002E-2</v>
      </c>
      <c r="J12" s="308" t="s">
        <v>643</v>
      </c>
      <c r="K12" s="211">
        <v>1</v>
      </c>
      <c r="L12" s="211">
        <v>1</v>
      </c>
      <c r="M12" s="211">
        <v>1</v>
      </c>
    </row>
    <row r="13" spans="1:15" ht="20.25" customHeight="1" thickBot="1">
      <c r="A13" s="212"/>
      <c r="B13" s="213"/>
      <c r="C13" s="214" t="s">
        <v>19</v>
      </c>
      <c r="D13" s="215">
        <f>SUM(D5:D12)</f>
        <v>409552.29</v>
      </c>
      <c r="E13" s="216"/>
      <c r="F13" s="217">
        <f>SUM(F5:F12)</f>
        <v>46.402200000000001</v>
      </c>
      <c r="G13" s="327">
        <f>SUM(G5:G12)</f>
        <v>41.396050000000002</v>
      </c>
      <c r="H13" s="327">
        <f>SUM(H5:H12)</f>
        <v>41.218389999999999</v>
      </c>
      <c r="I13" s="327">
        <f>SUM(I5:I12)</f>
        <v>17.707510900000003</v>
      </c>
      <c r="J13" s="218"/>
    </row>
    <row r="14" spans="1:15">
      <c r="A14" s="219"/>
      <c r="B14" s="220"/>
      <c r="C14" s="220"/>
      <c r="D14" s="219"/>
      <c r="E14" s="219"/>
      <c r="F14" s="219"/>
    </row>
    <row r="15" spans="1:15">
      <c r="A15" s="462" t="s">
        <v>363</v>
      </c>
      <c r="B15" s="462"/>
      <c r="C15" s="462"/>
      <c r="D15" s="462"/>
      <c r="E15" s="462"/>
      <c r="F15" s="462"/>
      <c r="G15" s="462"/>
      <c r="H15" s="462"/>
      <c r="I15" s="462"/>
      <c r="J15" s="462"/>
    </row>
    <row r="16" spans="1:15">
      <c r="A16" s="463" t="s">
        <v>446</v>
      </c>
      <c r="B16" s="463"/>
      <c r="C16" s="463"/>
      <c r="D16" s="463"/>
      <c r="E16" s="463"/>
      <c r="F16" s="463"/>
      <c r="G16" s="463"/>
      <c r="H16" s="463"/>
      <c r="I16" s="463"/>
      <c r="J16" s="463"/>
    </row>
    <row r="17" spans="1:10">
      <c r="A17" s="463"/>
      <c r="B17" s="463"/>
      <c r="C17" s="463"/>
      <c r="D17" s="463"/>
      <c r="E17" s="463"/>
      <c r="F17" s="463"/>
      <c r="G17" s="463"/>
      <c r="H17" s="463"/>
      <c r="I17" s="463"/>
      <c r="J17" s="463"/>
    </row>
    <row r="18" spans="1:10">
      <c r="A18" s="463"/>
      <c r="B18" s="463"/>
      <c r="C18" s="463"/>
      <c r="D18" s="463"/>
      <c r="E18" s="463"/>
      <c r="F18" s="463"/>
      <c r="G18" s="463"/>
      <c r="H18" s="463"/>
      <c r="I18" s="463"/>
      <c r="J18" s="463"/>
    </row>
    <row r="19" spans="1:10">
      <c r="A19" s="463"/>
      <c r="B19" s="463"/>
      <c r="C19" s="463"/>
      <c r="D19" s="463"/>
      <c r="E19" s="463"/>
      <c r="F19" s="463"/>
      <c r="G19" s="463"/>
      <c r="H19" s="463"/>
      <c r="I19" s="463"/>
      <c r="J19" s="463"/>
    </row>
    <row r="20" spans="1:10">
      <c r="A20" s="463"/>
      <c r="B20" s="463"/>
      <c r="C20" s="463"/>
      <c r="D20" s="463"/>
      <c r="E20" s="463"/>
      <c r="F20" s="463"/>
      <c r="G20" s="463"/>
      <c r="H20" s="463"/>
      <c r="I20" s="463"/>
      <c r="J20" s="463"/>
    </row>
    <row r="21" spans="1:10">
      <c r="A21" s="222"/>
      <c r="B21" s="223"/>
      <c r="C21" s="223"/>
      <c r="D21" s="223"/>
      <c r="E21" s="223"/>
      <c r="F21" s="223"/>
      <c r="G21" s="223"/>
      <c r="H21" s="223"/>
      <c r="I21" s="224"/>
      <c r="J21" s="223"/>
    </row>
    <row r="22" spans="1:10">
      <c r="A22" s="222"/>
      <c r="B22" s="223"/>
      <c r="C22" s="223"/>
      <c r="D22" s="223"/>
      <c r="E22" s="223"/>
      <c r="F22" s="223"/>
      <c r="G22" s="223"/>
      <c r="H22" s="223"/>
      <c r="I22" s="224"/>
      <c r="J22" s="223"/>
    </row>
    <row r="23" spans="1:10">
      <c r="A23" s="222"/>
      <c r="B23" s="223"/>
      <c r="C23" s="223"/>
      <c r="D23" s="223"/>
      <c r="E23" s="223"/>
      <c r="F23" s="223"/>
      <c r="G23" s="223"/>
      <c r="H23" s="223"/>
      <c r="I23" s="224"/>
      <c r="J23" s="223"/>
    </row>
    <row r="24" spans="1:10">
      <c r="A24" s="222"/>
      <c r="B24" s="223"/>
      <c r="C24" s="223"/>
      <c r="D24" s="223"/>
      <c r="E24" s="223"/>
      <c r="F24" s="223"/>
      <c r="G24" s="223"/>
      <c r="H24" s="223"/>
      <c r="I24" s="224"/>
      <c r="J24" s="223"/>
    </row>
    <row r="25" spans="1:10">
      <c r="A25" s="225"/>
      <c r="B25" s="226"/>
      <c r="C25" s="226"/>
      <c r="D25" s="226"/>
      <c r="E25" s="226"/>
      <c r="F25" s="226"/>
    </row>
    <row r="26" spans="1:10">
      <c r="A26" s="226"/>
      <c r="B26" s="226"/>
      <c r="C26" s="226"/>
      <c r="D26" s="226"/>
      <c r="E26" s="226"/>
      <c r="F26" s="226"/>
    </row>
    <row r="27" spans="1:10">
      <c r="A27" s="226"/>
      <c r="B27" s="226"/>
      <c r="C27" s="226"/>
      <c r="D27" s="226"/>
      <c r="E27" s="226"/>
      <c r="F27" s="226"/>
    </row>
  </sheetData>
  <mergeCells count="5">
    <mergeCell ref="A15:J15"/>
    <mergeCell ref="A16:J20"/>
    <mergeCell ref="A1:J1"/>
    <mergeCell ref="A2:J2"/>
    <mergeCell ref="A4:J4"/>
  </mergeCells>
  <dataValidations disablePrompts="1" count="1">
    <dataValidation type="list" allowBlank="1" showInputMessage="1" showErrorMessage="1" sqref="A15 B13:B14">
      <formula1>"Raw Material, WIP, Finished Goods, Consumables, Stores &amp; Spares, Trading Goods"</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5"/>
  <sheetViews>
    <sheetView topLeftCell="B1" workbookViewId="0">
      <pane ySplit="3" topLeftCell="A4" activePane="bottomLeft" state="frozen"/>
      <selection pane="bottomLeft" activeCell="E9" sqref="E9"/>
    </sheetView>
  </sheetViews>
  <sheetFormatPr defaultColWidth="8.88671875" defaultRowHeight="11.4"/>
  <cols>
    <col min="1" max="1" width="7.88671875" style="241" customWidth="1"/>
    <col min="2" max="2" width="40.6640625" style="240" customWidth="1"/>
    <col min="3" max="3" width="21.109375" style="241" bestFit="1" customWidth="1"/>
    <col min="4" max="4" width="9.109375" style="241" hidden="1" customWidth="1"/>
    <col min="5" max="6" width="21.5546875" style="241" customWidth="1"/>
    <col min="7" max="7" width="24.6640625" style="241" customWidth="1"/>
    <col min="8" max="8" width="43.6640625" style="219" customWidth="1"/>
    <col min="9" max="9" width="10" style="219" bestFit="1" customWidth="1"/>
    <col min="10" max="16384" width="8.88671875" style="219"/>
  </cols>
  <sheetData>
    <row r="1" spans="1:11" ht="12">
      <c r="A1" s="434" t="s">
        <v>449</v>
      </c>
      <c r="B1" s="434"/>
      <c r="C1" s="434"/>
      <c r="D1" s="434"/>
      <c r="E1" s="434"/>
      <c r="F1" s="434"/>
      <c r="G1" s="434"/>
      <c r="H1" s="434"/>
    </row>
    <row r="2" spans="1:11" ht="16.95" customHeight="1" thickBot="1">
      <c r="A2" s="435" t="s">
        <v>422</v>
      </c>
      <c r="B2" s="435"/>
      <c r="C2" s="435"/>
      <c r="D2" s="435"/>
      <c r="E2" s="435"/>
      <c r="F2" s="435"/>
      <c r="G2" s="435"/>
      <c r="H2" s="435"/>
      <c r="I2" s="227"/>
      <c r="J2" s="227"/>
      <c r="K2" s="227"/>
    </row>
    <row r="3" spans="1:11" ht="24.6" thickBot="1">
      <c r="A3" s="198" t="s">
        <v>350</v>
      </c>
      <c r="B3" s="198" t="s">
        <v>367</v>
      </c>
      <c r="C3" s="198" t="s">
        <v>364</v>
      </c>
      <c r="D3" s="198" t="s">
        <v>365</v>
      </c>
      <c r="E3" s="229" t="s">
        <v>356</v>
      </c>
      <c r="F3" s="199" t="s">
        <v>420</v>
      </c>
      <c r="G3" s="199" t="s">
        <v>419</v>
      </c>
      <c r="H3" s="198" t="s">
        <v>357</v>
      </c>
    </row>
    <row r="4" spans="1:11" ht="14.4" customHeight="1">
      <c r="A4" s="436" t="s">
        <v>409</v>
      </c>
      <c r="B4" s="437"/>
      <c r="C4" s="437"/>
      <c r="D4" s="437"/>
      <c r="E4" s="437"/>
      <c r="F4" s="437"/>
      <c r="G4" s="437"/>
      <c r="H4" s="438"/>
    </row>
    <row r="5" spans="1:11" ht="18.600000000000001" customHeight="1">
      <c r="A5" s="231">
        <v>1</v>
      </c>
      <c r="B5" s="201" t="s">
        <v>108</v>
      </c>
      <c r="C5" s="162">
        <f>45910.15*10^5/10^7</f>
        <v>459.10149999999999</v>
      </c>
      <c r="D5" s="232" t="s">
        <v>366</v>
      </c>
      <c r="E5" s="300">
        <f>45910.15*10^5/10^7-442.79-0.56</f>
        <v>15.751499999999966</v>
      </c>
      <c r="F5" s="233">
        <f>E5*J5</f>
        <v>7.8757499999999832</v>
      </c>
      <c r="G5" s="233">
        <f>E5*K5</f>
        <v>3.1502999999999934</v>
      </c>
      <c r="H5" s="312" t="s">
        <v>654</v>
      </c>
      <c r="I5" s="424"/>
      <c r="J5" s="230">
        <v>0.5</v>
      </c>
      <c r="K5" s="230">
        <v>0.2</v>
      </c>
    </row>
    <row r="6" spans="1:11" ht="18.600000000000001" customHeight="1">
      <c r="A6" s="231">
        <v>2</v>
      </c>
      <c r="B6" s="201" t="s">
        <v>109</v>
      </c>
      <c r="C6" s="162">
        <f>4181.27*10^5/10^7</f>
        <v>41.812700000000007</v>
      </c>
      <c r="D6" s="232" t="s">
        <v>366</v>
      </c>
      <c r="E6" s="300">
        <f>3.18+0.43*90%+9.88*80%+15.33*50%+12.36*20%</f>
        <v>21.608000000000001</v>
      </c>
      <c r="F6" s="300">
        <f>E6*J6</f>
        <v>6.4824000000000002</v>
      </c>
      <c r="G6" s="233">
        <f>E6*K6</f>
        <v>2.1608000000000001</v>
      </c>
      <c r="H6" s="312" t="s">
        <v>662</v>
      </c>
      <c r="I6" s="424"/>
      <c r="J6" s="230">
        <v>0.3</v>
      </c>
      <c r="K6" s="230">
        <v>0.1</v>
      </c>
    </row>
    <row r="7" spans="1:11" ht="18" customHeight="1">
      <c r="A7" s="231">
        <v>3</v>
      </c>
      <c r="B7" s="201" t="s">
        <v>110</v>
      </c>
      <c r="C7" s="162">
        <f>6276.63*10^5/10^7</f>
        <v>62.766300000000001</v>
      </c>
      <c r="D7" s="232" t="s">
        <v>366</v>
      </c>
      <c r="E7" s="300">
        <f>C7*I7</f>
        <v>25.106520000000003</v>
      </c>
      <c r="F7" s="300">
        <f>C7*J7</f>
        <v>12.553260000000002</v>
      </c>
      <c r="G7" s="300">
        <f>C7*K7</f>
        <v>6.2766300000000008</v>
      </c>
      <c r="H7" s="312" t="s">
        <v>659</v>
      </c>
      <c r="I7" s="425">
        <v>0.4</v>
      </c>
      <c r="J7" s="230">
        <v>0.2</v>
      </c>
      <c r="K7" s="230">
        <v>0.1</v>
      </c>
    </row>
    <row r="8" spans="1:11" ht="18.600000000000001" hidden="1" customHeight="1">
      <c r="A8" s="231">
        <v>4</v>
      </c>
      <c r="B8" s="201" t="s">
        <v>111</v>
      </c>
      <c r="C8" s="162">
        <v>0</v>
      </c>
      <c r="D8" s="232"/>
      <c r="E8" s="162">
        <v>0</v>
      </c>
      <c r="F8" s="300">
        <v>0</v>
      </c>
      <c r="G8" s="300">
        <v>0</v>
      </c>
      <c r="H8" s="312"/>
    </row>
    <row r="9" spans="1:11" ht="18.600000000000001" customHeight="1">
      <c r="A9" s="231"/>
      <c r="B9" s="201"/>
      <c r="C9" s="301">
        <f>SUM(C5:C8)</f>
        <v>563.68049999999994</v>
      </c>
      <c r="D9" s="232"/>
      <c r="E9" s="301">
        <f>SUM(E5:E8)</f>
        <v>62.466019999999972</v>
      </c>
      <c r="F9" s="301">
        <f t="shared" ref="F9:G9" si="0">SUM(F5:F8)</f>
        <v>26.911409999999986</v>
      </c>
      <c r="G9" s="301">
        <f t="shared" si="0"/>
        <v>11.587729999999993</v>
      </c>
      <c r="H9" s="301"/>
    </row>
    <row r="10" spans="1:11" ht="18.600000000000001" customHeight="1">
      <c r="A10" s="231">
        <v>4</v>
      </c>
      <c r="B10" s="201" t="s">
        <v>112</v>
      </c>
      <c r="C10" s="300">
        <f>7874.83*10^5/10^7</f>
        <v>78.7483</v>
      </c>
      <c r="D10" s="232" t="s">
        <v>366</v>
      </c>
      <c r="E10" s="300">
        <v>0</v>
      </c>
      <c r="F10" s="300">
        <v>0</v>
      </c>
      <c r="G10" s="300">
        <v>0</v>
      </c>
      <c r="H10" s="312" t="s">
        <v>636</v>
      </c>
    </row>
    <row r="11" spans="1:11" ht="12.6" thickBot="1">
      <c r="A11" s="310"/>
      <c r="B11" s="366" t="s">
        <v>19</v>
      </c>
      <c r="C11" s="234">
        <f>C9-C10</f>
        <v>484.93219999999997</v>
      </c>
      <c r="D11" s="234"/>
      <c r="E11" s="234">
        <f>E9-E10</f>
        <v>62.466019999999972</v>
      </c>
      <c r="F11" s="234">
        <f>F9-F10</f>
        <v>26.911409999999986</v>
      </c>
      <c r="G11" s="234">
        <f>G9-G10</f>
        <v>11.587729999999993</v>
      </c>
      <c r="H11" s="311"/>
    </row>
    <row r="12" spans="1:11">
      <c r="A12" s="235"/>
      <c r="B12" s="236"/>
      <c r="C12" s="237"/>
      <c r="D12" s="237"/>
      <c r="E12" s="238"/>
      <c r="F12" s="238"/>
      <c r="G12" s="238"/>
    </row>
    <row r="13" spans="1:11">
      <c r="A13" s="439" t="s">
        <v>363</v>
      </c>
      <c r="B13" s="440"/>
      <c r="C13" s="440"/>
      <c r="D13" s="440"/>
      <c r="E13" s="440"/>
      <c r="F13" s="440"/>
      <c r="G13" s="440"/>
      <c r="H13" s="441"/>
    </row>
    <row r="14" spans="1:11" ht="18" customHeight="1">
      <c r="A14" s="442" t="s">
        <v>454</v>
      </c>
      <c r="B14" s="443"/>
      <c r="C14" s="443"/>
      <c r="D14" s="443"/>
      <c r="E14" s="443"/>
      <c r="F14" s="443"/>
      <c r="G14" s="443"/>
      <c r="H14" s="444"/>
    </row>
    <row r="15" spans="1:11">
      <c r="A15" s="445"/>
      <c r="B15" s="446"/>
      <c r="C15" s="446"/>
      <c r="D15" s="446"/>
      <c r="E15" s="446"/>
      <c r="F15" s="446"/>
      <c r="G15" s="446"/>
      <c r="H15" s="447"/>
    </row>
    <row r="16" spans="1:11">
      <c r="A16" s="445"/>
      <c r="B16" s="446"/>
      <c r="C16" s="446"/>
      <c r="D16" s="446"/>
      <c r="E16" s="446"/>
      <c r="F16" s="446"/>
      <c r="G16" s="446"/>
      <c r="H16" s="447"/>
    </row>
    <row r="17" spans="1:8">
      <c r="A17" s="445"/>
      <c r="B17" s="446"/>
      <c r="C17" s="446"/>
      <c r="D17" s="446"/>
      <c r="E17" s="446"/>
      <c r="F17" s="446"/>
      <c r="G17" s="446"/>
      <c r="H17" s="447"/>
    </row>
    <row r="18" spans="1:8">
      <c r="A18" s="445"/>
      <c r="B18" s="446"/>
      <c r="C18" s="446"/>
      <c r="D18" s="446"/>
      <c r="E18" s="446"/>
      <c r="F18" s="446"/>
      <c r="G18" s="446"/>
      <c r="H18" s="447"/>
    </row>
    <row r="19" spans="1:8">
      <c r="A19" s="445"/>
      <c r="B19" s="446"/>
      <c r="C19" s="446"/>
      <c r="D19" s="446"/>
      <c r="E19" s="446"/>
      <c r="F19" s="446"/>
      <c r="G19" s="446"/>
      <c r="H19" s="447"/>
    </row>
    <row r="20" spans="1:8">
      <c r="A20" s="445"/>
      <c r="B20" s="446"/>
      <c r="C20" s="446"/>
      <c r="D20" s="446"/>
      <c r="E20" s="446"/>
      <c r="F20" s="446"/>
      <c r="G20" s="446"/>
      <c r="H20" s="447"/>
    </row>
    <row r="21" spans="1:8">
      <c r="A21" s="445"/>
      <c r="B21" s="446"/>
      <c r="C21" s="446"/>
      <c r="D21" s="446"/>
      <c r="E21" s="446"/>
      <c r="F21" s="446"/>
      <c r="G21" s="446"/>
      <c r="H21" s="447"/>
    </row>
    <row r="22" spans="1:8">
      <c r="A22" s="445"/>
      <c r="B22" s="446"/>
      <c r="C22" s="446"/>
      <c r="D22" s="446"/>
      <c r="E22" s="446"/>
      <c r="F22" s="446"/>
      <c r="G22" s="446"/>
      <c r="H22" s="447"/>
    </row>
    <row r="23" spans="1:8">
      <c r="A23" s="445"/>
      <c r="B23" s="446"/>
      <c r="C23" s="446"/>
      <c r="D23" s="446"/>
      <c r="E23" s="446"/>
      <c r="F23" s="446"/>
      <c r="G23" s="446"/>
      <c r="H23" s="447"/>
    </row>
    <row r="24" spans="1:8">
      <c r="A24" s="448"/>
      <c r="B24" s="449"/>
      <c r="C24" s="449"/>
      <c r="D24" s="449"/>
      <c r="E24" s="449"/>
      <c r="F24" s="449"/>
      <c r="G24" s="449"/>
      <c r="H24" s="450"/>
    </row>
    <row r="25" spans="1:8">
      <c r="A25" s="219"/>
      <c r="B25" s="239"/>
      <c r="C25" s="219"/>
      <c r="D25" s="219"/>
      <c r="E25" s="219"/>
      <c r="F25" s="219"/>
      <c r="G25" s="219"/>
    </row>
    <row r="26" spans="1:8" ht="12">
      <c r="A26" s="434" t="s">
        <v>455</v>
      </c>
      <c r="B26" s="434"/>
      <c r="C26" s="434"/>
      <c r="D26" s="434"/>
      <c r="E26" s="434"/>
      <c r="F26" s="434"/>
      <c r="G26" s="434"/>
      <c r="H26" s="434"/>
    </row>
    <row r="27" spans="1:8">
      <c r="A27" s="435" t="s">
        <v>422</v>
      </c>
      <c r="B27" s="435"/>
      <c r="C27" s="435"/>
      <c r="D27" s="435"/>
      <c r="E27" s="435"/>
      <c r="F27" s="435"/>
      <c r="G27" s="435"/>
      <c r="H27" s="435"/>
    </row>
    <row r="28" spans="1:8" ht="14.4" customHeight="1">
      <c r="A28" s="436" t="s">
        <v>409</v>
      </c>
      <c r="B28" s="437"/>
      <c r="C28" s="437"/>
      <c r="D28" s="437"/>
      <c r="E28" s="437"/>
      <c r="F28" s="437"/>
      <c r="G28" s="437"/>
      <c r="H28" s="438"/>
    </row>
    <row r="29" spans="1:8" ht="24">
      <c r="A29" s="198" t="s">
        <v>413</v>
      </c>
      <c r="B29" s="198" t="s">
        <v>289</v>
      </c>
      <c r="C29" s="198" t="s">
        <v>414</v>
      </c>
      <c r="D29" s="198" t="s">
        <v>415</v>
      </c>
      <c r="E29" s="198" t="s">
        <v>416</v>
      </c>
      <c r="F29" s="198" t="s">
        <v>417</v>
      </c>
      <c r="G29" s="198" t="s">
        <v>418</v>
      </c>
      <c r="H29" s="198" t="s">
        <v>19</v>
      </c>
    </row>
    <row r="30" spans="1:8" ht="14.4" thickBot="1">
      <c r="A30" s="231">
        <v>1</v>
      </c>
      <c r="B30" s="201" t="s">
        <v>443</v>
      </c>
      <c r="C30" s="367">
        <v>442.79</v>
      </c>
      <c r="D30" s="367"/>
      <c r="E30" s="367"/>
      <c r="F30" s="367"/>
      <c r="G30" s="367"/>
      <c r="H30" s="367">
        <v>442.79</v>
      </c>
    </row>
    <row r="31" spans="1:8" ht="12.6" thickBot="1">
      <c r="A31" s="231">
        <v>2</v>
      </c>
      <c r="B31" s="201" t="s">
        <v>100</v>
      </c>
      <c r="C31" s="367">
        <v>3.81</v>
      </c>
      <c r="D31" s="367">
        <v>0.43</v>
      </c>
      <c r="E31" s="367">
        <v>9.8800000000000008</v>
      </c>
      <c r="F31" s="367">
        <v>15.33</v>
      </c>
      <c r="G31" s="367">
        <v>12.36</v>
      </c>
      <c r="H31" s="367">
        <f>SUM(C31:G31)</f>
        <v>41.81</v>
      </c>
    </row>
    <row r="32" spans="1:8" ht="12">
      <c r="A32" s="198"/>
      <c r="B32" s="198" t="s">
        <v>19</v>
      </c>
      <c r="C32" s="198">
        <v>446.6</v>
      </c>
      <c r="D32" s="198">
        <v>0.43</v>
      </c>
      <c r="E32" s="198">
        <v>9.8800000000000008</v>
      </c>
      <c r="F32" s="198">
        <v>15.33</v>
      </c>
      <c r="G32" s="198">
        <v>12.71</v>
      </c>
      <c r="H32" s="198">
        <v>484.93</v>
      </c>
    </row>
    <row r="34" spans="1:8">
      <c r="A34" s="439" t="s">
        <v>363</v>
      </c>
      <c r="B34" s="440"/>
      <c r="C34" s="440"/>
      <c r="D34" s="440"/>
      <c r="E34" s="440"/>
      <c r="F34" s="440"/>
      <c r="G34" s="440"/>
      <c r="H34" s="441"/>
    </row>
    <row r="35" spans="1:8">
      <c r="A35" s="442" t="s">
        <v>454</v>
      </c>
      <c r="B35" s="443"/>
      <c r="C35" s="443"/>
      <c r="D35" s="443"/>
      <c r="E35" s="443"/>
      <c r="F35" s="443"/>
      <c r="G35" s="443"/>
      <c r="H35" s="444"/>
    </row>
    <row r="36" spans="1:8">
      <c r="A36" s="445"/>
      <c r="B36" s="446"/>
      <c r="C36" s="446"/>
      <c r="D36" s="446"/>
      <c r="E36" s="446"/>
      <c r="F36" s="446"/>
      <c r="G36" s="446"/>
      <c r="H36" s="447"/>
    </row>
    <row r="37" spans="1:8">
      <c r="A37" s="445"/>
      <c r="B37" s="446"/>
      <c r="C37" s="446"/>
      <c r="D37" s="446"/>
      <c r="E37" s="446"/>
      <c r="F37" s="446"/>
      <c r="G37" s="446"/>
      <c r="H37" s="447"/>
    </row>
    <row r="38" spans="1:8">
      <c r="A38" s="445"/>
      <c r="B38" s="446"/>
      <c r="C38" s="446"/>
      <c r="D38" s="446"/>
      <c r="E38" s="446"/>
      <c r="F38" s="446"/>
      <c r="G38" s="446"/>
      <c r="H38" s="447"/>
    </row>
    <row r="39" spans="1:8">
      <c r="A39" s="445"/>
      <c r="B39" s="446"/>
      <c r="C39" s="446"/>
      <c r="D39" s="446"/>
      <c r="E39" s="446"/>
      <c r="F39" s="446"/>
      <c r="G39" s="446"/>
      <c r="H39" s="447"/>
    </row>
    <row r="40" spans="1:8">
      <c r="A40" s="445"/>
      <c r="B40" s="446"/>
      <c r="C40" s="446"/>
      <c r="D40" s="446"/>
      <c r="E40" s="446"/>
      <c r="F40" s="446"/>
      <c r="G40" s="446"/>
      <c r="H40" s="447"/>
    </row>
    <row r="41" spans="1:8">
      <c r="A41" s="445"/>
      <c r="B41" s="446"/>
      <c r="C41" s="446"/>
      <c r="D41" s="446"/>
      <c r="E41" s="446"/>
      <c r="F41" s="446"/>
      <c r="G41" s="446"/>
      <c r="H41" s="447"/>
    </row>
    <row r="42" spans="1:8">
      <c r="A42" s="445"/>
      <c r="B42" s="446"/>
      <c r="C42" s="446"/>
      <c r="D42" s="446"/>
      <c r="E42" s="446"/>
      <c r="F42" s="446"/>
      <c r="G42" s="446"/>
      <c r="H42" s="447"/>
    </row>
    <row r="43" spans="1:8">
      <c r="A43" s="445"/>
      <c r="B43" s="446"/>
      <c r="C43" s="446"/>
      <c r="D43" s="446"/>
      <c r="E43" s="446"/>
      <c r="F43" s="446"/>
      <c r="G43" s="446"/>
      <c r="H43" s="447"/>
    </row>
    <row r="44" spans="1:8">
      <c r="A44" s="445"/>
      <c r="B44" s="446"/>
      <c r="C44" s="446"/>
      <c r="D44" s="446"/>
      <c r="E44" s="446"/>
      <c r="F44" s="446"/>
      <c r="G44" s="446"/>
      <c r="H44" s="447"/>
    </row>
    <row r="45" spans="1:8">
      <c r="A45" s="448"/>
      <c r="B45" s="449"/>
      <c r="C45" s="449"/>
      <c r="D45" s="449"/>
      <c r="E45" s="449"/>
      <c r="F45" s="449"/>
      <c r="G45" s="449"/>
      <c r="H45" s="450"/>
    </row>
  </sheetData>
  <mergeCells count="10">
    <mergeCell ref="A26:H26"/>
    <mergeCell ref="A27:H27"/>
    <mergeCell ref="A28:H28"/>
    <mergeCell ref="A34:H34"/>
    <mergeCell ref="A35:H45"/>
    <mergeCell ref="A1:H1"/>
    <mergeCell ref="A2:H2"/>
    <mergeCell ref="A13:H13"/>
    <mergeCell ref="A14:H24"/>
    <mergeCell ref="A4:H4"/>
  </mergeCells>
  <dataValidations count="1">
    <dataValidation type="list" allowBlank="1" showInputMessage="1" showErrorMessage="1" sqref="E12:G12">
      <formula1>"Very good, Very less, Full payment realization not possible but partial payment can be realised if follow up is done properly, Not possible, Defunct"</formula1>
    </dataValidation>
  </dataValidations>
  <pageMargins left="0.3" right="0.7" top="0.75" bottom="0.75" header="0.3" footer="0.3"/>
  <pageSetup paperSize="9" scale="6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NAV EV</vt:lpstr>
      <vt:lpstr>Non-Current Assets</vt:lpstr>
      <vt:lpstr>Equity &amp; Liabilities</vt:lpstr>
      <vt:lpstr>Current Assets</vt:lpstr>
      <vt:lpstr>Non Current -CWIP- I</vt:lpstr>
      <vt:lpstr>Summary</vt:lpstr>
      <vt:lpstr>Non Current Financial Asset- I</vt:lpstr>
      <vt:lpstr>Inventories - II</vt:lpstr>
      <vt:lpstr>Trade Receivables - III</vt:lpstr>
      <vt:lpstr>C&amp;CE and Bank Bal. - IV</vt:lpstr>
      <vt:lpstr>Financial Assets- V</vt:lpstr>
      <vt:lpstr>Other Current Assest-VI</vt: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2022-08-21T00:24:16Z</dcterms:modified>
</cp:coreProperties>
</file>