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threadedComments/threadedComment3.xml" ContentType="application/vnd.ms-excel.threadedcomments+xml"/>
  <Override PartName="/xl/comments6.xml" ContentType="application/vnd.openxmlformats-officedocument.spreadsheetml.comments+xml"/>
  <Override PartName="/xl/comments7.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E:\R Suresh data\Suresh\Valuation 2022\Enterprise Valuation 2022\Financial Model\"/>
    </mc:Choice>
  </mc:AlternateContent>
  <xr:revisionPtr revIDLastSave="0" documentId="13_ncr:1_{7F144C0A-840D-4BD7-A31F-E8FBBBC86D27}" xr6:coauthVersionLast="47" xr6:coauthVersionMax="47" xr10:uidLastSave="{00000000-0000-0000-0000-000000000000}"/>
  <bookViews>
    <workbookView xWindow="-120" yWindow="-120" windowWidth="20730" windowHeight="11160" tabRatio="746" firstSheet="3" activeTab="4" xr2:uid="{00000000-000D-0000-FFFF-FFFF00000000}"/>
  </bookViews>
  <sheets>
    <sheet name="Old" sheetId="15" state="hidden" r:id="rId1"/>
    <sheet name="Sheet4" sheetId="22" state="hidden" r:id="rId2"/>
    <sheet name="Liabilites" sheetId="17" state="hidden" r:id="rId3"/>
    <sheet name="PROD SCH" sheetId="14" r:id="rId4"/>
    <sheet name="Assumptions" sheetId="1" r:id="rId5"/>
    <sheet name="Chart1" sheetId="28" state="hidden" r:id="rId6"/>
    <sheet name="P&amp;L" sheetId="2" r:id="rId7"/>
    <sheet name="Fin_Statements" sheetId="8" r:id="rId8"/>
    <sheet name="Sheet3" sheetId="16" state="hidden" r:id="rId9"/>
    <sheet name="Output Sheet" sheetId="10" state="hidden" r:id="rId10"/>
    <sheet name="Debt_Schedule" sheetId="4" r:id="rId11"/>
    <sheet name="Dep" sheetId="19" r:id="rId12"/>
    <sheet name="Tax" sheetId="5" r:id="rId13"/>
    <sheet name="Sep'19 Analysis" sheetId="9" state="hidden" r:id="rId14"/>
    <sheet name="Lender-wise Break-up" sheetId="11" state="hidden" r:id="rId15"/>
    <sheet name="Shareholding" sheetId="12" state="hidden" r:id="rId16"/>
    <sheet name="NWC" sheetId="18" state="hidden" r:id="rId17"/>
    <sheet name="EV-Post Discussion" sheetId="23" state="hidden" r:id="rId18"/>
    <sheet name="Published account Format" sheetId="24" state="hidden" r:id="rId19"/>
    <sheet name="S" sheetId="25" state="hidden" r:id="rId20"/>
    <sheet name="IT Dep21-22" sheetId="26" r:id="rId21"/>
    <sheet name="IT Dep" sheetId="20" state="hidden" r:id="rId22"/>
    <sheet name="Yr wise" sheetId="27"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A">#REF!</definedName>
    <definedName name="\E">#REF!</definedName>
    <definedName name="\F">#REF!</definedName>
    <definedName name="\FLW">#REF!</definedName>
    <definedName name="\G">#REF!</definedName>
    <definedName name="\q">#REF!</definedName>
    <definedName name="\S">#REF!</definedName>
    <definedName name="\X">#REF!</definedName>
    <definedName name="\Z">#REF!</definedName>
    <definedName name="_______DAT1">#REF!</definedName>
    <definedName name="_______DAT10">#REF!</definedName>
    <definedName name="_______DAT11">'[1]CC LINESAPR-05 TO JUL- 05'!#REF!</definedName>
    <definedName name="_______DAT12">'[1]CC LINESAPR-05 TO JUL- 05'!#REF!</definedName>
    <definedName name="_______DAT13">#REF!</definedName>
    <definedName name="_______DAT2">#REF!</definedName>
    <definedName name="_______DAT3">#REF!</definedName>
    <definedName name="_______DAT4">#REF!</definedName>
    <definedName name="_______DAT5">#REF!</definedName>
    <definedName name="_______DAT6">#REF!</definedName>
    <definedName name="_______DAT7">'[1]CC LINESAPR-05 TO JUL- 05'!#REF!</definedName>
    <definedName name="_______DAT8">#REF!</definedName>
    <definedName name="_______DAT9">#REF!</definedName>
    <definedName name="______DAT1">#REF!</definedName>
    <definedName name="______DAT10">#REF!</definedName>
    <definedName name="______DAT11">'[1]CC LINESAPR-05 TO JUL- 05'!#REF!</definedName>
    <definedName name="______DAT12">'[1]CC LINESAPR-05 TO JUL- 05'!#REF!</definedName>
    <definedName name="______DAT13">#REF!</definedName>
    <definedName name="______DAT2">#REF!</definedName>
    <definedName name="______DAT3">#REF!</definedName>
    <definedName name="______DAT4">#REF!</definedName>
    <definedName name="______DAT5">#REF!</definedName>
    <definedName name="______DAT6">#REF!</definedName>
    <definedName name="______DAT7">'[1]CC LINESAPR-05 TO JUL- 05'!#REF!</definedName>
    <definedName name="______DAT8">#REF!</definedName>
    <definedName name="______DAT9">#REF!</definedName>
    <definedName name="______ng1">'[2]NG, Naphtha &amp; LSHS'!$B$2,'[2]NG, Naphtha &amp; LSHS'!$B$2:$F$22</definedName>
    <definedName name="_____DAT1">#REF!</definedName>
    <definedName name="_____DAT10">#REF!</definedName>
    <definedName name="_____DAT11">'[1]CC LINESAPR-05 TO JUL- 05'!#REF!</definedName>
    <definedName name="_____DAT12">'[1]CC LINESAPR-05 TO JUL- 05'!#REF!</definedName>
    <definedName name="_____DAT13">#REF!</definedName>
    <definedName name="_____DAT2">#REF!</definedName>
    <definedName name="_____DAT3">#REF!</definedName>
    <definedName name="_____DAT4">#REF!</definedName>
    <definedName name="_____DAT5">#REF!</definedName>
    <definedName name="_____DAT6">#REF!</definedName>
    <definedName name="_____DAT7">'[1]CC LINESAPR-05 TO JUL- 05'!#REF!</definedName>
    <definedName name="_____DAT8">#REF!</definedName>
    <definedName name="_____DAT9">#REF!</definedName>
    <definedName name="_____ng1">'[3]NG, Naphtha &amp; LSHS'!$B$2,'[3]NG, Naphtha &amp; LSHS'!$B$2:$F$22</definedName>
    <definedName name="____1__123Graph_ACHART_1" hidden="1">[4]Sheet1!$N$39:$N$47</definedName>
    <definedName name="____2__123Graph_LBL_ACHART_1" hidden="1">[4]Sheet1!$N$39:$N$47</definedName>
    <definedName name="____3__123Graph_XCHART_1" hidden="1">[4]Sheet1!$M$39:$M$47</definedName>
    <definedName name="____DAT1">#REF!</definedName>
    <definedName name="____DAT10">#REF!</definedName>
    <definedName name="____DAT11">'[1]CC LINESAPR-05 TO JUL- 05'!#REF!</definedName>
    <definedName name="____DAT12">'[1]CC LINESAPR-05 TO JUL- 05'!#REF!</definedName>
    <definedName name="____DAT13">#REF!</definedName>
    <definedName name="____DAT2">#REF!</definedName>
    <definedName name="____DAT3">#REF!</definedName>
    <definedName name="____DAT4">#REF!</definedName>
    <definedName name="____DAT5">#REF!</definedName>
    <definedName name="____DAT6">#REF!</definedName>
    <definedName name="____DAT7">'[1]CC LINESAPR-05 TO JUL- 05'!#REF!</definedName>
    <definedName name="____DAT8">#REF!</definedName>
    <definedName name="____DAT9">#REF!</definedName>
    <definedName name="____ng1">'[5]NG, Naphtha &amp; LSHS'!$B$2,'[5]NG, Naphtha &amp; LSHS'!$B$2:$F$22</definedName>
    <definedName name="___1__123Graph_ACHART_1" hidden="1">[4]Sheet1!$N$39:$N$47</definedName>
    <definedName name="___2__123Graph_LBL_ACHART_1" hidden="1">[4]Sheet1!$N$39:$N$47</definedName>
    <definedName name="___3__123Graph_XCHART_1" hidden="1">[4]Sheet1!$M$39:$M$47</definedName>
    <definedName name="___DAT1">#REF!</definedName>
    <definedName name="___DAT10">#REF!</definedName>
    <definedName name="___DAT11">'[1]CC LINESAPR-05 TO JUL- 05'!#REF!</definedName>
    <definedName name="___DAT12">'[1]CC LINESAPR-05 TO JUL- 05'!#REF!</definedName>
    <definedName name="___DAT13">#REF!</definedName>
    <definedName name="___DAT2">#REF!</definedName>
    <definedName name="___DAT3">#REF!</definedName>
    <definedName name="___DAT4">#REF!</definedName>
    <definedName name="___DAT5">#REF!</definedName>
    <definedName name="___DAT6">#REF!</definedName>
    <definedName name="___DAT7">'[1]CC LINESAPR-05 TO JUL- 05'!#REF!</definedName>
    <definedName name="___DAT8">#REF!</definedName>
    <definedName name="___DAT9">#REF!</definedName>
    <definedName name="___ng1">'[5]NG, Naphtha &amp; LSHS'!$B$2,'[5]NG, Naphtha &amp; LSHS'!$B$2:$F$22</definedName>
    <definedName name="___RL1">#REF!</definedName>
    <definedName name="___RL2">#REF!</definedName>
    <definedName name="___RL3">#REF!</definedName>
    <definedName name="__1__123Graph_ACHART_1" hidden="1">[4]Sheet1!$N$39:$N$47</definedName>
    <definedName name="__2__123Graph_LBL_ACHART_1" hidden="1">[4]Sheet1!$N$39:$N$47</definedName>
    <definedName name="__3__123Graph_XCHART_1" hidden="1">[4]Sheet1!$M$39:$M$47</definedName>
    <definedName name="__DAT1">#REF!</definedName>
    <definedName name="__DAT10">#REF!</definedName>
    <definedName name="__DAT11">'[1]CC LINESAPR-05 TO JUL- 05'!#REF!</definedName>
    <definedName name="__DAT12">'[1]CC LINESAPR-05 TO JUL- 05'!#REF!</definedName>
    <definedName name="__DAT13">#REF!</definedName>
    <definedName name="__DAT2">#REF!</definedName>
    <definedName name="__DAT3">#REF!</definedName>
    <definedName name="__DAT4">#REF!</definedName>
    <definedName name="__DAT5">#REF!</definedName>
    <definedName name="__DAT6">#REF!</definedName>
    <definedName name="__DAT7">'[1]CC LINESAPR-05 TO JUL- 05'!#REF!</definedName>
    <definedName name="__DAT8">#REF!</definedName>
    <definedName name="__DAT9">#REF!</definedName>
    <definedName name="__ng1">'[2]NG, Naphtha &amp; LSHS'!$B$2,'[2]NG, Naphtha &amp; LSHS'!$B$2:$F$22</definedName>
    <definedName name="__RL1">#REF!</definedName>
    <definedName name="__RL2">#REF!</definedName>
    <definedName name="__RL3">#REF!</definedName>
    <definedName name="_1__123Graph_ACHART_1" localSheetId="2" hidden="1">[6]Sheet1!$N$39:$N$47</definedName>
    <definedName name="_1__123Graph_ACHART_1" hidden="1">[7]Sheet1!$N$39:$N$47</definedName>
    <definedName name="_2__123Graph_LBL_ACHART_1" localSheetId="2" hidden="1">[6]Sheet1!$N$39:$N$47</definedName>
    <definedName name="_2__123Graph_LBL_ACHART_1" hidden="1">[7]Sheet1!$N$39:$N$47</definedName>
    <definedName name="_3__123Graph_ACHART_1" hidden="1">[4]Sheet1!$N$39:$N$47</definedName>
    <definedName name="_3__123Graph_XCHART_1" localSheetId="2" hidden="1">[6]Sheet1!$M$39:$M$47</definedName>
    <definedName name="_3__123Graph_XCHART_1" hidden="1">[7]Sheet1!$M$39:$M$47</definedName>
    <definedName name="_6__123Graph_LBL_ACHART_1" hidden="1">[4]Sheet1!$N$39:$N$47</definedName>
    <definedName name="_9__123Graph_XCHART_1" hidden="1">[4]Sheet1!$M$39:$M$47</definedName>
    <definedName name="_dat0001" localSheetId="11">'[8]CC LINESAPR-05 TO JUL- 05'!#REF!</definedName>
    <definedName name="_dat0001" localSheetId="21">'[8]CC LINESAPR-05 TO JUL- 05'!#REF!</definedName>
    <definedName name="_dat0001">'[9]CC LINESAPR-05 TO JUL- 05'!#REF!</definedName>
    <definedName name="_DAT1" localSheetId="11">#REF!</definedName>
    <definedName name="_DAT1" localSheetId="21">#REF!</definedName>
    <definedName name="_DAT1" localSheetId="2">#REF!</definedName>
    <definedName name="_DAT1">#REF!</definedName>
    <definedName name="_DAT10" localSheetId="2">#REF!</definedName>
    <definedName name="_DAT10">#REF!</definedName>
    <definedName name="_DAT11" localSheetId="21">#N/A</definedName>
    <definedName name="_DAT11" localSheetId="20">#N/A</definedName>
    <definedName name="_DAT11" localSheetId="2">#REF!</definedName>
    <definedName name="_DAT11">'[9]CC LINESAPR-05 TO JUL- 05'!#REF!</definedName>
    <definedName name="_DAT12" localSheetId="21">#N/A</definedName>
    <definedName name="_DAT12" localSheetId="20">#N/A</definedName>
    <definedName name="_DAT12" localSheetId="2">#REF!</definedName>
    <definedName name="_DAT12">'[9]CC LINESAPR-05 TO JUL- 05'!#REF!</definedName>
    <definedName name="_DAT13" localSheetId="11">#REF!</definedName>
    <definedName name="_DAT13" localSheetId="21">#REF!</definedName>
    <definedName name="_DAT13" localSheetId="2">#REF!</definedName>
    <definedName name="_DAT13">#REF!</definedName>
    <definedName name="_DAT14" localSheetId="11">#REF!</definedName>
    <definedName name="_DAT14" localSheetId="21">#REF!</definedName>
    <definedName name="_DAT14">#REF!</definedName>
    <definedName name="_DAT15">#REF!</definedName>
    <definedName name="_DAT16">#REF!</definedName>
    <definedName name="_DAT17">#REF!</definedName>
    <definedName name="_DAT18">#REF!</definedName>
    <definedName name="_DAT19">#REF!</definedName>
    <definedName name="_DAT2" localSheetId="11">#REF!</definedName>
    <definedName name="_DAT2" localSheetId="21">#REF!</definedName>
    <definedName name="_DAT2" localSheetId="2">'[10]Asset MAIN SHEET'!$B$4:$B$20</definedName>
    <definedName name="_DAT2">#REF!</definedName>
    <definedName name="_DAT20" localSheetId="11">#REF!</definedName>
    <definedName name="_DAT20" localSheetId="21">#REF!</definedName>
    <definedName name="_DAT20">#REF!</definedName>
    <definedName name="_DAT21" localSheetId="11">#REF!</definedName>
    <definedName name="_DAT21" localSheetId="21">#REF!</definedName>
    <definedName name="_DAT21">#REF!</definedName>
    <definedName name="_DAT22">#REF!</definedName>
    <definedName name="_DAT23">#REF!</definedName>
    <definedName name="_DAT24">#REF!</definedName>
    <definedName name="_DAT25">#REF!</definedName>
    <definedName name="_DAT27" localSheetId="11">[11]original!#REF!</definedName>
    <definedName name="_DAT27" localSheetId="21">[11]original!#REF!</definedName>
    <definedName name="_DAT27">[12]original!#REF!</definedName>
    <definedName name="_DAT28" localSheetId="11">[11]original!#REF!</definedName>
    <definedName name="_DAT28" localSheetId="21">[11]original!#REF!</definedName>
    <definedName name="_DAT28">[12]original!#REF!</definedName>
    <definedName name="_DAT29" localSheetId="11">[11]original!#REF!</definedName>
    <definedName name="_DAT29" localSheetId="21">[11]original!#REF!</definedName>
    <definedName name="_DAT29">[12]original!#REF!</definedName>
    <definedName name="_DAT3" localSheetId="11">#REF!</definedName>
    <definedName name="_DAT3" localSheetId="21">#REF!</definedName>
    <definedName name="_DAT3" localSheetId="2">#REF!</definedName>
    <definedName name="_DAT3">#REF!</definedName>
    <definedName name="_DAT30" localSheetId="11">[11]original!#REF!</definedName>
    <definedName name="_DAT30" localSheetId="21">[11]original!#REF!</definedName>
    <definedName name="_DAT30">[12]original!#REF!</definedName>
    <definedName name="_DAT31" localSheetId="11">[11]original!#REF!</definedName>
    <definedName name="_DAT31" localSheetId="21">[11]original!#REF!</definedName>
    <definedName name="_DAT31">[12]original!#REF!</definedName>
    <definedName name="_DAT4" localSheetId="11">#REF!</definedName>
    <definedName name="_DAT4" localSheetId="21">#REF!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1">#N/A</definedName>
    <definedName name="_DAT7" localSheetId="20">#N/A</definedName>
    <definedName name="_DAT7" localSheetId="2">#REF!</definedName>
    <definedName name="_DAT7">'[9]CC LINESAPR-05 TO JUL- 05'!#REF!</definedName>
    <definedName name="_DAT8" localSheetId="11">#REF!</definedName>
    <definedName name="_DAT8" localSheetId="21">#REF!</definedName>
    <definedName name="_DAT8" localSheetId="2">#REF!</definedName>
    <definedName name="_DAT8">#REF!</definedName>
    <definedName name="_DAT9" localSheetId="2">#REF!</definedName>
    <definedName name="_DAT9">#REF!</definedName>
    <definedName name="_Fill" localSheetId="2" hidden="1">#REF!</definedName>
    <definedName name="_Fill" hidden="1">#REF!</definedName>
    <definedName name="_xlnm._FilterDatabase" localSheetId="21" hidden="1">#REF!</definedName>
    <definedName name="_xlnm._FilterDatabase" localSheetId="20" hidden="1">#REF!</definedName>
    <definedName name="_xlnm._FilterDatabase" hidden="1">#REF!</definedName>
    <definedName name="_ng1">'[2]NG, Naphtha &amp; LSHS'!$B$2,'[2]NG, Naphtha &amp; LSHS'!$B$2:$F$22</definedName>
    <definedName name="_Order1" hidden="1">255</definedName>
    <definedName name="_Order2" hidden="1">255</definedName>
    <definedName name="_PP1" localSheetId="11">#REF!</definedName>
    <definedName name="_PP1" localSheetId="21">#REF!</definedName>
    <definedName name="_PP1">#REF!</definedName>
    <definedName name="_RL1" localSheetId="11">#REF!</definedName>
    <definedName name="_RL1" localSheetId="21">#REF!</definedName>
    <definedName name="_RL1">#REF!</definedName>
    <definedName name="_RL2" localSheetId="11">#REF!</definedName>
    <definedName name="_RL2" localSheetId="21">#REF!</definedName>
    <definedName name="_RL2">#REF!</definedName>
    <definedName name="_RL3">#REF!</definedName>
    <definedName name="_sec">'[13]Long-Term Borrowings'!$K$2:$K$3</definedName>
    <definedName name="a" localSheetId="11">#REF!</definedName>
    <definedName name="a" localSheetId="21">#REF!</definedName>
    <definedName name="a">[14]Sheet1!$A$4:$A$272</definedName>
    <definedName name="aa">10</definedName>
    <definedName name="Abstract">#REF!</definedName>
    <definedName name="Account_Reconciliation" localSheetId="11">#REF!</definedName>
    <definedName name="Account_Reconciliation" localSheetId="21">#REF!</definedName>
    <definedName name="Account_Reconciliation">#REF!</definedName>
    <definedName name="ACD_2B_WORKING1">#REF!</definedName>
    <definedName name="ACD_2B_WORKING2">#REF!</definedName>
    <definedName name="ACD_2B_WORKING3">#REF!</definedName>
    <definedName name="ACD_2B_WORKING4">#REF!</definedName>
    <definedName name="ACD_2B_WORKING5">#REF!</definedName>
    <definedName name="ACD_2B_WORKING6">#REF!</definedName>
    <definedName name="ACD_2B_WORKING7">#REF!</definedName>
    <definedName name="ACTAPRJUN00" localSheetId="11">#REF!</definedName>
    <definedName name="ACTAPRJUN00" localSheetId="21">#REF!</definedName>
    <definedName name="ACTAPRJUN00">#REF!</definedName>
    <definedName name="ADMN_HRD" localSheetId="2">[6]Sheet1!$B$188:$G$228</definedName>
    <definedName name="ADMN_HRD">[7]Sheet1!$B$188:$G$228</definedName>
    <definedName name="Ammonia" localSheetId="11">#REF!</definedName>
    <definedName name="Ammonia" localSheetId="21">#REF!</definedName>
    <definedName name="Ammonia">#REF!</definedName>
    <definedName name="Ammonia_1">#REF!</definedName>
    <definedName name="Ammonia_2">#REF!</definedName>
    <definedName name="ammoniaadj" localSheetId="11">#REF!</definedName>
    <definedName name="ammoniaadj" localSheetId="21">#REF!</definedName>
    <definedName name="ammoniaadj" localSheetId="2">#REF!</definedName>
    <definedName name="ammoniaadj">#REF!</definedName>
    <definedName name="AmmoniaSales" localSheetId="2">#REF!</definedName>
    <definedName name="AmmoniaSales">#REF!</definedName>
    <definedName name="Annex">#REF!</definedName>
    <definedName name="AOB" localSheetId="2">[6]Sheet1!$B$102:$G$123</definedName>
    <definedName name="AOB">[7]Sheet1!$B$102:$G$123</definedName>
    <definedName name="b" localSheetId="11">'[8]CC LINESAPR-05 TO JUL- 05'!#REF!</definedName>
    <definedName name="b" localSheetId="21">'[8]CC LINESAPR-05 TO JUL- 05'!#REF!</definedName>
    <definedName name="b">'[9]CC LINESAPR-05 TO JUL- 05'!#REF!</definedName>
    <definedName name="BAGGED_2002_2003" localSheetId="11">#REF!</definedName>
    <definedName name="BAGGED_2002_2003" localSheetId="21">#REF!</definedName>
    <definedName name="BAGGED_2002_2003" localSheetId="2">#REF!</definedName>
    <definedName name="BAGGED_2002_2003">#REF!</definedName>
    <definedName name="BAGS_CONSUMPTION" localSheetId="11">#REF!</definedName>
    <definedName name="BAGS_CONSUMPTION" localSheetId="21">#REF!</definedName>
    <definedName name="BAGS_CONSUMPTION">#REF!</definedName>
    <definedName name="BaseYear">[15]Controls!$C$13</definedName>
    <definedName name="basis" localSheetId="11">#REF!</definedName>
    <definedName name="basis" localSheetId="21">#N/A</definedName>
    <definedName name="basis" localSheetId="20">#N/A</definedName>
    <definedName name="basis" localSheetId="2">#REF!</definedName>
    <definedName name="basis">#REF!</definedName>
    <definedName name="BEx3O85IKWARA6NCJOLRBRJFMEWW" hidden="1">[16]Table!#REF!</definedName>
    <definedName name="BEx5MLQZM68YQSKARVWTTPINFQ2C" hidden="1">[16]Table!#REF!</definedName>
    <definedName name="BExERWCEBKQRYWRQLYJ4UCMMKTHG" hidden="1">[16]Table!#REF!</definedName>
    <definedName name="BExMBYPQDG9AYDQ5E8IECVFREPO6" hidden="1">[16]Table!#REF!</definedName>
    <definedName name="BExQ9ZLYHWABXAA9NJDW8ZS0UQ9P" hidden="1">[16]Table!#REF!</definedName>
    <definedName name="BExTUY9WNSJ91GV8CP0SKJTEIV82" hidden="1">[16]Table!#REF!</definedName>
    <definedName name="billTDS27b">#REF!</definedName>
    <definedName name="BLOCK0">#REF!</definedName>
    <definedName name="bs" localSheetId="11">#REF!</definedName>
    <definedName name="bs" localSheetId="21">#REF!</definedName>
    <definedName name="bs">#REF!</definedName>
    <definedName name="BUDGET">#REF!</definedName>
    <definedName name="budgetaprjun00">#REF!</definedName>
    <definedName name="budgetaprjun01">#REF!</definedName>
    <definedName name="CASHADJ">#REF!</definedName>
    <definedName name="CASHFLOWANALYSIS">#REF!</definedName>
    <definedName name="cataB" localSheetId="11">[17]catalyst!#REF!</definedName>
    <definedName name="cataB" localSheetId="21">[17]catalyst!#REF!</definedName>
    <definedName name="cataB">[18]catalyst!#REF!</definedName>
    <definedName name="cataC" localSheetId="11">[17]catalyst!#REF!</definedName>
    <definedName name="cataC" localSheetId="21">[17]catalyst!#REF!</definedName>
    <definedName name="cataC">[18]catalyst!#REF!</definedName>
    <definedName name="cdb_2">#REF!</definedName>
    <definedName name="CF" localSheetId="11">#REF!</definedName>
    <definedName name="CF" localSheetId="21">#REF!</definedName>
    <definedName name="CF">#REF!</definedName>
    <definedName name="CF1_" localSheetId="11">#REF!</definedName>
    <definedName name="CF1_" localSheetId="21">#REF!</definedName>
    <definedName name="CF1_">#REF!</definedName>
    <definedName name="CFF">#REF!</definedName>
    <definedName name="chemicals">[4]Sheet1!$B$383:$G$409</definedName>
    <definedName name="cif">#REF!</definedName>
    <definedName name="CIQWBGuid" hidden="1">"f53fa9d3-491b-46d5-b278-f7d5f0d079db"</definedName>
    <definedName name="Civil">#REF!</definedName>
    <definedName name="cl16a" localSheetId="2">#REF!</definedName>
    <definedName name="cl16a">#REF!</definedName>
    <definedName name="cl16b85091175esi" localSheetId="2">#REF!</definedName>
    <definedName name="cl16b85091175esi">#REF!</definedName>
    <definedName name="cl17h" localSheetId="2">#REF!</definedName>
    <definedName name="cl17h">#REF!</definedName>
    <definedName name="cl18and20">#REF!</definedName>
    <definedName name="COD">[19]Ch_Proj_para!$C$14</definedName>
    <definedName name="Company">[15]Controls!$C$6</definedName>
    <definedName name="Concession_start">[20]assumptions!$D$15</definedName>
    <definedName name="CondMont" localSheetId="11">#REF!</definedName>
    <definedName name="CondMont" localSheetId="21">#REF!</definedName>
    <definedName name="CondMont">#REF!</definedName>
    <definedName name="conflcit">'[21]raw non ata'!#REF!</definedName>
    <definedName name="CONSTORE" localSheetId="11">#REF!</definedName>
    <definedName name="CONSTORE" localSheetId="21">#REF!</definedName>
    <definedName name="CONSTORE">#REF!</definedName>
    <definedName name="contsummary">#REF!</definedName>
    <definedName name="CORPCOM" localSheetId="2">[6]Sheet1!$B$328:$G$343</definedName>
    <definedName name="CORPCOM">[7]Sheet1!$B$328:$G$343</definedName>
    <definedName name="CORPLNG" localSheetId="2">[6]Sheet1!$B$265:$G$278</definedName>
    <definedName name="CORPLNG">[7]Sheet1!$B$265:$G$278</definedName>
    <definedName name="costpermt" localSheetId="11">#REF!</definedName>
    <definedName name="costpermt" localSheetId="21">#REF!</definedName>
    <definedName name="costpermt" localSheetId="2">#REF!</definedName>
    <definedName name="costpermt">#REF!</definedName>
    <definedName name="CpcTDS27b">#REF!</definedName>
    <definedName name="CPP_1">#REF!</definedName>
    <definedName name="CPP_2">#REF!</definedName>
    <definedName name="CRIT1">#REF!</definedName>
    <definedName name="CRIT10">#REF!</definedName>
    <definedName name="CRIT11">#REF!</definedName>
    <definedName name="CRIT12">#REF!</definedName>
    <definedName name="CRIT13">#REF!</definedName>
    <definedName name="CRIT14">#REF!</definedName>
    <definedName name="CRIT15">#REF!</definedName>
    <definedName name="CRIT16">#REF!</definedName>
    <definedName name="CRIT17">#REF!</definedName>
    <definedName name="CRIT18">#REF!</definedName>
    <definedName name="CRIT19">#REF!</definedName>
    <definedName name="CRIT2">#REF!</definedName>
    <definedName name="CRIT20">#REF!</definedName>
    <definedName name="CRIT21">#REF!</definedName>
    <definedName name="CRIT22">#REF!</definedName>
    <definedName name="CRIT23">#REF!</definedName>
    <definedName name="CRIT24">#REF!</definedName>
    <definedName name="CRIT25">#REF!</definedName>
    <definedName name="CRIT26">#REF!</definedName>
    <definedName name="CRIT27">#REF!</definedName>
    <definedName name="CRIT28">#REF!</definedName>
    <definedName name="CRIT29">#REF!</definedName>
    <definedName name="CRIT3">#REF!</definedName>
    <definedName name="CRIT30">#REF!</definedName>
    <definedName name="CRIT31">#REF!</definedName>
    <definedName name="CRIT32">#REF!</definedName>
    <definedName name="CRIT4">#REF!</definedName>
    <definedName name="CRIT5">#REF!</definedName>
    <definedName name="CRIT6">#REF!</definedName>
    <definedName name="CRIT7">#REF!</definedName>
    <definedName name="CRIT8">#REF!</definedName>
    <definedName name="CRIT9">#REF!</definedName>
    <definedName name="CURRACT">#REF!</definedName>
    <definedName name="DATA" localSheetId="11">#REF!</definedName>
    <definedName name="DATA" localSheetId="21">#N/A</definedName>
    <definedName name="DATA" localSheetId="20">#N/A</definedName>
    <definedName name="data" localSheetId="2">'[21]raw non ata'!#REF!</definedName>
    <definedName name="DATA">#REF!</definedName>
    <definedName name="DATA1" localSheetId="11">#REF!</definedName>
    <definedName name="DATA1" localSheetId="21">#REF!</definedName>
    <definedName name="DATA1" localSheetId="2">#REF!</definedName>
    <definedName name="DATA1">#REF!</definedName>
    <definedName name="DATA10" localSheetId="2">#REF!</definedName>
    <definedName name="DATA10">[22]Sheet1!#REF!</definedName>
    <definedName name="data100">'[21]raw non ata'!#REF!</definedName>
    <definedName name="DATA11" localSheetId="2">#REF!</definedName>
    <definedName name="DATA11">[22]Sheet1!#REF!</definedName>
    <definedName name="DATA12" localSheetId="2">#REF!</definedName>
    <definedName name="DATA12">[22]Sheet1!#REF!</definedName>
    <definedName name="DATA13" localSheetId="2">#REF!</definedName>
    <definedName name="DATA13">[22]Sheet1!#REF!</definedName>
    <definedName name="DATA14" localSheetId="2">#REF!</definedName>
    <definedName name="DATA14">[22]Sheet1!#REF!</definedName>
    <definedName name="DATA15" localSheetId="2">#REF!</definedName>
    <definedName name="DATA15">[22]Sheet1!#REF!</definedName>
    <definedName name="DATA16" localSheetId="2">#REF!</definedName>
    <definedName name="DATA16">[22]Sheet1!#REF!</definedName>
    <definedName name="DATA17" localSheetId="11">#REF!</definedName>
    <definedName name="DATA17" localSheetId="21">#REF!</definedName>
    <definedName name="DATA17" localSheetId="2">#REF!</definedName>
    <definedName name="DATA17">#REF!</definedName>
    <definedName name="DATA18" localSheetId="2">#REF!</definedName>
    <definedName name="DATA18">#REF!</definedName>
    <definedName name="DATA19" localSheetId="2">#REF!</definedName>
    <definedName name="DATA19">#REF!</definedName>
    <definedName name="DATA2" localSheetId="2">#REF!</definedName>
    <definedName name="DATA2">#REF!</definedName>
    <definedName name="DATA20" localSheetId="2">#REF!</definedName>
    <definedName name="DATA20">#REF!</definedName>
    <definedName name="DATA206">#REF!</definedName>
    <definedName name="DATA21" localSheetId="2">#REF!</definedName>
    <definedName name="DATA21">#REF!</definedName>
    <definedName name="DATA22" localSheetId="2">#REF!</definedName>
    <definedName name="DATA22">#REF!</definedName>
    <definedName name="DATA23" localSheetId="2">#REF!</definedName>
    <definedName name="DATA23">#REF!</definedName>
    <definedName name="DATA24" localSheetId="2">#REF!</definedName>
    <definedName name="DATA24">#REF!</definedName>
    <definedName name="DATA25" localSheetId="2">#REF!</definedName>
    <definedName name="DATA25">#REF!</definedName>
    <definedName name="DATA26" localSheetId="2">#REF!</definedName>
    <definedName name="DATA26">#REF!</definedName>
    <definedName name="DATA27" localSheetId="2">#REF!</definedName>
    <definedName name="DATA27">#REF!</definedName>
    <definedName name="DATA28" localSheetId="2">#REF!</definedName>
    <definedName name="DATA28">#REF!</definedName>
    <definedName name="DATA29" localSheetId="2">#REF!</definedName>
    <definedName name="DATA29">#REF!</definedName>
    <definedName name="DATA3" localSheetId="2">#REF!</definedName>
    <definedName name="DATA3">#REF!</definedName>
    <definedName name="DATA30" localSheetId="2">#REF!</definedName>
    <definedName name="DATA30">#REF!</definedName>
    <definedName name="DATA31" localSheetId="2">#REF!</definedName>
    <definedName name="DATA31">#REF!</definedName>
    <definedName name="DATA32" localSheetId="2">#REF!</definedName>
    <definedName name="DATA32">#REF!</definedName>
    <definedName name="DATA33" localSheetId="2">#REF!</definedName>
    <definedName name="DATA33">#REF!</definedName>
    <definedName name="DATA34" localSheetId="2">#REF!</definedName>
    <definedName name="DATA34">#REF!</definedName>
    <definedName name="DATA35" localSheetId="2">#REF!</definedName>
    <definedName name="DATA35">#REF!</definedName>
    <definedName name="DATA36" localSheetId="2">#REF!</definedName>
    <definedName name="DATA36">#REF!</definedName>
    <definedName name="DATA37" localSheetId="2">#REF!</definedName>
    <definedName name="DATA37">#REF!</definedName>
    <definedName name="DATA38" localSheetId="2">#REF!</definedName>
    <definedName name="DATA38">#REF!</definedName>
    <definedName name="DATA39" localSheetId="2">#REF!</definedName>
    <definedName name="DATA39">#REF!</definedName>
    <definedName name="DATA4" localSheetId="2">#REF!</definedName>
    <definedName name="data4">#REF!</definedName>
    <definedName name="DATA40" localSheetId="2">#REF!</definedName>
    <definedName name="DATA40">#REF!</definedName>
    <definedName name="DATA41" localSheetId="2">#REF!</definedName>
    <definedName name="DATA41">#REF!</definedName>
    <definedName name="DATA42" localSheetId="2">#REF!</definedName>
    <definedName name="DATA42">#REF!</definedName>
    <definedName name="DATA43" localSheetId="2">#REF!</definedName>
    <definedName name="DATA43">#REF!</definedName>
    <definedName name="DATA44" localSheetId="2">#REF!</definedName>
    <definedName name="DATA44">#REF!</definedName>
    <definedName name="DATA45" localSheetId="2">#REF!</definedName>
    <definedName name="DATA45">#REF!</definedName>
    <definedName name="DATA46" localSheetId="2">#REF!</definedName>
    <definedName name="DATA46">#REF!</definedName>
    <definedName name="DATA47" localSheetId="2">#REF!</definedName>
    <definedName name="DATA47">#REF!</definedName>
    <definedName name="DATA48" localSheetId="2">#REF!</definedName>
    <definedName name="DATA48">#REF!</definedName>
    <definedName name="DATA49" localSheetId="2">#REF!</definedName>
    <definedName name="DATA49">#REF!</definedName>
    <definedName name="DATA5" localSheetId="2">#REF!</definedName>
    <definedName name="DATA5">#REF!</definedName>
    <definedName name="DATA50" localSheetId="2">#REF!</definedName>
    <definedName name="DATA50">#REF!</definedName>
    <definedName name="DATA51" localSheetId="2">#REF!</definedName>
    <definedName name="DATA51">#REF!</definedName>
    <definedName name="DATA52" localSheetId="2">#REF!</definedName>
    <definedName name="DATA52">#REF!</definedName>
    <definedName name="DATA53" localSheetId="2">#REF!</definedName>
    <definedName name="DATA53">#REF!</definedName>
    <definedName name="DATA54" localSheetId="2">#REF!</definedName>
    <definedName name="DATA54">#REF!</definedName>
    <definedName name="DATA55" localSheetId="2">#REF!</definedName>
    <definedName name="DATA55">#REF!</definedName>
    <definedName name="DATA56" localSheetId="2">#REF!</definedName>
    <definedName name="DATA56">#REF!</definedName>
    <definedName name="DATA57" localSheetId="2">#REF!</definedName>
    <definedName name="DATA57">#REF!</definedName>
    <definedName name="DATA58" localSheetId="2">#REF!</definedName>
    <definedName name="DATA58">#REF!</definedName>
    <definedName name="DATA59" localSheetId="2">#REF!</definedName>
    <definedName name="DATA59">#REF!</definedName>
    <definedName name="DATA6" localSheetId="2">#REF!</definedName>
    <definedName name="DATA6">#REF!</definedName>
    <definedName name="DATA60" localSheetId="2">#REF!</definedName>
    <definedName name="DATA60">#REF!</definedName>
    <definedName name="DATA61" localSheetId="2">#REF!</definedName>
    <definedName name="DATA61">#REF!</definedName>
    <definedName name="DATA62" localSheetId="2">#REF!</definedName>
    <definedName name="DATA62">#REF!</definedName>
    <definedName name="DATA63" localSheetId="2">#REF!</definedName>
    <definedName name="DATA63">#REF!</definedName>
    <definedName name="DATA64" localSheetId="2">#REF!</definedName>
    <definedName name="DATA64">#REF!</definedName>
    <definedName name="DATA65" localSheetId="2">#REF!</definedName>
    <definedName name="DATA65">#REF!</definedName>
    <definedName name="DATA66" localSheetId="2">#REF!</definedName>
    <definedName name="DATA66">#REF!</definedName>
    <definedName name="DATA67" localSheetId="2">#REF!</definedName>
    <definedName name="DATA67">#REF!</definedName>
    <definedName name="DATA68" localSheetId="2">#REF!</definedName>
    <definedName name="DATA68">#REF!</definedName>
    <definedName name="DATA69" localSheetId="2">#REF!</definedName>
    <definedName name="DATA69">#REF!</definedName>
    <definedName name="DATA7" localSheetId="2">#REF!</definedName>
    <definedName name="DATA7">#REF!</definedName>
    <definedName name="DATA8" localSheetId="2">#REF!</definedName>
    <definedName name="DATA8">#REF!</definedName>
    <definedName name="DATA9" localSheetId="2">#REF!</definedName>
    <definedName name="DATA9">[22]Sheet1!#REF!</definedName>
    <definedName name="_xlnm.Database" localSheetId="11">#REF!</definedName>
    <definedName name="_xlnm.Database" localSheetId="21">#REF!</definedName>
    <definedName name="_xlnm.Database">#REF!</definedName>
    <definedName name="dataentry1" localSheetId="11">#REF!</definedName>
    <definedName name="dataentry1" localSheetId="21">#REF!</definedName>
    <definedName name="dataentry1" localSheetId="2">#REF!</definedName>
    <definedName name="dataentry1">#REF!</definedName>
    <definedName name="dataentry2" localSheetId="2">#REF!</definedName>
    <definedName name="dataentry2">#REF!</definedName>
    <definedName name="dataentry3" localSheetId="2">#REF!</definedName>
    <definedName name="dataentry3">#REF!</definedName>
    <definedName name="dataentry4" localSheetId="2">#REF!</definedName>
    <definedName name="dataentry4">#REF!</definedName>
    <definedName name="date24">#REF!</definedName>
    <definedName name="date25">#REF!</definedName>
    <definedName name="date38">#REF!</definedName>
    <definedName name="date39">#REF!</definedName>
    <definedName name="date40">#REF!</definedName>
    <definedName name="date41">#REF!</definedName>
    <definedName name="date42">#REF!</definedName>
    <definedName name="days" localSheetId="11">[23]Para!$D$111</definedName>
    <definedName name="days" localSheetId="21">[23]Para!$D$111</definedName>
    <definedName name="days">[24]Para!$D$111</definedName>
    <definedName name="Days_PA">[19]Ch_Proj_para!$C$27</definedName>
    <definedName name="days_yr" localSheetId="11">[23]Para!$D$111</definedName>
    <definedName name="days_yr" localSheetId="21">[23]Para!$D$111</definedName>
    <definedName name="days_yr">[24]Para!$D$111</definedName>
    <definedName name="Dec18_keytrade">#REF!</definedName>
    <definedName name="dep" localSheetId="11">#REF!</definedName>
    <definedName name="dep" localSheetId="21">#REF!</definedName>
    <definedName name="dep">#REF!</definedName>
    <definedName name="Dep_1">'[25]Long-Term Borrowings'!$K$2:$K$3</definedName>
    <definedName name="DeptList">[26]Footage!$A$6:$B$124</definedName>
    <definedName name="details" localSheetId="11">[27]sch6!#REF!</definedName>
    <definedName name="details" localSheetId="21">[27]sch6!#REF!</definedName>
    <definedName name="details">[27]sch6!#REF!</definedName>
    <definedName name="dfd">#REF!</definedName>
    <definedName name="DIFF" localSheetId="11">#REF!</definedName>
    <definedName name="DIFF" localSheetId="21">#REF!</definedName>
    <definedName name="DIFF">#REF!</definedName>
    <definedName name="div">'[28]Div Summ'!$B$54:$AE$110</definedName>
    <definedName name="div_overheads_sum" localSheetId="2">'[28]Div Summ'!$B$54:$AE$110</definedName>
    <definedName name="div_overheads_sum">'[29]Div Summ'!$B$54:$AE$110</definedName>
    <definedName name="Diversification" localSheetId="11">[30]Sheet2!$AM$88:$AR$133</definedName>
    <definedName name="Diversification" localSheetId="21">[31]Sheet2!$AM$88:$AR$133</definedName>
    <definedName name="Diversification" localSheetId="20">[32]Sheet2!$AM$88:$AR$133</definedName>
    <definedName name="Diversification">[31]Sheet2!$AM$88:$AR$133</definedName>
    <definedName name="DM_Water">#REF!</definedName>
    <definedName name="DollarHeader">[15]Controls!$D$12</definedName>
    <definedName name="downside">[15]Inputs!$L$63</definedName>
    <definedName name="DR_SELECT" localSheetId="3">[33]MasterControl!$E$70</definedName>
    <definedName name="DR_SELECT">[33]MasterControl!$E$70</definedName>
    <definedName name="DTC_App">[19]Ch_Proj_para!$K$33</definedName>
    <definedName name="DTC_Corp">[19]Ch_Proj_para!$K$32</definedName>
    <definedName name="DTC_MAT">[19]Ch_Proj_para!$K$31</definedName>
    <definedName name="DTC_year">[19]Ch_Proj_para!$K$34</definedName>
    <definedName name="ECA" localSheetId="11">#REF!</definedName>
    <definedName name="ECA" localSheetId="21">#REF!</definedName>
    <definedName name="ECA">#REF!</definedName>
    <definedName name="ECA_Certificate" localSheetId="11">#REF!</definedName>
    <definedName name="ECA_Certificate" localSheetId="21">#REF!</definedName>
    <definedName name="ECA_Certificate">#REF!</definedName>
    <definedName name="EDP" localSheetId="2">[6]Sheet1!$B$280:$G$325</definedName>
    <definedName name="EDP">[7]Sheet1!$B$280:$G$325</definedName>
    <definedName name="Elec" localSheetId="11">#REF!</definedName>
    <definedName name="Elec" localSheetId="21">#REF!</definedName>
    <definedName name="Elec">#REF!</definedName>
    <definedName name="EMPCOST" localSheetId="11">#REF!</definedName>
    <definedName name="EMPCOST" localSheetId="21">#REF!</definedName>
    <definedName name="EMPCOST">#REF!</definedName>
    <definedName name="enereco" localSheetId="2">#REF!</definedName>
    <definedName name="enereco">#REF!</definedName>
    <definedName name="Energy" localSheetId="2">#REF!</definedName>
    <definedName name="Energy">#REF!</definedName>
    <definedName name="energyconsm">#REF!</definedName>
    <definedName name="EnergySubsidyCal" localSheetId="2">#REF!</definedName>
    <definedName name="EnergySubsidyCal">#REF!</definedName>
    <definedName name="ERAS1">#REF!</definedName>
    <definedName name="ERAS2">#REF!</definedName>
    <definedName name="ESR">#REF!</definedName>
    <definedName name="expenditure" localSheetId="2">[28]budget!$C$51:$U$82</definedName>
    <definedName name="expenditure">[29]budget!$C$51:$U$82</definedName>
    <definedName name="EXTORDEXP" localSheetId="11">#REF!</definedName>
    <definedName name="EXTORDEXP" localSheetId="21">#REF!</definedName>
    <definedName name="EXTORDEXP">#REF!</definedName>
    <definedName name="EXTORDINC" localSheetId="11">#REF!</definedName>
    <definedName name="EXTORDINC" localSheetId="21">#REF!</definedName>
    <definedName name="EXTORDINC">#REF!</definedName>
    <definedName name="FandS" localSheetId="11">#REF!</definedName>
    <definedName name="FandS" localSheetId="21">#REF!</definedName>
    <definedName name="FandS">#REF!</definedName>
    <definedName name="feedbreakup" localSheetId="11">#REF!</definedName>
    <definedName name="feedbreakup" localSheetId="21">#N/A</definedName>
    <definedName name="feedbreakup" localSheetId="20">#N/A</definedName>
    <definedName name="feedbreakup" localSheetId="2">#REF!</definedName>
    <definedName name="feedbreakup">#REF!</definedName>
    <definedName name="feedfuelreport" localSheetId="11">#REF!</definedName>
    <definedName name="feedfuelreport" localSheetId="21">#N/A</definedName>
    <definedName name="feedfuelreport" localSheetId="20">#N/A</definedName>
    <definedName name="feedfuelreport" localSheetId="2">#REF!</definedName>
    <definedName name="feedfuelreport">#REF!</definedName>
    <definedName name="FF">#REF!</definedName>
    <definedName name="FFS">#REF!</definedName>
    <definedName name="FFU">#REF!</definedName>
    <definedName name="FICC_PLANT1" localSheetId="11">'[30]Gas Tot'!#REF!</definedName>
    <definedName name="FICC_PLANT1" localSheetId="21">'[30]Gas Tot'!#REF!</definedName>
    <definedName name="FICC_PLANT1">'[31]Gas Tot'!#REF!</definedName>
    <definedName name="FICC_PLANT2" localSheetId="11">'[30]Gas Tot'!#REF!</definedName>
    <definedName name="FICC_PLANT2" localSheetId="21">'[30]Gas Tot'!#REF!</definedName>
    <definedName name="FICC_PLANT2">'[31]Gas Tot'!#REF!</definedName>
    <definedName name="Finance" localSheetId="11">#REF!</definedName>
    <definedName name="Finance" localSheetId="21">#REF!</definedName>
    <definedName name="Finance">#REF!</definedName>
    <definedName name="fixed">#REF!</definedName>
    <definedName name="fixedassets" localSheetId="11">[30]Sheet2!$AM$1:$AT$74</definedName>
    <definedName name="fixedassets" localSheetId="21">[31]Sheet2!$AM$1:$AT$74</definedName>
    <definedName name="fixedassets" localSheetId="20">[32]Sheet2!$AM$1:$AT$74</definedName>
    <definedName name="fixedassets">[31]Sheet2!$AM$1:$AT$74</definedName>
    <definedName name="for_month" localSheetId="21">#N/A</definedName>
    <definedName name="for_month" localSheetId="20">#N/A</definedName>
    <definedName name="for_month">[34]Analysis!$B$2:$Z$362</definedName>
    <definedName name="Forex">#REF!</definedName>
    <definedName name="Format" localSheetId="11">#REF!</definedName>
    <definedName name="Format" localSheetId="21">#REF!</definedName>
    <definedName name="Format">#REF!</definedName>
    <definedName name="FP28B">#REF!</definedName>
    <definedName name="fsddfsdfdsf" localSheetId="11">#REF!</definedName>
    <definedName name="fsddfsdfdsf" localSheetId="21">#REF!</definedName>
    <definedName name="fsddfsdfdsf">#REF!</definedName>
    <definedName name="fsdf">#REF!</definedName>
    <definedName name="fulebreakup" localSheetId="11">#REF!</definedName>
    <definedName name="fulebreakup" localSheetId="21">#N/A</definedName>
    <definedName name="fulebreakup" localSheetId="20">#N/A</definedName>
    <definedName name="fulebreakup" localSheetId="2">#REF!</definedName>
    <definedName name="fulebreakup">#REF!</definedName>
    <definedName name="GAIIL_CERTIFICATE">#REF!</definedName>
    <definedName name="GAS_WORKINGS">#REF!</definedName>
    <definedName name="Geneng">#REF!</definedName>
    <definedName name="GR">#REF!</definedName>
    <definedName name="grpschvsfinsta" localSheetId="11">[30]Sheet3!#REF!</definedName>
    <definedName name="grpschvsfinsta" localSheetId="21">[30]Sheet3!#REF!</definedName>
    <definedName name="grpschvsfinsta">[31]Sheet3!#REF!</definedName>
    <definedName name="GRSALES" localSheetId="11">#REF!</definedName>
    <definedName name="GRSALES" localSheetId="21">#REF!</definedName>
    <definedName name="GRSALES">#REF!</definedName>
    <definedName name="GSLIS_SECOND">'[35]67031-GSLIS MAR-08'!#REF!</definedName>
    <definedName name="GUIDE" localSheetId="11">#REF!</definedName>
    <definedName name="GUIDE" localSheetId="21">#REF!</definedName>
    <definedName name="GUIDE">#REF!</definedName>
    <definedName name="HDPE_CONSUM_BREAKUP" localSheetId="11">#REF!</definedName>
    <definedName name="HDPE_CONSUM_BREAKUP" localSheetId="21">#REF!</definedName>
    <definedName name="HDPE_CONSUM_BREAKUP">#REF!</definedName>
    <definedName name="Header" localSheetId="11">#REF!</definedName>
    <definedName name="Header" localSheetId="21">#REF!</definedName>
    <definedName name="Header">#REF!</definedName>
    <definedName name="howToChange">#REF!</definedName>
    <definedName name="howToCheck">#REF!</definedName>
    <definedName name="HRC" localSheetId="2">[6]Sheet1!$B$244:$G$264</definedName>
    <definedName name="HRC">[7]Sheet1!$B$244:$G$264</definedName>
    <definedName name="HRD" localSheetId="2">[6]Sheet1!$B$244:$G$264</definedName>
    <definedName name="HRD">[7]Sheet1!$B$244:$G$264</definedName>
    <definedName name="income" localSheetId="2">[28]budget!$C$18:$U$49</definedName>
    <definedName name="income">[29]budget!$C$18:$U$49</definedName>
    <definedName name="index" localSheetId="2">[28]index!$B$2</definedName>
    <definedName name="index">[29]index!$B$2</definedName>
    <definedName name="Inst" localSheetId="11">#REF!</definedName>
    <definedName name="Inst" localSheetId="21">#REF!</definedName>
    <definedName name="Inst">#REF!</definedName>
    <definedName name="int_rate_table">'[36]int module'!$A$17:$Z$27</definedName>
    <definedName name="INTEREST" localSheetId="11">#REF!</definedName>
    <definedName name="INTEREST" localSheetId="21">#REF!</definedName>
    <definedName name="INTEREST">#REF!</definedName>
    <definedName name="interest_Depreciation" localSheetId="21">#N/A</definedName>
    <definedName name="interest_Depreciation" localSheetId="20">#N/A</definedName>
    <definedName name="interest_Depreciation" localSheetId="2">[28]budget!$C$109:$U$138</definedName>
    <definedName name="interest_Depreciation">[29]budget!$C$109:$U$138</definedName>
    <definedName name="invA" localSheetId="11">#REF!</definedName>
    <definedName name="invA" localSheetId="21">#REF!</definedName>
    <definedName name="invA" localSheetId="2">#REF!</definedName>
    <definedName name="invA">#REF!</definedName>
    <definedName name="invB" localSheetId="2">#REF!</definedName>
    <definedName name="invB">#REF!</definedName>
    <definedName name="INVC" localSheetId="11">#REF!</definedName>
    <definedName name="INVC" localSheetId="21">#N/A</definedName>
    <definedName name="INVC" localSheetId="20">#N/A</definedName>
    <definedName name="INVC" localSheetId="2">#REF!</definedName>
    <definedName name="INVC">#REF!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CCOUNT_CHANGE" hidden="1">"c1449"</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_INVEST_SECURITIES_FFIEC" hidden="1">"c13458"</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LIST" hidden="1">"c13505"</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COMBINATIONS_FFIEC" hidden="1">"c12967"</definedName>
    <definedName name="IQ_BUSINESS_DESCRIPTION" hidden="1">"c322"</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DERIVATIVES_BENEFICIARY_FFIEC" hidden="1">"c13119"</definedName>
    <definedName name="IQ_CDS_DERIVATIVES_GUARANTOR_FFIEC" hidden="1">"c13112"</definedName>
    <definedName name="IQ_CDS_LIST" hidden="1">"c13510"</definedName>
    <definedName name="IQ_CDS_LOAN_LIST" hidden="1">"c13518"</definedName>
    <definedName name="IQ_CDS_SENIOR_LIST" hidden="1">"c13508"</definedName>
    <definedName name="IQ_CDS_SUB_LIST" hidden="1">"c13509"</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USTRIAL_LOANS_FFIEC" hidden="1">"c12821"</definedName>
    <definedName name="IQ_COMM_INDUSTRIAL_NON_US_LL_REC_FFIEC" hidden="1">"c12888"</definedName>
    <definedName name="IQ_COMM_INDUSTRIAL_US_LL_REC_FFIEC" hidden="1">"c12887"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SION_COMMON_FFIEC" hidden="1">"c12964"</definedName>
    <definedName name="IQ_CONVERSION_PREF_FFIEC" hidden="1">"c12962"</definedName>
    <definedName name="IQ_CONVERT" hidden="1">"c2536"</definedName>
    <definedName name="IQ_CONVERT_PCT" hidden="1">"c2537"</definedName>
    <definedName name="IQ_CONVEYED_TO_OTHERS_FDIC" hidden="1">"c6534"</definedName>
    <definedName name="IQ_CORE_CAPITAL_RATIO_FDIC" hidden="1">"c6745"</definedName>
    <definedName name="IQ_CORE_DEPOSITS_ASSETS_TOT_FFIEC" hidden="1">"c13442"</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INCL_MARGIN" hidden="1">"c387"</definedName>
    <definedName name="IQ_EBT_INS" hidden="1">"c388"</definedName>
    <definedName name="IQ_EBT_RE" hidden="1">"c6215"</definedName>
    <definedName name="IQ_EBT_REIT" hidden="1">"c389"</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P" hidden="1">"c8880"</definedName>
    <definedName name="IQ_EPS_AP_ABS" hidden="1">"c8899"</definedName>
    <definedName name="IQ_EPS_EST" hidden="1">"c399"</definedName>
    <definedName name="IQ_EPS_EST_CIQ" hidden="1">"c4994"</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UM_EST" hidden="1">"c402"</definedName>
    <definedName name="IQ_EPS_NUM_EST_CIQ" hidden="1">"c4992"</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T_CURRENCY" hidden="1">"c2140"</definedName>
    <definedName name="IQ_EST_CURRENCY_CIQ" hidden="1">"c4769"</definedName>
    <definedName name="IQ_EST_DATE" hidden="1">"c1634"</definedName>
    <definedName name="IQ_EST_DATE_CIQ" hidden="1">"c4770"</definedName>
    <definedName name="IQ_EST_EPS_GROWTH_1YR" hidden="1">"c1636"</definedName>
    <definedName name="IQ_EST_EPS_GROWTH_1YR_CIQ" hidden="1">"c3628"</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FAIR_VALUE_MORT_SERVICING_ASSETS_FFIEC" hidden="1">"c12956"</definedName>
    <definedName name="IQ_EST_FOOTNOTE" hidden="1">"c4540"</definedName>
    <definedName name="IQ_EST_FOOTNOTE_CIQ" hidden="1">"c12022"</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PAYOUT_RATIO" hidden="1">"c3492"</definedName>
    <definedName name="IQ_FFO_PER_SHARE_BASIC" hidden="1">"c8867"</definedName>
    <definedName name="IQ_FFO_PER_SHARE_DILUTED" hidden="1">"c8868"</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ULTI_RES_PROPERTIES_TRADING_DOM_FFIEC" hidden="1">"c12930"</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OPERATING_INC_AVG_ASSETS_FFIEC" hidden="1">"c13365"</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DATE" hidden="1">"c1069"</definedName>
    <definedName name="IQ_PRICING_DATE" hidden="1">"c1613"</definedName>
    <definedName name="IQ_PRIMARY_INDUSTRY" hidden="1">"c1070"</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BEFORE_LL_FFIEC" hidden="1">"c13018"</definedName>
    <definedName name="IQ_REVENUE_EST" hidden="1">"c1126"</definedName>
    <definedName name="IQ_REVENUE_EST_CIQ" hidden="1">"c3616"</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39931.6049189815</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OWN" hidden="1">"c1153"</definedName>
    <definedName name="IQ_SECURITY_RESELL" hidden="1">"c1154"</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URED_NOTES_INVEST_SECURITIES_FFIEC" hidden="1">"c13468"</definedName>
    <definedName name="IQ_STRUCTURING_NOTES_TIER_1_FFIEC" hidden="1">"c13344"</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EQUITY_ASSETS_FFIEC" hidden="1">"c13346"</definedName>
    <definedName name="IQ_TANGIBLE_TIER_1_LEVERAGE_FFIEC" hidden="1">"c13345"</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THAN_100K_FDIC" hidden="1">"c6465"</definedName>
    <definedName name="IQ_TIME_DEPOSITS_MORE_100K_OTHER_INSTITUTIONS_FFIEC" hidden="1">"c12954"</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Z_SCORE" hidden="1">"c1339"</definedName>
    <definedName name="IT" localSheetId="2">#REF!</definedName>
    <definedName name="it">'[37]Long-Term Borrowings'!$K$2:$K$3</definedName>
    <definedName name="JULY">'[38]ANLY-01-02-QTR '!$A$31</definedName>
    <definedName name="jun" localSheetId="11">#REF!</definedName>
    <definedName name="jun" localSheetId="21">#REF!</definedName>
    <definedName name="jun">#REF!</definedName>
    <definedName name="june" localSheetId="11">'[30]ANLY-01-02-QTR '!$A$31</definedName>
    <definedName name="june" localSheetId="21">'[31]ANLY-01-02-QTR '!$A$31</definedName>
    <definedName name="june" localSheetId="20">'[32]ANLY-01-02-QTR '!$A$31</definedName>
    <definedName name="june">'[31]ANLY-01-02-QTR '!$A$31</definedName>
    <definedName name="juneqtr" localSheetId="11">#REF!</definedName>
    <definedName name="juneqtr" localSheetId="21">#REF!</definedName>
    <definedName name="juneqtr">#REF!</definedName>
    <definedName name="junqtrs" localSheetId="11">#REF!</definedName>
    <definedName name="junqtrs" localSheetId="21">#REF!</definedName>
    <definedName name="junqtrs">#REF!</definedName>
    <definedName name="kser">#REF!</definedName>
    <definedName name="Lab">#REF!</definedName>
    <definedName name="lakh" localSheetId="11">[23]Para!$D$116</definedName>
    <definedName name="lakh" localSheetId="21">[23]Para!$D$116</definedName>
    <definedName name="lakh">[24]Para!$D$116</definedName>
    <definedName name="Land">#REF!</definedName>
    <definedName name="landdetails">#REF!</definedName>
    <definedName name="List_1">'[39]Long-Term Borrowings'!$K$2:$K$3</definedName>
    <definedName name="LOLD">1</definedName>
    <definedName name="LOLD_Table">12</definedName>
    <definedName name="LOLD_Table2">12</definedName>
    <definedName name="lossqty" localSheetId="11">#REF!</definedName>
    <definedName name="lossqty" localSheetId="21">#REF!</definedName>
    <definedName name="lossqty">#REF!</definedName>
    <definedName name="mainsheet" localSheetId="11">#REF!</definedName>
    <definedName name="mainsheet" localSheetId="21">#REF!</definedName>
    <definedName name="mainsheet">#REF!</definedName>
    <definedName name="March" localSheetId="11">#REF!</definedName>
    <definedName name="March" localSheetId="21">#REF!</definedName>
    <definedName name="March">#REF!</definedName>
    <definedName name="March16">'[40]Long-Term Borrowings'!$K$2:$K$3</definedName>
    <definedName name="March19_keytrade">#REF!</definedName>
    <definedName name="MAT_rate" localSheetId="11">[23]Para!$D$108</definedName>
    <definedName name="MAT_rate" localSheetId="21">[23]Para!$D$108</definedName>
    <definedName name="MAT_rate">[24]Para!$D$108</definedName>
    <definedName name="MATCOST" localSheetId="11">#REF!</definedName>
    <definedName name="MATCOST" localSheetId="21">#REF!</definedName>
    <definedName name="MATCOST">#REF!</definedName>
    <definedName name="May" localSheetId="11">#REF!</definedName>
    <definedName name="May" localSheetId="21">#REF!</definedName>
    <definedName name="May">#REF!</definedName>
    <definedName name="Mechmaint" localSheetId="11">#REF!</definedName>
    <definedName name="Mechmaint" localSheetId="21">#REF!</definedName>
    <definedName name="Mechmaint">#REF!</definedName>
    <definedName name="MFG_KKD" localSheetId="2">[6]Sheet1!$B$426:$G$457</definedName>
    <definedName name="MFG_KKD">[7]Sheet1!$B$426:$G$457</definedName>
    <definedName name="MisP1" localSheetId="11">#REF!</definedName>
    <definedName name="MisP1" localSheetId="21">#N/A</definedName>
    <definedName name="MisP1" localSheetId="20">#N/A</definedName>
    <definedName name="MisP1" localSheetId="2">#REF!</definedName>
    <definedName name="MisP1">#REF!</definedName>
    <definedName name="MisP1andP2" localSheetId="2">#REF!</definedName>
    <definedName name="MisP1andP2">#REF!</definedName>
    <definedName name="MisP2" localSheetId="11">#REF!</definedName>
    <definedName name="MisP2" localSheetId="21">#N/A</definedName>
    <definedName name="MisP2" localSheetId="20">#N/A</definedName>
    <definedName name="MisP2" localSheetId="2">#REF!</definedName>
    <definedName name="MisP2">#REF!</definedName>
    <definedName name="MKTG" localSheetId="2">[6]Sheet1!$B$61:$G$83</definedName>
    <definedName name="MKTG">[7]Sheet1!$B$61:$G$83</definedName>
    <definedName name="Mn" localSheetId="11">[23]Para!$D$115</definedName>
    <definedName name="Mn" localSheetId="21">[23]Para!$D$115</definedName>
    <definedName name="Mn">[24]Para!$D$115</definedName>
    <definedName name="modified">'[41]BS-Cr'!$AE$61:$BC$110</definedName>
    <definedName name="Municipality">#REF!</definedName>
    <definedName name="nala">#REF!</definedName>
    <definedName name="naresh">[42]tb!$C$5:$C$142</definedName>
    <definedName name="NEBL" localSheetId="11">#REF!</definedName>
    <definedName name="NEBL" localSheetId="21">#REF!</definedName>
    <definedName name="NEBL">#REF!</definedName>
    <definedName name="NET_CONSUMPTION">#REF!</definedName>
    <definedName name="NFCL___SNB_Division___Marketing" localSheetId="2">'[28]SNB-Mkt assump'!$B$1:$I$45</definedName>
    <definedName name="NFCL___SNB_Division___Marketing">'[29]SNB-Mkt assump'!$B$1:$I$45</definedName>
    <definedName name="NGANAL" localSheetId="2">[6]Sheet1!$C$6:$K$34</definedName>
    <definedName name="NGANAL">[7]Sheet1!$C$6:$K$34</definedName>
    <definedName name="ngprice1">#REF!</definedName>
    <definedName name="ngprice2">#REF!</definedName>
    <definedName name="ngtpt" localSheetId="11">#REF!</definedName>
    <definedName name="ngtpt" localSheetId="21">#REF!</definedName>
    <definedName name="ngtpt" localSheetId="2">#REF!</definedName>
    <definedName name="ngtpt">#REF!</definedName>
    <definedName name="NONOPINC" localSheetId="11">#REF!</definedName>
    <definedName name="NONOPINC" localSheetId="21">#REF!</definedName>
    <definedName name="NONOPINC">#REF!</definedName>
    <definedName name="NPV_Diff" localSheetId="11">'[43]Debt Profile'!#REF!</definedName>
    <definedName name="NPV_Diff" localSheetId="21">'[43]Debt Profile'!#REF!</definedName>
    <definedName name="NPV_Diff" localSheetId="3">'[43]Debt Profile'!#REF!</definedName>
    <definedName name="NPV_Diff">'[43]Debt Profile'!#REF!</definedName>
    <definedName name="NS" localSheetId="11">#REF!</definedName>
    <definedName name="NS" localSheetId="21">#REF!</definedName>
    <definedName name="NS">#REF!</definedName>
    <definedName name="Offsites" localSheetId="11">#REF!</definedName>
    <definedName name="Offsites" localSheetId="21">#REF!</definedName>
    <definedName name="Offsites">#REF!</definedName>
    <definedName name="OTHERS" localSheetId="2">#REF!</definedName>
    <definedName name="OTHERS">#REF!</definedName>
    <definedName name="othersbreakup" localSheetId="2">#REF!</definedName>
    <definedName name="othersbreakup">#REF!</definedName>
    <definedName name="OTHEXP">#REF!</definedName>
    <definedName name="OTHMANEXP">#REF!</definedName>
    <definedName name="OTHRELINC">#REF!</definedName>
    <definedName name="overheads" localSheetId="21">#N/A</definedName>
    <definedName name="overheads" localSheetId="20">#N/A</definedName>
    <definedName name="overheads" localSheetId="2">[28]budget!$C$83:$U$108</definedName>
    <definedName name="overheads">[29]budget!$C$83:$U$108</definedName>
    <definedName name="PAG0">#REF!</definedName>
    <definedName name="page" localSheetId="11">#REF!</definedName>
    <definedName name="page" localSheetId="21">#N/A</definedName>
    <definedName name="page" localSheetId="20">#N/A</definedName>
    <definedName name="page" localSheetId="2">#REF!</definedName>
    <definedName name="page">#REF!</definedName>
    <definedName name="page1" localSheetId="11">[30]Sheet2!$V$1:$AE$91</definedName>
    <definedName name="page1" localSheetId="21">[31]Sheet2!$V$1:$AE$91</definedName>
    <definedName name="page1" localSheetId="20">[32]Sheet2!$V$1:$AE$91</definedName>
    <definedName name="page1">[31]Sheet2!$V$1:$AE$91</definedName>
    <definedName name="page2" localSheetId="11">[30]Sheet2!$A$93:$J$134</definedName>
    <definedName name="page2" localSheetId="21">[31]Sheet2!$A$93:$J$134</definedName>
    <definedName name="page2" localSheetId="20">[32]Sheet2!$A$93:$J$134</definedName>
    <definedName name="page2">[31]Sheet2!$A$93:$J$134</definedName>
    <definedName name="page2f" localSheetId="11">[30]Sheet2!$A$93:$L$132</definedName>
    <definedName name="page2f" localSheetId="21">[31]Sheet2!$A$93:$L$132</definedName>
    <definedName name="page2f" localSheetId="20">[32]Sheet2!$A$93:$L$132</definedName>
    <definedName name="page2f">[31]Sheet2!$A$93:$L$132</definedName>
    <definedName name="page3" localSheetId="11">[30]Sheet2!$A$156:$L$231</definedName>
    <definedName name="page3" localSheetId="21">[31]Sheet2!$A$156:$L$231</definedName>
    <definedName name="page3" localSheetId="20">[32]Sheet2!$A$156:$L$231</definedName>
    <definedName name="page3">[31]Sheet2!$A$156:$L$231</definedName>
    <definedName name="page3f" localSheetId="11">[30]Sheet2!$A$135:$L$184</definedName>
    <definedName name="page3f" localSheetId="21">[31]Sheet2!$A$135:$L$184</definedName>
    <definedName name="page3f" localSheetId="20">[32]Sheet2!$A$135:$L$184</definedName>
    <definedName name="page3f">[31]Sheet2!$A$135:$L$184</definedName>
    <definedName name="page4" localSheetId="11">[30]Sheet2!$A$233:$L$286</definedName>
    <definedName name="page4" localSheetId="21">[31]Sheet2!$A$233:$L$286</definedName>
    <definedName name="page4" localSheetId="20">[32]Sheet2!$A$233:$L$286</definedName>
    <definedName name="page4">[31]Sheet2!$A$233:$L$286</definedName>
    <definedName name="page4f" localSheetId="11">[30]Sheet2!$A$186:$L$230</definedName>
    <definedName name="page4f" localSheetId="21">[31]Sheet2!$A$186:$L$230</definedName>
    <definedName name="page4f" localSheetId="20">[32]Sheet2!$A$186:$L$230</definedName>
    <definedName name="page4f">[31]Sheet2!$A$186:$L$230</definedName>
    <definedName name="page5" localSheetId="11">[30]Sheet2!$A$233:$J$283</definedName>
    <definedName name="page5" localSheetId="21">[31]Sheet2!$A$233:$J$283</definedName>
    <definedName name="page5" localSheetId="20">[32]Sheet2!$A$233:$J$283</definedName>
    <definedName name="page5">[31]Sheet2!$A$233:$J$283</definedName>
    <definedName name="page5f" localSheetId="11">[30]Sheet2!$A$233:$L$283</definedName>
    <definedName name="page5f" localSheetId="21">[31]Sheet2!$A$233:$L$283</definedName>
    <definedName name="page5f" localSheetId="20">[32]Sheet2!$A$233:$L$283</definedName>
    <definedName name="page5f">[31]Sheet2!$A$233:$L$283</definedName>
    <definedName name="pagea" localSheetId="11">[30]Sheet2!$T$1:$AE$59</definedName>
    <definedName name="pagea" localSheetId="21">[31]Sheet2!$T$1:$AE$59</definedName>
    <definedName name="pagea" localSheetId="20">[32]Sheet2!$T$1:$AE$59</definedName>
    <definedName name="pagea">[31]Sheet2!$T$1:$AE$59</definedName>
    <definedName name="Panchayat">#REF!</definedName>
    <definedName name="PandA" localSheetId="11">#REF!</definedName>
    <definedName name="PandA" localSheetId="21">#REF!</definedName>
    <definedName name="PandA">#REF!</definedName>
    <definedName name="PandL" localSheetId="2">#REF!</definedName>
    <definedName name="PandL">#REF!</definedName>
    <definedName name="PL">#REF!</definedName>
    <definedName name="PLANT1_BAGS_MIX">#REF!</definedName>
    <definedName name="PLANT1_ESC">#REF!</definedName>
    <definedName name="PLANT2_BAGS_MIX">#REF!</definedName>
    <definedName name="PLANT2_ESC">#REF!</definedName>
    <definedName name="PLANT2_MIX">#REF!</definedName>
    <definedName name="POWER" localSheetId="11">#REF!</definedName>
    <definedName name="POWER" localSheetId="21">#REF!</definedName>
    <definedName name="POWER" localSheetId="2">[6]Sheet1!$B$348:$G$368</definedName>
    <definedName name="POWER">#REF!</definedName>
    <definedName name="premium" localSheetId="11">'[44]Aug-11 '!#REF!</definedName>
    <definedName name="premium" localSheetId="21">'[44]Aug-11 '!#REF!</definedName>
    <definedName name="premium">'[44]Aug-11 '!#REF!</definedName>
    <definedName name="PREVACT" localSheetId="11">#REF!</definedName>
    <definedName name="PREVACT" localSheetId="21">#REF!</definedName>
    <definedName name="PREVACT">#REF!</definedName>
    <definedName name="PRINT" localSheetId="11">#REF!</definedName>
    <definedName name="PRINT" localSheetId="21">#REF!</definedName>
    <definedName name="PRINT">#REF!</definedName>
    <definedName name="_xlnm.Print_Area" localSheetId="11">#REF!</definedName>
    <definedName name="_xlnm.Print_Area" localSheetId="21">'IT Dep'!$A$2:$L$49</definedName>
    <definedName name="_xlnm.Print_Area" localSheetId="20">'IT Dep21-22'!$A$2:$L$50</definedName>
    <definedName name="_xlnm.Print_Area" localSheetId="2">Liabilites!$B$2:$D$61</definedName>
    <definedName name="_xlnm.Print_Area">#REF!</definedName>
    <definedName name="Print_Area_MI" localSheetId="11">#REF!</definedName>
    <definedName name="Print_Area_MI" localSheetId="21">#REF!</definedName>
    <definedName name="Print_Area_MI">#REF!</definedName>
    <definedName name="_xlnm.Print_Titles" localSheetId="11">[27]tb!#REF!</definedName>
    <definedName name="_xlnm.Print_Titles" localSheetId="21">[45]TB!#REF!</definedName>
    <definedName name="_xlnm.Print_Titles" localSheetId="20">[46]TB!#REF!</definedName>
    <definedName name="_xlnm.Print_Titles">[27]tb!#REF!</definedName>
    <definedName name="Process" localSheetId="11">#REF!</definedName>
    <definedName name="Process" localSheetId="21">#REF!</definedName>
    <definedName name="Process">#REF!</definedName>
    <definedName name="Process_Water">#REF!</definedName>
    <definedName name="PROD_2002_2003" localSheetId="11">#REF!</definedName>
    <definedName name="PROD_2002_2003" localSheetId="21">#REF!</definedName>
    <definedName name="PROD_2002_2003" localSheetId="2">#REF!</definedName>
    <definedName name="PROD_2002_2003">#REF!</definedName>
    <definedName name="prodgraph">#REF!</definedName>
    <definedName name="production">#REF!</definedName>
    <definedName name="quantity" localSheetId="2">[28]budget!$C$7:$U$15</definedName>
    <definedName name="quantity">[29]budget!$C$7:$U$15</definedName>
    <definedName name="range1">#REF!</definedName>
    <definedName name="RAT" localSheetId="11">#REF!</definedName>
    <definedName name="RAT" localSheetId="21">#REF!</definedName>
    <definedName name="RAT">#REF!</definedName>
    <definedName name="Ratios" localSheetId="11">[30]Sheet2!$AM$135:$AP$171</definedName>
    <definedName name="Ratios" localSheetId="21">[31]Sheet2!$AM$135:$AP$171</definedName>
    <definedName name="Ratios" localSheetId="20">[32]Sheet2!$AM$135:$AP$171</definedName>
    <definedName name="Ratios">[31]Sheet2!$AM$135:$AP$171</definedName>
    <definedName name="RawData" localSheetId="11">#REF!</definedName>
    <definedName name="RawData" localSheetId="21">#REF!</definedName>
    <definedName name="RawData">#REF!</definedName>
    <definedName name="RawHeader" localSheetId="11">#REF!</definedName>
    <definedName name="RawHeader" localSheetId="21">#REF!</definedName>
    <definedName name="RawHeader">#REF!</definedName>
    <definedName name="rawmatlbreakup" localSheetId="2">#REF!</definedName>
    <definedName name="rawmatlbreakup">#REF!</definedName>
    <definedName name="reconciliation">#REF!</definedName>
    <definedName name="Rep" localSheetId="3">'[43]Debt Profile'!#REF!</definedName>
    <definedName name="Rep">'[43]Debt Profile'!#REF!</definedName>
    <definedName name="Rep_Diff" localSheetId="3">'[43]Debt Profile'!#REF!</definedName>
    <definedName name="Rep_Diff">'[43]Debt Profile'!#REF!</definedName>
    <definedName name="Rep_Paste" localSheetId="3">'[43]Debt Profile'!#REF!</definedName>
    <definedName name="Rep_Paste">'[43]Debt Profile'!#REF!</definedName>
    <definedName name="repayment_table">'[36]int module'!$A$3:$Z$13</definedName>
    <definedName name="report" localSheetId="11">#REF!</definedName>
    <definedName name="report" localSheetId="21">#REF!</definedName>
    <definedName name="report" localSheetId="2">#REF!</definedName>
    <definedName name="report">#REF!</definedName>
    <definedName name="report2">#REF!</definedName>
    <definedName name="REVIEWNOTE" localSheetId="11">#REF!</definedName>
    <definedName name="REVIEWNOTE" localSheetId="21">#REF!</definedName>
    <definedName name="REVIEWNOTE">#REF!</definedName>
    <definedName name="REVISED">'[38]ANLY-01-02-QTR '!$A$31</definedName>
    <definedName name="RM28B">#REF!</definedName>
    <definedName name="rukmini">'[21]raw non ata'!#REF!</definedName>
    <definedName name="rupeegraph" localSheetId="11">#REF!</definedName>
    <definedName name="rupeegraph" localSheetId="21">#REF!</definedName>
    <definedName name="rupeegraph">#REF!</definedName>
    <definedName name="S4A_DR" localSheetId="3">[33]MasterControl!$D$3</definedName>
    <definedName name="S4A_DR">[33]MasterControl!$D$3</definedName>
    <definedName name="S4A_SELECT" localSheetId="3">[33]MasterControl!$E$6</definedName>
    <definedName name="S4A_SELECT">[33]MasterControl!$E$6</definedName>
    <definedName name="SALES_RATIO" localSheetId="11">#REF!</definedName>
    <definedName name="SALES_RATIO" localSheetId="21">#REF!</definedName>
    <definedName name="SALES_RATIO">#REF!</definedName>
    <definedName name="SAPBEXhrIndnt" hidden="1">"Wide"</definedName>
    <definedName name="SAPsysID" hidden="1">"708C5W7SBKP804JT78WJ0JNKI"</definedName>
    <definedName name="SAPwbID" hidden="1">"ARS"</definedName>
    <definedName name="SecTran">[47]Equity!$C$3</definedName>
    <definedName name="SEEDS" localSheetId="2">[6]Sheet1!$B$138:$G$172</definedName>
    <definedName name="SEEDS">[7]Sheet1!$B$138:$G$172</definedName>
    <definedName name="SELEXP" localSheetId="11">#REF!</definedName>
    <definedName name="SELEXP" localSheetId="21">#REF!</definedName>
    <definedName name="SELEXP">#REF!</definedName>
    <definedName name="sep" localSheetId="11">'[30]ANLY-01-02-QTR '!$A$91</definedName>
    <definedName name="sep" localSheetId="21">'[31]ANLY-01-02-QTR '!$A$91</definedName>
    <definedName name="sep" localSheetId="20">'[32]ANLY-01-02-QTR '!$A$91</definedName>
    <definedName name="sep">'[31]ANLY-01-02-QTR '!$A$91</definedName>
    <definedName name="sept" localSheetId="11">'[30]ANLY-01-02-QTR '!$A$64</definedName>
    <definedName name="sept" localSheetId="21">'[31]ANLY-01-02-QTR '!$A$64</definedName>
    <definedName name="sept" localSheetId="20">'[32]ANLY-01-02-QTR '!$A$64</definedName>
    <definedName name="sept">'[31]ANLY-01-02-QTR '!$A$64</definedName>
    <definedName name="septqtr" localSheetId="11">#REF!</definedName>
    <definedName name="septqtr" localSheetId="21">#REF!</definedName>
    <definedName name="septqtr">#REF!</definedName>
    <definedName name="septqtrs" localSheetId="11">#REF!</definedName>
    <definedName name="septqtrs" localSheetId="21">#REF!</definedName>
    <definedName name="septqtrs">#REF!</definedName>
    <definedName name="ser">#REF!</definedName>
    <definedName name="sheet">'[21]raw non ata'!#REF!</definedName>
    <definedName name="SLUL">'[48]Long-Term Borrowings'!$K$2:$K$3</definedName>
    <definedName name="snb_mfg_assumptions" localSheetId="2">'[28]SNB-Mfg assump'!$B$4:$F$97</definedName>
    <definedName name="snb_mfg_assumptions">'[29]SNB-Mfg assump'!$B$4:$F$97</definedName>
    <definedName name="snb_mkt_assumptions" localSheetId="2">'[28]SNB-Mkt assump'!$B$1:$I$45</definedName>
    <definedName name="snb_mkt_assumptions">'[29]SNB-Mkt assump'!$B$1:$I$45</definedName>
    <definedName name="SPLFERT" localSheetId="2">[6]Sheet1!$B$383:$G$409</definedName>
    <definedName name="SPLFERT">[7]Sheet1!$B$383:$G$409</definedName>
    <definedName name="stdefer">#REF!</definedName>
    <definedName name="Steam_1">#REF!</definedName>
    <definedName name="Steam_2">#REF!</definedName>
    <definedName name="STKCHG" localSheetId="11">#REF!</definedName>
    <definedName name="STKCHG" localSheetId="21">#REF!</definedName>
    <definedName name="STKCHG">#REF!</definedName>
    <definedName name="Stock" localSheetId="11">#REF!</definedName>
    <definedName name="Stock" localSheetId="21">#REF!</definedName>
    <definedName name="Stock">#REF!</definedName>
    <definedName name="stockA" localSheetId="11">#REF!</definedName>
    <definedName name="stockA" localSheetId="21">#N/A</definedName>
    <definedName name="stockA" localSheetId="20">#N/A</definedName>
    <definedName name="stockA" localSheetId="2">#REF!</definedName>
    <definedName name="stockA">#REF!</definedName>
    <definedName name="stockB" localSheetId="11">#REF!</definedName>
    <definedName name="stockB" localSheetId="21">#N/A</definedName>
    <definedName name="stockB" localSheetId="20">#N/A</definedName>
    <definedName name="stockB" localSheetId="2">#REF!</definedName>
    <definedName name="stockB">#REF!</definedName>
    <definedName name="StockVal" localSheetId="11">#REF!</definedName>
    <definedName name="StockVal" localSheetId="21">#REF!</definedName>
    <definedName name="StockVal">#REF!</definedName>
    <definedName name="SUB_COST">#REF!</definedName>
    <definedName name="SUB_FIN">#REF!</definedName>
    <definedName name="summary.1">[11]original!#REF!</definedName>
    <definedName name="summary.5">[11]original!#REF!</definedName>
    <definedName name="Tax_rate" localSheetId="11">[23]Para!$D$107</definedName>
    <definedName name="Tax_rate" localSheetId="21">[23]Para!$D$107</definedName>
    <definedName name="Tax_rate">[24]Para!$D$107</definedName>
    <definedName name="TechDataP1" localSheetId="11">#REF!</definedName>
    <definedName name="TechDataP1" localSheetId="21">#REF!</definedName>
    <definedName name="TechDataP1" localSheetId="2">#REF!</definedName>
    <definedName name="TechDataP1">#REF!</definedName>
    <definedName name="TechDataP2" localSheetId="11">#REF!</definedName>
    <definedName name="TechDataP2" localSheetId="21">#N/A</definedName>
    <definedName name="TechDataP2" localSheetId="20">#N/A</definedName>
    <definedName name="TechDataP2" localSheetId="2">#REF!</definedName>
    <definedName name="TechDataP2">#REF!</definedName>
    <definedName name="TechDataSum" localSheetId="11">#REF!</definedName>
    <definedName name="TechDataSum" localSheetId="21">#N/A</definedName>
    <definedName name="TechDataSum" localSheetId="20">#N/A</definedName>
    <definedName name="TechDataSum" localSheetId="2">#REF!</definedName>
    <definedName name="TechDataSum">#REF!</definedName>
    <definedName name="techp1" localSheetId="2">[6]Sheet1!$A$31:$O$52</definedName>
    <definedName name="techp1">[7]Sheet1!$A$31:$O$52</definedName>
    <definedName name="techp2" localSheetId="2">[6]Sheet1!$A$2:$O$29</definedName>
    <definedName name="techp2">[7]Sheet1!$A$2:$O$29</definedName>
    <definedName name="TEST0" localSheetId="11">#REF!</definedName>
    <definedName name="TEST0" localSheetId="21">#N/A</definedName>
    <definedName name="TEST0" localSheetId="20">#N/A</definedName>
    <definedName name="TEST0" localSheetId="2">#REF!</definedName>
    <definedName name="TEST0">#REF!</definedName>
    <definedName name="TEST1" localSheetId="2">#REF!</definedName>
    <definedName name="TEST1">#REF!</definedName>
    <definedName name="TEST10">#REF!</definedName>
    <definedName name="TEST11">#REF!</definedName>
    <definedName name="TEST12">#REF!</definedName>
    <definedName name="test126">#REF!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 localSheetId="2">#REF!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 localSheetId="2">#REF!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37">#REF!</definedName>
    <definedName name="TEST38">#REF!</definedName>
    <definedName name="TEST39">#REF!</definedName>
    <definedName name="TEST4">#REF!</definedName>
    <definedName name="TEST40">#REF!</definedName>
    <definedName name="TEST41">#REF!</definedName>
    <definedName name="TEST42">#REF!</definedName>
    <definedName name="TEST43">#REF!</definedName>
    <definedName name="TEST44">#REF!</definedName>
    <definedName name="TEST45">#REF!</definedName>
    <definedName name="TEST46">#REF!</definedName>
    <definedName name="TEST47">#REF!</definedName>
    <definedName name="TEST48">#REF!</definedName>
    <definedName name="TEST49">#REF!</definedName>
    <definedName name="TEST5">#REF!</definedName>
    <definedName name="TEST50">#REF!</definedName>
    <definedName name="TEST51">#REF!</definedName>
    <definedName name="TEST52">#REF!</definedName>
    <definedName name="TEST53">#REF!</definedName>
    <definedName name="TEST54">#REF!</definedName>
    <definedName name="TEST55">#REF!</definedName>
    <definedName name="TEST56">#REF!</definedName>
    <definedName name="TEST6">#REF!</definedName>
    <definedName name="TEST7">#REF!</definedName>
    <definedName name="TEST8">#REF!</definedName>
    <definedName name="TEST9">#REF!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hou" localSheetId="11">[23]Para!$D$117</definedName>
    <definedName name="thou" localSheetId="21">[23]Para!$D$117</definedName>
    <definedName name="thou">[24]Para!$D$117</definedName>
    <definedName name="TRGSALES" localSheetId="11">#REF!</definedName>
    <definedName name="TRGSALES" localSheetId="21">#REF!</definedName>
    <definedName name="TRGSALES">#REF!</definedName>
    <definedName name="Urea" localSheetId="11">#REF!</definedName>
    <definedName name="Urea" localSheetId="21">#REF!</definedName>
    <definedName name="Urea">#REF!</definedName>
    <definedName name="Urea_1">#REF!</definedName>
    <definedName name="Urea_2">#REF!</definedName>
    <definedName name="usd_rs" localSheetId="11">[23]Para!$D$114</definedName>
    <definedName name="usd_rs" localSheetId="21">[23]Para!$D$114</definedName>
    <definedName name="usd_rs">[24]Para!$D$114</definedName>
    <definedName name="usl">'[49]Long-Term Borrowings'!$K$2:$K$3</definedName>
    <definedName name="varana" localSheetId="11">#REF!</definedName>
    <definedName name="varana" localSheetId="21">#REF!</definedName>
    <definedName name="varana" localSheetId="2">#REF!</definedName>
    <definedName name="varana">#REF!</definedName>
    <definedName name="varanabreakup1" localSheetId="11">#REF!</definedName>
    <definedName name="varanabreakup1" localSheetId="21">#N/A</definedName>
    <definedName name="varanabreakup1" localSheetId="20">#N/A</definedName>
    <definedName name="varanabreakup1" localSheetId="2">#REF!</definedName>
    <definedName name="varanabreakup1">#REF!</definedName>
    <definedName name="varanabreakup2" localSheetId="11">#REF!</definedName>
    <definedName name="varanabreakup2" localSheetId="21">#N/A</definedName>
    <definedName name="varanabreakup2" localSheetId="20">#N/A</definedName>
    <definedName name="varanabreakup2" localSheetId="2">#REF!</definedName>
    <definedName name="varanabreakup2">#REF!</definedName>
    <definedName name="varanabreakup3" localSheetId="11">#REF!</definedName>
    <definedName name="varanabreakup3" localSheetId="21">#N/A</definedName>
    <definedName name="varanabreakup3" localSheetId="20">#N/A</definedName>
    <definedName name="varanabreakup3" localSheetId="2">#REF!</definedName>
    <definedName name="varanabreakup3">#REF!</definedName>
    <definedName name="Variance_reason" localSheetId="21">#N/A</definedName>
    <definedName name="Variance_reason" localSheetId="20">#N/A</definedName>
    <definedName name="Variance_reason" localSheetId="2">'[28]Div Summ'!$AG$87:$AO$188</definedName>
    <definedName name="Variance_reason">'[29]Div Summ'!$AG$87:$AO$188</definedName>
    <definedName name="VarReason" localSheetId="11">#REF!</definedName>
    <definedName name="VarReason" localSheetId="21">#REF!</definedName>
    <definedName name="VarReason">#REF!</definedName>
    <definedName name="VarStmnt" localSheetId="11">#REF!</definedName>
    <definedName name="VarStmnt" localSheetId="21">#REF!</definedName>
    <definedName name="VarStmnt">#REF!</definedName>
    <definedName name="WDVKanhe">'[50]ASSET_99 '!$K$11,'[50]ASSET_99 '!$K$17,'[50]ASSET_99 '!$K$23,'[50]ASSET_99 '!$K$35,'[50]ASSET_99 '!$K$42,'[50]ASSET_99 '!$K$48,'[50]ASSET_99 '!$K$58</definedName>
    <definedName name="wrn.Katni._.Mprsnn2." localSheetId="11" hidden="1">{"Project Feasibility and Cash Flow Statement",#N/A,FALSE,"Sheet1";"Projected Balance Sheet",#N/A,FALSE,"Sheet1"}</definedName>
    <definedName name="wrn.Katni._.Mprsnn2." localSheetId="21" hidden="1">{"Project Feasibility and Cash Flow Statement",#N/A,FALSE,"Sheet1";"Projected Balance Sheet",#N/A,FALSE,"Sheet1"}</definedName>
    <definedName name="wrn.Katni._.Mprsnn2." hidden="1">{"Project Feasibility and Cash Flow Statement",#N/A,FALSE,"Sheet1";"Projected Balance Sheet",#N/A,FALSE,"Sheet1"}</definedName>
    <definedName name="xx" localSheetId="11">'[30]ANLY-01-02-QTR '!$A$2</definedName>
    <definedName name="xx" localSheetId="21">'[31]ANLY-01-02-QTR '!$A$2</definedName>
    <definedName name="xx" localSheetId="20">'[32]ANLY-01-02-QTR '!$A$2</definedName>
    <definedName name="xx">'[31]ANLY-01-02-QTR '!$A$2</definedName>
    <definedName name="xxx" localSheetId="11">'[30]ANLY-01-02-QTR '!$A$91</definedName>
    <definedName name="xxx" localSheetId="21">'[31]ANLY-01-02-QTR '!$A$91</definedName>
    <definedName name="xxx" localSheetId="20">'[32]ANLY-01-02-QTR '!$A$91</definedName>
    <definedName name="xxx">'[31]ANLY-01-02-QTR '!$A$91</definedName>
    <definedName name="yes">[51]Summary!$R$4:$R$5</definedName>
    <definedName name="Z_44DFD300_07A0_11D7_9D07_00C04FCFD62A_.wvu.PrintTitles" localSheetId="11" hidden="1">[27]tb!#REF!</definedName>
    <definedName name="Z_44DFD300_07A0_11D7_9D07_00C04FCFD62A_.wvu.PrintTitles" localSheetId="21" hidden="1">[27]tb!#REF!</definedName>
    <definedName name="Z_44DFD300_07A0_11D7_9D07_00C04FCFD62A_.wvu.PrintTitles" hidden="1">[27]tb!#REF!</definedName>
    <definedName name="Z_DCC4A5C0_9087_11D9_AABA_00C04FCFD62A_.wvu.FilterData" localSheetId="11" hidden="1">#REF!</definedName>
    <definedName name="Z_DCC4A5C0_9087_11D9_AABA_00C04FCFD62A_.wvu.FilterData" localSheetId="21" hidden="1">#REF!</definedName>
    <definedName name="Z_DCC4A5C0_9087_11D9_AABA_00C04FCFD62A_.wvu.FilterData"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1" i="2" l="1"/>
  <c r="F74" i="2"/>
  <c r="K37" i="8"/>
  <c r="K14" i="8"/>
  <c r="F93" i="2" l="1"/>
  <c r="L172" i="8"/>
  <c r="M172" i="8" s="1"/>
  <c r="G85" i="2"/>
  <c r="C32" i="1"/>
  <c r="AQ6" i="14"/>
  <c r="H85" i="2" l="1"/>
  <c r="N172" i="8"/>
  <c r="X76" i="27"/>
  <c r="W76" i="27"/>
  <c r="V76" i="27"/>
  <c r="X86" i="27"/>
  <c r="W86" i="27"/>
  <c r="V86" i="27"/>
  <c r="O172" i="8" l="1"/>
  <c r="I85" i="2"/>
  <c r="H86" i="27"/>
  <c r="I86" i="27"/>
  <c r="J86" i="27"/>
  <c r="K86" i="27"/>
  <c r="L86" i="27"/>
  <c r="M86" i="27"/>
  <c r="N86" i="27"/>
  <c r="O86" i="27"/>
  <c r="P86" i="27"/>
  <c r="Q86" i="27"/>
  <c r="R86" i="27"/>
  <c r="S86" i="27"/>
  <c r="T86" i="27"/>
  <c r="U86" i="27"/>
  <c r="G86" i="27"/>
  <c r="U74" i="27"/>
  <c r="T74" i="27"/>
  <c r="S74" i="27"/>
  <c r="R74" i="27"/>
  <c r="Q74" i="27"/>
  <c r="P74" i="27"/>
  <c r="O74" i="27"/>
  <c r="N74" i="27"/>
  <c r="M74" i="27"/>
  <c r="L74" i="27"/>
  <c r="K74" i="27"/>
  <c r="J74" i="27"/>
  <c r="I74" i="27"/>
  <c r="H74" i="27"/>
  <c r="G74" i="27"/>
  <c r="F74" i="27"/>
  <c r="U73" i="27"/>
  <c r="T73" i="27"/>
  <c r="S73" i="27"/>
  <c r="R73" i="27"/>
  <c r="Q73" i="27"/>
  <c r="P73" i="27"/>
  <c r="O73" i="27"/>
  <c r="N73" i="27"/>
  <c r="M73" i="27"/>
  <c r="L73" i="27"/>
  <c r="K73" i="27"/>
  <c r="J73" i="27"/>
  <c r="I73" i="27"/>
  <c r="H73" i="27"/>
  <c r="G73" i="27"/>
  <c r="F73" i="27"/>
  <c r="U72" i="27"/>
  <c r="T72" i="27"/>
  <c r="S72" i="27"/>
  <c r="R72" i="27"/>
  <c r="Q72" i="27"/>
  <c r="P72" i="27"/>
  <c r="O72" i="27"/>
  <c r="N72" i="27"/>
  <c r="M72" i="27"/>
  <c r="L72" i="27"/>
  <c r="K72" i="27"/>
  <c r="J72" i="27"/>
  <c r="I72" i="27"/>
  <c r="H72" i="27"/>
  <c r="G72" i="27"/>
  <c r="F72" i="27"/>
  <c r="U71" i="27"/>
  <c r="T71" i="27"/>
  <c r="S71" i="27"/>
  <c r="R71" i="27"/>
  <c r="Q71" i="27"/>
  <c r="P71" i="27"/>
  <c r="O71" i="27"/>
  <c r="N71" i="27"/>
  <c r="M71" i="27"/>
  <c r="L71" i="27"/>
  <c r="K71" i="27"/>
  <c r="J71" i="27"/>
  <c r="I71" i="27"/>
  <c r="H71" i="27"/>
  <c r="G71" i="27"/>
  <c r="F71" i="27"/>
  <c r="U70" i="27"/>
  <c r="T70" i="27"/>
  <c r="S70" i="27"/>
  <c r="R70" i="27"/>
  <c r="Q70" i="27"/>
  <c r="P70" i="27"/>
  <c r="O70" i="27"/>
  <c r="N70" i="27"/>
  <c r="M70" i="27"/>
  <c r="L70" i="27"/>
  <c r="K70" i="27"/>
  <c r="J70" i="27"/>
  <c r="I70" i="27"/>
  <c r="H70" i="27"/>
  <c r="G70" i="27"/>
  <c r="F70" i="27"/>
  <c r="U69" i="27"/>
  <c r="T69" i="27"/>
  <c r="S69" i="27"/>
  <c r="R69" i="27"/>
  <c r="Q69" i="27"/>
  <c r="P69" i="27"/>
  <c r="O69" i="27"/>
  <c r="N69" i="27"/>
  <c r="M69" i="27"/>
  <c r="L69" i="27"/>
  <c r="K69" i="27"/>
  <c r="J69" i="27"/>
  <c r="I69" i="27"/>
  <c r="H69" i="27"/>
  <c r="G69" i="27"/>
  <c r="F69" i="27"/>
  <c r="U68" i="27"/>
  <c r="U75" i="27" s="1"/>
  <c r="T68" i="27"/>
  <c r="T75" i="27" s="1"/>
  <c r="S68" i="27"/>
  <c r="S75" i="27" s="1"/>
  <c r="R68" i="27"/>
  <c r="R75" i="27" s="1"/>
  <c r="R76" i="27" s="1"/>
  <c r="Q68" i="27"/>
  <c r="Q75" i="27" s="1"/>
  <c r="P68" i="27"/>
  <c r="P75" i="27" s="1"/>
  <c r="O68" i="27"/>
  <c r="O75" i="27" s="1"/>
  <c r="N68" i="27"/>
  <c r="N75" i="27" s="1"/>
  <c r="N76" i="27" s="1"/>
  <c r="M68" i="27"/>
  <c r="M75" i="27" s="1"/>
  <c r="L68" i="27"/>
  <c r="L75" i="27" s="1"/>
  <c r="K68" i="27"/>
  <c r="K75" i="27" s="1"/>
  <c r="J68" i="27"/>
  <c r="J75" i="27" s="1"/>
  <c r="J76" i="27" s="1"/>
  <c r="I68" i="27"/>
  <c r="I75" i="27" s="1"/>
  <c r="H68" i="27"/>
  <c r="H75" i="27" s="1"/>
  <c r="G68" i="27"/>
  <c r="G75" i="27" s="1"/>
  <c r="F68" i="27"/>
  <c r="F75" i="27" s="1"/>
  <c r="P172" i="8" l="1"/>
  <c r="J85" i="2"/>
  <c r="K76" i="27"/>
  <c r="S76" i="27"/>
  <c r="H76" i="27"/>
  <c r="L76" i="27"/>
  <c r="P76" i="27"/>
  <c r="T76" i="27"/>
  <c r="G76" i="27"/>
  <c r="O76" i="27"/>
  <c r="I76" i="27"/>
  <c r="M76" i="27"/>
  <c r="Q76" i="27"/>
  <c r="U76" i="27"/>
  <c r="J237" i="8"/>
  <c r="I237" i="8"/>
  <c r="H237" i="8"/>
  <c r="G237" i="8"/>
  <c r="F237" i="8"/>
  <c r="E237" i="8"/>
  <c r="BG90" i="19"/>
  <c r="BF90" i="19"/>
  <c r="BE90" i="19"/>
  <c r="BD90" i="19"/>
  <c r="BC90" i="19"/>
  <c r="BB90" i="19"/>
  <c r="BA90" i="19"/>
  <c r="AZ90" i="19"/>
  <c r="AY90" i="19"/>
  <c r="AX90" i="19"/>
  <c r="AW90" i="19"/>
  <c r="AV90" i="19"/>
  <c r="AU90" i="19"/>
  <c r="AT90" i="19"/>
  <c r="AS90" i="19"/>
  <c r="AR90" i="19"/>
  <c r="AQ90" i="19"/>
  <c r="BG89" i="19"/>
  <c r="BF89" i="19"/>
  <c r="BE89" i="19"/>
  <c r="BD89" i="19"/>
  <c r="BC89" i="19"/>
  <c r="BB89" i="19"/>
  <c r="BA89" i="19"/>
  <c r="AZ89" i="19"/>
  <c r="AY89" i="19"/>
  <c r="AX89" i="19"/>
  <c r="AW89" i="19"/>
  <c r="AV89" i="19"/>
  <c r="AU89" i="19"/>
  <c r="AT89" i="19"/>
  <c r="AS89" i="19"/>
  <c r="AR89" i="19"/>
  <c r="AQ89" i="19"/>
  <c r="BG88" i="19"/>
  <c r="BF88" i="19"/>
  <c r="BE88" i="19"/>
  <c r="BD88" i="19"/>
  <c r="BC88" i="19"/>
  <c r="BB88" i="19"/>
  <c r="BA88" i="19"/>
  <c r="AZ88" i="19"/>
  <c r="AY88" i="19"/>
  <c r="AX88" i="19"/>
  <c r="AW88" i="19"/>
  <c r="AV88" i="19"/>
  <c r="AU88" i="19"/>
  <c r="AT88" i="19"/>
  <c r="AS88" i="19"/>
  <c r="AR88" i="19"/>
  <c r="AQ88" i="19"/>
  <c r="BG87" i="19"/>
  <c r="BF87" i="19"/>
  <c r="BE87" i="19"/>
  <c r="BD87" i="19"/>
  <c r="BC87" i="19"/>
  <c r="BB87" i="19"/>
  <c r="BA87" i="19"/>
  <c r="AZ87" i="19"/>
  <c r="AY87" i="19"/>
  <c r="AX87" i="19"/>
  <c r="AW87" i="19"/>
  <c r="AV87" i="19"/>
  <c r="AU87" i="19"/>
  <c r="AT87" i="19"/>
  <c r="AS87" i="19"/>
  <c r="AR87" i="19"/>
  <c r="AQ87" i="19"/>
  <c r="AP90" i="19"/>
  <c r="AP89" i="19"/>
  <c r="AP88" i="19"/>
  <c r="AP87" i="19"/>
  <c r="AP85" i="19"/>
  <c r="Q172" i="8" l="1"/>
  <c r="K85" i="2"/>
  <c r="L37" i="8"/>
  <c r="L36" i="8"/>
  <c r="K45" i="8"/>
  <c r="J45" i="8"/>
  <c r="I45" i="8"/>
  <c r="H45" i="8"/>
  <c r="G45" i="8"/>
  <c r="F45" i="8"/>
  <c r="E45" i="8"/>
  <c r="L41" i="8"/>
  <c r="L39" i="8"/>
  <c r="R172" i="8" l="1"/>
  <c r="L85" i="2"/>
  <c r="I78" i="26"/>
  <c r="D60" i="26"/>
  <c r="D62" i="26" s="1"/>
  <c r="D55" i="26"/>
  <c r="D53" i="26"/>
  <c r="I49" i="26"/>
  <c r="H49" i="26"/>
  <c r="G49" i="26"/>
  <c r="F49" i="26"/>
  <c r="E49" i="26"/>
  <c r="D49" i="26"/>
  <c r="C49" i="26"/>
  <c r="P49" i="26" s="1"/>
  <c r="P48" i="26"/>
  <c r="P47" i="26"/>
  <c r="P46" i="26"/>
  <c r="J46" i="26"/>
  <c r="J49" i="26" s="1"/>
  <c r="B46" i="26"/>
  <c r="K46" i="26" s="1"/>
  <c r="P45" i="26"/>
  <c r="J44" i="26"/>
  <c r="I44" i="26"/>
  <c r="H44" i="26"/>
  <c r="G44" i="26"/>
  <c r="G50" i="26" s="1"/>
  <c r="F44" i="26"/>
  <c r="F50" i="26" s="1"/>
  <c r="E44" i="26"/>
  <c r="D44" i="26"/>
  <c r="C44" i="26"/>
  <c r="C50" i="26" s="1"/>
  <c r="P50" i="26" s="1"/>
  <c r="P43" i="26"/>
  <c r="P42" i="26"/>
  <c r="P41" i="26"/>
  <c r="K41" i="26"/>
  <c r="K44" i="26" s="1"/>
  <c r="J41" i="26"/>
  <c r="P40" i="26"/>
  <c r="P39" i="26"/>
  <c r="P38" i="26"/>
  <c r="I38" i="26"/>
  <c r="I50" i="26" s="1"/>
  <c r="H38" i="26"/>
  <c r="G38" i="26"/>
  <c r="F38" i="26"/>
  <c r="E38" i="26"/>
  <c r="D38" i="26"/>
  <c r="C38" i="26"/>
  <c r="P37" i="26"/>
  <c r="P36" i="26"/>
  <c r="P35" i="26"/>
  <c r="K35" i="26"/>
  <c r="K38" i="26" s="1"/>
  <c r="J35" i="26"/>
  <c r="L35" i="26" s="1"/>
  <c r="L38" i="26" s="1"/>
  <c r="P34" i="26"/>
  <c r="P33" i="26"/>
  <c r="P32" i="26"/>
  <c r="I32" i="26"/>
  <c r="H32" i="26"/>
  <c r="H50" i="26" s="1"/>
  <c r="G32" i="26"/>
  <c r="F32" i="26"/>
  <c r="E32" i="26"/>
  <c r="D32" i="26"/>
  <c r="D50" i="26" s="1"/>
  <c r="C32" i="26"/>
  <c r="P31" i="26"/>
  <c r="P30" i="26"/>
  <c r="L30" i="26"/>
  <c r="K30" i="26"/>
  <c r="J30" i="26"/>
  <c r="P29" i="26"/>
  <c r="L29" i="26"/>
  <c r="K29" i="26"/>
  <c r="J29" i="26"/>
  <c r="P28" i="26"/>
  <c r="L28" i="26"/>
  <c r="L32" i="26" s="1"/>
  <c r="K28" i="26"/>
  <c r="K32" i="26" s="1"/>
  <c r="J28" i="26"/>
  <c r="J32" i="26" s="1"/>
  <c r="P27" i="26"/>
  <c r="P26" i="26"/>
  <c r="I25" i="26"/>
  <c r="H25" i="26"/>
  <c r="G25" i="26"/>
  <c r="F25" i="26"/>
  <c r="E25" i="26"/>
  <c r="D25" i="26"/>
  <c r="C25" i="26"/>
  <c r="P25" i="26" s="1"/>
  <c r="P24" i="26"/>
  <c r="J24" i="26"/>
  <c r="B24" i="26"/>
  <c r="K24" i="26" s="1"/>
  <c r="P23" i="26"/>
  <c r="K23" i="26"/>
  <c r="J23" i="26"/>
  <c r="L23" i="26" s="1"/>
  <c r="P22" i="26"/>
  <c r="K22" i="26"/>
  <c r="J22" i="26"/>
  <c r="L22" i="26" s="1"/>
  <c r="P21" i="26"/>
  <c r="K21" i="26"/>
  <c r="J21" i="26"/>
  <c r="L21" i="26" s="1"/>
  <c r="P20" i="26"/>
  <c r="K20" i="26"/>
  <c r="J20" i="26"/>
  <c r="L20" i="26" s="1"/>
  <c r="B20" i="26"/>
  <c r="P19" i="26"/>
  <c r="K19" i="26"/>
  <c r="L19" i="26" s="1"/>
  <c r="J19" i="26"/>
  <c r="P18" i="26"/>
  <c r="K18" i="26"/>
  <c r="L18" i="26" s="1"/>
  <c r="J18" i="26"/>
  <c r="P17" i="26"/>
  <c r="K17" i="26"/>
  <c r="L17" i="26" s="1"/>
  <c r="J17" i="26"/>
  <c r="P16" i="26"/>
  <c r="K16" i="26"/>
  <c r="K25" i="26" s="1"/>
  <c r="J16" i="26"/>
  <c r="P15" i="26"/>
  <c r="P14" i="26"/>
  <c r="P13" i="26"/>
  <c r="I13" i="26"/>
  <c r="H13" i="26"/>
  <c r="G13" i="26"/>
  <c r="F13" i="26"/>
  <c r="E13" i="26"/>
  <c r="E50" i="26" s="1"/>
  <c r="D13" i="26"/>
  <c r="C13" i="26"/>
  <c r="P12" i="26"/>
  <c r="P11" i="26"/>
  <c r="K11" i="26"/>
  <c r="J11" i="26"/>
  <c r="L11" i="26" s="1"/>
  <c r="P10" i="26"/>
  <c r="K10" i="26"/>
  <c r="J10" i="26"/>
  <c r="L10" i="26" s="1"/>
  <c r="P9" i="26"/>
  <c r="K9" i="26"/>
  <c r="K13" i="26" s="1"/>
  <c r="J9" i="26"/>
  <c r="L9" i="26" s="1"/>
  <c r="L6" i="26"/>
  <c r="S172" i="8" l="1"/>
  <c r="M85" i="2"/>
  <c r="D58" i="26"/>
  <c r="L46" i="26"/>
  <c r="L49" i="26" s="1"/>
  <c r="K49" i="26"/>
  <c r="K50" i="26" s="1"/>
  <c r="L24" i="26"/>
  <c r="L13" i="26"/>
  <c r="J25" i="26"/>
  <c r="J13" i="26"/>
  <c r="J38" i="26"/>
  <c r="J50" i="26" s="1"/>
  <c r="L41" i="26"/>
  <c r="L44" i="26" s="1"/>
  <c r="L16" i="26"/>
  <c r="P44" i="26"/>
  <c r="T172" i="8" l="1"/>
  <c r="N85" i="2"/>
  <c r="L25" i="26"/>
  <c r="L50" i="26"/>
  <c r="U172" i="8" l="1"/>
  <c r="O85" i="2"/>
  <c r="H83" i="2"/>
  <c r="I83" i="2" s="1"/>
  <c r="J83" i="2" s="1"/>
  <c r="K83" i="2" s="1"/>
  <c r="L83" i="2" s="1"/>
  <c r="M83" i="2" s="1"/>
  <c r="N83" i="2" s="1"/>
  <c r="O83" i="2" s="1"/>
  <c r="P83" i="2" s="1"/>
  <c r="Q83" i="2" s="1"/>
  <c r="R83" i="2" s="1"/>
  <c r="S83" i="2" s="1"/>
  <c r="T83" i="2" s="1"/>
  <c r="U83" i="2" s="1"/>
  <c r="V83" i="2" s="1"/>
  <c r="W83" i="2" s="1"/>
  <c r="X83" i="2" s="1"/>
  <c r="V172" i="8" l="1"/>
  <c r="P85" i="2"/>
  <c r="AV131" i="19"/>
  <c r="BH85" i="19"/>
  <c r="BH90" i="19"/>
  <c r="BG92" i="19"/>
  <c r="BF92" i="19"/>
  <c r="BE92" i="19"/>
  <c r="BD92" i="19"/>
  <c r="BC92" i="19"/>
  <c r="BB92" i="19"/>
  <c r="BA92" i="19"/>
  <c r="AZ92" i="19"/>
  <c r="AY92" i="19"/>
  <c r="AX92" i="19"/>
  <c r="AW92" i="19"/>
  <c r="AV92" i="19"/>
  <c r="AU92" i="19"/>
  <c r="AT92" i="19"/>
  <c r="AS92" i="19"/>
  <c r="BG91" i="19"/>
  <c r="BF91" i="19"/>
  <c r="BE91" i="19"/>
  <c r="BD91" i="19"/>
  <c r="BC91" i="19"/>
  <c r="BB91" i="19"/>
  <c r="BA91" i="19"/>
  <c r="AZ91" i="19"/>
  <c r="AY91" i="19"/>
  <c r="AX91" i="19"/>
  <c r="AW91" i="19"/>
  <c r="AV91" i="19"/>
  <c r="AU91" i="19"/>
  <c r="AT91" i="19"/>
  <c r="AS91" i="19"/>
  <c r="BH88" i="19"/>
  <c r="BG85" i="19"/>
  <c r="BF85" i="19"/>
  <c r="BE85" i="19"/>
  <c r="BD85" i="19"/>
  <c r="BC85" i="19"/>
  <c r="BB85" i="19"/>
  <c r="BA85" i="19"/>
  <c r="AZ85" i="19"/>
  <c r="AY85" i="19"/>
  <c r="AX85" i="19"/>
  <c r="AW85" i="19"/>
  <c r="AV85" i="19"/>
  <c r="AU85" i="19"/>
  <c r="AT85" i="19"/>
  <c r="AS85" i="19"/>
  <c r="AR92" i="19"/>
  <c r="AR91" i="19"/>
  <c r="AR85" i="19"/>
  <c r="AQ92" i="19"/>
  <c r="AQ91" i="19"/>
  <c r="AQ85" i="19"/>
  <c r="AQ135" i="19"/>
  <c r="AR135" i="19" s="1"/>
  <c r="AS135" i="19" s="1"/>
  <c r="AT135" i="19" s="1"/>
  <c r="AU135" i="19" s="1"/>
  <c r="AV135" i="19" s="1"/>
  <c r="AW135" i="19" s="1"/>
  <c r="AX135" i="19" s="1"/>
  <c r="AY135" i="19" s="1"/>
  <c r="AZ135" i="19" s="1"/>
  <c r="BA135" i="19" s="1"/>
  <c r="BB135" i="19" s="1"/>
  <c r="BC135" i="19" s="1"/>
  <c r="BD135" i="19" s="1"/>
  <c r="BE135" i="19" s="1"/>
  <c r="BF135" i="19" s="1"/>
  <c r="BG135" i="19" s="1"/>
  <c r="AR134" i="19"/>
  <c r="AS134" i="19" s="1"/>
  <c r="AT134" i="19" s="1"/>
  <c r="AU134" i="19" s="1"/>
  <c r="AV134" i="19" s="1"/>
  <c r="AW134" i="19" s="1"/>
  <c r="AX134" i="19" s="1"/>
  <c r="AY134" i="19" s="1"/>
  <c r="AQ134" i="19"/>
  <c r="AQ133" i="19"/>
  <c r="AR133" i="19" s="1"/>
  <c r="AS133" i="19" s="1"/>
  <c r="AT133" i="19" s="1"/>
  <c r="AU133" i="19" s="1"/>
  <c r="AR132" i="19"/>
  <c r="AS132" i="19" s="1"/>
  <c r="AT132" i="19" s="1"/>
  <c r="AQ132" i="19"/>
  <c r="AQ131" i="19"/>
  <c r="AR131" i="19" s="1"/>
  <c r="AS131" i="19" s="1"/>
  <c r="AT131" i="19" s="1"/>
  <c r="AU131" i="19" s="1"/>
  <c r="AQ129" i="19"/>
  <c r="AP135" i="19"/>
  <c r="AP92" i="19"/>
  <c r="AP91" i="19"/>
  <c r="AP134" i="19"/>
  <c r="AP133" i="19"/>
  <c r="AP132" i="19"/>
  <c r="AP131" i="19"/>
  <c r="AP129" i="19"/>
  <c r="AO137" i="19"/>
  <c r="W172" i="8" l="1"/>
  <c r="Q85" i="2"/>
  <c r="AW131" i="19"/>
  <c r="BH89" i="19"/>
  <c r="AR129" i="19"/>
  <c r="X172" i="8" l="1"/>
  <c r="R85" i="2"/>
  <c r="AX131" i="19"/>
  <c r="AS129" i="19"/>
  <c r="Y172" i="8" l="1"/>
  <c r="S85" i="2"/>
  <c r="AY131" i="19"/>
  <c r="AT129" i="19"/>
  <c r="D204" i="19"/>
  <c r="C23" i="5"/>
  <c r="C15" i="5"/>
  <c r="K26" i="8"/>
  <c r="K38" i="8"/>
  <c r="Z172" i="8" l="1"/>
  <c r="T85" i="2"/>
  <c r="AZ131" i="19"/>
  <c r="BH87" i="19"/>
  <c r="AU129" i="19"/>
  <c r="AA172" i="8" l="1"/>
  <c r="U85" i="2"/>
  <c r="AV129" i="19"/>
  <c r="I87" i="4"/>
  <c r="I42" i="4" s="1"/>
  <c r="H87" i="4"/>
  <c r="H42" i="4" s="1"/>
  <c r="G87" i="4"/>
  <c r="G42" i="4" s="1"/>
  <c r="AB172" i="8" l="1"/>
  <c r="V85" i="2"/>
  <c r="AW129" i="19"/>
  <c r="AO50" i="19"/>
  <c r="AC172" i="8" l="1"/>
  <c r="X85" i="2" s="1"/>
  <c r="W85" i="2"/>
  <c r="AX129" i="19"/>
  <c r="AO39" i="19"/>
  <c r="AO44" i="19"/>
  <c r="AO85" i="19"/>
  <c r="AO88" i="19"/>
  <c r="AO87" i="19"/>
  <c r="AY129" i="19" l="1"/>
  <c r="L31" i="8"/>
  <c r="M31" i="8" s="1"/>
  <c r="AQ15" i="14"/>
  <c r="Q22" i="14"/>
  <c r="N168" i="8"/>
  <c r="C34" i="1"/>
  <c r="Q172" i="1"/>
  <c r="P172" i="1"/>
  <c r="O172" i="1"/>
  <c r="N172" i="1"/>
  <c r="M172" i="1"/>
  <c r="L172" i="1"/>
  <c r="CD17" i="14"/>
  <c r="CD8" i="14"/>
  <c r="BS18" i="14"/>
  <c r="BS16" i="14"/>
  <c r="BR16" i="14"/>
  <c r="BR17" i="14" s="1"/>
  <c r="BQ16" i="14"/>
  <c r="BS7" i="14"/>
  <c r="BS21" i="14" s="1"/>
  <c r="BR7" i="14"/>
  <c r="BR21" i="14" s="1"/>
  <c r="BQ7" i="14"/>
  <c r="BQ8" i="14" s="1"/>
  <c r="BO16" i="14"/>
  <c r="BN16" i="14"/>
  <c r="BN17" i="14" s="1"/>
  <c r="BM16" i="14"/>
  <c r="BL16" i="14"/>
  <c r="BK16" i="14"/>
  <c r="BK17" i="14" s="1"/>
  <c r="BJ16" i="14"/>
  <c r="BI16" i="14"/>
  <c r="BH16" i="14"/>
  <c r="BG16" i="14"/>
  <c r="BG17" i="14" s="1"/>
  <c r="BF16" i="14"/>
  <c r="BE16" i="14"/>
  <c r="BD16" i="14"/>
  <c r="BD17" i="14" s="1"/>
  <c r="BO7" i="14"/>
  <c r="BN7" i="14"/>
  <c r="BM7" i="14"/>
  <c r="BL7" i="14"/>
  <c r="BL8" i="14" s="1"/>
  <c r="BK7" i="14"/>
  <c r="BJ7" i="14"/>
  <c r="BI7" i="14"/>
  <c r="BH7" i="14"/>
  <c r="BH8" i="14" s="1"/>
  <c r="BG7" i="14"/>
  <c r="BF7" i="14"/>
  <c r="BE7" i="14"/>
  <c r="BE8" i="14" s="1"/>
  <c r="BD7" i="14"/>
  <c r="CB16" i="14"/>
  <c r="CA16" i="14"/>
  <c r="CA17" i="14" s="1"/>
  <c r="BZ16" i="14"/>
  <c r="BZ18" i="14" s="1"/>
  <c r="BY16" i="14"/>
  <c r="BY18" i="14" s="1"/>
  <c r="BX16" i="14"/>
  <c r="BX18" i="14" s="1"/>
  <c r="BW16" i="14"/>
  <c r="BW18" i="14" s="1"/>
  <c r="BV16" i="14"/>
  <c r="BV18" i="14" s="1"/>
  <c r="BU16" i="14"/>
  <c r="BU18" i="14" s="1"/>
  <c r="BT16" i="14"/>
  <c r="BT18" i="14" s="1"/>
  <c r="CC14" i="14"/>
  <c r="CB7" i="14"/>
  <c r="CA7" i="14"/>
  <c r="BZ7" i="14"/>
  <c r="BZ9" i="14" s="1"/>
  <c r="BY7" i="14"/>
  <c r="BY21" i="14" s="1"/>
  <c r="BX7" i="14"/>
  <c r="BX8" i="14" s="1"/>
  <c r="BW7" i="14"/>
  <c r="BV7" i="14"/>
  <c r="BV9" i="14" s="1"/>
  <c r="BU7" i="14"/>
  <c r="BU21" i="14" s="1"/>
  <c r="BT7" i="14"/>
  <c r="BT9" i="14" s="1"/>
  <c r="CC5" i="14"/>
  <c r="C18" i="1"/>
  <c r="BI21" i="14" l="1"/>
  <c r="BH9" i="14"/>
  <c r="BL9" i="14"/>
  <c r="BF21" i="14"/>
  <c r="BJ21" i="14"/>
  <c r="BJ9" i="14"/>
  <c r="BO21" i="14"/>
  <c r="BM21" i="14"/>
  <c r="BK21" i="14"/>
  <c r="BG21" i="14"/>
  <c r="BE21" i="14"/>
  <c r="BN21" i="14"/>
  <c r="AZ129" i="19"/>
  <c r="BX9" i="14"/>
  <c r="BE9" i="14"/>
  <c r="BR8" i="14"/>
  <c r="BR9" i="14" s="1"/>
  <c r="BD9" i="14"/>
  <c r="BQ17" i="14"/>
  <c r="BQ18" i="14" s="1"/>
  <c r="BS8" i="14"/>
  <c r="BS9" i="14" s="1"/>
  <c r="CA18" i="14"/>
  <c r="BZ21" i="14"/>
  <c r="BW21" i="14"/>
  <c r="CA21" i="14"/>
  <c r="BR18" i="14"/>
  <c r="BQ21" i="14"/>
  <c r="CB9" i="14"/>
  <c r="BV21" i="14"/>
  <c r="BQ9" i="14"/>
  <c r="CC7" i="14"/>
  <c r="BE18" i="14"/>
  <c r="BH21" i="14"/>
  <c r="BD21" i="14"/>
  <c r="BH18" i="14"/>
  <c r="BL21" i="14"/>
  <c r="BI9" i="14"/>
  <c r="BM9" i="14"/>
  <c r="BI18" i="14"/>
  <c r="BM18" i="14"/>
  <c r="BL18" i="14"/>
  <c r="BN9" i="14"/>
  <c r="BF9" i="14"/>
  <c r="BF18" i="14"/>
  <c r="BJ18" i="14"/>
  <c r="BN18" i="14"/>
  <c r="BD18" i="14"/>
  <c r="BG9" i="14"/>
  <c r="BK9" i="14"/>
  <c r="BO9" i="14"/>
  <c r="BG18" i="14"/>
  <c r="BK18" i="14"/>
  <c r="BO18" i="14"/>
  <c r="BT21" i="14"/>
  <c r="BX21" i="14"/>
  <c r="CB21" i="14"/>
  <c r="BU9" i="14"/>
  <c r="BY9" i="14"/>
  <c r="CB18" i="14"/>
  <c r="CC16" i="14"/>
  <c r="BW9" i="14"/>
  <c r="CA9" i="14"/>
  <c r="BA129" i="19" l="1"/>
  <c r="CC18" i="14"/>
  <c r="CC19" i="14" s="1"/>
  <c r="CC21" i="14"/>
  <c r="K10" i="1" s="1"/>
  <c r="CC9" i="14"/>
  <c r="BB129" i="19" l="1"/>
  <c r="CC10" i="14"/>
  <c r="CC20" i="14"/>
  <c r="BC129" i="19" l="1"/>
  <c r="CC23" i="14"/>
  <c r="K11" i="1"/>
  <c r="F87" i="4"/>
  <c r="K172" i="8"/>
  <c r="K139" i="8"/>
  <c r="K31" i="8"/>
  <c r="K40" i="8"/>
  <c r="BD129" i="19" l="1"/>
  <c r="H81" i="1"/>
  <c r="H80" i="1"/>
  <c r="H79" i="1"/>
  <c r="H78" i="1"/>
  <c r="H77" i="1"/>
  <c r="H76" i="1"/>
  <c r="BE129" i="19" l="1"/>
  <c r="M168" i="8"/>
  <c r="L168" i="8"/>
  <c r="M167" i="8"/>
  <c r="L167" i="8"/>
  <c r="BF129" i="19" l="1"/>
  <c r="C42" i="1"/>
  <c r="BG129" i="19" l="1"/>
  <c r="P168" i="8" l="1"/>
  <c r="O168" i="8"/>
  <c r="P230" i="8"/>
  <c r="Q230" i="8" s="1"/>
  <c r="R230" i="8" s="1"/>
  <c r="S230" i="8" s="1"/>
  <c r="T230" i="8" s="1"/>
  <c r="U230" i="8" s="1"/>
  <c r="V230" i="8" s="1"/>
  <c r="W230" i="8" s="1"/>
  <c r="X230" i="8" s="1"/>
  <c r="Y230" i="8" s="1"/>
  <c r="Z230" i="8" s="1"/>
  <c r="AA230" i="8" s="1"/>
  <c r="AB230" i="8" s="1"/>
  <c r="AC230" i="8" s="1"/>
  <c r="O230" i="8"/>
  <c r="AC168" i="8" l="1"/>
  <c r="AB168" i="8"/>
  <c r="AA168" i="8"/>
  <c r="Z168" i="8"/>
  <c r="Y168" i="8"/>
  <c r="X168" i="8"/>
  <c r="W168" i="8"/>
  <c r="V168" i="8"/>
  <c r="U168" i="8"/>
  <c r="T168" i="8"/>
  <c r="S168" i="8"/>
  <c r="R168" i="8"/>
  <c r="Q168" i="8"/>
  <c r="E142" i="4" l="1"/>
  <c r="H142" i="4" s="1"/>
  <c r="AB138" i="4"/>
  <c r="X138" i="4"/>
  <c r="W138" i="4"/>
  <c r="V138" i="4"/>
  <c r="U138" i="4"/>
  <c r="T138" i="4"/>
  <c r="S138" i="4"/>
  <c r="R138" i="4"/>
  <c r="Q138" i="4"/>
  <c r="I138" i="4"/>
  <c r="H138" i="4"/>
  <c r="G138" i="4"/>
  <c r="F138" i="4"/>
  <c r="E138" i="4"/>
  <c r="AK137" i="4"/>
  <c r="AJ137" i="4"/>
  <c r="AI137" i="4"/>
  <c r="AC137" i="4"/>
  <c r="AC136" i="4"/>
  <c r="AD135" i="4"/>
  <c r="AE135" i="4" s="1"/>
  <c r="AF135" i="4" s="1"/>
  <c r="AG135" i="4" s="1"/>
  <c r="AH135" i="4" s="1"/>
  <c r="AI135" i="4" s="1"/>
  <c r="AJ135" i="4" s="1"/>
  <c r="AK135" i="4" s="1"/>
  <c r="AB135" i="4"/>
  <c r="AC138" i="4" l="1"/>
  <c r="AD136" i="4" s="1"/>
  <c r="A138" i="4"/>
  <c r="I142" i="4"/>
  <c r="AD137" i="4"/>
  <c r="AE137" i="4" s="1"/>
  <c r="AF137" i="4" s="1"/>
  <c r="AG137" i="4" s="1"/>
  <c r="AH137" i="4" s="1"/>
  <c r="AD138" i="4" l="1"/>
  <c r="AE136" i="4" s="1"/>
  <c r="J142" i="4"/>
  <c r="E137" i="4"/>
  <c r="E139" i="4" s="1"/>
  <c r="F136" i="4" s="1"/>
  <c r="K142" i="4" l="1"/>
  <c r="AE138" i="4"/>
  <c r="AF136" i="4" s="1"/>
  <c r="F85" i="4"/>
  <c r="L142" i="4" l="1"/>
  <c r="AF138" i="4"/>
  <c r="AG136" i="4" s="1"/>
  <c r="AG138" i="4" l="1"/>
  <c r="AH136" i="4" s="1"/>
  <c r="M142" i="4"/>
  <c r="I172" i="8"/>
  <c r="J172" i="8"/>
  <c r="N142" i="4" l="1"/>
  <c r="AH138" i="4"/>
  <c r="AI136" i="4" s="1"/>
  <c r="B19" i="22"/>
  <c r="B25" i="22"/>
  <c r="B23" i="22"/>
  <c r="B21" i="22"/>
  <c r="B20" i="22"/>
  <c r="H6" i="22"/>
  <c r="G6" i="22"/>
  <c r="F6" i="22"/>
  <c r="E6" i="22"/>
  <c r="D6" i="22"/>
  <c r="C6" i="22"/>
  <c r="C49" i="1"/>
  <c r="K172" i="1"/>
  <c r="F10" i="4"/>
  <c r="O142" i="4" l="1"/>
  <c r="AI138" i="4"/>
  <c r="AJ136" i="4" s="1"/>
  <c r="B24" i="22"/>
  <c r="B26" i="22" s="1"/>
  <c r="AJ138" i="4" l="1"/>
  <c r="AK136" i="4" s="1"/>
  <c r="P142" i="4"/>
  <c r="Q142" i="4" l="1"/>
  <c r="AK138" i="4"/>
  <c r="J139" i="8"/>
  <c r="I139" i="8"/>
  <c r="D61" i="5"/>
  <c r="D60" i="5"/>
  <c r="D39" i="5"/>
  <c r="D38" i="5"/>
  <c r="X54" i="4"/>
  <c r="W54" i="4"/>
  <c r="V54" i="4"/>
  <c r="U54" i="4"/>
  <c r="T54" i="4"/>
  <c r="S54" i="4"/>
  <c r="R54" i="4"/>
  <c r="Q54" i="4"/>
  <c r="P54" i="4"/>
  <c r="O54" i="4"/>
  <c r="N54" i="4"/>
  <c r="M54" i="4"/>
  <c r="L54" i="4"/>
  <c r="K54" i="4"/>
  <c r="J54" i="4"/>
  <c r="I54" i="4"/>
  <c r="H54" i="4"/>
  <c r="G54" i="4"/>
  <c r="F54" i="4"/>
  <c r="E54" i="4"/>
  <c r="D40" i="5" l="1"/>
  <c r="D41" i="5" s="1"/>
  <c r="R142" i="4"/>
  <c r="E13" i="5"/>
  <c r="E7" i="5"/>
  <c r="AN110" i="19"/>
  <c r="AO107" i="19" s="1"/>
  <c r="BG108" i="19"/>
  <c r="BF108" i="19"/>
  <c r="BE108" i="19"/>
  <c r="BD108" i="19"/>
  <c r="BC108" i="19"/>
  <c r="BB108" i="19"/>
  <c r="BA108" i="19"/>
  <c r="AZ108" i="19"/>
  <c r="AY108" i="19"/>
  <c r="AX108" i="19"/>
  <c r="AW108" i="19"/>
  <c r="AV108" i="19"/>
  <c r="AU108" i="19"/>
  <c r="AT108" i="19"/>
  <c r="AS108" i="19"/>
  <c r="AR108" i="19"/>
  <c r="AR99" i="19"/>
  <c r="AO99" i="19"/>
  <c r="I77" i="20"/>
  <c r="I66" i="20"/>
  <c r="H66" i="20"/>
  <c r="G66" i="20"/>
  <c r="F66" i="20"/>
  <c r="E66" i="20"/>
  <c r="D66" i="20"/>
  <c r="C66" i="20"/>
  <c r="J12" i="19" s="1"/>
  <c r="I65" i="20"/>
  <c r="H65" i="20"/>
  <c r="G65" i="20"/>
  <c r="F65" i="20"/>
  <c r="E65" i="20"/>
  <c r="D65" i="20"/>
  <c r="C65" i="20"/>
  <c r="J11" i="19" s="1"/>
  <c r="I64" i="20"/>
  <c r="H64" i="20"/>
  <c r="G64" i="20"/>
  <c r="G67" i="20" s="1"/>
  <c r="F64" i="20"/>
  <c r="E64" i="20"/>
  <c r="D64" i="20"/>
  <c r="C64" i="20"/>
  <c r="C67" i="20" s="1"/>
  <c r="D59" i="20"/>
  <c r="D61" i="20" s="1"/>
  <c r="I48" i="20"/>
  <c r="H48" i="20"/>
  <c r="G48" i="20"/>
  <c r="F48" i="20"/>
  <c r="E48" i="20"/>
  <c r="D48" i="20"/>
  <c r="C48" i="20"/>
  <c r="P48" i="20" s="1"/>
  <c r="P47" i="20"/>
  <c r="P46" i="20"/>
  <c r="P45" i="20"/>
  <c r="J45" i="20"/>
  <c r="B45" i="20"/>
  <c r="K45" i="20" s="1"/>
  <c r="K48" i="20" s="1"/>
  <c r="P44" i="20"/>
  <c r="I43" i="20"/>
  <c r="H43" i="20"/>
  <c r="G43" i="20"/>
  <c r="F43" i="20"/>
  <c r="E43" i="20"/>
  <c r="D43" i="20"/>
  <c r="C43" i="20"/>
  <c r="P43" i="20" s="1"/>
  <c r="P42" i="20"/>
  <c r="P41" i="20"/>
  <c r="P40" i="20"/>
  <c r="K40" i="20"/>
  <c r="K43" i="20" s="1"/>
  <c r="J40" i="20"/>
  <c r="J43" i="20" s="1"/>
  <c r="P39" i="20"/>
  <c r="P38" i="20"/>
  <c r="I37" i="20"/>
  <c r="H37" i="20"/>
  <c r="G37" i="20"/>
  <c r="F37" i="20"/>
  <c r="E37" i="20"/>
  <c r="D37" i="20"/>
  <c r="C37" i="20"/>
  <c r="P37" i="20" s="1"/>
  <c r="P36" i="20"/>
  <c r="P35" i="20"/>
  <c r="P34" i="20"/>
  <c r="K34" i="20"/>
  <c r="K37" i="20" s="1"/>
  <c r="J34" i="20"/>
  <c r="J37" i="20" s="1"/>
  <c r="P33" i="20"/>
  <c r="P32" i="20"/>
  <c r="I31" i="20"/>
  <c r="H31" i="20"/>
  <c r="G31" i="20"/>
  <c r="F31" i="20"/>
  <c r="E31" i="20"/>
  <c r="D31" i="20"/>
  <c r="C31" i="20"/>
  <c r="P31" i="20" s="1"/>
  <c r="P30" i="20"/>
  <c r="P29" i="20"/>
  <c r="K29" i="20"/>
  <c r="J29" i="20"/>
  <c r="P28" i="20"/>
  <c r="K28" i="20"/>
  <c r="J28" i="20"/>
  <c r="P27" i="20"/>
  <c r="P26" i="20"/>
  <c r="I25" i="20"/>
  <c r="H25" i="20"/>
  <c r="G25" i="20"/>
  <c r="F25" i="20"/>
  <c r="E25" i="20"/>
  <c r="D25" i="20"/>
  <c r="C25" i="20"/>
  <c r="P25" i="20" s="1"/>
  <c r="P24" i="20"/>
  <c r="J24" i="20"/>
  <c r="B24" i="20"/>
  <c r="K24" i="20" s="1"/>
  <c r="P23" i="20"/>
  <c r="K23" i="20"/>
  <c r="J23" i="20"/>
  <c r="P22" i="20"/>
  <c r="K22" i="20"/>
  <c r="J22" i="20"/>
  <c r="P21" i="20"/>
  <c r="K21" i="20"/>
  <c r="J21" i="20"/>
  <c r="P20" i="20"/>
  <c r="J20" i="20"/>
  <c r="B20" i="20"/>
  <c r="K20" i="20" s="1"/>
  <c r="P19" i="20"/>
  <c r="K19" i="20"/>
  <c r="J19" i="20"/>
  <c r="P18" i="20"/>
  <c r="K18" i="20"/>
  <c r="J18" i="20"/>
  <c r="P17" i="20"/>
  <c r="K17" i="20"/>
  <c r="J17" i="20"/>
  <c r="P16" i="20"/>
  <c r="K16" i="20"/>
  <c r="J16" i="20"/>
  <c r="P15" i="20"/>
  <c r="P14" i="20"/>
  <c r="I13" i="20"/>
  <c r="H13" i="20"/>
  <c r="G13" i="20"/>
  <c r="F13" i="20"/>
  <c r="E13" i="20"/>
  <c r="D13" i="20"/>
  <c r="C13" i="20"/>
  <c r="P13" i="20" s="1"/>
  <c r="P12" i="20"/>
  <c r="P11" i="20"/>
  <c r="K11" i="20"/>
  <c r="J11" i="20"/>
  <c r="P10" i="20"/>
  <c r="K10" i="20"/>
  <c r="J10" i="20"/>
  <c r="L10" i="20" s="1"/>
  <c r="P9" i="20"/>
  <c r="K9" i="20"/>
  <c r="J9" i="20"/>
  <c r="G205" i="19"/>
  <c r="J119" i="19"/>
  <c r="K119" i="19" s="1"/>
  <c r="L119" i="19" s="1"/>
  <c r="M119" i="19" s="1"/>
  <c r="N119" i="19" s="1"/>
  <c r="O119" i="19" s="1"/>
  <c r="P119" i="19" s="1"/>
  <c r="Q119" i="19" s="1"/>
  <c r="R119" i="19" s="1"/>
  <c r="S119" i="19" s="1"/>
  <c r="T119" i="19" s="1"/>
  <c r="U119" i="19" s="1"/>
  <c r="V119" i="19" s="1"/>
  <c r="H117" i="19"/>
  <c r="I117" i="19" s="1"/>
  <c r="J116" i="19"/>
  <c r="K116" i="19" s="1"/>
  <c r="AI95" i="19"/>
  <c r="AN88" i="19"/>
  <c r="AM88" i="19"/>
  <c r="AN87" i="19"/>
  <c r="AM87" i="19"/>
  <c r="AL87" i="19"/>
  <c r="AL95" i="19" s="1"/>
  <c r="AL70" i="19" s="1"/>
  <c r="AN86" i="19"/>
  <c r="AN85" i="19"/>
  <c r="AM85" i="19"/>
  <c r="AF82" i="19"/>
  <c r="AL67" i="19"/>
  <c r="AM67" i="19" s="1"/>
  <c r="AN67" i="19" s="1"/>
  <c r="AO67" i="19" s="1"/>
  <c r="AP67" i="19" s="1"/>
  <c r="AQ67" i="19" s="1"/>
  <c r="AR67" i="19" s="1"/>
  <c r="AS67" i="19" s="1"/>
  <c r="AT67" i="19" s="1"/>
  <c r="AU67" i="19" s="1"/>
  <c r="AV67" i="19" s="1"/>
  <c r="AW67" i="19" s="1"/>
  <c r="AX67" i="19" s="1"/>
  <c r="AY67" i="19" s="1"/>
  <c r="AZ67" i="19" s="1"/>
  <c r="BA67" i="19" s="1"/>
  <c r="BB67" i="19" s="1"/>
  <c r="BC67" i="19" s="1"/>
  <c r="BD67" i="19" s="1"/>
  <c r="BE67" i="19" s="1"/>
  <c r="BF67" i="19" s="1"/>
  <c r="BG67" i="19" s="1"/>
  <c r="AJ67" i="19"/>
  <c r="AL66" i="19"/>
  <c r="AM66" i="19" s="1"/>
  <c r="AN66" i="19" s="1"/>
  <c r="AO66" i="19" s="1"/>
  <c r="AP66" i="19" s="1"/>
  <c r="AQ66" i="19" s="1"/>
  <c r="AR66" i="19" s="1"/>
  <c r="AS66" i="19" s="1"/>
  <c r="AT66" i="19" s="1"/>
  <c r="AU66" i="19" s="1"/>
  <c r="AV66" i="19" s="1"/>
  <c r="AW66" i="19" s="1"/>
  <c r="AX66" i="19" s="1"/>
  <c r="AY66" i="19" s="1"/>
  <c r="AZ66" i="19" s="1"/>
  <c r="BA66" i="19" s="1"/>
  <c r="BB66" i="19" s="1"/>
  <c r="BC66" i="19" s="1"/>
  <c r="BD66" i="19" s="1"/>
  <c r="BE66" i="19" s="1"/>
  <c r="BF66" i="19" s="1"/>
  <c r="BG66" i="19" s="1"/>
  <c r="AJ66" i="19"/>
  <c r="AL65" i="19"/>
  <c r="AM65" i="19" s="1"/>
  <c r="AN65" i="19" s="1"/>
  <c r="AO65" i="19" s="1"/>
  <c r="AP65" i="19" s="1"/>
  <c r="AQ65" i="19" s="1"/>
  <c r="AR65" i="19" s="1"/>
  <c r="AS65" i="19" s="1"/>
  <c r="AT65" i="19" s="1"/>
  <c r="AU65" i="19" s="1"/>
  <c r="AV65" i="19" s="1"/>
  <c r="AW65" i="19" s="1"/>
  <c r="AX65" i="19" s="1"/>
  <c r="AY65" i="19" s="1"/>
  <c r="AZ65" i="19" s="1"/>
  <c r="BA65" i="19" s="1"/>
  <c r="BB65" i="19" s="1"/>
  <c r="BC65" i="19" s="1"/>
  <c r="BD65" i="19" s="1"/>
  <c r="BE65" i="19" s="1"/>
  <c r="BF65" i="19" s="1"/>
  <c r="BG65" i="19" s="1"/>
  <c r="AJ65" i="19"/>
  <c r="AL64" i="19"/>
  <c r="AM64" i="19" s="1"/>
  <c r="AN64" i="19" s="1"/>
  <c r="AO64" i="19" s="1"/>
  <c r="AP64" i="19" s="1"/>
  <c r="AQ64" i="19" s="1"/>
  <c r="AR64" i="19" s="1"/>
  <c r="AS64" i="19" s="1"/>
  <c r="AT64" i="19" s="1"/>
  <c r="AU64" i="19" s="1"/>
  <c r="AV64" i="19" s="1"/>
  <c r="AW64" i="19" s="1"/>
  <c r="AX64" i="19" s="1"/>
  <c r="AY64" i="19" s="1"/>
  <c r="AZ64" i="19" s="1"/>
  <c r="BA64" i="19" s="1"/>
  <c r="BB64" i="19" s="1"/>
  <c r="BC64" i="19" s="1"/>
  <c r="BD64" i="19" s="1"/>
  <c r="BE64" i="19" s="1"/>
  <c r="BF64" i="19" s="1"/>
  <c r="BG64" i="19" s="1"/>
  <c r="AJ64" i="19"/>
  <c r="AL63" i="19"/>
  <c r="AM63" i="19" s="1"/>
  <c r="AN63" i="19" s="1"/>
  <c r="AO63" i="19" s="1"/>
  <c r="AP63" i="19" s="1"/>
  <c r="AQ63" i="19" s="1"/>
  <c r="AR63" i="19" s="1"/>
  <c r="AS63" i="19" s="1"/>
  <c r="AT63" i="19" s="1"/>
  <c r="AU63" i="19" s="1"/>
  <c r="AV63" i="19" s="1"/>
  <c r="AW63" i="19" s="1"/>
  <c r="AX63" i="19" s="1"/>
  <c r="AY63" i="19" s="1"/>
  <c r="AZ63" i="19" s="1"/>
  <c r="BA63" i="19" s="1"/>
  <c r="BB63" i="19" s="1"/>
  <c r="BC63" i="19" s="1"/>
  <c r="BD63" i="19" s="1"/>
  <c r="BE63" i="19" s="1"/>
  <c r="BF63" i="19" s="1"/>
  <c r="BG63" i="19" s="1"/>
  <c r="AJ63" i="19"/>
  <c r="AL62" i="19"/>
  <c r="AM62" i="19" s="1"/>
  <c r="AN62" i="19" s="1"/>
  <c r="AO62" i="19" s="1"/>
  <c r="AP62" i="19" s="1"/>
  <c r="AQ62" i="19" s="1"/>
  <c r="AR62" i="19" s="1"/>
  <c r="AS62" i="19" s="1"/>
  <c r="AT62" i="19" s="1"/>
  <c r="AU62" i="19" s="1"/>
  <c r="AV62" i="19" s="1"/>
  <c r="AW62" i="19" s="1"/>
  <c r="AX62" i="19" s="1"/>
  <c r="AY62" i="19" s="1"/>
  <c r="AZ62" i="19" s="1"/>
  <c r="BA62" i="19" s="1"/>
  <c r="BB62" i="19" s="1"/>
  <c r="BC62" i="19" s="1"/>
  <c r="BD62" i="19" s="1"/>
  <c r="BE62" i="19" s="1"/>
  <c r="BF62" i="19" s="1"/>
  <c r="BG62" i="19" s="1"/>
  <c r="AJ62" i="19"/>
  <c r="AL61" i="19"/>
  <c r="AM61" i="19" s="1"/>
  <c r="AN61" i="19" s="1"/>
  <c r="AO61" i="19" s="1"/>
  <c r="AP61" i="19" s="1"/>
  <c r="AQ61" i="19" s="1"/>
  <c r="AR61" i="19" s="1"/>
  <c r="AS61" i="19" s="1"/>
  <c r="AT61" i="19" s="1"/>
  <c r="AU61" i="19" s="1"/>
  <c r="AV61" i="19" s="1"/>
  <c r="AW61" i="19" s="1"/>
  <c r="AX61" i="19" s="1"/>
  <c r="AY61" i="19" s="1"/>
  <c r="AZ61" i="19" s="1"/>
  <c r="BA61" i="19" s="1"/>
  <c r="BB61" i="19" s="1"/>
  <c r="BC61" i="19" s="1"/>
  <c r="BD61" i="19" s="1"/>
  <c r="BE61" i="19" s="1"/>
  <c r="BF61" i="19" s="1"/>
  <c r="BG61" i="19" s="1"/>
  <c r="AJ61" i="19"/>
  <c r="AL60" i="19"/>
  <c r="AM60" i="19" s="1"/>
  <c r="AN60" i="19" s="1"/>
  <c r="AO60" i="19" s="1"/>
  <c r="AP60" i="19" s="1"/>
  <c r="AQ60" i="19" s="1"/>
  <c r="AR60" i="19" s="1"/>
  <c r="AS60" i="19" s="1"/>
  <c r="AT60" i="19" s="1"/>
  <c r="AU60" i="19" s="1"/>
  <c r="AV60" i="19" s="1"/>
  <c r="AW60" i="19" s="1"/>
  <c r="AX60" i="19" s="1"/>
  <c r="AY60" i="19" s="1"/>
  <c r="AZ60" i="19" s="1"/>
  <c r="BA60" i="19" s="1"/>
  <c r="BB60" i="19" s="1"/>
  <c r="BC60" i="19" s="1"/>
  <c r="BD60" i="19" s="1"/>
  <c r="BE60" i="19" s="1"/>
  <c r="BF60" i="19" s="1"/>
  <c r="BG60" i="19" s="1"/>
  <c r="AL52" i="19"/>
  <c r="AG44" i="19"/>
  <c r="AG55" i="19" s="1"/>
  <c r="AG65" i="19" s="1"/>
  <c r="AG90" i="19" s="1"/>
  <c r="H44" i="19"/>
  <c r="I41" i="19"/>
  <c r="I44" i="19" s="1"/>
  <c r="AM37" i="19"/>
  <c r="AM57" i="19" s="1"/>
  <c r="AP35" i="19"/>
  <c r="AO35" i="19"/>
  <c r="AN35" i="19"/>
  <c r="AM35" i="19"/>
  <c r="AM56" i="19" s="1"/>
  <c r="H34" i="19"/>
  <c r="I34" i="19" s="1"/>
  <c r="J34" i="19" s="1"/>
  <c r="K34" i="19" s="1"/>
  <c r="L34" i="19" s="1"/>
  <c r="M34" i="19" s="1"/>
  <c r="N34" i="19" s="1"/>
  <c r="O34" i="19" s="1"/>
  <c r="P34" i="19" s="1"/>
  <c r="Q34" i="19" s="1"/>
  <c r="R34" i="19" s="1"/>
  <c r="S34" i="19" s="1"/>
  <c r="T34" i="19" s="1"/>
  <c r="U34" i="19" s="1"/>
  <c r="V34" i="19" s="1"/>
  <c r="W34" i="19" s="1"/>
  <c r="X34" i="19" s="1"/>
  <c r="Y34" i="19" s="1"/>
  <c r="Z34" i="19" s="1"/>
  <c r="AA34" i="19" s="1"/>
  <c r="AB34" i="19" s="1"/>
  <c r="AC34" i="19" s="1"/>
  <c r="BG33" i="19"/>
  <c r="BF33" i="19"/>
  <c r="BE33" i="19"/>
  <c r="BD33" i="19"/>
  <c r="BC33" i="19"/>
  <c r="BB33" i="19"/>
  <c r="BA33" i="19"/>
  <c r="AZ33" i="19"/>
  <c r="AY33" i="19"/>
  <c r="AX33" i="19"/>
  <c r="AW33" i="19"/>
  <c r="AV33" i="19"/>
  <c r="AU33" i="19"/>
  <c r="AT33" i="19"/>
  <c r="AS33" i="19"/>
  <c r="AR33" i="19"/>
  <c r="AQ33" i="19"/>
  <c r="AP33" i="19"/>
  <c r="AO33" i="19"/>
  <c r="AN33" i="19"/>
  <c r="AM33" i="19"/>
  <c r="AM55" i="19" s="1"/>
  <c r="H33" i="19"/>
  <c r="I33" i="19" s="1"/>
  <c r="J33" i="19" s="1"/>
  <c r="K33" i="19" s="1"/>
  <c r="L33" i="19" s="1"/>
  <c r="M33" i="19" s="1"/>
  <c r="N33" i="19" s="1"/>
  <c r="O33" i="19" s="1"/>
  <c r="P33" i="19" s="1"/>
  <c r="Q33" i="19" s="1"/>
  <c r="R33" i="19" s="1"/>
  <c r="S33" i="19" s="1"/>
  <c r="T33" i="19" s="1"/>
  <c r="U33" i="19" s="1"/>
  <c r="V33" i="19" s="1"/>
  <c r="W33" i="19" s="1"/>
  <c r="X33" i="19" s="1"/>
  <c r="Y33" i="19" s="1"/>
  <c r="Z33" i="19" s="1"/>
  <c r="AA33" i="19" s="1"/>
  <c r="AB33" i="19" s="1"/>
  <c r="AC33" i="19" s="1"/>
  <c r="AG32" i="19"/>
  <c r="H32" i="19"/>
  <c r="I32" i="19" s="1"/>
  <c r="J32" i="19" s="1"/>
  <c r="K32" i="19" s="1"/>
  <c r="L32" i="19" s="1"/>
  <c r="M32" i="19" s="1"/>
  <c r="N32" i="19" s="1"/>
  <c r="O32" i="19" s="1"/>
  <c r="P32" i="19" s="1"/>
  <c r="Q32" i="19" s="1"/>
  <c r="R32" i="19" s="1"/>
  <c r="S32" i="19" s="1"/>
  <c r="T32" i="19" s="1"/>
  <c r="U32" i="19" s="1"/>
  <c r="V32" i="19" s="1"/>
  <c r="W32" i="19" s="1"/>
  <c r="X32" i="19" s="1"/>
  <c r="Y32" i="19" s="1"/>
  <c r="Z32" i="19" s="1"/>
  <c r="AA32" i="19" s="1"/>
  <c r="AB32" i="19" s="1"/>
  <c r="AC32" i="19" s="1"/>
  <c r="AM31" i="19"/>
  <c r="AM54" i="19" s="1"/>
  <c r="H31" i="19"/>
  <c r="I31" i="19" s="1"/>
  <c r="J31" i="19" s="1"/>
  <c r="K31" i="19" s="1"/>
  <c r="L31" i="19" s="1"/>
  <c r="M31" i="19" s="1"/>
  <c r="N31" i="19" s="1"/>
  <c r="O31" i="19" s="1"/>
  <c r="P31" i="19" s="1"/>
  <c r="Q31" i="19" s="1"/>
  <c r="R31" i="19" s="1"/>
  <c r="S31" i="19" s="1"/>
  <c r="T31" i="19" s="1"/>
  <c r="U31" i="19" s="1"/>
  <c r="V31" i="19" s="1"/>
  <c r="W31" i="19" s="1"/>
  <c r="X31" i="19" s="1"/>
  <c r="Y31" i="19" s="1"/>
  <c r="Z31" i="19" s="1"/>
  <c r="AA31" i="19" s="1"/>
  <c r="AB31" i="19" s="1"/>
  <c r="AC31" i="19" s="1"/>
  <c r="AM29" i="19"/>
  <c r="AM53" i="19" s="1"/>
  <c r="K12" i="19"/>
  <c r="I28" i="19"/>
  <c r="C28" i="19"/>
  <c r="C33" i="19" s="1"/>
  <c r="C40" i="19" s="1"/>
  <c r="AM27" i="19"/>
  <c r="I27" i="19"/>
  <c r="AG26" i="19"/>
  <c r="K10" i="19"/>
  <c r="I26" i="19"/>
  <c r="AM25" i="19"/>
  <c r="AM51" i="19" s="1"/>
  <c r="AN24" i="19"/>
  <c r="AG23" i="19"/>
  <c r="AF23" i="19"/>
  <c r="AF26" i="19" s="1"/>
  <c r="C23" i="19"/>
  <c r="C29" i="19" s="1"/>
  <c r="C34" i="19" s="1"/>
  <c r="C41" i="19" s="1"/>
  <c r="AM22" i="19"/>
  <c r="AN22" i="19" s="1"/>
  <c r="AO22" i="19" s="1"/>
  <c r="AP22" i="19" s="1"/>
  <c r="AQ22" i="19" s="1"/>
  <c r="AR22" i="19" s="1"/>
  <c r="AS22" i="19" s="1"/>
  <c r="AT22" i="19" s="1"/>
  <c r="AU22" i="19" s="1"/>
  <c r="AV22" i="19" s="1"/>
  <c r="AW22" i="19" s="1"/>
  <c r="AX22" i="19" s="1"/>
  <c r="AY22" i="19" s="1"/>
  <c r="AZ22" i="19" s="1"/>
  <c r="BA22" i="19" s="1"/>
  <c r="BB22" i="19" s="1"/>
  <c r="BC22" i="19" s="1"/>
  <c r="BD22" i="19" s="1"/>
  <c r="BE22" i="19" s="1"/>
  <c r="BF22" i="19" s="1"/>
  <c r="BG22" i="19" s="1"/>
  <c r="AM21" i="19"/>
  <c r="C21" i="19"/>
  <c r="AG20" i="19"/>
  <c r="C18" i="19"/>
  <c r="C27" i="19" s="1"/>
  <c r="C32" i="19" s="1"/>
  <c r="C39" i="19" s="1"/>
  <c r="AM17" i="19"/>
  <c r="AL17" i="19"/>
  <c r="AK17" i="19"/>
  <c r="AM16" i="19"/>
  <c r="AL16" i="19"/>
  <c r="AK16" i="19"/>
  <c r="AM15" i="19"/>
  <c r="AL15" i="19"/>
  <c r="AK15" i="19"/>
  <c r="C15" i="19"/>
  <c r="C26" i="19" s="1"/>
  <c r="C31" i="19" s="1"/>
  <c r="C38" i="19" s="1"/>
  <c r="AM14" i="19"/>
  <c r="AL14" i="19"/>
  <c r="AK14" i="19"/>
  <c r="AM13" i="19"/>
  <c r="AL13" i="19"/>
  <c r="AK13" i="19"/>
  <c r="AM12" i="19"/>
  <c r="AL12" i="19"/>
  <c r="AK12" i="19"/>
  <c r="AM11" i="19"/>
  <c r="AL11" i="19"/>
  <c r="AK11" i="19"/>
  <c r="K11" i="19"/>
  <c r="B11" i="19"/>
  <c r="B12" i="19" s="1"/>
  <c r="B13" i="19" s="1"/>
  <c r="AM10" i="19"/>
  <c r="AL10" i="19"/>
  <c r="AK10" i="19"/>
  <c r="AL8" i="19"/>
  <c r="AM8" i="19" s="1"/>
  <c r="AN8" i="19" s="1"/>
  <c r="AO8" i="19" s="1"/>
  <c r="AP8" i="19" s="1"/>
  <c r="AQ8" i="19" s="1"/>
  <c r="AR8" i="19" s="1"/>
  <c r="AS8" i="19" s="1"/>
  <c r="AT8" i="19" s="1"/>
  <c r="AU8" i="19" s="1"/>
  <c r="AV8" i="19" s="1"/>
  <c r="AW8" i="19" s="1"/>
  <c r="AX8" i="19" s="1"/>
  <c r="AY8" i="19" s="1"/>
  <c r="AZ8" i="19" s="1"/>
  <c r="BA8" i="19" s="1"/>
  <c r="BB8" i="19" s="1"/>
  <c r="BC8" i="19" s="1"/>
  <c r="BD8" i="19" s="1"/>
  <c r="BE8" i="19" s="1"/>
  <c r="BF8" i="19" s="1"/>
  <c r="BG8" i="19" s="1"/>
  <c r="H8" i="19"/>
  <c r="I8" i="19" s="1"/>
  <c r="J8" i="19" s="1"/>
  <c r="K8" i="19" s="1"/>
  <c r="L8" i="19" s="1"/>
  <c r="M8" i="19" s="1"/>
  <c r="N8" i="19" s="1"/>
  <c r="O8" i="19" s="1"/>
  <c r="P8" i="19" s="1"/>
  <c r="Q8" i="19" s="1"/>
  <c r="R8" i="19" s="1"/>
  <c r="S8" i="19" s="1"/>
  <c r="T8" i="19" s="1"/>
  <c r="U8" i="19" s="1"/>
  <c r="V8" i="19" s="1"/>
  <c r="W8" i="19" s="1"/>
  <c r="X8" i="19" s="1"/>
  <c r="Y8" i="19" s="1"/>
  <c r="Z8" i="19" s="1"/>
  <c r="AA8" i="19" s="1"/>
  <c r="AB8" i="19" s="1"/>
  <c r="AC8" i="19" s="1"/>
  <c r="AD8" i="19" s="1"/>
  <c r="AI7" i="19"/>
  <c r="E7" i="19"/>
  <c r="AJ6" i="19"/>
  <c r="AJ7" i="19" s="1"/>
  <c r="F6" i="19"/>
  <c r="F7" i="19" s="1"/>
  <c r="J13" i="20" l="1"/>
  <c r="AM43" i="19"/>
  <c r="AN14" i="19" s="1"/>
  <c r="AN31" i="19" s="1"/>
  <c r="AM44" i="19"/>
  <c r="AN15" i="19" s="1"/>
  <c r="AN44" i="19" s="1"/>
  <c r="AO15" i="19" s="1"/>
  <c r="AM52" i="19"/>
  <c r="AN56" i="19"/>
  <c r="K13" i="20"/>
  <c r="L34" i="20"/>
  <c r="L37" i="20" s="1"/>
  <c r="L11" i="20"/>
  <c r="L21" i="20"/>
  <c r="D44" i="5"/>
  <c r="D45" i="5"/>
  <c r="D46" i="5" s="1"/>
  <c r="D47" i="5" s="1"/>
  <c r="D48" i="5" s="1"/>
  <c r="S142" i="4"/>
  <c r="AM41" i="19"/>
  <c r="AN12" i="19" s="1"/>
  <c r="AN27" i="19" s="1"/>
  <c r="AN52" i="19" s="1"/>
  <c r="AM39" i="19"/>
  <c r="AN10" i="19" s="1"/>
  <c r="L9" i="20"/>
  <c r="D49" i="20"/>
  <c r="J65" i="20"/>
  <c r="D67" i="20"/>
  <c r="H67" i="20"/>
  <c r="E67" i="20"/>
  <c r="I67" i="20"/>
  <c r="J22" i="19"/>
  <c r="E49" i="20"/>
  <c r="L23" i="20"/>
  <c r="L24" i="20"/>
  <c r="K31" i="20"/>
  <c r="L22" i="20"/>
  <c r="F49" i="20"/>
  <c r="J44" i="19"/>
  <c r="AM45" i="19"/>
  <c r="AN16" i="19" s="1"/>
  <c r="AN45" i="19" s="1"/>
  <c r="AO16" i="19" s="1"/>
  <c r="AO45" i="19" s="1"/>
  <c r="AO56" i="19" s="1"/>
  <c r="AM46" i="19"/>
  <c r="AN17" i="19" s="1"/>
  <c r="AN37" i="19" s="1"/>
  <c r="J23" i="19" s="1"/>
  <c r="H118" i="19"/>
  <c r="H120" i="19" s="1"/>
  <c r="H121" i="19" s="1"/>
  <c r="K65" i="20"/>
  <c r="L19" i="20"/>
  <c r="L29" i="20"/>
  <c r="G49" i="20"/>
  <c r="H49" i="20"/>
  <c r="J10" i="19"/>
  <c r="G6" i="19"/>
  <c r="H6" i="19" s="1"/>
  <c r="AM42" i="19"/>
  <c r="AN13" i="19" s="1"/>
  <c r="AN29" i="19" s="1"/>
  <c r="AN53" i="19" s="1"/>
  <c r="AM95" i="19"/>
  <c r="AM70" i="19" s="1"/>
  <c r="L18" i="20"/>
  <c r="L28" i="20"/>
  <c r="L31" i="20" s="1"/>
  <c r="I49" i="20"/>
  <c r="L45" i="20"/>
  <c r="L48" i="20" s="1"/>
  <c r="J48" i="20"/>
  <c r="F67" i="20"/>
  <c r="AM40" i="19"/>
  <c r="AN11" i="19" s="1"/>
  <c r="I29" i="19"/>
  <c r="J13" i="19" s="1"/>
  <c r="AN95" i="19"/>
  <c r="AN70" i="19" s="1"/>
  <c r="L17" i="20"/>
  <c r="L20" i="20"/>
  <c r="K66" i="20"/>
  <c r="D57" i="20"/>
  <c r="K64" i="20"/>
  <c r="J64" i="20"/>
  <c r="J67" i="20" s="1"/>
  <c r="J66" i="20"/>
  <c r="L13" i="20"/>
  <c r="C49" i="20"/>
  <c r="P49" i="20" s="1"/>
  <c r="J31" i="20"/>
  <c r="L16" i="20"/>
  <c r="K25" i="20"/>
  <c r="K49" i="20" s="1"/>
  <c r="E9" i="5" s="1"/>
  <c r="L40" i="20"/>
  <c r="L43" i="20" s="1"/>
  <c r="J25" i="20"/>
  <c r="AM50" i="19"/>
  <c r="AN21" i="19"/>
  <c r="AO21" i="19" s="1"/>
  <c r="AP15" i="19"/>
  <c r="AP44" i="19" s="1"/>
  <c r="B15" i="19"/>
  <c r="B18" i="19" s="1"/>
  <c r="B21" i="19" s="1"/>
  <c r="B26" i="19" s="1"/>
  <c r="B27" i="19" s="1"/>
  <c r="B28" i="19" s="1"/>
  <c r="B29" i="19" s="1"/>
  <c r="B31" i="19" s="1"/>
  <c r="B32" i="19" s="1"/>
  <c r="B33" i="19" s="1"/>
  <c r="B34" i="19" s="1"/>
  <c r="B36" i="19" s="1"/>
  <c r="B38" i="19" s="1"/>
  <c r="B39" i="19" s="1"/>
  <c r="B40" i="19" s="1"/>
  <c r="B41" i="19" s="1"/>
  <c r="AN43" i="19"/>
  <c r="AO14" i="19" s="1"/>
  <c r="AP16" i="19"/>
  <c r="AP45" i="19" s="1"/>
  <c r="I118" i="19"/>
  <c r="I120" i="19" s="1"/>
  <c r="I121" i="19" s="1"/>
  <c r="J117" i="19"/>
  <c r="K117" i="19" s="1"/>
  <c r="L117" i="19" s="1"/>
  <c r="M117" i="19" s="1"/>
  <c r="N117" i="19" s="1"/>
  <c r="O117" i="19" s="1"/>
  <c r="P117" i="19" s="1"/>
  <c r="Q117" i="19" s="1"/>
  <c r="R117" i="19" s="1"/>
  <c r="S117" i="19" s="1"/>
  <c r="T117" i="19" s="1"/>
  <c r="U117" i="19" s="1"/>
  <c r="V117" i="19" s="1"/>
  <c r="AK6" i="19"/>
  <c r="L116" i="19"/>
  <c r="AN54" i="19"/>
  <c r="AN55" i="19"/>
  <c r="AO31" i="19" l="1"/>
  <c r="AO43" i="19"/>
  <c r="AO54" i="19"/>
  <c r="AN41" i="19"/>
  <c r="AO12" i="19" s="1"/>
  <c r="J29" i="19"/>
  <c r="K13" i="19" s="1"/>
  <c r="K118" i="19"/>
  <c r="K120" i="19" s="1"/>
  <c r="K121" i="19" s="1"/>
  <c r="AN42" i="19"/>
  <c r="AO13" i="19" s="1"/>
  <c r="T142" i="4"/>
  <c r="L66" i="20"/>
  <c r="AN57" i="19"/>
  <c r="AN50" i="19"/>
  <c r="H7" i="19"/>
  <c r="I6" i="19"/>
  <c r="G7" i="19"/>
  <c r="J118" i="19"/>
  <c r="J120" i="19" s="1"/>
  <c r="J121" i="19" s="1"/>
  <c r="AN39" i="19"/>
  <c r="AO10" i="19" s="1"/>
  <c r="J49" i="20"/>
  <c r="L64" i="20"/>
  <c r="L25" i="20"/>
  <c r="L49" i="20" s="1"/>
  <c r="L65" i="20"/>
  <c r="K67" i="20"/>
  <c r="K41" i="19"/>
  <c r="K22" i="19"/>
  <c r="AQ15" i="19"/>
  <c r="AQ44" i="19" s="1"/>
  <c r="L118" i="19"/>
  <c r="L120" i="19" s="1"/>
  <c r="L121" i="19" s="1"/>
  <c r="M116" i="19"/>
  <c r="AN46" i="19"/>
  <c r="AO17" i="19" s="1"/>
  <c r="AK7" i="19"/>
  <c r="AL6" i="19"/>
  <c r="AN25" i="19"/>
  <c r="AN51" i="19" s="1"/>
  <c r="AP56" i="19"/>
  <c r="AQ16" i="19"/>
  <c r="AQ45" i="19" s="1"/>
  <c r="AP21" i="19"/>
  <c r="AO55" i="19"/>
  <c r="AO37" i="19" l="1"/>
  <c r="AO46" i="19" s="1"/>
  <c r="AO29" i="19"/>
  <c r="AO53" i="19" s="1"/>
  <c r="AO42" i="19"/>
  <c r="AP13" i="19" s="1"/>
  <c r="AP29" i="19" s="1"/>
  <c r="AO27" i="19"/>
  <c r="AO41" i="19"/>
  <c r="L67" i="20"/>
  <c r="U142" i="4"/>
  <c r="AP10" i="19"/>
  <c r="J6" i="19"/>
  <c r="I7" i="19"/>
  <c r="AP55" i="19"/>
  <c r="N116" i="19"/>
  <c r="M118" i="19"/>
  <c r="M120" i="19" s="1"/>
  <c r="M121" i="19" s="1"/>
  <c r="AP39" i="19"/>
  <c r="AM6" i="19"/>
  <c r="AL7" i="19"/>
  <c r="AP12" i="19"/>
  <c r="AP27" i="19" s="1"/>
  <c r="K40" i="19"/>
  <c r="K28" i="19" s="1"/>
  <c r="AQ21" i="19"/>
  <c r="AQ56" i="19"/>
  <c r="AR16" i="19"/>
  <c r="AR45" i="19" s="1"/>
  <c r="AN101" i="19"/>
  <c r="AN40" i="19"/>
  <c r="AO11" i="19" s="1"/>
  <c r="K23" i="19"/>
  <c r="K29" i="19" s="1"/>
  <c r="L13" i="19" s="1"/>
  <c r="AR15" i="19"/>
  <c r="AR44" i="19" s="1"/>
  <c r="K16" i="19" l="1"/>
  <c r="K38" i="19" s="1"/>
  <c r="AO52" i="19"/>
  <c r="V142" i="4"/>
  <c r="J7" i="19"/>
  <c r="K6" i="19"/>
  <c r="AO25" i="19"/>
  <c r="AQ55" i="19"/>
  <c r="AR56" i="19"/>
  <c r="AS16" i="19"/>
  <c r="AS45" i="19" s="1"/>
  <c r="AP14" i="19"/>
  <c r="AP31" i="19" s="1"/>
  <c r="AS15" i="19"/>
  <c r="AS44" i="19" s="1"/>
  <c r="AP42" i="19"/>
  <c r="AR21" i="19"/>
  <c r="AP41" i="19"/>
  <c r="O116" i="19"/>
  <c r="N118" i="19"/>
  <c r="N120" i="19" s="1"/>
  <c r="N121" i="19" s="1"/>
  <c r="K26" i="19"/>
  <c r="L10" i="19" s="1"/>
  <c r="L41" i="19"/>
  <c r="AN6" i="19"/>
  <c r="AM7" i="19"/>
  <c r="AP50" i="19"/>
  <c r="AQ10" i="19"/>
  <c r="AQ39" i="19" s="1"/>
  <c r="W142" i="4" l="1"/>
  <c r="L6" i="19"/>
  <c r="K7" i="19"/>
  <c r="AO101" i="19"/>
  <c r="AP52" i="19"/>
  <c r="AQ12" i="19"/>
  <c r="AQ27" i="19" s="1"/>
  <c r="AR55" i="19"/>
  <c r="AP53" i="19"/>
  <c r="AQ13" i="19"/>
  <c r="AQ29" i="19" s="1"/>
  <c r="AQ50" i="19"/>
  <c r="AR10" i="19"/>
  <c r="AR39" i="19" s="1"/>
  <c r="AN7" i="19"/>
  <c r="AO6" i="19"/>
  <c r="AP43" i="19"/>
  <c r="L22" i="19"/>
  <c r="AO57" i="19"/>
  <c r="AP17" i="19"/>
  <c r="AP37" i="19" s="1"/>
  <c r="L16" i="19"/>
  <c r="L38" i="19" s="1"/>
  <c r="L26" i="19" s="1"/>
  <c r="M10" i="19" s="1"/>
  <c r="P116" i="19"/>
  <c r="O118" i="19"/>
  <c r="O120" i="19" s="1"/>
  <c r="O121" i="19" s="1"/>
  <c r="AS21" i="19"/>
  <c r="AT15" i="19"/>
  <c r="AT44" i="19" s="1"/>
  <c r="AS56" i="19"/>
  <c r="AT16" i="19"/>
  <c r="AT45" i="19" s="1"/>
  <c r="X142" i="4" l="1"/>
  <c r="L7" i="19"/>
  <c r="M6" i="19"/>
  <c r="AS55" i="19"/>
  <c r="AT21" i="19"/>
  <c r="AP46" i="19"/>
  <c r="AR50" i="19"/>
  <c r="AS10" i="19"/>
  <c r="AS39" i="19" s="1"/>
  <c r="P118" i="19"/>
  <c r="P120" i="19" s="1"/>
  <c r="P121" i="19" s="1"/>
  <c r="Q116" i="19"/>
  <c r="AP54" i="19"/>
  <c r="AQ14" i="19"/>
  <c r="AQ31" i="19" s="1"/>
  <c r="AQ42" i="19"/>
  <c r="AQ41" i="19"/>
  <c r="AT56" i="19"/>
  <c r="AU16" i="19"/>
  <c r="AU45" i="19" s="1"/>
  <c r="AU15" i="19"/>
  <c r="AU44" i="19" s="1"/>
  <c r="L40" i="19"/>
  <c r="L28" i="19" s="1"/>
  <c r="M12" i="19" s="1"/>
  <c r="AO7" i="19"/>
  <c r="AP6" i="19"/>
  <c r="N6" i="19" l="1"/>
  <c r="M7" i="19"/>
  <c r="AT55" i="19"/>
  <c r="AQ6" i="19"/>
  <c r="AP7" i="19"/>
  <c r="AV15" i="19"/>
  <c r="AV44" i="19" s="1"/>
  <c r="AQ53" i="19"/>
  <c r="AR13" i="19"/>
  <c r="AR29" i="19" s="1"/>
  <c r="AP57" i="19"/>
  <c r="AQ17" i="19"/>
  <c r="AQ37" i="19" s="1"/>
  <c r="R116" i="19"/>
  <c r="Q118" i="19"/>
  <c r="Q120" i="19" s="1"/>
  <c r="Q121" i="19" s="1"/>
  <c r="L23" i="19"/>
  <c r="L29" i="19" s="1"/>
  <c r="M13" i="19" s="1"/>
  <c r="AU56" i="19"/>
  <c r="AV16" i="19"/>
  <c r="AV45" i="19" s="1"/>
  <c r="AQ52" i="19"/>
  <c r="AR12" i="19"/>
  <c r="AR27" i="19" s="1"/>
  <c r="M16" i="19"/>
  <c r="AQ43" i="19"/>
  <c r="M22" i="19"/>
  <c r="AT10" i="19"/>
  <c r="AT39" i="19" s="1"/>
  <c r="AU21" i="19"/>
  <c r="N7" i="19" l="1"/>
  <c r="O6" i="19"/>
  <c r="AQ54" i="19"/>
  <c r="AR14" i="19"/>
  <c r="AR31" i="19" s="1"/>
  <c r="M41" i="19"/>
  <c r="M40" i="19"/>
  <c r="M28" i="19" s="1"/>
  <c r="N12" i="19" s="1"/>
  <c r="AR41" i="19"/>
  <c r="AW15" i="19"/>
  <c r="AW44" i="19" s="1"/>
  <c r="AU55" i="19"/>
  <c r="AV21" i="19"/>
  <c r="S116" i="19"/>
  <c r="R118" i="19"/>
  <c r="R120" i="19" s="1"/>
  <c r="R121" i="19" s="1"/>
  <c r="AR6" i="19"/>
  <c r="AQ7" i="19"/>
  <c r="AU10" i="19"/>
  <c r="AU39" i="19" s="1"/>
  <c r="M38" i="19"/>
  <c r="AV56" i="19"/>
  <c r="AW16" i="19"/>
  <c r="AW45" i="19" s="1"/>
  <c r="M23" i="19"/>
  <c r="AR42" i="19"/>
  <c r="AS50" i="19"/>
  <c r="O7" i="19" l="1"/>
  <c r="P6" i="19"/>
  <c r="M29" i="19"/>
  <c r="N13" i="19" s="1"/>
  <c r="N41" i="19" s="1"/>
  <c r="AR53" i="19"/>
  <c r="AS13" i="19"/>
  <c r="AS29" i="19" s="1"/>
  <c r="AW56" i="19"/>
  <c r="AX16" i="19"/>
  <c r="AX45" i="19" s="1"/>
  <c r="T116" i="19"/>
  <c r="S118" i="19"/>
  <c r="S120" i="19" s="1"/>
  <c r="S121" i="19" s="1"/>
  <c r="AR52" i="19"/>
  <c r="AS12" i="19"/>
  <c r="AS27" i="19" s="1"/>
  <c r="N16" i="19"/>
  <c r="AQ46" i="19"/>
  <c r="M26" i="19"/>
  <c r="N10" i="19" s="1"/>
  <c r="AR7" i="19"/>
  <c r="AS6" i="19"/>
  <c r="AW21" i="19"/>
  <c r="AV55" i="19"/>
  <c r="AV10" i="19"/>
  <c r="AV39" i="19" s="1"/>
  <c r="AX15" i="19"/>
  <c r="AX44" i="19" s="1"/>
  <c r="N22" i="19"/>
  <c r="AT50" i="19"/>
  <c r="P7" i="19" l="1"/>
  <c r="Q6" i="19"/>
  <c r="AW55" i="19"/>
  <c r="AS7" i="19"/>
  <c r="AT6" i="19"/>
  <c r="N38" i="19"/>
  <c r="AX56" i="19"/>
  <c r="AY16" i="19"/>
  <c r="AY45" i="19" s="1"/>
  <c r="AR43" i="19"/>
  <c r="N40" i="19"/>
  <c r="N28" i="19" s="1"/>
  <c r="O12" i="19" s="1"/>
  <c r="AW10" i="19"/>
  <c r="AW39" i="19" s="1"/>
  <c r="T118" i="19"/>
  <c r="T120" i="19" s="1"/>
  <c r="T121" i="19" s="1"/>
  <c r="U116" i="19"/>
  <c r="AX21" i="19"/>
  <c r="AS41" i="19"/>
  <c r="AU50" i="19"/>
  <c r="AY15" i="19"/>
  <c r="AY44" i="19" s="1"/>
  <c r="AQ57" i="19"/>
  <c r="AR17" i="19"/>
  <c r="AR37" i="19" s="1"/>
  <c r="AS42" i="19"/>
  <c r="R6" i="19" l="1"/>
  <c r="Q7" i="19"/>
  <c r="AX55" i="19"/>
  <c r="AS53" i="19"/>
  <c r="AT13" i="19"/>
  <c r="AT29" i="19" s="1"/>
  <c r="AR46" i="19"/>
  <c r="V116" i="19"/>
  <c r="V118" i="19" s="1"/>
  <c r="V120" i="19" s="1"/>
  <c r="V121" i="19" s="1"/>
  <c r="U118" i="19"/>
  <c r="U120" i="19" s="1"/>
  <c r="U121" i="19" s="1"/>
  <c r="AS52" i="19"/>
  <c r="AT12" i="19"/>
  <c r="AT27" i="19" s="1"/>
  <c r="AY56" i="19"/>
  <c r="AZ16" i="19"/>
  <c r="AZ45" i="19" s="1"/>
  <c r="N26" i="19"/>
  <c r="O10" i="19" s="1"/>
  <c r="AZ15" i="19"/>
  <c r="AZ44" i="19" s="1"/>
  <c r="O16" i="19"/>
  <c r="AY21" i="19"/>
  <c r="AX10" i="19"/>
  <c r="AX39" i="19" s="1"/>
  <c r="AR54" i="19"/>
  <c r="AS14" i="19"/>
  <c r="AS31" i="19" s="1"/>
  <c r="AU6" i="19"/>
  <c r="AT7" i="19"/>
  <c r="AV50" i="19"/>
  <c r="R7" i="19" l="1"/>
  <c r="S6" i="19"/>
  <c r="AY55" i="19"/>
  <c r="AS43" i="19"/>
  <c r="AZ21" i="19"/>
  <c r="BA15" i="19"/>
  <c r="BA44" i="19" s="1"/>
  <c r="AT41" i="19"/>
  <c r="N23" i="19"/>
  <c r="N29" i="19" s="1"/>
  <c r="O13" i="19" s="1"/>
  <c r="AR25" i="19"/>
  <c r="AW50" i="19"/>
  <c r="AY10" i="19"/>
  <c r="AY39" i="19" s="1"/>
  <c r="O38" i="19"/>
  <c r="AZ56" i="19"/>
  <c r="BA16" i="19"/>
  <c r="BA45" i="19" s="1"/>
  <c r="AV6" i="19"/>
  <c r="AU7" i="19"/>
  <c r="AR57" i="19"/>
  <c r="AS17" i="19"/>
  <c r="AS37" i="19" s="1"/>
  <c r="AT42" i="19"/>
  <c r="S7" i="19" l="1"/>
  <c r="T6" i="19"/>
  <c r="AT53" i="19"/>
  <c r="AU13" i="19"/>
  <c r="AU29" i="19" s="1"/>
  <c r="AT52" i="19"/>
  <c r="AU12" i="19"/>
  <c r="AU27" i="19" s="1"/>
  <c r="AZ55" i="19"/>
  <c r="AS54" i="19"/>
  <c r="AT14" i="19"/>
  <c r="AT31" i="19" s="1"/>
  <c r="BA56" i="19"/>
  <c r="BB16" i="19"/>
  <c r="BB45" i="19" s="1"/>
  <c r="AZ10" i="19"/>
  <c r="AZ39" i="19" s="1"/>
  <c r="BA21" i="19"/>
  <c r="AX50" i="19"/>
  <c r="P16" i="19"/>
  <c r="AV7" i="19"/>
  <c r="AW6" i="19"/>
  <c r="O41" i="19"/>
  <c r="O26" i="19"/>
  <c r="P10" i="19" s="1"/>
  <c r="O23" i="19"/>
  <c r="AR101" i="19"/>
  <c r="BB15" i="19"/>
  <c r="BB44" i="19" s="1"/>
  <c r="O22" i="19"/>
  <c r="T7" i="19" l="1"/>
  <c r="U6" i="19"/>
  <c r="O29" i="19"/>
  <c r="P13" i="19" s="1"/>
  <c r="P41" i="19" s="1"/>
  <c r="BC15" i="19"/>
  <c r="BC44" i="19" s="1"/>
  <c r="BA10" i="19"/>
  <c r="BA39" i="19" s="1"/>
  <c r="AS46" i="19"/>
  <c r="BA55" i="19"/>
  <c r="O40" i="19"/>
  <c r="O28" i="19" s="1"/>
  <c r="P12" i="19" s="1"/>
  <c r="AU42" i="19"/>
  <c r="BB21" i="19"/>
  <c r="BB56" i="19"/>
  <c r="BC16" i="19"/>
  <c r="BC45" i="19" s="1"/>
  <c r="P38" i="19"/>
  <c r="P26" i="19" s="1"/>
  <c r="Q10" i="19" s="1"/>
  <c r="AW7" i="19"/>
  <c r="AX6" i="19"/>
  <c r="AT43" i="19"/>
  <c r="AU41" i="19"/>
  <c r="V6" i="19" l="1"/>
  <c r="U7" i="19"/>
  <c r="AU52" i="19"/>
  <c r="AV12" i="19"/>
  <c r="AV27" i="19" s="1"/>
  <c r="AU53" i="19"/>
  <c r="AV13" i="19"/>
  <c r="AV29" i="19" s="1"/>
  <c r="P22" i="19"/>
  <c r="AT54" i="19"/>
  <c r="AU14" i="19"/>
  <c r="AU31" i="19" s="1"/>
  <c r="BC21" i="19"/>
  <c r="BB10" i="19"/>
  <c r="BB39" i="19" s="1"/>
  <c r="Q16" i="19"/>
  <c r="AY6" i="19"/>
  <c r="AX7" i="19"/>
  <c r="AS57" i="19"/>
  <c r="AT17" i="19"/>
  <c r="AT37" i="19" s="1"/>
  <c r="BB55" i="19"/>
  <c r="BC56" i="19"/>
  <c r="BD16" i="19"/>
  <c r="BD45" i="19" s="1"/>
  <c r="BD15" i="19"/>
  <c r="BD44" i="19" s="1"/>
  <c r="AY50" i="19"/>
  <c r="W6" i="19" l="1"/>
  <c r="V7" i="19"/>
  <c r="BC55" i="19"/>
  <c r="Q38" i="19"/>
  <c r="AZ50" i="19"/>
  <c r="AZ6" i="19"/>
  <c r="AY7" i="19"/>
  <c r="BC10" i="19"/>
  <c r="BC39" i="19" s="1"/>
  <c r="AU43" i="19"/>
  <c r="AV42" i="19"/>
  <c r="P40" i="19"/>
  <c r="P28" i="19" s="1"/>
  <c r="Q12" i="19" s="1"/>
  <c r="BE15" i="19"/>
  <c r="BE44" i="19" s="1"/>
  <c r="BD56" i="19"/>
  <c r="BE16" i="19"/>
  <c r="BE45" i="19" s="1"/>
  <c r="BD21" i="19"/>
  <c r="AV41" i="19"/>
  <c r="W7" i="19" l="1"/>
  <c r="X6" i="19"/>
  <c r="AU54" i="19"/>
  <c r="AV14" i="19"/>
  <c r="AV31" i="19" s="1"/>
  <c r="Q22" i="19"/>
  <c r="Q40" i="19" s="1"/>
  <c r="AV52" i="19"/>
  <c r="AW12" i="19"/>
  <c r="AW27" i="19" s="1"/>
  <c r="AZ7" i="19"/>
  <c r="BA6" i="19"/>
  <c r="P23" i="19"/>
  <c r="P29" i="19" s="1"/>
  <c r="Q13" i="19" s="1"/>
  <c r="R16" i="19"/>
  <c r="BF15" i="19"/>
  <c r="BF44" i="19" s="1"/>
  <c r="BE21" i="19"/>
  <c r="AV53" i="19"/>
  <c r="AW13" i="19"/>
  <c r="AW29" i="19" s="1"/>
  <c r="BD55" i="19"/>
  <c r="BE56" i="19"/>
  <c r="BF16" i="19"/>
  <c r="BF45" i="19" s="1"/>
  <c r="BD10" i="19"/>
  <c r="BD39" i="19" s="1"/>
  <c r="AT46" i="19"/>
  <c r="Q26" i="19"/>
  <c r="R10" i="19" s="1"/>
  <c r="X7" i="19" l="1"/>
  <c r="Y6" i="19"/>
  <c r="R38" i="19"/>
  <c r="BF21" i="19"/>
  <c r="BF56" i="19"/>
  <c r="BG16" i="19"/>
  <c r="BG45" i="19" s="1"/>
  <c r="Q41" i="19"/>
  <c r="Q28" i="19"/>
  <c r="R12" i="19" s="1"/>
  <c r="AW42" i="19"/>
  <c r="BG15" i="19"/>
  <c r="BG44" i="19" s="1"/>
  <c r="BA7" i="19"/>
  <c r="BB6" i="19"/>
  <c r="AT57" i="19"/>
  <c r="AU17" i="19"/>
  <c r="AU37" i="19" s="1"/>
  <c r="BE10" i="19"/>
  <c r="BE39" i="19" s="1"/>
  <c r="AV43" i="19"/>
  <c r="BE55" i="19"/>
  <c r="BA50" i="19"/>
  <c r="Z6" i="19" l="1"/>
  <c r="Y7" i="19"/>
  <c r="BB50" i="19"/>
  <c r="BF10" i="19"/>
  <c r="BF39" i="19" s="1"/>
  <c r="S16" i="19"/>
  <c r="BG21" i="19"/>
  <c r="AV54" i="19"/>
  <c r="AW14" i="19"/>
  <c r="AW31" i="19" s="1"/>
  <c r="R22" i="19"/>
  <c r="AU46" i="19"/>
  <c r="BG56" i="19"/>
  <c r="R26" i="19"/>
  <c r="S10" i="19" s="1"/>
  <c r="BC6" i="19"/>
  <c r="BB7" i="19"/>
  <c r="AW53" i="19"/>
  <c r="AX13" i="19"/>
  <c r="AX29" i="19" s="1"/>
  <c r="R40" i="19"/>
  <c r="R28" i="19" s="1"/>
  <c r="S12" i="19" s="1"/>
  <c r="BF55" i="19"/>
  <c r="AW41" i="19"/>
  <c r="AA6" i="19" l="1"/>
  <c r="Z7" i="19"/>
  <c r="AU57" i="19"/>
  <c r="AV17" i="19"/>
  <c r="AV37" i="19" s="1"/>
  <c r="AX42" i="19"/>
  <c r="S38" i="19"/>
  <c r="S26" i="19" s="1"/>
  <c r="T10" i="19" s="1"/>
  <c r="Q23" i="19"/>
  <c r="Q29" i="19" s="1"/>
  <c r="R13" i="19" s="1"/>
  <c r="AW43" i="19"/>
  <c r="BG10" i="19"/>
  <c r="BG39" i="19" s="1"/>
  <c r="AW52" i="19"/>
  <c r="AX12" i="19"/>
  <c r="AX27" i="19" s="1"/>
  <c r="BD6" i="19"/>
  <c r="BC7" i="19"/>
  <c r="BG55" i="19"/>
  <c r="AB6" i="19" l="1"/>
  <c r="AA7" i="19"/>
  <c r="R41" i="19"/>
  <c r="AX53" i="19"/>
  <c r="AY13" i="19"/>
  <c r="AY29" i="19" s="1"/>
  <c r="AW54" i="19"/>
  <c r="AX14" i="19"/>
  <c r="AX31" i="19" s="1"/>
  <c r="BD7" i="19"/>
  <c r="BE6" i="19"/>
  <c r="S22" i="19"/>
  <c r="BC50" i="19"/>
  <c r="AB7" i="19" l="1"/>
  <c r="AC6" i="19"/>
  <c r="R23" i="19"/>
  <c r="R29" i="19" s="1"/>
  <c r="S13" i="19" s="1"/>
  <c r="BD50" i="19"/>
  <c r="S40" i="19"/>
  <c r="S28" i="19" s="1"/>
  <c r="T12" i="19" s="1"/>
  <c r="BE7" i="19"/>
  <c r="BF6" i="19"/>
  <c r="T16" i="19"/>
  <c r="T22" i="19"/>
  <c r="AY42" i="19"/>
  <c r="AV46" i="19"/>
  <c r="AX41" i="19"/>
  <c r="AC7" i="19" l="1"/>
  <c r="AD6" i="19"/>
  <c r="AD7" i="19" s="1"/>
  <c r="BE50" i="19"/>
  <c r="AV57" i="19"/>
  <c r="AW17" i="19"/>
  <c r="AW37" i="19" s="1"/>
  <c r="BG6" i="19"/>
  <c r="BG7" i="19" s="1"/>
  <c r="BF7" i="19"/>
  <c r="T40" i="19"/>
  <c r="T28" i="19" s="1"/>
  <c r="U12" i="19" s="1"/>
  <c r="S41" i="19"/>
  <c r="AY53" i="19"/>
  <c r="AZ13" i="19"/>
  <c r="AZ29" i="19" s="1"/>
  <c r="AX52" i="19"/>
  <c r="AY12" i="19"/>
  <c r="AY27" i="19" s="1"/>
  <c r="T38" i="19"/>
  <c r="AX43" i="19"/>
  <c r="BF50" i="19" l="1"/>
  <c r="AX54" i="19"/>
  <c r="AY14" i="19"/>
  <c r="AY31" i="19" s="1"/>
  <c r="AY41" i="19"/>
  <c r="AZ42" i="19"/>
  <c r="AW46" i="19"/>
  <c r="T26" i="19"/>
  <c r="U10" i="19" s="1"/>
  <c r="AW57" i="19" l="1"/>
  <c r="AX17" i="19"/>
  <c r="AX37" i="19" s="1"/>
  <c r="BG50" i="19"/>
  <c r="AZ53" i="19"/>
  <c r="BA13" i="19"/>
  <c r="BA29" i="19" s="1"/>
  <c r="AY52" i="19"/>
  <c r="AZ12" i="19"/>
  <c r="AZ27" i="19" s="1"/>
  <c r="S23" i="19"/>
  <c r="S29" i="19" s="1"/>
  <c r="T13" i="19" s="1"/>
  <c r="U16" i="19"/>
  <c r="U38" i="19" s="1"/>
  <c r="U22" i="19"/>
  <c r="T41" i="19" l="1"/>
  <c r="AY43" i="19"/>
  <c r="AZ41" i="19"/>
  <c r="BA42" i="19"/>
  <c r="U26" i="19"/>
  <c r="V10" i="19" s="1"/>
  <c r="U40" i="19"/>
  <c r="U28" i="19" s="1"/>
  <c r="V12" i="19" s="1"/>
  <c r="BA53" i="19" l="1"/>
  <c r="BB13" i="19"/>
  <c r="BB29" i="19" s="1"/>
  <c r="T23" i="19"/>
  <c r="T29" i="19" s="1"/>
  <c r="U13" i="19" s="1"/>
  <c r="AZ52" i="19"/>
  <c r="BA12" i="19"/>
  <c r="BA27" i="19" s="1"/>
  <c r="AY54" i="19"/>
  <c r="AZ14" i="19"/>
  <c r="AZ31" i="19" s="1"/>
  <c r="V16" i="19"/>
  <c r="AX46" i="19"/>
  <c r="BB42" i="19" l="1"/>
  <c r="U41" i="19"/>
  <c r="V38" i="19"/>
  <c r="V26" i="19" s="1"/>
  <c r="W10" i="19" s="1"/>
  <c r="AX57" i="19"/>
  <c r="AY17" i="19"/>
  <c r="AY37" i="19" s="1"/>
  <c r="BA41" i="19"/>
  <c r="AZ43" i="19"/>
  <c r="AZ54" i="19" l="1"/>
  <c r="BA14" i="19"/>
  <c r="BA31" i="19" s="1"/>
  <c r="V22" i="19"/>
  <c r="W16" i="19"/>
  <c r="W38" i="19" s="1"/>
  <c r="W26" i="19" s="1"/>
  <c r="X10" i="19" s="1"/>
  <c r="BB53" i="19"/>
  <c r="BC13" i="19"/>
  <c r="BC29" i="19" s="1"/>
  <c r="BA52" i="19"/>
  <c r="BB12" i="19"/>
  <c r="BB27" i="19" s="1"/>
  <c r="AY46" i="19"/>
  <c r="V40" i="19" l="1"/>
  <c r="V28" i="19" s="1"/>
  <c r="W12" i="19" s="1"/>
  <c r="BC42" i="19"/>
  <c r="AY57" i="19"/>
  <c r="AZ17" i="19"/>
  <c r="AZ37" i="19" s="1"/>
  <c r="U23" i="19"/>
  <c r="U29" i="19" s="1"/>
  <c r="V13" i="19" s="1"/>
  <c r="BB41" i="19"/>
  <c r="BA43" i="19"/>
  <c r="V41" i="19" l="1"/>
  <c r="BA54" i="19"/>
  <c r="BB14" i="19"/>
  <c r="BB31" i="19" s="1"/>
  <c r="BC53" i="19"/>
  <c r="BD13" i="19"/>
  <c r="BD29" i="19" s="1"/>
  <c r="W22" i="19"/>
  <c r="W40" i="19" s="1"/>
  <c r="W28" i="19" s="1"/>
  <c r="X12" i="19" s="1"/>
  <c r="BB52" i="19"/>
  <c r="BC12" i="19"/>
  <c r="BC27" i="19" s="1"/>
  <c r="X16" i="19"/>
  <c r="AZ46" i="19"/>
  <c r="BB43" i="19" l="1"/>
  <c r="V23" i="19"/>
  <c r="V29" i="19" s="1"/>
  <c r="W13" i="19" s="1"/>
  <c r="BC41" i="19"/>
  <c r="BD42" i="19"/>
  <c r="X38" i="19"/>
  <c r="X26" i="19" s="1"/>
  <c r="Y10" i="19" s="1"/>
  <c r="AZ57" i="19"/>
  <c r="BA17" i="19"/>
  <c r="BA37" i="19" s="1"/>
  <c r="BD53" i="19" l="1"/>
  <c r="BE13" i="19"/>
  <c r="BE29" i="19" s="1"/>
  <c r="BC52" i="19"/>
  <c r="BD12" i="19"/>
  <c r="BD27" i="19" s="1"/>
  <c r="BB54" i="19"/>
  <c r="BC14" i="19"/>
  <c r="BC31" i="19" s="1"/>
  <c r="BA46" i="19"/>
  <c r="Y16" i="19"/>
  <c r="Y38" i="19" s="1"/>
  <c r="X22" i="19"/>
  <c r="W41" i="19"/>
  <c r="Y26" i="19" l="1"/>
  <c r="Z10" i="19" s="1"/>
  <c r="BA57" i="19"/>
  <c r="BB17" i="19"/>
  <c r="BB37" i="19" s="1"/>
  <c r="BC43" i="19"/>
  <c r="BE42" i="19"/>
  <c r="W23" i="19"/>
  <c r="W29" i="19" s="1"/>
  <c r="X13" i="19" s="1"/>
  <c r="X40" i="19"/>
  <c r="X28" i="19" s="1"/>
  <c r="Y12" i="19" s="1"/>
  <c r="X41" i="19" l="1"/>
  <c r="Y22" i="19"/>
  <c r="Y40" i="19" s="1"/>
  <c r="Y28" i="19" s="1"/>
  <c r="Z12" i="19" s="1"/>
  <c r="BC54" i="19"/>
  <c r="BD14" i="19"/>
  <c r="BD31" i="19" s="1"/>
  <c r="BE53" i="19"/>
  <c r="BF13" i="19"/>
  <c r="BF29" i="19" s="1"/>
  <c r="Z16" i="19"/>
  <c r="BB46" i="19"/>
  <c r="BD41" i="19"/>
  <c r="BF42" i="19" l="1"/>
  <c r="Z38" i="19"/>
  <c r="BD52" i="19"/>
  <c r="BE12" i="19"/>
  <c r="BE27" i="19" s="1"/>
  <c r="BB57" i="19"/>
  <c r="BC17" i="19"/>
  <c r="BC37" i="19" s="1"/>
  <c r="BD43" i="19"/>
  <c r="X23" i="19"/>
  <c r="X29" i="19" s="1"/>
  <c r="Y13" i="19" s="1"/>
  <c r="Z22" i="19" l="1"/>
  <c r="BC46" i="19"/>
  <c r="BF53" i="19"/>
  <c r="BG13" i="19"/>
  <c r="BG29" i="19" s="1"/>
  <c r="BD54" i="19"/>
  <c r="BE14" i="19"/>
  <c r="BE31" i="19" s="1"/>
  <c r="BE41" i="19"/>
  <c r="Y41" i="19"/>
  <c r="Z26" i="19"/>
  <c r="AA10" i="19" s="1"/>
  <c r="BE52" i="19" l="1"/>
  <c r="BF12" i="19"/>
  <c r="BF27" i="19" s="1"/>
  <c r="BG42" i="19"/>
  <c r="BG53" i="19" s="1"/>
  <c r="AA16" i="19"/>
  <c r="AA38" i="19" s="1"/>
  <c r="BC57" i="19"/>
  <c r="BD17" i="19"/>
  <c r="BD37" i="19" s="1"/>
  <c r="AA22" i="19"/>
  <c r="Y23" i="19"/>
  <c r="Y29" i="19" s="1"/>
  <c r="Z13" i="19" s="1"/>
  <c r="Z40" i="19"/>
  <c r="Z28" i="19" s="1"/>
  <c r="AA12" i="19" s="1"/>
  <c r="BE43" i="19" l="1"/>
  <c r="BF14" i="19" s="1"/>
  <c r="BF31" i="19" s="1"/>
  <c r="AA26" i="19"/>
  <c r="AB10" i="19" s="1"/>
  <c r="AA40" i="19"/>
  <c r="AA28" i="19" s="1"/>
  <c r="AB12" i="19" s="1"/>
  <c r="Z41" i="19"/>
  <c r="BD46" i="19"/>
  <c r="BE54" i="19" l="1"/>
  <c r="BD57" i="19"/>
  <c r="BE17" i="19"/>
  <c r="BE37" i="19" s="1"/>
  <c r="Z23" i="19"/>
  <c r="Z29" i="19" s="1"/>
  <c r="AA13" i="19" s="1"/>
  <c r="AB22" i="19"/>
  <c r="AB40" i="19" s="1"/>
  <c r="AB16" i="19"/>
  <c r="AB38" i="19" s="1"/>
  <c r="BF41" i="19"/>
  <c r="AB26" i="19" l="1"/>
  <c r="AC10" i="19" s="1"/>
  <c r="AB28" i="19"/>
  <c r="AC12" i="19" s="1"/>
  <c r="AA41" i="19"/>
  <c r="BF52" i="19"/>
  <c r="BG12" i="19"/>
  <c r="BG27" i="19" s="1"/>
  <c r="BF43" i="19"/>
  <c r="AA23" i="19" l="1"/>
  <c r="AA29" i="19" s="1"/>
  <c r="AB13" i="19" s="1"/>
  <c r="BF54" i="19"/>
  <c r="BG14" i="19"/>
  <c r="BG31" i="19" s="1"/>
  <c r="BG41" i="19"/>
  <c r="BG52" i="19" s="1"/>
  <c r="BE46" i="19"/>
  <c r="BE57" i="19" l="1"/>
  <c r="BF17" i="19"/>
  <c r="BF37" i="19" s="1"/>
  <c r="AC16" i="19"/>
  <c r="BG43" i="19"/>
  <c r="BG54" i="19" s="1"/>
  <c r="AC22" i="19"/>
  <c r="AB41" i="19"/>
  <c r="AC38" i="19" l="1"/>
  <c r="AC26" i="19" s="1"/>
  <c r="AC40" i="19"/>
  <c r="AC28" i="19" s="1"/>
  <c r="BF46" i="19"/>
  <c r="BF57" i="19" l="1"/>
  <c r="BG17" i="19"/>
  <c r="BG37" i="19" s="1"/>
  <c r="AB23" i="19"/>
  <c r="AB29" i="19" s="1"/>
  <c r="AC13" i="19" s="1"/>
  <c r="BG46" i="19" l="1"/>
  <c r="BG57" i="19" s="1"/>
  <c r="AC41" i="19"/>
  <c r="AC23" i="19" l="1"/>
  <c r="AC29" i="19" s="1"/>
  <c r="D73" i="2" l="1"/>
  <c r="D93" i="2"/>
  <c r="D79" i="2"/>
  <c r="E93" i="2"/>
  <c r="L151" i="1" l="1"/>
  <c r="K151" i="1"/>
  <c r="J151" i="1"/>
  <c r="I151" i="1"/>
  <c r="H151" i="1"/>
  <c r="J38" i="8" l="1"/>
  <c r="C152" i="1"/>
  <c r="M39" i="8"/>
  <c r="N39" i="8" s="1"/>
  <c r="O39" i="8" s="1"/>
  <c r="P39" i="8" s="1"/>
  <c r="Q39" i="8" s="1"/>
  <c r="R39" i="8" s="1"/>
  <c r="S39" i="8" s="1"/>
  <c r="T39" i="8" s="1"/>
  <c r="U39" i="8" s="1"/>
  <c r="V39" i="8" s="1"/>
  <c r="W39" i="8" s="1"/>
  <c r="X39" i="8" s="1"/>
  <c r="Y39" i="8" s="1"/>
  <c r="Z39" i="8" s="1"/>
  <c r="AA39" i="8" s="1"/>
  <c r="AB39" i="8" s="1"/>
  <c r="AC39" i="8" s="1"/>
  <c r="J37" i="8"/>
  <c r="D67" i="4" l="1"/>
  <c r="E67" i="4"/>
  <c r="E5" i="4"/>
  <c r="T8" i="4"/>
  <c r="S8" i="4"/>
  <c r="R8" i="4"/>
  <c r="Q8" i="4"/>
  <c r="P8" i="4"/>
  <c r="O8" i="4"/>
  <c r="N8" i="4"/>
  <c r="M8" i="4"/>
  <c r="L8" i="4"/>
  <c r="K8" i="4"/>
  <c r="J8" i="4"/>
  <c r="I8" i="4"/>
  <c r="H8" i="4"/>
  <c r="G8" i="4"/>
  <c r="F8" i="4"/>
  <c r="C135" i="1"/>
  <c r="J40" i="8"/>
  <c r="J26" i="8"/>
  <c r="J31" i="8"/>
  <c r="I31" i="8"/>
  <c r="G67" i="4" l="1"/>
  <c r="AO108" i="19"/>
  <c r="F67" i="4"/>
  <c r="AP108" i="19"/>
  <c r="AP109" i="19" s="1"/>
  <c r="AP24" i="19" s="1"/>
  <c r="M36" i="8" l="1"/>
  <c r="N36" i="8" s="1"/>
  <c r="AQ108" i="19"/>
  <c r="AQ109" i="19" s="1"/>
  <c r="AO109" i="19"/>
  <c r="AO24" i="19" s="1"/>
  <c r="AO40" i="19" l="1"/>
  <c r="AO51" i="19"/>
  <c r="H67" i="4"/>
  <c r="AO110" i="19"/>
  <c r="AP107" i="19" s="1"/>
  <c r="AP110" i="19" s="1"/>
  <c r="AQ107" i="19" s="1"/>
  <c r="AQ110" i="19" s="1"/>
  <c r="O36" i="8"/>
  <c r="I67" i="4"/>
  <c r="AQ24" i="19"/>
  <c r="K19" i="19"/>
  <c r="K39" i="19" s="1"/>
  <c r="K44" i="19" s="1"/>
  <c r="F9" i="5" s="1"/>
  <c r="C151" i="1"/>
  <c r="C148" i="1"/>
  <c r="C149" i="1" s="1"/>
  <c r="AQ99" i="19"/>
  <c r="AQ25" i="19" s="1"/>
  <c r="AQ101" i="19" s="1"/>
  <c r="G59" i="2"/>
  <c r="I40" i="2" l="1"/>
  <c r="K27" i="19"/>
  <c r="L11" i="19" s="1"/>
  <c r="G89" i="4"/>
  <c r="G81" i="27" s="1"/>
  <c r="G82" i="27" s="1"/>
  <c r="AP99" i="19"/>
  <c r="AP25" i="19" s="1"/>
  <c r="AP130" i="19" s="1"/>
  <c r="AP86" i="19" s="1"/>
  <c r="AR107" i="19"/>
  <c r="AR109" i="19"/>
  <c r="AR24" i="19" s="1"/>
  <c r="N19" i="19" s="1"/>
  <c r="M19" i="19"/>
  <c r="H40" i="2"/>
  <c r="AP11" i="19"/>
  <c r="P36" i="8"/>
  <c r="J67" i="4"/>
  <c r="G40" i="2"/>
  <c r="A4" i="1"/>
  <c r="G84" i="27" l="1"/>
  <c r="G88" i="27" s="1"/>
  <c r="G90" i="2" s="1"/>
  <c r="H80" i="27"/>
  <c r="AQ130" i="19"/>
  <c r="AP137" i="19"/>
  <c r="AJ42" i="4"/>
  <c r="AR110" i="19"/>
  <c r="AS109" i="19" s="1"/>
  <c r="AS24" i="19" s="1"/>
  <c r="AP101" i="19"/>
  <c r="L19" i="19"/>
  <c r="L39" i="19" s="1"/>
  <c r="L44" i="19" s="1"/>
  <c r="G9" i="5" s="1"/>
  <c r="Q36" i="8"/>
  <c r="K67" i="4"/>
  <c r="AO95" i="19"/>
  <c r="AO70" i="19" s="1"/>
  <c r="AP40" i="19"/>
  <c r="AR130" i="19" l="1"/>
  <c r="AQ86" i="19"/>
  <c r="AQ137" i="19"/>
  <c r="M37" i="8"/>
  <c r="AS107" i="19"/>
  <c r="AS110" i="19" s="1"/>
  <c r="L27" i="19"/>
  <c r="M11" i="19" s="1"/>
  <c r="M39" i="19" s="1"/>
  <c r="R36" i="8"/>
  <c r="L67" i="4"/>
  <c r="AP95" i="19"/>
  <c r="AP70" i="19" s="1"/>
  <c r="AQ11" i="19"/>
  <c r="AQ40" i="19" s="1"/>
  <c r="AR86" i="19" l="1"/>
  <c r="AR137" i="19"/>
  <c r="N37" i="8"/>
  <c r="M44" i="19"/>
  <c r="H9" i="5" s="1"/>
  <c r="M27" i="19"/>
  <c r="N11" i="19" s="1"/>
  <c r="N39" i="19" s="1"/>
  <c r="AR11" i="19"/>
  <c r="AR40" i="19" s="1"/>
  <c r="S36" i="8"/>
  <c r="M67" i="4"/>
  <c r="AT107" i="19"/>
  <c r="AT109" i="19"/>
  <c r="AT24" i="19" s="1"/>
  <c r="AP51" i="19"/>
  <c r="AQ95" i="19" s="1"/>
  <c r="AQ70" i="19" s="1"/>
  <c r="A138" i="1"/>
  <c r="K24" i="8"/>
  <c r="D69" i="2"/>
  <c r="O37" i="8" l="1"/>
  <c r="N44" i="19"/>
  <c r="I9" i="5" s="1"/>
  <c r="N27" i="19"/>
  <c r="O11" i="19" s="1"/>
  <c r="T36" i="8"/>
  <c r="N67" i="4"/>
  <c r="AQ51" i="19"/>
  <c r="AR95" i="19" s="1"/>
  <c r="AR70" i="19" s="1"/>
  <c r="AT110" i="19"/>
  <c r="AS11" i="19"/>
  <c r="BP14" i="14"/>
  <c r="BP5" i="14"/>
  <c r="P37" i="8" l="1"/>
  <c r="AR51" i="19"/>
  <c r="AU109" i="19"/>
  <c r="AU24" i="19" s="1"/>
  <c r="AU107" i="19"/>
  <c r="U36" i="8"/>
  <c r="O67" i="4"/>
  <c r="AR17" i="14"/>
  <c r="Q37" i="8" l="1"/>
  <c r="AU110" i="19"/>
  <c r="AV107" i="19" s="1"/>
  <c r="V36" i="8"/>
  <c r="P67" i="4"/>
  <c r="BP16" i="14"/>
  <c r="R37" i="8" l="1"/>
  <c r="AV109" i="19"/>
  <c r="AV24" i="19" s="1"/>
  <c r="W36" i="8"/>
  <c r="Q67" i="4"/>
  <c r="BP18" i="14"/>
  <c r="S37" i="8" l="1"/>
  <c r="AV110" i="19"/>
  <c r="X36" i="8"/>
  <c r="R67" i="4"/>
  <c r="BP7" i="14"/>
  <c r="BP21" i="14" s="1"/>
  <c r="BP19" i="14"/>
  <c r="J10" i="1" l="1"/>
  <c r="T37" i="8"/>
  <c r="AW109" i="19"/>
  <c r="AW24" i="19" s="1"/>
  <c r="AW107" i="19"/>
  <c r="Y36" i="8"/>
  <c r="S67" i="4"/>
  <c r="BP9" i="14"/>
  <c r="J172" i="1"/>
  <c r="I172" i="1"/>
  <c r="H172" i="1"/>
  <c r="G172" i="1"/>
  <c r="F172" i="1"/>
  <c r="F169" i="1"/>
  <c r="G168" i="1"/>
  <c r="G169" i="1" s="1"/>
  <c r="G60" i="2"/>
  <c r="E4" i="22" l="1"/>
  <c r="E8" i="22" s="1"/>
  <c r="E26" i="22" s="1"/>
  <c r="AW110" i="19"/>
  <c r="AX107" i="19" s="1"/>
  <c r="U37" i="8"/>
  <c r="Z36" i="8"/>
  <c r="T67" i="4"/>
  <c r="H168" i="1"/>
  <c r="BP10" i="14"/>
  <c r="BP20" i="14"/>
  <c r="C144" i="1"/>
  <c r="G153" i="1"/>
  <c r="J181" i="8" s="1"/>
  <c r="E87" i="4"/>
  <c r="E84" i="4"/>
  <c r="E88" i="4"/>
  <c r="F68" i="4"/>
  <c r="F141" i="1"/>
  <c r="F142" i="1" s="1"/>
  <c r="E8" i="4"/>
  <c r="C155" i="1"/>
  <c r="A134" i="1"/>
  <c r="F103" i="4"/>
  <c r="J11" i="1" l="1"/>
  <c r="BP23" i="14"/>
  <c r="AX109" i="19"/>
  <c r="AX24" i="19" s="1"/>
  <c r="V37" i="8"/>
  <c r="AA36" i="8"/>
  <c r="U67" i="4"/>
  <c r="I168" i="1"/>
  <c r="H169" i="1"/>
  <c r="W104" i="4"/>
  <c r="S104" i="4"/>
  <c r="O104" i="4"/>
  <c r="K104" i="4"/>
  <c r="G104" i="4"/>
  <c r="X104" i="4"/>
  <c r="T104" i="4"/>
  <c r="P104" i="4"/>
  <c r="L104" i="4"/>
  <c r="H104" i="4"/>
  <c r="U104" i="4"/>
  <c r="Q104" i="4"/>
  <c r="M104" i="4"/>
  <c r="I104" i="4"/>
  <c r="V104" i="4"/>
  <c r="R104" i="4"/>
  <c r="J104" i="4"/>
  <c r="F104" i="4"/>
  <c r="K22" i="8"/>
  <c r="J22" i="8"/>
  <c r="E103" i="4"/>
  <c r="AX110" i="19" l="1"/>
  <c r="AY109" i="19" s="1"/>
  <c r="AY24" i="19" s="1"/>
  <c r="W37" i="8"/>
  <c r="AB36" i="8"/>
  <c r="V67" i="4"/>
  <c r="J168" i="1"/>
  <c r="I169" i="1"/>
  <c r="R52" i="14"/>
  <c r="S52" i="14" s="1"/>
  <c r="T52" i="14" s="1"/>
  <c r="U52" i="14" s="1"/>
  <c r="V52" i="14" s="1"/>
  <c r="W52" i="14" s="1"/>
  <c r="X52" i="14" s="1"/>
  <c r="Y52" i="14" s="1"/>
  <c r="Z52" i="14" s="1"/>
  <c r="AA52" i="14" s="1"/>
  <c r="AB52" i="14" s="1"/>
  <c r="R50" i="14"/>
  <c r="S50" i="14" s="1"/>
  <c r="T50" i="14" s="1"/>
  <c r="U50" i="14" s="1"/>
  <c r="V50" i="14" s="1"/>
  <c r="W50" i="14" s="1"/>
  <c r="X50" i="14" s="1"/>
  <c r="Y50" i="14" s="1"/>
  <c r="Z50" i="14" s="1"/>
  <c r="AA50" i="14" s="1"/>
  <c r="AB50" i="14" s="1"/>
  <c r="R49" i="14"/>
  <c r="S49" i="14" s="1"/>
  <c r="T49" i="14" s="1"/>
  <c r="U49" i="14" s="1"/>
  <c r="V49" i="14" s="1"/>
  <c r="W49" i="14" s="1"/>
  <c r="X49" i="14" s="1"/>
  <c r="Y49" i="14" s="1"/>
  <c r="Z49" i="14" s="1"/>
  <c r="AA49" i="14" s="1"/>
  <c r="AB49" i="14" s="1"/>
  <c r="R48" i="14"/>
  <c r="S48" i="14" s="1"/>
  <c r="T48" i="14" s="1"/>
  <c r="U48" i="14" s="1"/>
  <c r="V48" i="14" s="1"/>
  <c r="W48" i="14" s="1"/>
  <c r="X48" i="14" s="1"/>
  <c r="Y48" i="14" s="1"/>
  <c r="Z48" i="14" s="1"/>
  <c r="AA48" i="14" s="1"/>
  <c r="AB48" i="14" s="1"/>
  <c r="R47" i="14"/>
  <c r="S47" i="14" s="1"/>
  <c r="T47" i="14" s="1"/>
  <c r="U47" i="14" s="1"/>
  <c r="V47" i="14" s="1"/>
  <c r="W47" i="14" s="1"/>
  <c r="X47" i="14" s="1"/>
  <c r="Y47" i="14" s="1"/>
  <c r="Z47" i="14" s="1"/>
  <c r="AA47" i="14" s="1"/>
  <c r="AB47" i="14" s="1"/>
  <c r="AC26" i="14"/>
  <c r="AC27" i="14" s="1"/>
  <c r="AC28" i="14" s="1"/>
  <c r="AC23" i="14"/>
  <c r="CD16" i="14"/>
  <c r="CD18" i="14" s="1"/>
  <c r="AU16" i="14"/>
  <c r="AT16" i="14"/>
  <c r="AT17" i="14" s="1"/>
  <c r="AS16" i="14"/>
  <c r="AR16" i="14"/>
  <c r="AR18" i="14" s="1"/>
  <c r="BC14" i="14"/>
  <c r="CD7" i="14"/>
  <c r="BB7" i="14"/>
  <c r="BA7" i="14"/>
  <c r="AZ7" i="14"/>
  <c r="AZ8" i="14" s="1"/>
  <c r="AY7" i="14"/>
  <c r="AX7" i="14"/>
  <c r="AW7" i="14"/>
  <c r="AW8" i="14" s="1"/>
  <c r="AV7" i="14"/>
  <c r="AU7" i="14"/>
  <c r="AU8" i="14" s="1"/>
  <c r="AT7" i="14"/>
  <c r="AS7" i="14"/>
  <c r="AS9" i="14" s="1"/>
  <c r="AR7" i="14"/>
  <c r="BC5" i="14"/>
  <c r="AR2" i="14"/>
  <c r="AS2" i="14" s="1"/>
  <c r="AT2" i="14" s="1"/>
  <c r="AU2" i="14" s="1"/>
  <c r="AV2" i="14" s="1"/>
  <c r="AW2" i="14" s="1"/>
  <c r="AX2" i="14" s="1"/>
  <c r="AY2" i="14" s="1"/>
  <c r="AZ2" i="14" s="1"/>
  <c r="BA2" i="14" s="1"/>
  <c r="BB2" i="14" s="1"/>
  <c r="AE2" i="14"/>
  <c r="AF2" i="14" s="1"/>
  <c r="AG2" i="14" s="1"/>
  <c r="AH2" i="14" s="1"/>
  <c r="AI2" i="14" s="1"/>
  <c r="AJ2" i="14" s="1"/>
  <c r="AK2" i="14" s="1"/>
  <c r="AL2" i="14" s="1"/>
  <c r="AM2" i="14" s="1"/>
  <c r="AN2" i="14" s="1"/>
  <c r="AO2" i="14" s="1"/>
  <c r="R2" i="14"/>
  <c r="S2" i="14" s="1"/>
  <c r="T2" i="14" s="1"/>
  <c r="U2" i="14" s="1"/>
  <c r="V2" i="14" s="1"/>
  <c r="W2" i="14" s="1"/>
  <c r="X2" i="14" s="1"/>
  <c r="Y2" i="14" s="1"/>
  <c r="Z2" i="14" s="1"/>
  <c r="AA2" i="14" s="1"/>
  <c r="AB2" i="14" s="1"/>
  <c r="E2" i="14"/>
  <c r="F2" i="14" s="1"/>
  <c r="G2" i="14" s="1"/>
  <c r="H2" i="14" s="1"/>
  <c r="I2" i="14" s="1"/>
  <c r="J2" i="14" s="1"/>
  <c r="K2" i="14" s="1"/>
  <c r="L2" i="14" s="1"/>
  <c r="M2" i="14" s="1"/>
  <c r="N2" i="14" s="1"/>
  <c r="O2" i="14" s="1"/>
  <c r="AS18" i="14" l="1"/>
  <c r="AW9" i="14"/>
  <c r="BA9" i="14"/>
  <c r="AT18" i="14"/>
  <c r="AU18" i="14"/>
  <c r="CD21" i="14"/>
  <c r="L10" i="1" s="1"/>
  <c r="J169" i="1"/>
  <c r="K168" i="1"/>
  <c r="AY107" i="19"/>
  <c r="AY110" i="19" s="1"/>
  <c r="AZ109" i="19" s="1"/>
  <c r="AZ24" i="19" s="1"/>
  <c r="S51" i="14"/>
  <c r="S53" i="14" s="1"/>
  <c r="S54" i="14" s="1"/>
  <c r="X37" i="8"/>
  <c r="AQ21" i="14"/>
  <c r="AU21" i="14"/>
  <c r="AR21" i="14"/>
  <c r="AC36" i="8"/>
  <c r="X67" i="4" s="1"/>
  <c r="W67" i="4"/>
  <c r="W51" i="14"/>
  <c r="W53" i="14" s="1"/>
  <c r="W54" i="14" s="1"/>
  <c r="AV16" i="14"/>
  <c r="R51" i="14"/>
  <c r="R53" i="14" s="1"/>
  <c r="R54" i="14" s="1"/>
  <c r="Q51" i="14"/>
  <c r="Q53" i="14" s="1"/>
  <c r="V51" i="14"/>
  <c r="V53" i="14" s="1"/>
  <c r="V54" i="14" s="1"/>
  <c r="AT21" i="14"/>
  <c r="Z51" i="14"/>
  <c r="Z53" i="14" s="1"/>
  <c r="AA51" i="14"/>
  <c r="AA53" i="14" s="1"/>
  <c r="AX16" i="14"/>
  <c r="AX17" i="14" s="1"/>
  <c r="U51" i="14"/>
  <c r="U53" i="14" s="1"/>
  <c r="U54" i="14" s="1"/>
  <c r="Y51" i="14"/>
  <c r="Y53" i="14" s="1"/>
  <c r="T51" i="14"/>
  <c r="T53" i="14" s="1"/>
  <c r="T54" i="14" s="1"/>
  <c r="X51" i="14"/>
  <c r="X53" i="14" s="1"/>
  <c r="X54" i="14" s="1"/>
  <c r="AB51" i="14"/>
  <c r="AB53" i="14" s="1"/>
  <c r="Y23" i="14"/>
  <c r="AR9" i="14"/>
  <c r="AV9" i="14"/>
  <c r="AZ9" i="14"/>
  <c r="CD9" i="14"/>
  <c r="CD20" i="14" s="1"/>
  <c r="AQ18" i="14"/>
  <c r="R22" i="14"/>
  <c r="S22" i="14" s="1"/>
  <c r="T22" i="14" s="1"/>
  <c r="U22" i="14" s="1"/>
  <c r="V22" i="14" s="1"/>
  <c r="W22" i="14" s="1"/>
  <c r="X22" i="14" s="1"/>
  <c r="AS21" i="14"/>
  <c r="BC7" i="14"/>
  <c r="AQ9" i="14"/>
  <c r="AU9" i="14"/>
  <c r="AY9" i="14"/>
  <c r="AT9" i="14"/>
  <c r="AX9" i="14"/>
  <c r="BB9" i="14"/>
  <c r="M10" i="1" l="1"/>
  <c r="G4" i="22"/>
  <c r="G8" i="22" s="1"/>
  <c r="G26" i="22" s="1"/>
  <c r="CD23" i="14"/>
  <c r="L11" i="1"/>
  <c r="AX18" i="14"/>
  <c r="AV18" i="14"/>
  <c r="F4" i="22"/>
  <c r="F8" i="22" s="1"/>
  <c r="F26" i="22" s="1"/>
  <c r="K169" i="1"/>
  <c r="L168" i="1"/>
  <c r="AZ107" i="19"/>
  <c r="AZ110" i="19" s="1"/>
  <c r="Y37" i="8"/>
  <c r="Y22" i="14"/>
  <c r="V23" i="14"/>
  <c r="S23" i="14"/>
  <c r="AW16" i="14"/>
  <c r="AX21" i="14"/>
  <c r="AV21" i="14"/>
  <c r="AA54" i="14"/>
  <c r="AB54" i="14"/>
  <c r="Z54" i="14"/>
  <c r="P23" i="14"/>
  <c r="BC9" i="14"/>
  <c r="Q54" i="14"/>
  <c r="AY16" i="14"/>
  <c r="Y54" i="14"/>
  <c r="N10" i="1" l="1"/>
  <c r="H4" i="22"/>
  <c r="H8" i="22" s="1"/>
  <c r="H26" i="22" s="1"/>
  <c r="AW18" i="14"/>
  <c r="M168" i="1"/>
  <c r="L169" i="1"/>
  <c r="C4" i="22"/>
  <c r="C8" i="22" s="1"/>
  <c r="Z37" i="8"/>
  <c r="BA109" i="19"/>
  <c r="BA24" i="19" s="1"/>
  <c r="BA107" i="19"/>
  <c r="AW21" i="14"/>
  <c r="AB23" i="14"/>
  <c r="Z22" i="14"/>
  <c r="AA22" i="14" s="1"/>
  <c r="AB22" i="14" s="1"/>
  <c r="BC10" i="14"/>
  <c r="AZ16" i="14"/>
  <c r="AY18" i="14"/>
  <c r="AY21" i="14"/>
  <c r="O10" i="1" l="1"/>
  <c r="N168" i="1"/>
  <c r="M169" i="1"/>
  <c r="BA110" i="19"/>
  <c r="BB107" i="19" s="1"/>
  <c r="AA37" i="8"/>
  <c r="BB16" i="14"/>
  <c r="BA16" i="14"/>
  <c r="BA17" i="14" s="1"/>
  <c r="AZ18" i="14"/>
  <c r="AZ21" i="14"/>
  <c r="P10" i="1" l="1"/>
  <c r="Q10" i="1" s="1"/>
  <c r="R10" i="1" s="1"/>
  <c r="S10" i="1" s="1"/>
  <c r="T10" i="1" s="1"/>
  <c r="U10" i="1" s="1"/>
  <c r="V10" i="1" s="1"/>
  <c r="W10" i="1" s="1"/>
  <c r="X10" i="1" s="1"/>
  <c r="Y10" i="1" s="1"/>
  <c r="Z10" i="1" s="1"/>
  <c r="O168" i="1"/>
  <c r="N169" i="1"/>
  <c r="BB109" i="19"/>
  <c r="BB24" i="19" s="1"/>
  <c r="AB37" i="8"/>
  <c r="BC16" i="14"/>
  <c r="BC21" i="14" s="1"/>
  <c r="I10" i="1" s="1"/>
  <c r="BA18" i="14"/>
  <c r="BA21" i="14"/>
  <c r="BB18" i="14"/>
  <c r="BB21" i="14"/>
  <c r="P168" i="1" l="1"/>
  <c r="O169" i="1"/>
  <c r="D4" i="22"/>
  <c r="D8" i="22" s="1"/>
  <c r="D26" i="22" s="1"/>
  <c r="BB110" i="19"/>
  <c r="BC109" i="19" s="1"/>
  <c r="BC24" i="19" s="1"/>
  <c r="AC37" i="8"/>
  <c r="BC18" i="14"/>
  <c r="BC19" i="14" s="1"/>
  <c r="Q168" i="1" l="1"/>
  <c r="Q169" i="1" s="1"/>
  <c r="P169" i="1"/>
  <c r="BC107" i="19"/>
  <c r="BC110" i="19" s="1"/>
  <c r="BD107" i="19" s="1"/>
  <c r="BC20" i="14"/>
  <c r="F170" i="1" l="1"/>
  <c r="C15" i="1" s="1"/>
  <c r="I11" i="1"/>
  <c r="BC23" i="14"/>
  <c r="BD109" i="19"/>
  <c r="BD24" i="19" s="1"/>
  <c r="T11" i="11"/>
  <c r="T10" i="11"/>
  <c r="T9" i="11"/>
  <c r="T8" i="11"/>
  <c r="T7" i="11"/>
  <c r="T6" i="11"/>
  <c r="T5" i="11"/>
  <c r="C23" i="1" l="1"/>
  <c r="F174" i="1"/>
  <c r="BD110" i="19"/>
  <c r="BE107" i="19" s="1"/>
  <c r="D125" i="4"/>
  <c r="BP24" i="14" l="1"/>
  <c r="BP25" i="14" s="1"/>
  <c r="CC24" i="14"/>
  <c r="CC25" i="14" s="1"/>
  <c r="CD24" i="14"/>
  <c r="CD25" i="14" s="1"/>
  <c r="BC24" i="14"/>
  <c r="BC25" i="14" s="1"/>
  <c r="BE109" i="19"/>
  <c r="BE24" i="19" s="1"/>
  <c r="C128" i="1"/>
  <c r="S11" i="11"/>
  <c r="S10" i="11"/>
  <c r="S9" i="11"/>
  <c r="S8" i="11"/>
  <c r="S7" i="11"/>
  <c r="S6" i="11"/>
  <c r="S5" i="11"/>
  <c r="S12" i="11" l="1"/>
  <c r="BE110" i="19"/>
  <c r="BF109" i="19" l="1"/>
  <c r="BF24" i="19" s="1"/>
  <c r="BF107" i="19"/>
  <c r="BF110" i="19" l="1"/>
  <c r="BG107" i="19" s="1"/>
  <c r="BG109" i="19" l="1"/>
  <c r="BG24" i="19" s="1"/>
  <c r="O11" i="11"/>
  <c r="O10" i="11"/>
  <c r="O8" i="11"/>
  <c r="O7" i="11"/>
  <c r="D12" i="11"/>
  <c r="T12" i="11"/>
  <c r="O6" i="11"/>
  <c r="K12" i="11"/>
  <c r="H12" i="11"/>
  <c r="C12" i="11"/>
  <c r="A8" i="11" s="1"/>
  <c r="BG110" i="19" l="1"/>
  <c r="P10" i="11"/>
  <c r="Q10" i="11" s="1"/>
  <c r="P6" i="11"/>
  <c r="Q6" i="11" s="1"/>
  <c r="P8" i="11"/>
  <c r="Q8" i="11" s="1"/>
  <c r="P11" i="11"/>
  <c r="Q11" i="11"/>
  <c r="P7" i="11"/>
  <c r="Q7" i="11" s="1"/>
  <c r="A7" i="11"/>
  <c r="A11" i="11"/>
  <c r="A10" i="11"/>
  <c r="A6" i="11"/>
  <c r="A9" i="11"/>
  <c r="A5" i="11"/>
  <c r="N10" i="11"/>
  <c r="I12" i="11"/>
  <c r="F12" i="11"/>
  <c r="C138" i="1" s="1"/>
  <c r="O5" i="11"/>
  <c r="O9" i="11"/>
  <c r="G12" i="11"/>
  <c r="J12" i="11"/>
  <c r="P5" i="11" l="1"/>
  <c r="Q5" i="11" s="1"/>
  <c r="P9" i="11"/>
  <c r="Q9" i="11" s="1"/>
  <c r="V11" i="11"/>
  <c r="V7" i="11"/>
  <c r="V10" i="11"/>
  <c r="V6" i="11"/>
  <c r="V8" i="11"/>
  <c r="V9" i="11"/>
  <c r="V5" i="11"/>
  <c r="N6" i="11"/>
  <c r="N11" i="11"/>
  <c r="N7" i="11"/>
  <c r="N8" i="11"/>
  <c r="C136" i="1"/>
  <c r="R8" i="11"/>
  <c r="C139" i="1"/>
  <c r="H153" i="1" s="1"/>
  <c r="K181" i="8" s="1"/>
  <c r="R9" i="11"/>
  <c r="R6" i="11"/>
  <c r="R7" i="11"/>
  <c r="O12" i="11"/>
  <c r="R10" i="11"/>
  <c r="R5" i="11"/>
  <c r="R11" i="11"/>
  <c r="L12" i="11"/>
  <c r="F14" i="4" l="1"/>
  <c r="D14" i="4"/>
  <c r="N9" i="11"/>
  <c r="P12" i="11"/>
  <c r="N12" i="11" s="1"/>
  <c r="N5" i="11"/>
  <c r="Q12" i="11"/>
  <c r="V12" i="11"/>
  <c r="R12" i="11"/>
  <c r="X15" i="4" l="1"/>
  <c r="U15" i="4"/>
  <c r="V15" i="4"/>
  <c r="W15" i="4"/>
  <c r="H16" i="8" l="1"/>
  <c r="H73" i="2" l="1"/>
  <c r="G81" i="2"/>
  <c r="E113" i="2"/>
  <c r="I73" i="2" l="1"/>
  <c r="H81" i="2"/>
  <c r="J73" i="2" l="1"/>
  <c r="I81" i="2"/>
  <c r="K73" i="2" l="1"/>
  <c r="J81" i="2"/>
  <c r="L73" i="2" l="1"/>
  <c r="K81" i="2"/>
  <c r="M73" i="2" l="1"/>
  <c r="L81" i="2"/>
  <c r="D80" i="4"/>
  <c r="N73" i="2" l="1"/>
  <c r="M81" i="2"/>
  <c r="O73" i="2" l="1"/>
  <c r="N81" i="2"/>
  <c r="P73" i="2" l="1"/>
  <c r="O81" i="2"/>
  <c r="AC42" i="4"/>
  <c r="Q73" i="2" l="1"/>
  <c r="P81" i="2"/>
  <c r="AD42" i="4"/>
  <c r="AE42" i="4" s="1"/>
  <c r="AF42" i="4" s="1"/>
  <c r="AG42" i="4" s="1"/>
  <c r="R73" i="2" l="1"/>
  <c r="Q81" i="2"/>
  <c r="E42" i="4"/>
  <c r="S73" i="2" l="1"/>
  <c r="R81" i="2"/>
  <c r="AH42" i="4"/>
  <c r="T73" i="2" l="1"/>
  <c r="S81" i="2"/>
  <c r="G150" i="1"/>
  <c r="U73" i="2" l="1"/>
  <c r="T81" i="2"/>
  <c r="C118" i="1"/>
  <c r="V73" i="2" l="1"/>
  <c r="U81" i="2"/>
  <c r="W73" i="2" l="1"/>
  <c r="V81" i="2"/>
  <c r="X73" i="2" l="1"/>
  <c r="W81" i="2"/>
  <c r="X81" i="2" l="1"/>
  <c r="J21" i="8"/>
  <c r="D10" i="4" l="1"/>
  <c r="E10" i="4" s="1"/>
  <c r="C28" i="1" l="1"/>
  <c r="F2" i="4" l="1"/>
  <c r="G2" i="4" s="1"/>
  <c r="H2" i="4" s="1"/>
  <c r="I2" i="4" s="1"/>
  <c r="J2" i="4" s="1"/>
  <c r="K2" i="4" s="1"/>
  <c r="L2" i="4" s="1"/>
  <c r="M2" i="4" s="1"/>
  <c r="N2" i="4" s="1"/>
  <c r="O2" i="4" s="1"/>
  <c r="P2" i="4" s="1"/>
  <c r="Q2" i="4" s="1"/>
  <c r="R2" i="4" s="1"/>
  <c r="S2" i="4" s="1"/>
  <c r="T2" i="4" s="1"/>
  <c r="U2" i="4" s="1"/>
  <c r="V2" i="4" s="1"/>
  <c r="W2" i="4" s="1"/>
  <c r="X2" i="4" s="1"/>
  <c r="Y2" i="4" s="1"/>
  <c r="Z2" i="4" s="1"/>
  <c r="AA2" i="4" s="1"/>
  <c r="AB2" i="4" s="1"/>
  <c r="AC2" i="4" s="1"/>
  <c r="D19" i="4"/>
  <c r="K21" i="8"/>
  <c r="L21" i="8" l="1"/>
  <c r="C145" i="1"/>
  <c r="M21" i="8" l="1"/>
  <c r="D51" i="4"/>
  <c r="E52" i="4" s="1"/>
  <c r="N21" i="8" l="1"/>
  <c r="O21" i="8" l="1"/>
  <c r="P21" i="8" l="1"/>
  <c r="Q21" i="8" l="1"/>
  <c r="C59" i="1"/>
  <c r="R21" i="8" l="1"/>
  <c r="I189" i="8"/>
  <c r="H189" i="8"/>
  <c r="H186" i="8"/>
  <c r="D150" i="8"/>
  <c r="S21" i="8" l="1"/>
  <c r="H96" i="4"/>
  <c r="E95" i="4"/>
  <c r="G94" i="4"/>
  <c r="G97" i="4" s="1"/>
  <c r="F94" i="4"/>
  <c r="E94" i="4"/>
  <c r="D94" i="4"/>
  <c r="D97" i="4" s="1"/>
  <c r="E97" i="4" l="1"/>
  <c r="T21" i="8"/>
  <c r="H94" i="4"/>
  <c r="U21" i="8" l="1"/>
  <c r="V21" i="8" l="1"/>
  <c r="AB43" i="4"/>
  <c r="AC41" i="4" s="1"/>
  <c r="AC43" i="4" s="1"/>
  <c r="AD41" i="4" s="1"/>
  <c r="AD43" i="4" s="1"/>
  <c r="AE41" i="4" s="1"/>
  <c r="AE43" i="4" s="1"/>
  <c r="AF41" i="4" s="1"/>
  <c r="AF43" i="4" s="1"/>
  <c r="AG41" i="4" s="1"/>
  <c r="AG43" i="4" s="1"/>
  <c r="AH41" i="4" s="1"/>
  <c r="AH43" i="4" s="1"/>
  <c r="AI41" i="4" s="1"/>
  <c r="AB40" i="4"/>
  <c r="AD40" i="4"/>
  <c r="AE40" i="4" s="1"/>
  <c r="AF40" i="4" s="1"/>
  <c r="AG40" i="4" s="1"/>
  <c r="AH40" i="4" s="1"/>
  <c r="AI40" i="4" s="1"/>
  <c r="AJ40" i="4" s="1"/>
  <c r="AK40" i="4" s="1"/>
  <c r="W21" i="8" l="1"/>
  <c r="X21" i="8" l="1"/>
  <c r="Y21" i="8" l="1"/>
  <c r="Z21" i="8" l="1"/>
  <c r="AA21" i="8" s="1"/>
  <c r="AB21" i="8" s="1"/>
  <c r="AC21" i="8" s="1"/>
  <c r="X124" i="4"/>
  <c r="D56" i="4"/>
  <c r="A87" i="4"/>
  <c r="A84" i="4"/>
  <c r="A79" i="4"/>
  <c r="E56" i="4" l="1"/>
  <c r="F56" i="4" s="1"/>
  <c r="G56" i="4" s="1"/>
  <c r="H56" i="4" s="1"/>
  <c r="I56" i="4" s="1"/>
  <c r="J56" i="4" s="1"/>
  <c r="K56" i="4" s="1"/>
  <c r="L56" i="4" s="1"/>
  <c r="M56" i="4" s="1"/>
  <c r="N56" i="4" s="1"/>
  <c r="O56" i="4" s="1"/>
  <c r="P56" i="4" s="1"/>
  <c r="Q56" i="4" s="1"/>
  <c r="R56" i="4" s="1"/>
  <c r="S56" i="4" s="1"/>
  <c r="T56" i="4" s="1"/>
  <c r="U56" i="4" s="1"/>
  <c r="V56" i="4" s="1"/>
  <c r="W56" i="4" s="1"/>
  <c r="X56" i="4" s="1"/>
  <c r="D55" i="4"/>
  <c r="I173" i="8" l="1"/>
  <c r="J173" i="8"/>
  <c r="J225" i="8"/>
  <c r="J215" i="8"/>
  <c r="J205" i="8"/>
  <c r="H60" i="2"/>
  <c r="I60" i="2" s="1"/>
  <c r="J60" i="2" s="1"/>
  <c r="K60" i="2" s="1"/>
  <c r="L60" i="2" s="1"/>
  <c r="M60" i="2" s="1"/>
  <c r="N60" i="2" s="1"/>
  <c r="O60" i="2" s="1"/>
  <c r="P60" i="2" s="1"/>
  <c r="Q60" i="2" s="1"/>
  <c r="R60" i="2" s="1"/>
  <c r="S60" i="2" s="1"/>
  <c r="T60" i="2" s="1"/>
  <c r="U60" i="2" s="1"/>
  <c r="V60" i="2" s="1"/>
  <c r="W60" i="2" s="1"/>
  <c r="X60" i="2" s="1"/>
  <c r="X86" i="2" s="1"/>
  <c r="AC173" i="8" s="1"/>
  <c r="K205" i="8"/>
  <c r="H64" i="2" l="1"/>
  <c r="M215" i="8" s="1"/>
  <c r="I86" i="2"/>
  <c r="N173" i="8" s="1"/>
  <c r="Q86" i="2"/>
  <c r="V173" i="8" s="1"/>
  <c r="K64" i="2"/>
  <c r="P215" i="8" s="1"/>
  <c r="L65" i="2"/>
  <c r="Q225" i="8" s="1"/>
  <c r="T65" i="2"/>
  <c r="Y225" i="8" s="1"/>
  <c r="K173" i="8"/>
  <c r="J86" i="2"/>
  <c r="O173" i="8" s="1"/>
  <c r="N86" i="2"/>
  <c r="S173" i="8" s="1"/>
  <c r="R86" i="2"/>
  <c r="W173" i="8" s="1"/>
  <c r="V86" i="2"/>
  <c r="AA173" i="8" s="1"/>
  <c r="P64" i="2"/>
  <c r="U215" i="8" s="1"/>
  <c r="K65" i="2"/>
  <c r="P225" i="8" s="1"/>
  <c r="M86" i="2"/>
  <c r="R173" i="8" s="1"/>
  <c r="U86" i="2"/>
  <c r="Z173" i="8" s="1"/>
  <c r="S64" i="2"/>
  <c r="X215" i="8" s="1"/>
  <c r="L64" i="2"/>
  <c r="Q215" i="8" s="1"/>
  <c r="T64" i="2"/>
  <c r="Y215" i="8" s="1"/>
  <c r="G65" i="2"/>
  <c r="L225" i="8" s="1"/>
  <c r="O65" i="2"/>
  <c r="T225" i="8" s="1"/>
  <c r="W65" i="2"/>
  <c r="AB225" i="8" s="1"/>
  <c r="G86" i="2"/>
  <c r="L173" i="8" s="1"/>
  <c r="K86" i="2"/>
  <c r="P173" i="8" s="1"/>
  <c r="O86" i="2"/>
  <c r="T173" i="8" s="1"/>
  <c r="S86" i="2"/>
  <c r="X173" i="8" s="1"/>
  <c r="W86" i="2"/>
  <c r="AB173" i="8" s="1"/>
  <c r="X64" i="2"/>
  <c r="AC215" i="8" s="1"/>
  <c r="S65" i="2"/>
  <c r="X225" i="8" s="1"/>
  <c r="G64" i="2"/>
  <c r="L215" i="8" s="1"/>
  <c r="O64" i="2"/>
  <c r="T215" i="8" s="1"/>
  <c r="W64" i="2"/>
  <c r="AB215" i="8" s="1"/>
  <c r="H65" i="2"/>
  <c r="M225" i="8" s="1"/>
  <c r="P65" i="2"/>
  <c r="U225" i="8" s="1"/>
  <c r="X65" i="2"/>
  <c r="AC225" i="8" s="1"/>
  <c r="H86" i="2"/>
  <c r="M173" i="8" s="1"/>
  <c r="L86" i="2"/>
  <c r="Q173" i="8" s="1"/>
  <c r="P86" i="2"/>
  <c r="U173" i="8" s="1"/>
  <c r="T86" i="2"/>
  <c r="Y173" i="8" s="1"/>
  <c r="G72" i="2"/>
  <c r="I64" i="2"/>
  <c r="N215" i="8" s="1"/>
  <c r="M64" i="2"/>
  <c r="R215" i="8" s="1"/>
  <c r="Q64" i="2"/>
  <c r="V215" i="8" s="1"/>
  <c r="U64" i="2"/>
  <c r="Z215" i="8" s="1"/>
  <c r="I65" i="2"/>
  <c r="N225" i="8" s="1"/>
  <c r="M65" i="2"/>
  <c r="R225" i="8" s="1"/>
  <c r="Q65" i="2"/>
  <c r="V225" i="8" s="1"/>
  <c r="U65" i="2"/>
  <c r="Z225" i="8" s="1"/>
  <c r="K215" i="8"/>
  <c r="J64" i="2"/>
  <c r="O215" i="8" s="1"/>
  <c r="N64" i="2"/>
  <c r="S215" i="8" s="1"/>
  <c r="R64" i="2"/>
  <c r="W215" i="8" s="1"/>
  <c r="V64" i="2"/>
  <c r="AA215" i="8" s="1"/>
  <c r="K225" i="8"/>
  <c r="J65" i="2"/>
  <c r="O225" i="8" s="1"/>
  <c r="N65" i="2"/>
  <c r="S225" i="8" s="1"/>
  <c r="R65" i="2"/>
  <c r="W225" i="8" s="1"/>
  <c r="V65" i="2"/>
  <c r="AA225" i="8" s="1"/>
  <c r="H59" i="2" l="1"/>
  <c r="H72" i="2" s="1"/>
  <c r="G63" i="2"/>
  <c r="L205" i="8" s="1"/>
  <c r="I59" i="2" l="1"/>
  <c r="I72" i="2" s="1"/>
  <c r="H63" i="2"/>
  <c r="M205" i="8" s="1"/>
  <c r="J59" i="2" l="1"/>
  <c r="J72" i="2" s="1"/>
  <c r="I63" i="2"/>
  <c r="N205" i="8" s="1"/>
  <c r="K59" i="2" l="1"/>
  <c r="K72" i="2" s="1"/>
  <c r="J63" i="2"/>
  <c r="O205" i="8" s="1"/>
  <c r="L59" i="2" l="1"/>
  <c r="L72" i="2" s="1"/>
  <c r="K63" i="2"/>
  <c r="P205" i="8" s="1"/>
  <c r="M59" i="2" l="1"/>
  <c r="M72" i="2" s="1"/>
  <c r="L63" i="2"/>
  <c r="Q205" i="8" s="1"/>
  <c r="N59" i="2" l="1"/>
  <c r="N72" i="2" s="1"/>
  <c r="M63" i="2"/>
  <c r="R205" i="8" s="1"/>
  <c r="O59" i="2" l="1"/>
  <c r="O72" i="2" s="1"/>
  <c r="N63" i="2"/>
  <c r="S205" i="8" s="1"/>
  <c r="P59" i="2" l="1"/>
  <c r="P72" i="2" s="1"/>
  <c r="O63" i="2"/>
  <c r="T205" i="8" s="1"/>
  <c r="Q59" i="2" l="1"/>
  <c r="Q72" i="2" s="1"/>
  <c r="P63" i="2"/>
  <c r="U205" i="8" s="1"/>
  <c r="R59" i="2" l="1"/>
  <c r="R72" i="2" s="1"/>
  <c r="Q63" i="2"/>
  <c r="V205" i="8" s="1"/>
  <c r="S59" i="2" l="1"/>
  <c r="S72" i="2" s="1"/>
  <c r="R63" i="2"/>
  <c r="W205" i="8" s="1"/>
  <c r="T59" i="2" l="1"/>
  <c r="T72" i="2" s="1"/>
  <c r="S63" i="2"/>
  <c r="X205" i="8" s="1"/>
  <c r="U59" i="2" l="1"/>
  <c r="U72" i="2" s="1"/>
  <c r="T63" i="2"/>
  <c r="Y205" i="8" s="1"/>
  <c r="V59" i="2" l="1"/>
  <c r="V72" i="2" s="1"/>
  <c r="U63" i="2"/>
  <c r="Z205" i="8" s="1"/>
  <c r="W59" i="2" l="1"/>
  <c r="W72" i="2" s="1"/>
  <c r="V63" i="2"/>
  <c r="AA205" i="8" s="1"/>
  <c r="X59" i="2" l="1"/>
  <c r="W63" i="2"/>
  <c r="AB205" i="8" s="1"/>
  <c r="X63" i="2" l="1"/>
  <c r="AC205" i="8" s="1"/>
  <c r="X72" i="2"/>
  <c r="L153" i="1" l="1"/>
  <c r="K153" i="1"/>
  <c r="J153" i="1"/>
  <c r="I153" i="1"/>
  <c r="H36" i="8" l="1"/>
  <c r="I91" i="4"/>
  <c r="H91" i="4"/>
  <c r="G91" i="4"/>
  <c r="S17" i="4" l="1"/>
  <c r="D17" i="4"/>
  <c r="E17" i="4"/>
  <c r="F17" i="4"/>
  <c r="G17" i="4"/>
  <c r="H17" i="4"/>
  <c r="I17" i="4"/>
  <c r="J17" i="4"/>
  <c r="K17" i="4"/>
  <c r="L17" i="4"/>
  <c r="M17" i="4"/>
  <c r="N17" i="4"/>
  <c r="O17" i="4"/>
  <c r="P17" i="4"/>
  <c r="Q17" i="4"/>
  <c r="R17" i="4"/>
  <c r="L26" i="4" l="1"/>
  <c r="L15" i="4"/>
  <c r="H26" i="4"/>
  <c r="H15" i="4"/>
  <c r="I26" i="4"/>
  <c r="I15" i="4"/>
  <c r="Q26" i="4"/>
  <c r="Q15" i="4"/>
  <c r="F26" i="4"/>
  <c r="F15" i="4"/>
  <c r="P26" i="4"/>
  <c r="P15" i="4"/>
  <c r="M26" i="4"/>
  <c r="M15" i="4"/>
  <c r="R26" i="4"/>
  <c r="R15" i="4"/>
  <c r="N26" i="4"/>
  <c r="N15" i="4"/>
  <c r="J26" i="4"/>
  <c r="J15" i="4"/>
  <c r="O26" i="4"/>
  <c r="O15" i="4"/>
  <c r="K26" i="4"/>
  <c r="K15" i="4"/>
  <c r="G26" i="4"/>
  <c r="G15" i="4"/>
  <c r="S26" i="4"/>
  <c r="S15" i="4"/>
  <c r="T17" i="4"/>
  <c r="T15" i="4" s="1"/>
  <c r="C60" i="1"/>
  <c r="T26" i="4" l="1"/>
  <c r="C127" i="1"/>
  <c r="C130" i="1" l="1"/>
  <c r="C131" i="1"/>
  <c r="D37" i="4" l="1"/>
  <c r="E47" i="4"/>
  <c r="D68" i="4"/>
  <c r="E68" i="4" s="1"/>
  <c r="AC50" i="8"/>
  <c r="AB50" i="8"/>
  <c r="AA50" i="8"/>
  <c r="Z50" i="8"/>
  <c r="Y50" i="8"/>
  <c r="X50" i="8"/>
  <c r="W50" i="8"/>
  <c r="V50" i="8"/>
  <c r="U50" i="8"/>
  <c r="T50" i="8"/>
  <c r="S50" i="8"/>
  <c r="R50" i="8"/>
  <c r="Q50" i="8"/>
  <c r="P50" i="8"/>
  <c r="N50" i="8"/>
  <c r="M50" i="8"/>
  <c r="O50" i="8"/>
  <c r="L50" i="8"/>
  <c r="X43" i="4"/>
  <c r="W43" i="4"/>
  <c r="V43" i="4"/>
  <c r="U43" i="4"/>
  <c r="T43" i="4"/>
  <c r="S43" i="4"/>
  <c r="R43" i="4"/>
  <c r="Q43" i="4"/>
  <c r="P43" i="4"/>
  <c r="O43" i="4"/>
  <c r="N43" i="4"/>
  <c r="M43" i="4"/>
  <c r="L43" i="4"/>
  <c r="K43" i="4"/>
  <c r="I43" i="4"/>
  <c r="H43" i="4"/>
  <c r="G43" i="4"/>
  <c r="F43" i="4"/>
  <c r="E43" i="4"/>
  <c r="H3" i="8"/>
  <c r="L24" i="8"/>
  <c r="AB139" i="4" l="1"/>
  <c r="AD139" i="4"/>
  <c r="AC139" i="4"/>
  <c r="AE139" i="4"/>
  <c r="AF139" i="4"/>
  <c r="AG139" i="4"/>
  <c r="AH139" i="4"/>
  <c r="AI139" i="4"/>
  <c r="AJ139" i="4"/>
  <c r="AK139" i="4"/>
  <c r="AC87" i="8"/>
  <c r="AB87" i="8"/>
  <c r="AA87" i="8"/>
  <c r="Z87" i="8"/>
  <c r="R87" i="8"/>
  <c r="L87" i="8"/>
  <c r="S87" i="8"/>
  <c r="O87" i="8"/>
  <c r="P87" i="8"/>
  <c r="T87" i="8"/>
  <c r="X87" i="8"/>
  <c r="M87" i="8"/>
  <c r="V87" i="8"/>
  <c r="N87" i="8"/>
  <c r="W87" i="8"/>
  <c r="Q87" i="8"/>
  <c r="U87" i="8"/>
  <c r="Y87" i="8"/>
  <c r="M24" i="8"/>
  <c r="N24" i="8" s="1"/>
  <c r="G68" i="4"/>
  <c r="H68" i="4" s="1"/>
  <c r="I68" i="4" s="1"/>
  <c r="J68" i="4" s="1"/>
  <c r="K68" i="4" s="1"/>
  <c r="L68" i="4" s="1"/>
  <c r="M68" i="4" s="1"/>
  <c r="N68" i="4" s="1"/>
  <c r="O68" i="4" s="1"/>
  <c r="P68" i="4" s="1"/>
  <c r="Q68" i="4" s="1"/>
  <c r="R68" i="4" s="1"/>
  <c r="S68" i="4" s="1"/>
  <c r="T68" i="4" s="1"/>
  <c r="U68" i="4" s="1"/>
  <c r="V68" i="4" s="1"/>
  <c r="W68" i="4" s="1"/>
  <c r="X68" i="4" s="1"/>
  <c r="E19" i="4"/>
  <c r="Q113" i="8"/>
  <c r="Y113" i="8"/>
  <c r="M113" i="8"/>
  <c r="V113" i="8"/>
  <c r="N113" i="8"/>
  <c r="S113" i="8"/>
  <c r="W113" i="8"/>
  <c r="AA113" i="8"/>
  <c r="L113" i="8"/>
  <c r="U113" i="8"/>
  <c r="AC113" i="8"/>
  <c r="R113" i="8"/>
  <c r="Z113" i="8"/>
  <c r="P113" i="8"/>
  <c r="T113" i="8"/>
  <c r="X113" i="8"/>
  <c r="AB113" i="8"/>
  <c r="AF44" i="4"/>
  <c r="AB44" i="4"/>
  <c r="AI44" i="4"/>
  <c r="AE44" i="4"/>
  <c r="AH44" i="4"/>
  <c r="AD44" i="4"/>
  <c r="AG44" i="4"/>
  <c r="AC44" i="4"/>
  <c r="I89" i="4"/>
  <c r="I81" i="27" s="1"/>
  <c r="L72" i="8"/>
  <c r="E141" i="4" l="1"/>
  <c r="AT99" i="19"/>
  <c r="AT25" i="19" s="1"/>
  <c r="AS99" i="19"/>
  <c r="AS25" i="19" s="1"/>
  <c r="AS130" i="19" s="1"/>
  <c r="N72" i="8"/>
  <c r="M72" i="8"/>
  <c r="E28" i="4"/>
  <c r="G10" i="4"/>
  <c r="H10" i="4" s="1"/>
  <c r="F19" i="4"/>
  <c r="F28" i="4" s="1"/>
  <c r="J89" i="4"/>
  <c r="J81" i="27" s="1"/>
  <c r="E46" i="4"/>
  <c r="N89" i="8"/>
  <c r="AU99" i="19"/>
  <c r="AU25" i="19" s="1"/>
  <c r="K89" i="4"/>
  <c r="K81" i="27" s="1"/>
  <c r="N106" i="4"/>
  <c r="N104" i="4" s="1"/>
  <c r="O24" i="8"/>
  <c r="H89" i="4"/>
  <c r="H81" i="27" s="1"/>
  <c r="H82" i="27" s="1"/>
  <c r="F89" i="4"/>
  <c r="E89" i="4"/>
  <c r="D89" i="4"/>
  <c r="F166" i="8"/>
  <c r="E166" i="8"/>
  <c r="G166" i="8"/>
  <c r="H166" i="8"/>
  <c r="H84" i="27" l="1"/>
  <c r="H88" i="27" s="1"/>
  <c r="H90" i="2" s="1"/>
  <c r="I80" i="27"/>
  <c r="I82" i="27" s="1"/>
  <c r="AT130" i="19"/>
  <c r="AS86" i="19"/>
  <c r="AS137" i="19"/>
  <c r="AK42" i="4"/>
  <c r="AI42" i="4"/>
  <c r="AS101" i="19"/>
  <c r="O19" i="19"/>
  <c r="AS40" i="19"/>
  <c r="AU101" i="19"/>
  <c r="Q19" i="19"/>
  <c r="AT101" i="19"/>
  <c r="P19" i="19"/>
  <c r="O89" i="8"/>
  <c r="O72" i="8"/>
  <c r="G19" i="4"/>
  <c r="G28" i="4" s="1"/>
  <c r="L89" i="8"/>
  <c r="P89" i="8"/>
  <c r="AV99" i="19"/>
  <c r="AV25" i="19" s="1"/>
  <c r="L89" i="4"/>
  <c r="L81" i="27" s="1"/>
  <c r="P24" i="8"/>
  <c r="J80" i="27" l="1"/>
  <c r="J82" i="27" s="1"/>
  <c r="I84" i="27"/>
  <c r="I88" i="27" s="1"/>
  <c r="I90" i="2" s="1"/>
  <c r="AU130" i="19"/>
  <c r="AT86" i="19"/>
  <c r="AT137" i="19"/>
  <c r="M89" i="8"/>
  <c r="F42" i="4"/>
  <c r="AI43" i="4"/>
  <c r="AJ41" i="4" s="1"/>
  <c r="AT11" i="19"/>
  <c r="AT40" i="19" s="1"/>
  <c r="O39" i="19"/>
  <c r="O44" i="19" s="1"/>
  <c r="J9" i="5" s="1"/>
  <c r="AV101" i="19"/>
  <c r="R19" i="19"/>
  <c r="P72" i="8"/>
  <c r="I10" i="4"/>
  <c r="H19" i="4"/>
  <c r="H28" i="4" s="1"/>
  <c r="Q89" i="8"/>
  <c r="M89" i="4"/>
  <c r="M81" i="27" s="1"/>
  <c r="Q24" i="8"/>
  <c r="K80" i="27" l="1"/>
  <c r="K82" i="27" s="1"/>
  <c r="J84" i="27"/>
  <c r="J88" i="27" s="1"/>
  <c r="J90" i="2" s="1"/>
  <c r="AV130" i="19"/>
  <c r="AU86" i="19"/>
  <c r="AU137" i="19"/>
  <c r="AJ43" i="4"/>
  <c r="AK41" i="4" s="1"/>
  <c r="AJ44" i="4"/>
  <c r="F95" i="4"/>
  <c r="AS95" i="19"/>
  <c r="AS70" i="19" s="1"/>
  <c r="AS51" i="19"/>
  <c r="AW99" i="19"/>
  <c r="AW25" i="19" s="1"/>
  <c r="O27" i="19"/>
  <c r="P11" i="19" s="1"/>
  <c r="AU11" i="19"/>
  <c r="AU40" i="19" s="1"/>
  <c r="AT95" i="19"/>
  <c r="AT70" i="19" s="1"/>
  <c r="Q72" i="8"/>
  <c r="J10" i="4"/>
  <c r="K10" i="4" s="1"/>
  <c r="I19" i="4"/>
  <c r="I28" i="4" s="1"/>
  <c r="R89" i="8"/>
  <c r="N89" i="4"/>
  <c r="N81" i="27" s="1"/>
  <c r="R24" i="8"/>
  <c r="F189" i="8"/>
  <c r="E189" i="8"/>
  <c r="G189" i="8"/>
  <c r="L80" i="27" l="1"/>
  <c r="L82" i="27" s="1"/>
  <c r="K84" i="27"/>
  <c r="K88" i="27" s="1"/>
  <c r="K90" i="2" s="1"/>
  <c r="AW130" i="19"/>
  <c r="AV86" i="19"/>
  <c r="AV137" i="19"/>
  <c r="H95" i="4"/>
  <c r="F97" i="4"/>
  <c r="H97" i="4" s="1"/>
  <c r="AK43" i="4"/>
  <c r="AK44" i="4"/>
  <c r="AV11" i="19"/>
  <c r="AV40" i="19" s="1"/>
  <c r="AT51" i="19"/>
  <c r="AU95" i="19" s="1"/>
  <c r="AU70" i="19" s="1"/>
  <c r="AW101" i="19"/>
  <c r="S19" i="19"/>
  <c r="P39" i="19"/>
  <c r="P44" i="19" s="1"/>
  <c r="K9" i="5" s="1"/>
  <c r="AX99" i="19"/>
  <c r="AX25" i="19" s="1"/>
  <c r="O89" i="4"/>
  <c r="O81" i="27" s="1"/>
  <c r="R72" i="8"/>
  <c r="J19" i="4"/>
  <c r="J28" i="4" s="1"/>
  <c r="S89" i="8"/>
  <c r="S24" i="8"/>
  <c r="M80" i="27" l="1"/>
  <c r="M82" i="27" s="1"/>
  <c r="L84" i="27"/>
  <c r="L88" i="27" s="1"/>
  <c r="L90" i="2" s="1"/>
  <c r="AX130" i="19"/>
  <c r="AW86" i="19"/>
  <c r="AW137" i="19"/>
  <c r="P27" i="19"/>
  <c r="Q11" i="19" s="1"/>
  <c r="Q39" i="19" s="1"/>
  <c r="Q44" i="19" s="1"/>
  <c r="L9" i="5" s="1"/>
  <c r="T89" i="8"/>
  <c r="AY99" i="19"/>
  <c r="AY25" i="19" s="1"/>
  <c r="P89" i="4"/>
  <c r="AW11" i="19"/>
  <c r="AW40" i="19" s="1"/>
  <c r="AU51" i="19"/>
  <c r="AX101" i="19"/>
  <c r="T19" i="19"/>
  <c r="S72" i="8"/>
  <c r="L10" i="4"/>
  <c r="K19" i="4"/>
  <c r="K28" i="4" s="1"/>
  <c r="T24" i="8"/>
  <c r="U89" i="8" l="1"/>
  <c r="P81" i="27"/>
  <c r="N80" i="27"/>
  <c r="N82" i="27" s="1"/>
  <c r="M84" i="27"/>
  <c r="M88" i="27" s="1"/>
  <c r="M90" i="2" s="1"/>
  <c r="AY130" i="19"/>
  <c r="AX86" i="19"/>
  <c r="AX137" i="19"/>
  <c r="AV51" i="19"/>
  <c r="AW95" i="19" s="1"/>
  <c r="AW70" i="19" s="1"/>
  <c r="AV95" i="19"/>
  <c r="AV70" i="19" s="1"/>
  <c r="Q27" i="19"/>
  <c r="R11" i="19" s="1"/>
  <c r="AZ99" i="19"/>
  <c r="AZ25" i="19" s="1"/>
  <c r="Q89" i="4"/>
  <c r="AX11" i="19"/>
  <c r="AX40" i="19" s="1"/>
  <c r="AY101" i="19"/>
  <c r="U19" i="19"/>
  <c r="T72" i="8"/>
  <c r="M10" i="4"/>
  <c r="N10" i="4" s="1"/>
  <c r="L19" i="4"/>
  <c r="L28" i="4" s="1"/>
  <c r="U24" i="8"/>
  <c r="V89" i="8" l="1"/>
  <c r="Q81" i="27"/>
  <c r="O80" i="27"/>
  <c r="O82" i="27" s="1"/>
  <c r="N84" i="27"/>
  <c r="N88" i="27" s="1"/>
  <c r="N90" i="2" s="1"/>
  <c r="AZ130" i="19"/>
  <c r="AY86" i="19"/>
  <c r="AY137" i="19"/>
  <c r="AZ101" i="19"/>
  <c r="V19" i="19"/>
  <c r="R39" i="19"/>
  <c r="R44" i="19" s="1"/>
  <c r="M9" i="5" s="1"/>
  <c r="AY11" i="19"/>
  <c r="AY40" i="19" s="1"/>
  <c r="BA99" i="19"/>
  <c r="BA25" i="19" s="1"/>
  <c r="R89" i="4"/>
  <c r="AW51" i="19"/>
  <c r="U72" i="8"/>
  <c r="M19" i="4"/>
  <c r="M28" i="4" s="1"/>
  <c r="V24" i="8"/>
  <c r="P80" i="27" l="1"/>
  <c r="P82" i="27" s="1"/>
  <c r="O84" i="27"/>
  <c r="O88" i="27" s="1"/>
  <c r="O90" i="2" s="1"/>
  <c r="W89" i="8"/>
  <c r="R81" i="27"/>
  <c r="BA130" i="19"/>
  <c r="AZ86" i="19"/>
  <c r="AZ137" i="19"/>
  <c r="BB99" i="19"/>
  <c r="BB25" i="19" s="1"/>
  <c r="S89" i="4"/>
  <c r="R27" i="19"/>
  <c r="S11" i="19" s="1"/>
  <c r="BA101" i="19"/>
  <c r="W19" i="19"/>
  <c r="AX95" i="19"/>
  <c r="AX70" i="19" s="1"/>
  <c r="AZ11" i="19"/>
  <c r="AZ40" i="19" s="1"/>
  <c r="V72" i="8"/>
  <c r="O10" i="4"/>
  <c r="N19" i="4"/>
  <c r="N28" i="4" s="1"/>
  <c r="W24" i="8"/>
  <c r="X89" i="8" l="1"/>
  <c r="S81" i="27"/>
  <c r="Q80" i="27"/>
  <c r="Q82" i="27" s="1"/>
  <c r="P84" i="27"/>
  <c r="P88" i="27" s="1"/>
  <c r="P90" i="2" s="1"/>
  <c r="BB130" i="19"/>
  <c r="BA86" i="19"/>
  <c r="BA137" i="19"/>
  <c r="S39" i="19"/>
  <c r="S44" i="19" s="1"/>
  <c r="N9" i="5" s="1"/>
  <c r="AX51" i="19"/>
  <c r="BA11" i="19"/>
  <c r="BA40" i="19" s="1"/>
  <c r="BC99" i="19"/>
  <c r="BC25" i="19" s="1"/>
  <c r="T89" i="4"/>
  <c r="BB101" i="19"/>
  <c r="X19" i="19"/>
  <c r="W72" i="8"/>
  <c r="P10" i="4"/>
  <c r="O19" i="4"/>
  <c r="O28" i="4" s="1"/>
  <c r="X24" i="8"/>
  <c r="R80" i="27" l="1"/>
  <c r="R82" i="27" s="1"/>
  <c r="Q84" i="27"/>
  <c r="Q88" i="27" s="1"/>
  <c r="Q90" i="2" s="1"/>
  <c r="Y89" i="8"/>
  <c r="T81" i="27"/>
  <c r="BC130" i="19"/>
  <c r="BB86" i="19"/>
  <c r="BB137" i="19"/>
  <c r="BD99" i="19"/>
  <c r="BD25" i="19" s="1"/>
  <c r="U89" i="4"/>
  <c r="AY95" i="19"/>
  <c r="AY70" i="19" s="1"/>
  <c r="BC101" i="19"/>
  <c r="Y19" i="19"/>
  <c r="BB11" i="19"/>
  <c r="BB40" i="19" s="1"/>
  <c r="S27" i="19"/>
  <c r="T11" i="19" s="1"/>
  <c r="X72" i="8"/>
  <c r="L22" i="8"/>
  <c r="E104" i="4"/>
  <c r="Q10" i="4"/>
  <c r="P19" i="4"/>
  <c r="P28" i="4" s="1"/>
  <c r="E111" i="4"/>
  <c r="Y24" i="8"/>
  <c r="AC181" i="8"/>
  <c r="AB181" i="8"/>
  <c r="AC165" i="8"/>
  <c r="AB165" i="8"/>
  <c r="AC149" i="8"/>
  <c r="AB149" i="8"/>
  <c r="AC141" i="8"/>
  <c r="AB141" i="8"/>
  <c r="I2" i="8"/>
  <c r="AA181" i="8"/>
  <c r="Z181" i="8"/>
  <c r="Y181" i="8"/>
  <c r="X181" i="8"/>
  <c r="AA165" i="8"/>
  <c r="Z165" i="8"/>
  <c r="Y165" i="8"/>
  <c r="X165" i="8"/>
  <c r="AA149" i="8"/>
  <c r="Z149" i="8"/>
  <c r="Y149" i="8"/>
  <c r="X149" i="8"/>
  <c r="AA141" i="8"/>
  <c r="Z141" i="8"/>
  <c r="Y141" i="8"/>
  <c r="X141" i="8"/>
  <c r="AA74" i="8"/>
  <c r="Z74" i="8"/>
  <c r="Y74" i="8"/>
  <c r="X74" i="8"/>
  <c r="Z89" i="8" l="1"/>
  <c r="U81" i="27"/>
  <c r="S80" i="27"/>
  <c r="S82" i="27" s="1"/>
  <c r="R84" i="27"/>
  <c r="R88" i="27" s="1"/>
  <c r="R90" i="2" s="1"/>
  <c r="BD130" i="19"/>
  <c r="BC86" i="19"/>
  <c r="BC137" i="19"/>
  <c r="T39" i="19"/>
  <c r="T44" i="19" s="1"/>
  <c r="O9" i="5" s="1"/>
  <c r="BE99" i="19"/>
  <c r="BE25" i="19" s="1"/>
  <c r="V89" i="4"/>
  <c r="BC11" i="19"/>
  <c r="BC40" i="19" s="1"/>
  <c r="AY51" i="19"/>
  <c r="BD101" i="19"/>
  <c r="Z19" i="19"/>
  <c r="Y72" i="8"/>
  <c r="M22" i="8"/>
  <c r="R10" i="4"/>
  <c r="Q19" i="4"/>
  <c r="Q28" i="4" s="1"/>
  <c r="I137" i="8"/>
  <c r="I46" i="8"/>
  <c r="E105" i="4"/>
  <c r="F111" i="4" s="1"/>
  <c r="X73" i="8"/>
  <c r="Y73" i="8"/>
  <c r="Z73" i="8"/>
  <c r="AA73" i="8"/>
  <c r="Z24" i="8"/>
  <c r="Z72" i="8" s="1"/>
  <c r="X13" i="5"/>
  <c r="W13" i="5"/>
  <c r="V13" i="5"/>
  <c r="T80" i="27" l="1"/>
  <c r="T82" i="27" s="1"/>
  <c r="S84" i="27"/>
  <c r="S88" i="27" s="1"/>
  <c r="S90" i="2" s="1"/>
  <c r="AA89" i="8"/>
  <c r="V81" i="27"/>
  <c r="BE130" i="19"/>
  <c r="BD86" i="19"/>
  <c r="BD137" i="19"/>
  <c r="AZ95" i="19"/>
  <c r="AZ70" i="19" s="1"/>
  <c r="BF99" i="19"/>
  <c r="BF25" i="19" s="1"/>
  <c r="W89" i="4"/>
  <c r="A88" i="4"/>
  <c r="AB74" i="8"/>
  <c r="BD11" i="19"/>
  <c r="BD40" i="19" s="1"/>
  <c r="BE101" i="19"/>
  <c r="AA19" i="19"/>
  <c r="T27" i="19"/>
  <c r="U11" i="19" s="1"/>
  <c r="N22" i="8"/>
  <c r="S10" i="4"/>
  <c r="R19" i="4"/>
  <c r="R28" i="4" s="1"/>
  <c r="H137" i="8"/>
  <c r="I197" i="8"/>
  <c r="J23" i="8"/>
  <c r="F105" i="4"/>
  <c r="G103" i="4" s="1"/>
  <c r="G111" i="4" s="1"/>
  <c r="AA24" i="8"/>
  <c r="AA72" i="8" s="1"/>
  <c r="AB89" i="8" l="1"/>
  <c r="W81" i="27"/>
  <c r="U80" i="27"/>
  <c r="U82" i="27" s="1"/>
  <c r="T84" i="27"/>
  <c r="T88" i="27" s="1"/>
  <c r="T90" i="2" s="1"/>
  <c r="BF130" i="19"/>
  <c r="BE86" i="19"/>
  <c r="BE137" i="19"/>
  <c r="U39" i="19"/>
  <c r="U44" i="19" s="1"/>
  <c r="P9" i="5" s="1"/>
  <c r="BE11" i="19"/>
  <c r="BE40" i="19" s="1"/>
  <c r="BF101" i="19"/>
  <c r="AB19" i="19"/>
  <c r="AB73" i="8"/>
  <c r="BG99" i="19"/>
  <c r="BG25" i="19" s="1"/>
  <c r="X89" i="4"/>
  <c r="AC74" i="8"/>
  <c r="AZ51" i="19"/>
  <c r="J24" i="8"/>
  <c r="O22" i="8"/>
  <c r="T10" i="4"/>
  <c r="S19" i="4"/>
  <c r="S28" i="4" s="1"/>
  <c r="G137" i="8"/>
  <c r="H197" i="8"/>
  <c r="K23" i="8"/>
  <c r="G105" i="4"/>
  <c r="H103" i="4" s="1"/>
  <c r="H111" i="4" s="1"/>
  <c r="AB24" i="8"/>
  <c r="AB72" i="8" s="1"/>
  <c r="U13" i="5"/>
  <c r="T13" i="5"/>
  <c r="S13" i="5"/>
  <c r="W181" i="8"/>
  <c r="V181" i="8"/>
  <c r="U181" i="8"/>
  <c r="T181" i="8"/>
  <c r="S181" i="8"/>
  <c r="R181" i="8"/>
  <c r="Q181" i="8"/>
  <c r="P181" i="8"/>
  <c r="O181" i="8"/>
  <c r="L181" i="8"/>
  <c r="N181" i="8"/>
  <c r="M181" i="8"/>
  <c r="F152" i="1"/>
  <c r="V80" i="27" l="1"/>
  <c r="V82" i="27" s="1"/>
  <c r="U84" i="27"/>
  <c r="U88" i="27" s="1"/>
  <c r="U90" i="2" s="1"/>
  <c r="AC89" i="8"/>
  <c r="X81" i="27"/>
  <c r="BG130" i="19"/>
  <c r="BF86" i="19"/>
  <c r="BF137" i="19"/>
  <c r="U27" i="19"/>
  <c r="V11" i="19" s="1"/>
  <c r="V39" i="19" s="1"/>
  <c r="V44" i="19" s="1"/>
  <c r="Q9" i="5" s="1"/>
  <c r="BA95" i="19"/>
  <c r="BA70" i="19" s="1"/>
  <c r="BF11" i="19"/>
  <c r="BF40" i="19" s="1"/>
  <c r="AC73" i="8"/>
  <c r="BG101" i="19"/>
  <c r="AC19" i="19"/>
  <c r="H13" i="5"/>
  <c r="K13" i="5"/>
  <c r="O13" i="5"/>
  <c r="G13" i="5"/>
  <c r="M13" i="5"/>
  <c r="Q13" i="5"/>
  <c r="F13" i="5"/>
  <c r="J13" i="5"/>
  <c r="N13" i="5"/>
  <c r="R13" i="5"/>
  <c r="I13" i="5"/>
  <c r="L13" i="5"/>
  <c r="P13" i="5"/>
  <c r="P22" i="8"/>
  <c r="U10" i="4"/>
  <c r="T19" i="4"/>
  <c r="T28" i="4" s="1"/>
  <c r="F137" i="8"/>
  <c r="E137" i="8" s="1"/>
  <c r="D137" i="8" s="1"/>
  <c r="G197" i="8"/>
  <c r="L23" i="8"/>
  <c r="H105" i="4"/>
  <c r="I103" i="4" s="1"/>
  <c r="I111" i="4" s="1"/>
  <c r="AC24" i="8"/>
  <c r="AC72" i="8" s="1"/>
  <c r="C126" i="1"/>
  <c r="D62" i="5" s="1"/>
  <c r="V84" i="27" l="1"/>
  <c r="V88" i="27" s="1"/>
  <c r="V90" i="2" s="1"/>
  <c r="W80" i="27"/>
  <c r="W82" i="27" s="1"/>
  <c r="BG86" i="19"/>
  <c r="BH86" i="19" s="1"/>
  <c r="BG137" i="19"/>
  <c r="V27" i="19"/>
  <c r="W11" i="19" s="1"/>
  <c r="W39" i="19" s="1"/>
  <c r="W44" i="19" s="1"/>
  <c r="R9" i="5" s="1"/>
  <c r="BG11" i="19"/>
  <c r="BG40" i="19" s="1"/>
  <c r="BA51" i="19"/>
  <c r="Q22" i="8"/>
  <c r="Q70" i="8" s="1"/>
  <c r="V10" i="4"/>
  <c r="U19" i="4"/>
  <c r="U28" i="4" s="1"/>
  <c r="M23" i="8"/>
  <c r="I105" i="4"/>
  <c r="J103" i="4" s="1"/>
  <c r="J111" i="4" s="1"/>
  <c r="W74" i="8"/>
  <c r="V74" i="8"/>
  <c r="U74" i="8"/>
  <c r="T74" i="8"/>
  <c r="S74" i="8"/>
  <c r="R74" i="8"/>
  <c r="Q74" i="8"/>
  <c r="P74" i="8"/>
  <c r="O74" i="8"/>
  <c r="N74" i="8"/>
  <c r="M74" i="8"/>
  <c r="L74" i="8"/>
  <c r="P70" i="8"/>
  <c r="O70" i="8"/>
  <c r="N70" i="8"/>
  <c r="M70" i="8"/>
  <c r="L70" i="8"/>
  <c r="N58" i="8"/>
  <c r="M58" i="8"/>
  <c r="L58" i="8"/>
  <c r="M57" i="8"/>
  <c r="L57" i="8"/>
  <c r="W84" i="27" l="1"/>
  <c r="W88" i="27" s="1"/>
  <c r="W90" i="2" s="1"/>
  <c r="X80" i="27"/>
  <c r="X82" i="27" s="1"/>
  <c r="X84" i="27" s="1"/>
  <c r="X88" i="27" s="1"/>
  <c r="X90" i="2" s="1"/>
  <c r="W27" i="19"/>
  <c r="X11" i="19" s="1"/>
  <c r="BB95" i="19"/>
  <c r="BB70" i="19" s="1"/>
  <c r="X178" i="8" s="1"/>
  <c r="W73" i="8"/>
  <c r="R22" i="8"/>
  <c r="W10" i="4"/>
  <c r="V19" i="4"/>
  <c r="V28" i="4" s="1"/>
  <c r="N23" i="8"/>
  <c r="J105" i="4"/>
  <c r="K103" i="4" s="1"/>
  <c r="K111" i="4" s="1"/>
  <c r="L73" i="8"/>
  <c r="P73" i="8"/>
  <c r="T73" i="8"/>
  <c r="M73" i="8"/>
  <c r="Q73" i="8"/>
  <c r="U73" i="8"/>
  <c r="N73" i="8"/>
  <c r="R73" i="8"/>
  <c r="V73" i="8"/>
  <c r="O73" i="8"/>
  <c r="S73" i="8"/>
  <c r="E44" i="4"/>
  <c r="BB51" i="19" l="1"/>
  <c r="X39" i="19"/>
  <c r="X44" i="19" s="1"/>
  <c r="S9" i="5" s="1"/>
  <c r="S22" i="8"/>
  <c r="R70" i="8"/>
  <c r="X10" i="4"/>
  <c r="X19" i="4" s="1"/>
  <c r="X28" i="4" s="1"/>
  <c r="W19" i="4"/>
  <c r="W28" i="4" s="1"/>
  <c r="O23" i="8"/>
  <c r="K105" i="4"/>
  <c r="P23" i="8" s="1"/>
  <c r="J28" i="8"/>
  <c r="N33" i="8"/>
  <c r="H33" i="8"/>
  <c r="O31" i="8"/>
  <c r="X27" i="19" l="1"/>
  <c r="Y11" i="19" s="1"/>
  <c r="BC95" i="19"/>
  <c r="BC70" i="19" s="1"/>
  <c r="Y178" i="8" s="1"/>
  <c r="T22" i="8"/>
  <c r="S70" i="8"/>
  <c r="L103" i="4"/>
  <c r="L111" i="4" s="1"/>
  <c r="O33" i="8"/>
  <c r="N57" i="8"/>
  <c r="P31" i="8"/>
  <c r="O58" i="8"/>
  <c r="E15" i="8"/>
  <c r="E16" i="8"/>
  <c r="F15" i="8"/>
  <c r="F16" i="8"/>
  <c r="G15" i="8"/>
  <c r="G16" i="8"/>
  <c r="H15" i="8"/>
  <c r="E40" i="8"/>
  <c r="F40" i="8"/>
  <c r="G40" i="8"/>
  <c r="H40" i="8"/>
  <c r="I19" i="8"/>
  <c r="H20" i="8"/>
  <c r="G19" i="8"/>
  <c r="BC51" i="19" l="1"/>
  <c r="Y39" i="19"/>
  <c r="Y44" i="19" s="1"/>
  <c r="T9" i="5" s="1"/>
  <c r="F19" i="8"/>
  <c r="F25" i="8" s="1"/>
  <c r="L4" i="8"/>
  <c r="U22" i="8"/>
  <c r="T70" i="8"/>
  <c r="H25" i="8"/>
  <c r="J19" i="8"/>
  <c r="K19" i="8" s="1"/>
  <c r="L105" i="4"/>
  <c r="M103" i="4" s="1"/>
  <c r="M111" i="4" s="1"/>
  <c r="G41" i="8"/>
  <c r="E41" i="8"/>
  <c r="F41" i="8"/>
  <c r="Q31" i="8"/>
  <c r="P58" i="8"/>
  <c r="O57" i="8"/>
  <c r="P33" i="8"/>
  <c r="H41" i="8"/>
  <c r="G25" i="8"/>
  <c r="E19" i="8" l="1"/>
  <c r="E25" i="8" s="1"/>
  <c r="Y27" i="19"/>
  <c r="Z11" i="19" s="1"/>
  <c r="BD95" i="19"/>
  <c r="BD70" i="19" s="1"/>
  <c r="Z178" i="8" s="1"/>
  <c r="M4" i="8"/>
  <c r="K5" i="8"/>
  <c r="V22" i="8"/>
  <c r="U70" i="8"/>
  <c r="Q23" i="8"/>
  <c r="M105" i="4"/>
  <c r="N103" i="4" s="1"/>
  <c r="N111" i="4" s="1"/>
  <c r="R31" i="8"/>
  <c r="Q58" i="8"/>
  <c r="Q33" i="8"/>
  <c r="P57" i="8"/>
  <c r="I194" i="8"/>
  <c r="J194" i="8" s="1"/>
  <c r="K194" i="8" s="1"/>
  <c r="L194" i="8" s="1"/>
  <c r="M194" i="8" s="1"/>
  <c r="N194" i="8" s="1"/>
  <c r="O194" i="8" s="1"/>
  <c r="P194" i="8" s="1"/>
  <c r="Q194" i="8" s="1"/>
  <c r="R194" i="8" s="1"/>
  <c r="S194" i="8" s="1"/>
  <c r="T194" i="8" s="1"/>
  <c r="U194" i="8" s="1"/>
  <c r="V194" i="8" s="1"/>
  <c r="W194" i="8" s="1"/>
  <c r="X194" i="8" s="1"/>
  <c r="Y194" i="8" s="1"/>
  <c r="Z194" i="8" s="1"/>
  <c r="AA194" i="8" s="1"/>
  <c r="AB194" i="8" s="1"/>
  <c r="AC194" i="8" s="1"/>
  <c r="I193" i="8"/>
  <c r="J193" i="8" s="1"/>
  <c r="K193" i="8" s="1"/>
  <c r="L193" i="8" s="1"/>
  <c r="M193" i="8" s="1"/>
  <c r="N193" i="8" s="1"/>
  <c r="O193" i="8" s="1"/>
  <c r="P193" i="8" s="1"/>
  <c r="Q193" i="8" s="1"/>
  <c r="R193" i="8" s="1"/>
  <c r="S193" i="8" s="1"/>
  <c r="T193" i="8" s="1"/>
  <c r="U193" i="8" s="1"/>
  <c r="V193" i="8" s="1"/>
  <c r="W193" i="8" s="1"/>
  <c r="X193" i="8" s="1"/>
  <c r="Y193" i="8" s="1"/>
  <c r="Z193" i="8" s="1"/>
  <c r="AA193" i="8" s="1"/>
  <c r="AB193" i="8" s="1"/>
  <c r="AC193" i="8" s="1"/>
  <c r="I190" i="8"/>
  <c r="J190" i="8" s="1"/>
  <c r="K190" i="8" s="1"/>
  <c r="L190" i="8" s="1"/>
  <c r="M190" i="8" s="1"/>
  <c r="N190" i="8" s="1"/>
  <c r="O190" i="8" s="1"/>
  <c r="P190" i="8" s="1"/>
  <c r="Q190" i="8" s="1"/>
  <c r="R190" i="8" s="1"/>
  <c r="S190" i="8" s="1"/>
  <c r="T190" i="8" s="1"/>
  <c r="U190" i="8" s="1"/>
  <c r="V190" i="8" s="1"/>
  <c r="W190" i="8" s="1"/>
  <c r="X190" i="8" s="1"/>
  <c r="Y190" i="8" s="1"/>
  <c r="Z190" i="8" s="1"/>
  <c r="AA190" i="8" s="1"/>
  <c r="AB190" i="8" s="1"/>
  <c r="AC190" i="8" s="1"/>
  <c r="J189" i="8"/>
  <c r="K189" i="8" s="1"/>
  <c r="L189" i="8" s="1"/>
  <c r="M189" i="8" s="1"/>
  <c r="N189" i="8" s="1"/>
  <c r="O189" i="8" s="1"/>
  <c r="P189" i="8" s="1"/>
  <c r="Q189" i="8" s="1"/>
  <c r="R189" i="8" s="1"/>
  <c r="S189" i="8" s="1"/>
  <c r="T189" i="8" s="1"/>
  <c r="U189" i="8" s="1"/>
  <c r="V189" i="8" s="1"/>
  <c r="W189" i="8" s="1"/>
  <c r="X189" i="8" s="1"/>
  <c r="Y189" i="8" s="1"/>
  <c r="Z189" i="8" s="1"/>
  <c r="AA189" i="8" s="1"/>
  <c r="AB189" i="8" s="1"/>
  <c r="AC189" i="8" s="1"/>
  <c r="I188" i="8"/>
  <c r="J188" i="8" s="1"/>
  <c r="K188" i="8" s="1"/>
  <c r="L188" i="8" s="1"/>
  <c r="M188" i="8" s="1"/>
  <c r="N188" i="8" s="1"/>
  <c r="O188" i="8" s="1"/>
  <c r="P188" i="8" s="1"/>
  <c r="Q188" i="8" s="1"/>
  <c r="R188" i="8" s="1"/>
  <c r="S188" i="8" s="1"/>
  <c r="T188" i="8" s="1"/>
  <c r="U188" i="8" s="1"/>
  <c r="V188" i="8" s="1"/>
  <c r="W188" i="8" s="1"/>
  <c r="X188" i="8" s="1"/>
  <c r="Y188" i="8" s="1"/>
  <c r="Z188" i="8" s="1"/>
  <c r="AA188" i="8" s="1"/>
  <c r="AB188" i="8" s="1"/>
  <c r="AC188" i="8" s="1"/>
  <c r="I187" i="8"/>
  <c r="J187" i="8" s="1"/>
  <c r="K187" i="8" s="1"/>
  <c r="L187" i="8" s="1"/>
  <c r="M187" i="8" s="1"/>
  <c r="N187" i="8" s="1"/>
  <c r="O187" i="8" s="1"/>
  <c r="P187" i="8" s="1"/>
  <c r="Q187" i="8" s="1"/>
  <c r="R187" i="8" s="1"/>
  <c r="S187" i="8" s="1"/>
  <c r="T187" i="8" s="1"/>
  <c r="U187" i="8" s="1"/>
  <c r="V187" i="8" s="1"/>
  <c r="W187" i="8" s="1"/>
  <c r="X187" i="8" s="1"/>
  <c r="Y187" i="8" s="1"/>
  <c r="Z187" i="8" s="1"/>
  <c r="AA187" i="8" s="1"/>
  <c r="AB187" i="8" s="1"/>
  <c r="AC187" i="8" s="1"/>
  <c r="I186" i="8"/>
  <c r="J186" i="8" s="1"/>
  <c r="K186" i="8" s="1"/>
  <c r="L186" i="8" s="1"/>
  <c r="M186" i="8" s="1"/>
  <c r="N186" i="8" s="1"/>
  <c r="O186" i="8" s="1"/>
  <c r="P186" i="8" s="1"/>
  <c r="Q186" i="8" s="1"/>
  <c r="R186" i="8" s="1"/>
  <c r="S186" i="8" s="1"/>
  <c r="T186" i="8" s="1"/>
  <c r="U186" i="8" s="1"/>
  <c r="V186" i="8" s="1"/>
  <c r="W186" i="8" s="1"/>
  <c r="X186" i="8" s="1"/>
  <c r="Y186" i="8" s="1"/>
  <c r="Z186" i="8" s="1"/>
  <c r="AA186" i="8" s="1"/>
  <c r="AB186" i="8" s="1"/>
  <c r="AC186" i="8" s="1"/>
  <c r="W178" i="8"/>
  <c r="V178" i="8"/>
  <c r="U178" i="8"/>
  <c r="T178" i="8"/>
  <c r="S178" i="8"/>
  <c r="R178" i="8"/>
  <c r="Q178" i="8"/>
  <c r="P178" i="8"/>
  <c r="O178" i="8"/>
  <c r="N178" i="8"/>
  <c r="M178" i="8"/>
  <c r="L178" i="8"/>
  <c r="K178" i="8"/>
  <c r="J178" i="8"/>
  <c r="W165" i="8"/>
  <c r="V165" i="8"/>
  <c r="U165" i="8"/>
  <c r="T165" i="8"/>
  <c r="S165" i="8"/>
  <c r="R165" i="8"/>
  <c r="Q165" i="8"/>
  <c r="P165" i="8"/>
  <c r="O165" i="8"/>
  <c r="N165" i="8"/>
  <c r="M165" i="8"/>
  <c r="L165" i="8"/>
  <c r="K165" i="8"/>
  <c r="J165" i="8"/>
  <c r="I178" i="8"/>
  <c r="I165" i="8"/>
  <c r="W149" i="8"/>
  <c r="V149" i="8"/>
  <c r="U149" i="8"/>
  <c r="T149" i="8"/>
  <c r="S149" i="8"/>
  <c r="R149" i="8"/>
  <c r="Q149" i="8"/>
  <c r="P149" i="8"/>
  <c r="O149" i="8"/>
  <c r="N149" i="8"/>
  <c r="M149" i="8"/>
  <c r="L149" i="8"/>
  <c r="K149" i="8"/>
  <c r="W141" i="8"/>
  <c r="V141" i="8"/>
  <c r="U141" i="8"/>
  <c r="T141" i="8"/>
  <c r="S141" i="8"/>
  <c r="R141" i="8"/>
  <c r="Q141" i="8"/>
  <c r="P141" i="8"/>
  <c r="O141" i="8"/>
  <c r="N141" i="8"/>
  <c r="M141" i="8"/>
  <c r="L141" i="8"/>
  <c r="K141" i="8"/>
  <c r="J141" i="8"/>
  <c r="I141" i="8"/>
  <c r="J149" i="8"/>
  <c r="I149" i="8"/>
  <c r="J148" i="8"/>
  <c r="J147" i="8"/>
  <c r="J146" i="8"/>
  <c r="J145" i="8"/>
  <c r="J144" i="8"/>
  <c r="G180" i="8"/>
  <c r="F180" i="8"/>
  <c r="G172" i="8"/>
  <c r="F161" i="8"/>
  <c r="E172" i="8"/>
  <c r="F142" i="8"/>
  <c r="E142" i="8"/>
  <c r="F147" i="8"/>
  <c r="E147" i="8"/>
  <c r="G147" i="8"/>
  <c r="H150" i="8"/>
  <c r="BD51" i="19" l="1"/>
  <c r="Z39" i="19"/>
  <c r="Z44" i="19" s="1"/>
  <c r="U9" i="5" s="1"/>
  <c r="K147" i="8"/>
  <c r="K144" i="8"/>
  <c r="K148" i="8"/>
  <c r="N4" i="8"/>
  <c r="L19" i="8"/>
  <c r="K145" i="8"/>
  <c r="K146" i="8"/>
  <c r="L5" i="8"/>
  <c r="W22" i="8"/>
  <c r="V70" i="8"/>
  <c r="G150" i="8"/>
  <c r="R23" i="8"/>
  <c r="N105" i="4"/>
  <c r="O103" i="4" s="1"/>
  <c r="O111" i="4" s="1"/>
  <c r="R33" i="8"/>
  <c r="Q57" i="8"/>
  <c r="S31" i="8"/>
  <c r="R58" i="8"/>
  <c r="E150" i="8"/>
  <c r="F150" i="8"/>
  <c r="Z27" i="19" l="1"/>
  <c r="AA11" i="19" s="1"/>
  <c r="BE95" i="19"/>
  <c r="BE70" i="19" s="1"/>
  <c r="M5" i="8"/>
  <c r="O4" i="8"/>
  <c r="L148" i="8"/>
  <c r="L146" i="8"/>
  <c r="L15" i="8"/>
  <c r="L145" i="8"/>
  <c r="M19" i="8"/>
  <c r="L144" i="8"/>
  <c r="L147" i="8"/>
  <c r="R71" i="8"/>
  <c r="X22" i="8"/>
  <c r="W70" i="8"/>
  <c r="O105" i="4"/>
  <c r="T23" i="8" s="1"/>
  <c r="S23" i="8"/>
  <c r="T31" i="8"/>
  <c r="S58" i="8"/>
  <c r="S33" i="8"/>
  <c r="R57" i="8"/>
  <c r="AA178" i="8" l="1"/>
  <c r="V8" i="5"/>
  <c r="V21" i="5" s="1"/>
  <c r="BE51" i="19"/>
  <c r="AA39" i="19"/>
  <c r="AA44" i="19" s="1"/>
  <c r="V9" i="5" s="1"/>
  <c r="V39" i="5" s="1"/>
  <c r="M145" i="8"/>
  <c r="L92" i="8"/>
  <c r="L53" i="8"/>
  <c r="M15" i="8"/>
  <c r="M146" i="8"/>
  <c r="M148" i="8"/>
  <c r="P4" i="8"/>
  <c r="M147" i="8"/>
  <c r="M144" i="8"/>
  <c r="N19" i="8"/>
  <c r="N5" i="8"/>
  <c r="Y22" i="8"/>
  <c r="X70" i="8"/>
  <c r="S71" i="8"/>
  <c r="P103" i="4"/>
  <c r="P111" i="4" s="1"/>
  <c r="T71" i="8"/>
  <c r="U31" i="8"/>
  <c r="T58" i="8"/>
  <c r="T33" i="8"/>
  <c r="S57" i="8"/>
  <c r="BF95" i="19" l="1"/>
  <c r="BF70" i="19" s="1"/>
  <c r="AA27" i="19"/>
  <c r="AB11" i="19" s="1"/>
  <c r="L60" i="8"/>
  <c r="O19" i="8"/>
  <c r="Q4" i="8"/>
  <c r="N146" i="8"/>
  <c r="M92" i="8"/>
  <c r="N15" i="8"/>
  <c r="M53" i="8"/>
  <c r="O5" i="8"/>
  <c r="N144" i="8"/>
  <c r="N147" i="8"/>
  <c r="N148" i="8"/>
  <c r="N145" i="8"/>
  <c r="L3" i="8"/>
  <c r="Z22" i="8"/>
  <c r="Y70" i="8"/>
  <c r="P105" i="4"/>
  <c r="Q103" i="4" s="1"/>
  <c r="Q111" i="4" s="1"/>
  <c r="M41" i="8"/>
  <c r="U33" i="8"/>
  <c r="T57" i="8"/>
  <c r="V31" i="8"/>
  <c r="U58" i="8"/>
  <c r="AB39" i="19" l="1"/>
  <c r="AB44" i="19" s="1"/>
  <c r="W9" i="5" s="1"/>
  <c r="W39" i="5" s="1"/>
  <c r="AB178" i="8"/>
  <c r="W8" i="5"/>
  <c r="W21" i="5" s="1"/>
  <c r="BF51" i="19"/>
  <c r="M60" i="8"/>
  <c r="O148" i="8"/>
  <c r="O144" i="8"/>
  <c r="N92" i="8"/>
  <c r="N53" i="8"/>
  <c r="O15" i="8"/>
  <c r="O146" i="8"/>
  <c r="P19" i="8"/>
  <c r="O145" i="8"/>
  <c r="O147" i="8"/>
  <c r="P5" i="8"/>
  <c r="R4" i="8"/>
  <c r="M3" i="8"/>
  <c r="AA22" i="8"/>
  <c r="Z70" i="8"/>
  <c r="Q105" i="4"/>
  <c r="R103" i="4" s="1"/>
  <c r="R111" i="4" s="1"/>
  <c r="U23" i="8"/>
  <c r="N41" i="8"/>
  <c r="W31" i="8"/>
  <c r="V58" i="8"/>
  <c r="V33" i="8"/>
  <c r="U57" i="8"/>
  <c r="AB27" i="19" l="1"/>
  <c r="AC11" i="19" s="1"/>
  <c r="AC39" i="19" s="1"/>
  <c r="AC44" i="19" s="1"/>
  <c r="X9" i="5" s="1"/>
  <c r="X39" i="5" s="1"/>
  <c r="BG95" i="19"/>
  <c r="BG70" i="19" s="1"/>
  <c r="N60" i="8"/>
  <c r="Q5" i="8"/>
  <c r="P145" i="8"/>
  <c r="P146" i="8"/>
  <c r="P148" i="8"/>
  <c r="Q19" i="8"/>
  <c r="O92" i="8"/>
  <c r="P15" i="8"/>
  <c r="O53" i="8"/>
  <c r="S4" i="8"/>
  <c r="P147" i="8"/>
  <c r="P144" i="8"/>
  <c r="N3" i="8"/>
  <c r="U71" i="8"/>
  <c r="AB22" i="8"/>
  <c r="AA70" i="8"/>
  <c r="R105" i="4"/>
  <c r="S103" i="4" s="1"/>
  <c r="S111" i="4" s="1"/>
  <c r="V23" i="8"/>
  <c r="W58" i="8"/>
  <c r="X31" i="8"/>
  <c r="O41" i="8"/>
  <c r="W33" i="8"/>
  <c r="V57" i="8"/>
  <c r="AC178" i="8" l="1"/>
  <c r="X8" i="5"/>
  <c r="X21" i="5" s="1"/>
  <c r="BG51" i="19"/>
  <c r="AC27" i="19"/>
  <c r="O60" i="8"/>
  <c r="R19" i="8"/>
  <c r="Q147" i="8"/>
  <c r="P92" i="8"/>
  <c r="Q15" i="8"/>
  <c r="P53" i="8"/>
  <c r="Q146" i="8"/>
  <c r="R5" i="8"/>
  <c r="Q144" i="8"/>
  <c r="T4" i="8"/>
  <c r="Q148" i="8"/>
  <c r="Q145" i="8"/>
  <c r="O3" i="8"/>
  <c r="W23" i="8"/>
  <c r="AC22" i="8"/>
  <c r="AC70" i="8" s="1"/>
  <c r="AB70" i="8"/>
  <c r="V71" i="8"/>
  <c r="S105" i="4"/>
  <c r="T103" i="4" s="1"/>
  <c r="T111" i="4" s="1"/>
  <c r="P41" i="8"/>
  <c r="X58" i="8"/>
  <c r="Y31" i="8"/>
  <c r="W57" i="8"/>
  <c r="X33" i="8"/>
  <c r="S19" i="8" l="1"/>
  <c r="R148" i="8"/>
  <c r="R144" i="8"/>
  <c r="R146" i="8"/>
  <c r="P60" i="8"/>
  <c r="R145" i="8"/>
  <c r="U4" i="8"/>
  <c r="S5" i="8"/>
  <c r="Q92" i="8"/>
  <c r="Q53" i="8"/>
  <c r="R15" i="8"/>
  <c r="R147" i="8"/>
  <c r="P3" i="8"/>
  <c r="X23" i="8"/>
  <c r="T105" i="4"/>
  <c r="Y23" i="8" s="1"/>
  <c r="W71" i="8"/>
  <c r="Z31" i="8"/>
  <c r="Y58" i="8"/>
  <c r="X57" i="8"/>
  <c r="Y33" i="8"/>
  <c r="Q41" i="8"/>
  <c r="Q60" i="8" l="1"/>
  <c r="R92" i="8"/>
  <c r="R53" i="8"/>
  <c r="S15" i="8"/>
  <c r="S146" i="8"/>
  <c r="T5" i="8"/>
  <c r="S145" i="8"/>
  <c r="S148" i="8"/>
  <c r="T19" i="8"/>
  <c r="S147" i="8"/>
  <c r="V4" i="8"/>
  <c r="S144" i="8"/>
  <c r="Q3" i="8"/>
  <c r="U103" i="4"/>
  <c r="U111" i="4" s="1"/>
  <c r="Y71" i="8"/>
  <c r="X71" i="8"/>
  <c r="Y57" i="8"/>
  <c r="Z33" i="8"/>
  <c r="R41" i="8"/>
  <c r="Z58" i="8"/>
  <c r="AA31" i="8"/>
  <c r="U105" i="4" l="1"/>
  <c r="Z23" i="8" s="1"/>
  <c r="Z71" i="8" s="1"/>
  <c r="U19" i="8"/>
  <c r="T146" i="8"/>
  <c r="R60" i="8"/>
  <c r="W4" i="8"/>
  <c r="T145" i="8"/>
  <c r="S92" i="8"/>
  <c r="T15" i="8"/>
  <c r="S53" i="8"/>
  <c r="T144" i="8"/>
  <c r="T147" i="8"/>
  <c r="T148" i="8"/>
  <c r="U5" i="8"/>
  <c r="R3" i="8"/>
  <c r="AA58" i="8"/>
  <c r="AB31" i="8"/>
  <c r="AA33" i="8"/>
  <c r="Z57" i="8"/>
  <c r="S41" i="8"/>
  <c r="V103" i="4" l="1"/>
  <c r="V111" i="4" s="1"/>
  <c r="S60" i="8"/>
  <c r="U146" i="8"/>
  <c r="U148" i="8"/>
  <c r="U144" i="8"/>
  <c r="X4" i="8"/>
  <c r="V19" i="8"/>
  <c r="V5" i="8"/>
  <c r="U147" i="8"/>
  <c r="T92" i="8"/>
  <c r="U15" i="8"/>
  <c r="T53" i="8"/>
  <c r="U145" i="8"/>
  <c r="S3" i="8"/>
  <c r="T41" i="8"/>
  <c r="AC31" i="8"/>
  <c r="AB58" i="8"/>
  <c r="AA57" i="8"/>
  <c r="AB33" i="8"/>
  <c r="V105" i="4" l="1"/>
  <c r="W103" i="4" s="1"/>
  <c r="W111" i="4" s="1"/>
  <c r="W19" i="8"/>
  <c r="U92" i="8"/>
  <c r="V15" i="8"/>
  <c r="U53" i="8"/>
  <c r="V147" i="8"/>
  <c r="V144" i="8"/>
  <c r="T60" i="8"/>
  <c r="V146" i="8"/>
  <c r="V145" i="8"/>
  <c r="W5" i="8"/>
  <c r="Y4" i="8"/>
  <c r="V148" i="8"/>
  <c r="T3" i="8"/>
  <c r="AC58" i="8"/>
  <c r="U41" i="8"/>
  <c r="AC33" i="8"/>
  <c r="AB57" i="8"/>
  <c r="AA23" i="8" l="1"/>
  <c r="AA71" i="8" s="1"/>
  <c r="W105" i="4"/>
  <c r="X103" i="4" s="1"/>
  <c r="X111" i="4" s="1"/>
  <c r="W147" i="8"/>
  <c r="Z4" i="8"/>
  <c r="AA4" i="8" s="1"/>
  <c r="AB4" i="8" s="1"/>
  <c r="AC4" i="8" s="1"/>
  <c r="W145" i="8"/>
  <c r="U60" i="8"/>
  <c r="W146" i="8"/>
  <c r="X19" i="8"/>
  <c r="W148" i="8"/>
  <c r="X5" i="8"/>
  <c r="W144" i="8"/>
  <c r="V92" i="8"/>
  <c r="W15" i="8"/>
  <c r="V53" i="8"/>
  <c r="U3" i="8"/>
  <c r="AC57" i="8"/>
  <c r="V41" i="8"/>
  <c r="AB23" i="8" l="1"/>
  <c r="AB71" i="8" s="1"/>
  <c r="X105" i="4"/>
  <c r="AC23" i="8" s="1"/>
  <c r="Y5" i="8"/>
  <c r="Y19" i="8"/>
  <c r="V60" i="8"/>
  <c r="X146" i="8"/>
  <c r="W92" i="8"/>
  <c r="X15" i="8"/>
  <c r="W53" i="8"/>
  <c r="X144" i="8"/>
  <c r="X148" i="8"/>
  <c r="X145" i="8"/>
  <c r="X147" i="8"/>
  <c r="V3" i="8"/>
  <c r="W41" i="8"/>
  <c r="H193" i="8"/>
  <c r="G193" i="8"/>
  <c r="F193" i="8"/>
  <c r="E193" i="8"/>
  <c r="D193" i="8"/>
  <c r="D189" i="8"/>
  <c r="AC71" i="8" l="1"/>
  <c r="Y146" i="8"/>
  <c r="Y147" i="8"/>
  <c r="Y148" i="8"/>
  <c r="X92" i="8"/>
  <c r="Y15" i="8"/>
  <c r="X53" i="8"/>
  <c r="Z19" i="8"/>
  <c r="AA19" i="8" s="1"/>
  <c r="AB19" i="8" s="1"/>
  <c r="AC19" i="8" s="1"/>
  <c r="W60" i="8"/>
  <c r="Y145" i="8"/>
  <c r="Y144" i="8"/>
  <c r="Z5" i="8"/>
  <c r="AA5" i="8" s="1"/>
  <c r="AB5" i="8" s="1"/>
  <c r="AC5" i="8" s="1"/>
  <c r="W3" i="8"/>
  <c r="X41" i="8"/>
  <c r="G201" i="8"/>
  <c r="G186" i="8" s="1"/>
  <c r="G218" i="8"/>
  <c r="F218" i="8"/>
  <c r="E218" i="8"/>
  <c r="D209" i="8"/>
  <c r="D218" i="8" s="1"/>
  <c r="H218" i="8"/>
  <c r="G188" i="8"/>
  <c r="F188" i="8"/>
  <c r="E188" i="8"/>
  <c r="D207" i="8"/>
  <c r="D188" i="8" s="1"/>
  <c r="Z144" i="8" l="1"/>
  <c r="AA144" i="8" s="1"/>
  <c r="AB144" i="8" s="1"/>
  <c r="AC144" i="8" s="1"/>
  <c r="Z146" i="8"/>
  <c r="AA146" i="8" s="1"/>
  <c r="AB146" i="8" s="1"/>
  <c r="AC146" i="8" s="1"/>
  <c r="Z145" i="8"/>
  <c r="AA145" i="8" s="1"/>
  <c r="AB145" i="8" s="1"/>
  <c r="AC145" i="8" s="1"/>
  <c r="Z147" i="8"/>
  <c r="AA147" i="8" s="1"/>
  <c r="AB147" i="8" s="1"/>
  <c r="AC147" i="8" s="1"/>
  <c r="X60" i="8"/>
  <c r="Y92" i="8"/>
  <c r="Y53" i="8"/>
  <c r="Z15" i="8"/>
  <c r="Z148" i="8"/>
  <c r="AA148" i="8" s="1"/>
  <c r="AB148" i="8" s="1"/>
  <c r="AC148" i="8" s="1"/>
  <c r="X3" i="8"/>
  <c r="Y41" i="8"/>
  <c r="F201" i="8"/>
  <c r="F186" i="8" s="1"/>
  <c r="H188" i="8"/>
  <c r="F197" i="8"/>
  <c r="E197" i="8"/>
  <c r="D197" i="8"/>
  <c r="H172" i="8"/>
  <c r="F172" i="8"/>
  <c r="D172" i="8"/>
  <c r="Z92" i="8" l="1"/>
  <c r="Z53" i="8"/>
  <c r="AA15" i="8"/>
  <c r="Y60" i="8"/>
  <c r="Y3" i="8"/>
  <c r="Z41" i="8"/>
  <c r="Z60" i="8" s="1"/>
  <c r="E201" i="8"/>
  <c r="E186" i="8" s="1"/>
  <c r="D156" i="8"/>
  <c r="D176" i="8" s="1"/>
  <c r="E156" i="8"/>
  <c r="E176" i="8" s="1"/>
  <c r="F156" i="8"/>
  <c r="F176" i="8" s="1"/>
  <c r="G156" i="8"/>
  <c r="H156" i="8"/>
  <c r="AA92" i="8" l="1"/>
  <c r="AB15" i="8"/>
  <c r="AA53" i="8"/>
  <c r="Z3" i="8"/>
  <c r="AA3" i="8" s="1"/>
  <c r="AB3" i="8" s="1"/>
  <c r="AC3" i="8" s="1"/>
  <c r="G176" i="8"/>
  <c r="H176" i="8"/>
  <c r="E182" i="8"/>
  <c r="E183" i="8"/>
  <c r="F182" i="8"/>
  <c r="F183" i="8"/>
  <c r="AA41" i="8"/>
  <c r="AA60" i="8" s="1"/>
  <c r="D201" i="8"/>
  <c r="G194" i="8"/>
  <c r="F194" i="8"/>
  <c r="E194" i="8"/>
  <c r="H194" i="8"/>
  <c r="D194" i="8"/>
  <c r="U8" i="5"/>
  <c r="U21" i="5" s="1"/>
  <c r="T8" i="5"/>
  <c r="S8" i="5"/>
  <c r="R8" i="5"/>
  <c r="R21" i="5" s="1"/>
  <c r="Q8" i="5"/>
  <c r="Q21" i="5" s="1"/>
  <c r="P8" i="5"/>
  <c r="P21" i="5" s="1"/>
  <c r="O8" i="5"/>
  <c r="O21" i="5" s="1"/>
  <c r="N8" i="5"/>
  <c r="N21" i="5" s="1"/>
  <c r="M8" i="5"/>
  <c r="M21" i="5" s="1"/>
  <c r="L8" i="5"/>
  <c r="L21" i="5" s="1"/>
  <c r="K8" i="5"/>
  <c r="K21" i="5" s="1"/>
  <c r="J8" i="5"/>
  <c r="J21" i="5" s="1"/>
  <c r="I8" i="5"/>
  <c r="I21" i="5" s="1"/>
  <c r="H8" i="5"/>
  <c r="H21" i="5" s="1"/>
  <c r="G8" i="5"/>
  <c r="F8" i="5"/>
  <c r="F21" i="5" s="1"/>
  <c r="E8" i="5"/>
  <c r="E21" i="5" s="1"/>
  <c r="U39" i="5"/>
  <c r="T39" i="5"/>
  <c r="S39" i="5"/>
  <c r="R39" i="5"/>
  <c r="Q39" i="5"/>
  <c r="P39" i="5"/>
  <c r="O39" i="5"/>
  <c r="N39" i="5"/>
  <c r="M39" i="5"/>
  <c r="L39" i="5"/>
  <c r="K39" i="5"/>
  <c r="J39" i="5"/>
  <c r="I39" i="5"/>
  <c r="H39" i="5"/>
  <c r="G39" i="5"/>
  <c r="F39" i="5"/>
  <c r="E39" i="5"/>
  <c r="H182" i="8" l="1"/>
  <c r="AB92" i="8"/>
  <c r="AC15" i="8"/>
  <c r="AB53" i="8"/>
  <c r="G183" i="8"/>
  <c r="G182" i="8"/>
  <c r="AB41" i="8"/>
  <c r="AB60" i="8" s="1"/>
  <c r="S21" i="5"/>
  <c r="D21" i="5"/>
  <c r="T21" i="5"/>
  <c r="AC53" i="8" l="1"/>
  <c r="AC92" i="8"/>
  <c r="AC41" i="8"/>
  <c r="AC60" i="8" s="1"/>
  <c r="G21" i="5"/>
  <c r="D34" i="8" l="1"/>
  <c r="E34" i="8"/>
  <c r="F34" i="8"/>
  <c r="G34" i="8"/>
  <c r="H34" i="8"/>
  <c r="D41" i="8"/>
  <c r="D37" i="8"/>
  <c r="D35" i="8" s="1"/>
  <c r="G35" i="8" l="1"/>
  <c r="F35" i="8"/>
  <c r="E35" i="8"/>
  <c r="D31" i="8"/>
  <c r="D26" i="8" s="1"/>
  <c r="E31" i="8"/>
  <c r="E26" i="8" s="1"/>
  <c r="F31" i="8"/>
  <c r="F26" i="8" s="1"/>
  <c r="G31" i="8"/>
  <c r="H31" i="8"/>
  <c r="G26" i="8" l="1"/>
  <c r="H26" i="8"/>
  <c r="F42" i="8"/>
  <c r="E42" i="8"/>
  <c r="D6" i="8"/>
  <c r="E6" i="8"/>
  <c r="F6" i="8"/>
  <c r="G6" i="8"/>
  <c r="H6" i="8"/>
  <c r="D13" i="8"/>
  <c r="D12" i="8"/>
  <c r="D14" i="8"/>
  <c r="D11" i="8"/>
  <c r="D16" i="8"/>
  <c r="D9" i="8"/>
  <c r="G42" i="8" l="1"/>
  <c r="C140" i="1"/>
  <c r="C141" i="1" s="1"/>
  <c r="L34" i="8" l="1"/>
  <c r="M34" i="8" l="1"/>
  <c r="L59" i="8"/>
  <c r="L14" i="8"/>
  <c r="M59" i="8" l="1"/>
  <c r="N34" i="8"/>
  <c r="L6" i="8"/>
  <c r="L12" i="8"/>
  <c r="L13" i="8"/>
  <c r="L11" i="8"/>
  <c r="M14" i="8"/>
  <c r="D198" i="8"/>
  <c r="D204" i="8" s="1"/>
  <c r="D186" i="8" s="1"/>
  <c r="D10" i="8"/>
  <c r="N59" i="8" l="1"/>
  <c r="O34" i="8"/>
  <c r="M6" i="8"/>
  <c r="E204" i="8"/>
  <c r="E187" i="8" s="1"/>
  <c r="E219" i="8"/>
  <c r="M13" i="8"/>
  <c r="E8" i="8"/>
  <c r="M11" i="8"/>
  <c r="M12" i="8"/>
  <c r="N14" i="8"/>
  <c r="O59" i="8" l="1"/>
  <c r="P34" i="8"/>
  <c r="N6" i="8"/>
  <c r="F204" i="8"/>
  <c r="F187" i="8" s="1"/>
  <c r="F219" i="8"/>
  <c r="F8" i="8"/>
  <c r="N12" i="8"/>
  <c r="E18" i="8"/>
  <c r="N11" i="8"/>
  <c r="N13" i="8"/>
  <c r="O14" i="8"/>
  <c r="E78" i="4"/>
  <c r="F47" i="4"/>
  <c r="J43" i="4"/>
  <c r="O113" i="8" s="1"/>
  <c r="B113" i="8" s="1"/>
  <c r="E37" i="4"/>
  <c r="F37" i="4" s="1"/>
  <c r="G37" i="4" s="1"/>
  <c r="H37" i="4" s="1"/>
  <c r="I37" i="4" s="1"/>
  <c r="J37" i="4" s="1"/>
  <c r="K37" i="4" s="1"/>
  <c r="L37" i="4" s="1"/>
  <c r="M37" i="4" s="1"/>
  <c r="N37" i="4" s="1"/>
  <c r="O37" i="4" s="1"/>
  <c r="P37" i="4" s="1"/>
  <c r="Q37" i="4" s="1"/>
  <c r="R37" i="4" s="1"/>
  <c r="S37" i="4" s="1"/>
  <c r="T37" i="4" s="1"/>
  <c r="U37" i="4" s="1"/>
  <c r="V37" i="4" s="1"/>
  <c r="W37" i="4" s="1"/>
  <c r="X37" i="4" s="1"/>
  <c r="J35" i="4"/>
  <c r="D32" i="4"/>
  <c r="D5" i="4"/>
  <c r="D9" i="4" s="1"/>
  <c r="D4" i="4"/>
  <c r="D135" i="4" s="1"/>
  <c r="P59" i="8" l="1"/>
  <c r="Q34" i="8"/>
  <c r="O6" i="8"/>
  <c r="D36" i="4"/>
  <c r="G78" i="4"/>
  <c r="A43" i="4"/>
  <c r="D13" i="4"/>
  <c r="O13" i="8"/>
  <c r="F18" i="8"/>
  <c r="O11" i="8"/>
  <c r="O12" i="8"/>
  <c r="P14" i="8"/>
  <c r="X33" i="4"/>
  <c r="T33" i="4"/>
  <c r="W33" i="4"/>
  <c r="S33" i="4"/>
  <c r="V33" i="4"/>
  <c r="R33" i="4"/>
  <c r="U33" i="4"/>
  <c r="E6" i="4"/>
  <c r="D33" i="4"/>
  <c r="H33" i="4"/>
  <c r="P33" i="4"/>
  <c r="D6" i="4"/>
  <c r="L33" i="4"/>
  <c r="E33" i="4"/>
  <c r="I33" i="4"/>
  <c r="M33" i="4"/>
  <c r="Q33" i="4"/>
  <c r="F33" i="4"/>
  <c r="J33" i="4"/>
  <c r="N33" i="4"/>
  <c r="G33" i="4"/>
  <c r="K33" i="4"/>
  <c r="O33" i="4"/>
  <c r="G47" i="4"/>
  <c r="G46" i="4" s="1"/>
  <c r="R34" i="8" l="1"/>
  <c r="Q59" i="8"/>
  <c r="P6" i="8"/>
  <c r="D31" i="4"/>
  <c r="D40" i="4" s="1"/>
  <c r="D50" i="4" s="1"/>
  <c r="D66" i="4" s="1"/>
  <c r="D72" i="4" s="1"/>
  <c r="D77" i="4" s="1"/>
  <c r="D83" i="4" s="1"/>
  <c r="D102" i="4" s="1"/>
  <c r="D123" i="4" s="1"/>
  <c r="D22" i="4"/>
  <c r="A33" i="4"/>
  <c r="D34" i="4"/>
  <c r="P11" i="8"/>
  <c r="P13" i="8"/>
  <c r="P12" i="8"/>
  <c r="Q14" i="8"/>
  <c r="H78" i="4"/>
  <c r="S34" i="8"/>
  <c r="D7" i="4"/>
  <c r="F41" i="4"/>
  <c r="H47" i="4"/>
  <c r="R59" i="8" l="1"/>
  <c r="Q6" i="8"/>
  <c r="D93" i="4"/>
  <c r="E32" i="4"/>
  <c r="Q13" i="8"/>
  <c r="Q12" i="8"/>
  <c r="Q11" i="8"/>
  <c r="R14" i="8"/>
  <c r="I78" i="4"/>
  <c r="T34" i="8"/>
  <c r="S59" i="8"/>
  <c r="F44" i="4"/>
  <c r="I47" i="4"/>
  <c r="F46" i="4" l="1"/>
  <c r="R6" i="8"/>
  <c r="E34" i="4"/>
  <c r="F32" i="4" s="1"/>
  <c r="E36" i="4"/>
  <c r="R12" i="8"/>
  <c r="R11" i="8"/>
  <c r="R13" i="8"/>
  <c r="S14" i="8"/>
  <c r="J78" i="4"/>
  <c r="U34" i="8"/>
  <c r="T59" i="8"/>
  <c r="E7" i="4"/>
  <c r="F5" i="4" s="1"/>
  <c r="G41" i="4"/>
  <c r="J47" i="4"/>
  <c r="W6" i="4" l="1"/>
  <c r="V6" i="4"/>
  <c r="J6" i="4"/>
  <c r="I6" i="4"/>
  <c r="H6" i="4"/>
  <c r="G6" i="4"/>
  <c r="N6" i="4"/>
  <c r="M6" i="4"/>
  <c r="L6" i="4"/>
  <c r="U6" i="4"/>
  <c r="S6" i="4"/>
  <c r="K6" i="4"/>
  <c r="R6" i="4"/>
  <c r="Q6" i="4"/>
  <c r="P6" i="4"/>
  <c r="O6" i="4"/>
  <c r="F6" i="4"/>
  <c r="F7" i="4" s="1"/>
  <c r="X6" i="4"/>
  <c r="T6" i="4"/>
  <c r="S6" i="8"/>
  <c r="E9" i="4"/>
  <c r="F34" i="4"/>
  <c r="G32" i="4" s="1"/>
  <c r="F36" i="4"/>
  <c r="G44" i="4"/>
  <c r="H41" i="4" s="1"/>
  <c r="H44" i="4" s="1"/>
  <c r="H46" i="4" s="1"/>
  <c r="S11" i="8"/>
  <c r="S13" i="8"/>
  <c r="S12" i="8"/>
  <c r="T14" i="8"/>
  <c r="K78" i="4"/>
  <c r="V34" i="8"/>
  <c r="U59" i="8"/>
  <c r="K47" i="4"/>
  <c r="A6" i="4" l="1"/>
  <c r="F9" i="4"/>
  <c r="T6" i="8"/>
  <c r="M107" i="8"/>
  <c r="L107" i="8"/>
  <c r="G36" i="4"/>
  <c r="G34" i="4"/>
  <c r="H32" i="4" s="1"/>
  <c r="L28" i="8"/>
  <c r="T13" i="8"/>
  <c r="T12" i="8"/>
  <c r="T11" i="8"/>
  <c r="U14" i="8"/>
  <c r="L78" i="4"/>
  <c r="W34" i="8"/>
  <c r="V59" i="8"/>
  <c r="G5" i="4"/>
  <c r="I41" i="4"/>
  <c r="I44" i="4" s="1"/>
  <c r="I46" i="4" s="1"/>
  <c r="M28" i="8"/>
  <c r="L47" i="4"/>
  <c r="U6" i="8" l="1"/>
  <c r="L69" i="8"/>
  <c r="N107" i="8"/>
  <c r="H36" i="4"/>
  <c r="H34" i="4"/>
  <c r="I32" i="4" s="1"/>
  <c r="M69" i="8"/>
  <c r="W59" i="8"/>
  <c r="X34" i="8"/>
  <c r="U12" i="8"/>
  <c r="U11" i="8"/>
  <c r="U13" i="8"/>
  <c r="V14" i="8"/>
  <c r="M78" i="4"/>
  <c r="G7" i="4"/>
  <c r="G9" i="4" s="1"/>
  <c r="J41" i="4"/>
  <c r="J44" i="4" s="1"/>
  <c r="O28" i="8" s="1"/>
  <c r="N28" i="8"/>
  <c r="M47" i="4"/>
  <c r="V6" i="8" l="1"/>
  <c r="N69" i="8"/>
  <c r="I36" i="4"/>
  <c r="I34" i="4"/>
  <c r="J32" i="4" s="1"/>
  <c r="Y34" i="8"/>
  <c r="X59" i="8"/>
  <c r="V11" i="8"/>
  <c r="V13" i="8"/>
  <c r="V12" i="8"/>
  <c r="W14" i="8"/>
  <c r="N78" i="4"/>
  <c r="O69" i="8"/>
  <c r="H5" i="4"/>
  <c r="K41" i="4"/>
  <c r="K44" i="4" s="1"/>
  <c r="J46" i="4"/>
  <c r="N47" i="4"/>
  <c r="O107" i="8" l="1"/>
  <c r="W6" i="8"/>
  <c r="J36" i="4"/>
  <c r="J34" i="4"/>
  <c r="K32" i="4" s="1"/>
  <c r="Z34" i="8"/>
  <c r="Y59" i="8"/>
  <c r="W13" i="8"/>
  <c r="W12" i="8"/>
  <c r="W11" i="8"/>
  <c r="X14" i="8"/>
  <c r="O78" i="4"/>
  <c r="H7" i="4"/>
  <c r="H9" i="4" s="1"/>
  <c r="K46" i="4"/>
  <c r="P28" i="8"/>
  <c r="L41" i="4"/>
  <c r="L44" i="4" s="1"/>
  <c r="O47" i="4"/>
  <c r="X6" i="8" l="1"/>
  <c r="P69" i="8"/>
  <c r="P107" i="8"/>
  <c r="K36" i="4"/>
  <c r="K34" i="4"/>
  <c r="L32" i="4" s="1"/>
  <c r="Z59" i="8"/>
  <c r="AA34" i="8"/>
  <c r="X12" i="8"/>
  <c r="X11" i="8"/>
  <c r="X13" i="8"/>
  <c r="Y14" i="8"/>
  <c r="P78" i="4"/>
  <c r="I5" i="4"/>
  <c r="M41" i="4"/>
  <c r="M44" i="4" s="1"/>
  <c r="M46" i="4" s="1"/>
  <c r="Q28" i="8"/>
  <c r="L46" i="4"/>
  <c r="P47" i="4"/>
  <c r="Y6" i="8" l="1"/>
  <c r="Q69" i="8"/>
  <c r="R107" i="8"/>
  <c r="Q107" i="8"/>
  <c r="L36" i="4"/>
  <c r="L34" i="4"/>
  <c r="M32" i="4" s="1"/>
  <c r="AA59" i="8"/>
  <c r="AB34" i="8"/>
  <c r="Y11" i="8"/>
  <c r="Y13" i="8"/>
  <c r="Y12" i="8"/>
  <c r="Z14" i="8"/>
  <c r="Q78" i="4"/>
  <c r="I7" i="4"/>
  <c r="I9" i="4" s="1"/>
  <c r="N41" i="4"/>
  <c r="N44" i="4" s="1"/>
  <c r="R28" i="8"/>
  <c r="Q47" i="4"/>
  <c r="R47" i="4" s="1"/>
  <c r="S47" i="4" s="1"/>
  <c r="T47" i="4" s="1"/>
  <c r="U47" i="4" s="1"/>
  <c r="V47" i="4" s="1"/>
  <c r="W47" i="4" s="1"/>
  <c r="X47" i="4" s="1"/>
  <c r="Z6" i="8" l="1"/>
  <c r="AA6" i="8" s="1"/>
  <c r="AB6" i="8" s="1"/>
  <c r="AC6" i="8" s="1"/>
  <c r="R69" i="8"/>
  <c r="M36" i="4"/>
  <c r="M34" i="4"/>
  <c r="N32" i="4" s="1"/>
  <c r="AC34" i="8"/>
  <c r="AB59" i="8"/>
  <c r="Z13" i="8"/>
  <c r="Z12" i="8"/>
  <c r="Z11" i="8"/>
  <c r="AA14" i="8"/>
  <c r="R78" i="4"/>
  <c r="J5" i="4"/>
  <c r="O41" i="4"/>
  <c r="O44" i="4" s="1"/>
  <c r="O46" i="4" s="1"/>
  <c r="S28" i="8"/>
  <c r="N46" i="4"/>
  <c r="S69" i="8" l="1"/>
  <c r="S107" i="8"/>
  <c r="T107" i="8"/>
  <c r="N36" i="4"/>
  <c r="N34" i="4"/>
  <c r="O32" i="4" s="1"/>
  <c r="AC59" i="8"/>
  <c r="AA12" i="8"/>
  <c r="AA11" i="8"/>
  <c r="AA13" i="8"/>
  <c r="AB14" i="8"/>
  <c r="S78" i="4"/>
  <c r="J7" i="4"/>
  <c r="J9" i="4" s="1"/>
  <c r="P41" i="4"/>
  <c r="P44" i="4" s="1"/>
  <c r="T28" i="8"/>
  <c r="T69" i="8" l="1"/>
  <c r="O36" i="4"/>
  <c r="O34" i="4"/>
  <c r="P32" i="4" s="1"/>
  <c r="AB11" i="8"/>
  <c r="AB13" i="8"/>
  <c r="AB12" i="8"/>
  <c r="AC14" i="8"/>
  <c r="T78" i="4"/>
  <c r="P46" i="4"/>
  <c r="K5" i="4"/>
  <c r="Q41" i="4"/>
  <c r="Q44" i="4" s="1"/>
  <c r="R41" i="4" s="1"/>
  <c r="U28" i="8"/>
  <c r="U69" i="8" l="1"/>
  <c r="U107" i="8"/>
  <c r="P36" i="4"/>
  <c r="P34" i="4"/>
  <c r="Q32" i="4" s="1"/>
  <c r="AC13" i="8"/>
  <c r="AC12" i="8"/>
  <c r="AC11" i="8"/>
  <c r="U78" i="4"/>
  <c r="R44" i="4"/>
  <c r="K7" i="4"/>
  <c r="K9" i="4" s="1"/>
  <c r="Q46" i="4"/>
  <c r="V107" i="8" s="1"/>
  <c r="V28" i="8"/>
  <c r="G42" i="2"/>
  <c r="H42" i="2"/>
  <c r="H34" i="2"/>
  <c r="G34" i="2"/>
  <c r="H33" i="2"/>
  <c r="G33" i="2"/>
  <c r="H32" i="2"/>
  <c r="G32" i="2"/>
  <c r="H31" i="2"/>
  <c r="G31" i="2"/>
  <c r="H30" i="2"/>
  <c r="G30" i="2"/>
  <c r="H29" i="2"/>
  <c r="G29" i="2"/>
  <c r="I33" i="2"/>
  <c r="I32" i="2"/>
  <c r="G14" i="2"/>
  <c r="G13" i="2"/>
  <c r="G12" i="2"/>
  <c r="G5" i="2"/>
  <c r="G15" i="2"/>
  <c r="G4" i="2"/>
  <c r="C11" i="1"/>
  <c r="C10" i="1"/>
  <c r="F9" i="1"/>
  <c r="E3" i="2"/>
  <c r="E69" i="2" s="1"/>
  <c r="G21" i="2" l="1"/>
  <c r="G22" i="2"/>
  <c r="B10" i="22"/>
  <c r="B15" i="22" s="1"/>
  <c r="B17" i="22" s="1"/>
  <c r="J2" i="8"/>
  <c r="J84" i="8" s="1"/>
  <c r="Q36" i="4"/>
  <c r="Q34" i="4"/>
  <c r="R32" i="4" s="1"/>
  <c r="I12" i="1"/>
  <c r="R31" i="2"/>
  <c r="R30" i="2"/>
  <c r="R34" i="2"/>
  <c r="V78" i="4"/>
  <c r="D5" i="5"/>
  <c r="S41" i="4"/>
  <c r="W28" i="8"/>
  <c r="R46" i="4"/>
  <c r="L5" i="4"/>
  <c r="V69" i="8"/>
  <c r="H50" i="2"/>
  <c r="G50" i="2"/>
  <c r="G9" i="1"/>
  <c r="E4" i="4"/>
  <c r="E135" i="4" s="1"/>
  <c r="L30" i="2"/>
  <c r="L34" i="2"/>
  <c r="I42" i="2"/>
  <c r="K31" i="2"/>
  <c r="G11" i="2"/>
  <c r="P30" i="2"/>
  <c r="P34" i="2"/>
  <c r="O31" i="2"/>
  <c r="I29" i="2"/>
  <c r="I30" i="2"/>
  <c r="M30" i="2"/>
  <c r="Q30" i="2"/>
  <c r="L31" i="2"/>
  <c r="P31" i="2"/>
  <c r="I34" i="2"/>
  <c r="M34" i="2"/>
  <c r="Q34" i="2"/>
  <c r="G35" i="2"/>
  <c r="G36" i="2" s="1"/>
  <c r="G87" i="2" s="1"/>
  <c r="L174" i="8" s="1"/>
  <c r="J30" i="2"/>
  <c r="N30" i="2"/>
  <c r="I31" i="2"/>
  <c r="M31" i="2"/>
  <c r="Q31" i="2"/>
  <c r="H35" i="2"/>
  <c r="H41" i="2" s="1"/>
  <c r="J34" i="2"/>
  <c r="N34" i="2"/>
  <c r="F75" i="1"/>
  <c r="K30" i="2"/>
  <c r="O30" i="2"/>
  <c r="J31" i="2"/>
  <c r="N31" i="2"/>
  <c r="K34" i="2"/>
  <c r="O34" i="2"/>
  <c r="J203" i="8"/>
  <c r="I155" i="8"/>
  <c r="F3" i="2"/>
  <c r="H13" i="2"/>
  <c r="H15" i="2"/>
  <c r="H14" i="2"/>
  <c r="H12" i="2"/>
  <c r="H5" i="2"/>
  <c r="H11" i="2"/>
  <c r="H4" i="2"/>
  <c r="F69" i="2" l="1"/>
  <c r="F27" i="2"/>
  <c r="G24" i="2"/>
  <c r="L210" i="8" s="1"/>
  <c r="K156" i="8"/>
  <c r="G17" i="22"/>
  <c r="G28" i="22" s="1"/>
  <c r="F17" i="22"/>
  <c r="F28" i="22" s="1"/>
  <c r="H17" i="22"/>
  <c r="H28" i="22" s="1"/>
  <c r="E17" i="22"/>
  <c r="E28" i="22" s="1"/>
  <c r="D17" i="22"/>
  <c r="D28" i="22" s="1"/>
  <c r="C17" i="22"/>
  <c r="C28" i="22" s="1"/>
  <c r="H22" i="2"/>
  <c r="H21" i="2"/>
  <c r="H24" i="2"/>
  <c r="G7" i="2"/>
  <c r="J29" i="2"/>
  <c r="J40" i="2"/>
  <c r="E98" i="2"/>
  <c r="J210" i="8"/>
  <c r="G152" i="1"/>
  <c r="J137" i="8"/>
  <c r="J46" i="8"/>
  <c r="W69" i="8"/>
  <c r="K2" i="8"/>
  <c r="K46" i="8" s="1"/>
  <c r="W107" i="8"/>
  <c r="R36" i="4"/>
  <c r="R34" i="4"/>
  <c r="S32" i="4" s="1"/>
  <c r="J12" i="1"/>
  <c r="L204" i="8"/>
  <c r="J204" i="8"/>
  <c r="K204" i="8"/>
  <c r="H71" i="2"/>
  <c r="M142" i="8" s="1"/>
  <c r="G71" i="2"/>
  <c r="L142" i="8" s="1"/>
  <c r="I142" i="8"/>
  <c r="J142" i="8"/>
  <c r="K142" i="8"/>
  <c r="E13" i="4"/>
  <c r="J42" i="2"/>
  <c r="I14" i="2"/>
  <c r="I13" i="2"/>
  <c r="I5" i="2"/>
  <c r="S34" i="2"/>
  <c r="S31" i="2"/>
  <c r="I4" i="2"/>
  <c r="I12" i="2"/>
  <c r="I11" i="2"/>
  <c r="I15" i="2"/>
  <c r="S30" i="2"/>
  <c r="W78" i="4"/>
  <c r="C5" i="5"/>
  <c r="D6" i="5"/>
  <c r="E5" i="5"/>
  <c r="S44" i="4"/>
  <c r="S46" i="4" s="1"/>
  <c r="L7" i="4"/>
  <c r="L9" i="4" s="1"/>
  <c r="I140" i="8"/>
  <c r="J140" i="8"/>
  <c r="H77" i="2"/>
  <c r="M154" i="8" s="1"/>
  <c r="H80" i="2"/>
  <c r="M163" i="8" s="1"/>
  <c r="J154" i="8"/>
  <c r="J163" i="8"/>
  <c r="G77" i="2"/>
  <c r="L154" i="8" s="1"/>
  <c r="G80" i="2"/>
  <c r="L163" i="8" s="1"/>
  <c r="K154" i="8"/>
  <c r="H79" i="2"/>
  <c r="I163" i="8"/>
  <c r="I154" i="8"/>
  <c r="G51" i="2"/>
  <c r="L207" i="8" s="1"/>
  <c r="L9" i="8" s="1"/>
  <c r="J207" i="8"/>
  <c r="H52" i="2"/>
  <c r="M203" i="8" s="1"/>
  <c r="K207" i="8"/>
  <c r="H51" i="2"/>
  <c r="G52" i="2"/>
  <c r="L203" i="8" s="1"/>
  <c r="I50" i="2"/>
  <c r="G75" i="1"/>
  <c r="G16" i="2"/>
  <c r="G25" i="2"/>
  <c r="H25" i="2"/>
  <c r="F4" i="4"/>
  <c r="F135" i="4" s="1"/>
  <c r="H16" i="2"/>
  <c r="H36" i="2"/>
  <c r="H44" i="2"/>
  <c r="H84" i="2" s="1"/>
  <c r="J155" i="8"/>
  <c r="G41" i="2"/>
  <c r="G43" i="2"/>
  <c r="G78" i="2" s="1"/>
  <c r="L155" i="8" s="1"/>
  <c r="G44" i="2"/>
  <c r="G84" i="2" s="1"/>
  <c r="H43" i="2"/>
  <c r="H53" i="2" s="1"/>
  <c r="M216" i="8" s="1"/>
  <c r="G37" i="2"/>
  <c r="G55" i="2" s="1"/>
  <c r="L224" i="8" s="1"/>
  <c r="J32" i="2"/>
  <c r="J33" i="2"/>
  <c r="I35" i="2"/>
  <c r="I52" i="2" s="1"/>
  <c r="N203" i="8" s="1"/>
  <c r="G3" i="2"/>
  <c r="H9" i="1"/>
  <c r="F5" i="5" s="1"/>
  <c r="G69" i="2" l="1"/>
  <c r="G27" i="2"/>
  <c r="L166" i="8"/>
  <c r="M166" i="8"/>
  <c r="K166" i="8"/>
  <c r="G79" i="2"/>
  <c r="L156" i="8" s="1"/>
  <c r="I24" i="2"/>
  <c r="H7" i="2"/>
  <c r="I22" i="2"/>
  <c r="I21" i="2"/>
  <c r="M156" i="8"/>
  <c r="K199" i="8"/>
  <c r="C30" i="22"/>
  <c r="K203" i="8"/>
  <c r="K40" i="2"/>
  <c r="G6" i="2"/>
  <c r="D30" i="22" s="1"/>
  <c r="J197" i="8"/>
  <c r="K29" i="2"/>
  <c r="K137" i="8"/>
  <c r="K197" i="8" s="1"/>
  <c r="H152" i="1"/>
  <c r="K84" i="8"/>
  <c r="K140" i="8"/>
  <c r="L2" i="8"/>
  <c r="L84" i="8" s="1"/>
  <c r="E31" i="4"/>
  <c r="E40" i="4" s="1"/>
  <c r="E50" i="4" s="1"/>
  <c r="E66" i="4" s="1"/>
  <c r="E72" i="4" s="1"/>
  <c r="E77" i="4" s="1"/>
  <c r="E83" i="4" s="1"/>
  <c r="E22" i="4"/>
  <c r="D100" i="2"/>
  <c r="D106" i="2" s="1"/>
  <c r="E100" i="2"/>
  <c r="J223" i="8"/>
  <c r="H100" i="2"/>
  <c r="M223" i="8"/>
  <c r="G100" i="2"/>
  <c r="L223" i="8"/>
  <c r="L222" i="8" s="1"/>
  <c r="F100" i="2"/>
  <c r="K223" i="8"/>
  <c r="X107" i="8"/>
  <c r="S36" i="4"/>
  <c r="S34" i="4"/>
  <c r="T32" i="4" s="1"/>
  <c r="K12" i="1"/>
  <c r="M11" i="1"/>
  <c r="M210" i="8"/>
  <c r="M209" i="8" s="1"/>
  <c r="H99" i="2"/>
  <c r="K210" i="8"/>
  <c r="D99" i="2"/>
  <c r="M204" i="8"/>
  <c r="D98" i="2"/>
  <c r="H37" i="2"/>
  <c r="H55" i="2" s="1"/>
  <c r="M224" i="8" s="1"/>
  <c r="H87" i="2"/>
  <c r="M174" i="8" s="1"/>
  <c r="J174" i="8"/>
  <c r="I174" i="8"/>
  <c r="K224" i="8"/>
  <c r="K174" i="8"/>
  <c r="I71" i="2"/>
  <c r="N142" i="8" s="1"/>
  <c r="D97" i="2"/>
  <c r="F6" i="5"/>
  <c r="E97" i="2"/>
  <c r="I166" i="8"/>
  <c r="F13" i="4"/>
  <c r="E6" i="5"/>
  <c r="I25" i="2"/>
  <c r="E99" i="2"/>
  <c r="J156" i="8"/>
  <c r="I80" i="2"/>
  <c r="N163" i="8" s="1"/>
  <c r="J166" i="8"/>
  <c r="I77" i="2"/>
  <c r="N154" i="8" s="1"/>
  <c r="I16" i="2"/>
  <c r="T31" i="2"/>
  <c r="T30" i="2"/>
  <c r="T34" i="2"/>
  <c r="I156" i="8"/>
  <c r="J13" i="2"/>
  <c r="J5" i="2"/>
  <c r="J11" i="2"/>
  <c r="J15" i="2"/>
  <c r="J4" i="2"/>
  <c r="J14" i="2"/>
  <c r="J12" i="2"/>
  <c r="X78" i="4"/>
  <c r="A78" i="4" s="1"/>
  <c r="T41" i="4"/>
  <c r="X28" i="8"/>
  <c r="M5" i="4"/>
  <c r="L51" i="8"/>
  <c r="M207" i="8"/>
  <c r="M9" i="8" s="1"/>
  <c r="J199" i="8"/>
  <c r="J198" i="8" s="1"/>
  <c r="G101" i="2"/>
  <c r="G74" i="4" s="1"/>
  <c r="K163" i="8"/>
  <c r="H78" i="2"/>
  <c r="M155" i="8" s="1"/>
  <c r="F99" i="2"/>
  <c r="K155" i="8"/>
  <c r="I51" i="2"/>
  <c r="G53" i="2"/>
  <c r="G99" i="2" s="1"/>
  <c r="J50" i="2"/>
  <c r="F97" i="2"/>
  <c r="K42" i="2"/>
  <c r="G4" i="4"/>
  <c r="G135" i="4" s="1"/>
  <c r="H45" i="2"/>
  <c r="G45" i="2"/>
  <c r="J35" i="2"/>
  <c r="J41" i="2" s="1"/>
  <c r="I36" i="2"/>
  <c r="I41" i="2"/>
  <c r="I44" i="2"/>
  <c r="I84" i="2" s="1"/>
  <c r="I43" i="2"/>
  <c r="I78" i="2" s="1"/>
  <c r="N155" i="8" s="1"/>
  <c r="K32" i="2"/>
  <c r="L29" i="2"/>
  <c r="K33" i="2"/>
  <c r="H75" i="1"/>
  <c r="H3" i="2"/>
  <c r="I9" i="1"/>
  <c r="G5" i="5" s="1"/>
  <c r="I7" i="2" l="1"/>
  <c r="H69" i="2"/>
  <c r="H27" i="2"/>
  <c r="I79" i="2"/>
  <c r="N156" i="8" s="1"/>
  <c r="N166" i="8"/>
  <c r="G23" i="2"/>
  <c r="G98" i="2" s="1"/>
  <c r="K198" i="8"/>
  <c r="F98" i="2"/>
  <c r="F103" i="2" s="1"/>
  <c r="L40" i="2"/>
  <c r="E103" i="2"/>
  <c r="J24" i="2"/>
  <c r="E59" i="4"/>
  <c r="X69" i="8"/>
  <c r="L46" i="8"/>
  <c r="L137" i="8"/>
  <c r="I152" i="1"/>
  <c r="K150" i="8"/>
  <c r="K237" i="8" s="1"/>
  <c r="G73" i="4"/>
  <c r="M2" i="8"/>
  <c r="M84" i="8" s="1"/>
  <c r="E106" i="2"/>
  <c r="F106" i="2"/>
  <c r="H106" i="2"/>
  <c r="D73" i="4"/>
  <c r="H6" i="2"/>
  <c r="F31" i="4"/>
  <c r="F40" i="4" s="1"/>
  <c r="F50" i="4" s="1"/>
  <c r="F59" i="4" s="1"/>
  <c r="F22" i="4"/>
  <c r="D101" i="2"/>
  <c r="D74" i="4" s="1"/>
  <c r="H101" i="2"/>
  <c r="H74" i="4" s="1"/>
  <c r="F101" i="2"/>
  <c r="F107" i="2" s="1"/>
  <c r="E73" i="4"/>
  <c r="F73" i="4"/>
  <c r="H73" i="4"/>
  <c r="E101" i="2"/>
  <c r="J224" i="8"/>
  <c r="J222" i="8" s="1"/>
  <c r="G106" i="2"/>
  <c r="K222" i="8"/>
  <c r="I100" i="2"/>
  <c r="I73" i="4" s="1"/>
  <c r="N223" i="8"/>
  <c r="M222" i="8"/>
  <c r="M38" i="8"/>
  <c r="E102" i="4"/>
  <c r="E123" i="4" s="1"/>
  <c r="E93" i="4"/>
  <c r="T36" i="4"/>
  <c r="T34" i="4"/>
  <c r="U32" i="4" s="1"/>
  <c r="N11" i="1"/>
  <c r="L12" i="1"/>
  <c r="N204" i="8"/>
  <c r="N210" i="8"/>
  <c r="I37" i="2"/>
  <c r="I55" i="2" s="1"/>
  <c r="I87" i="2"/>
  <c r="N174" i="8" s="1"/>
  <c r="D103" i="2"/>
  <c r="J71" i="2"/>
  <c r="O142" i="8" s="1"/>
  <c r="F66" i="4"/>
  <c r="F72" i="4" s="1"/>
  <c r="F77" i="4" s="1"/>
  <c r="F83" i="4" s="1"/>
  <c r="G13" i="4"/>
  <c r="G6" i="5"/>
  <c r="N207" i="8"/>
  <c r="N9" i="8" s="1"/>
  <c r="J79" i="2"/>
  <c r="I150" i="8"/>
  <c r="J150" i="8"/>
  <c r="U34" i="2"/>
  <c r="U31" i="2"/>
  <c r="U30" i="2"/>
  <c r="J22" i="2"/>
  <c r="J21" i="2"/>
  <c r="J80" i="2"/>
  <c r="O163" i="8" s="1"/>
  <c r="J25" i="2"/>
  <c r="J16" i="2"/>
  <c r="J77" i="2"/>
  <c r="O154" i="8" s="1"/>
  <c r="K15" i="2"/>
  <c r="K5" i="2"/>
  <c r="K13" i="2"/>
  <c r="K11" i="2"/>
  <c r="K4" i="2"/>
  <c r="K12" i="2"/>
  <c r="K14" i="2"/>
  <c r="T44" i="4"/>
  <c r="M7" i="4"/>
  <c r="M9" i="4" s="1"/>
  <c r="M51" i="8"/>
  <c r="L216" i="8"/>
  <c r="L209" i="8" s="1"/>
  <c r="L38" i="8" s="1"/>
  <c r="G107" i="2"/>
  <c r="J216" i="8"/>
  <c r="J209" i="8" s="1"/>
  <c r="K216" i="8"/>
  <c r="K209" i="8" s="1"/>
  <c r="L199" i="8"/>
  <c r="L198" i="8" s="1"/>
  <c r="L140" i="8"/>
  <c r="J52" i="2"/>
  <c r="O203" i="8" s="1"/>
  <c r="J51" i="2"/>
  <c r="I53" i="2"/>
  <c r="I99" i="2" s="1"/>
  <c r="K50" i="2"/>
  <c r="H4" i="4"/>
  <c r="H135" i="4" s="1"/>
  <c r="G47" i="2"/>
  <c r="L42" i="2"/>
  <c r="H47" i="2"/>
  <c r="I45" i="2"/>
  <c r="J36" i="2"/>
  <c r="G8" i="2"/>
  <c r="J43" i="2"/>
  <c r="J44" i="2"/>
  <c r="J84" i="2" s="1"/>
  <c r="K35" i="2"/>
  <c r="K44" i="2" s="1"/>
  <c r="M29" i="2"/>
  <c r="L33" i="2"/>
  <c r="L32" i="2"/>
  <c r="I3" i="2"/>
  <c r="J9" i="1"/>
  <c r="H5" i="5" s="1"/>
  <c r="I75" i="1"/>
  <c r="I69" i="2" l="1"/>
  <c r="I27" i="2"/>
  <c r="O166" i="8"/>
  <c r="O156" i="8"/>
  <c r="H23" i="2"/>
  <c r="M199" i="8" s="1"/>
  <c r="M198" i="8" s="1"/>
  <c r="E30" i="22"/>
  <c r="M40" i="2"/>
  <c r="M50" i="2" s="1"/>
  <c r="F74" i="4"/>
  <c r="D107" i="2"/>
  <c r="U2" i="11"/>
  <c r="U9" i="11" s="1"/>
  <c r="K24" i="2"/>
  <c r="M46" i="8"/>
  <c r="M137" i="8"/>
  <c r="M197" i="8" s="1"/>
  <c r="N51" i="8"/>
  <c r="L197" i="8"/>
  <c r="J152" i="1"/>
  <c r="E110" i="2"/>
  <c r="F110" i="2"/>
  <c r="N2" i="8"/>
  <c r="N46" i="8" s="1"/>
  <c r="I106" i="2"/>
  <c r="I6" i="2"/>
  <c r="H107" i="2"/>
  <c r="G31" i="4"/>
  <c r="G40" i="4" s="1"/>
  <c r="G50" i="4" s="1"/>
  <c r="G66" i="4" s="1"/>
  <c r="G72" i="4" s="1"/>
  <c r="G77" i="4" s="1"/>
  <c r="G83" i="4" s="1"/>
  <c r="G22" i="4"/>
  <c r="E107" i="2"/>
  <c r="E74" i="4"/>
  <c r="I101" i="2"/>
  <c r="N224" i="8"/>
  <c r="N222" i="8" s="1"/>
  <c r="L55" i="8"/>
  <c r="J100" i="2"/>
  <c r="J106" i="2" s="1"/>
  <c r="O223" i="8"/>
  <c r="M55" i="8"/>
  <c r="F102" i="4"/>
  <c r="F123" i="4" s="1"/>
  <c r="F93" i="4"/>
  <c r="U36" i="4"/>
  <c r="U34" i="4"/>
  <c r="V32" i="4" s="1"/>
  <c r="M12" i="1"/>
  <c r="J7" i="2"/>
  <c r="O11" i="1"/>
  <c r="O210" i="8"/>
  <c r="O204" i="8"/>
  <c r="J37" i="2"/>
  <c r="J55" i="2" s="1"/>
  <c r="O224" i="8" s="1"/>
  <c r="J87" i="2"/>
  <c r="O174" i="8" s="1"/>
  <c r="K71" i="2"/>
  <c r="P142" i="8" s="1"/>
  <c r="K219" i="8"/>
  <c r="J219" i="8"/>
  <c r="L10" i="8"/>
  <c r="L219" i="8"/>
  <c r="H13" i="4"/>
  <c r="H6" i="5"/>
  <c r="K80" i="2"/>
  <c r="P163" i="8" s="1"/>
  <c r="O207" i="8"/>
  <c r="O9" i="8" s="1"/>
  <c r="V34" i="2"/>
  <c r="K84" i="2"/>
  <c r="V30" i="2"/>
  <c r="V31" i="2"/>
  <c r="G97" i="2"/>
  <c r="L139" i="8"/>
  <c r="K22" i="2"/>
  <c r="K21" i="2"/>
  <c r="K25" i="2"/>
  <c r="K16" i="2"/>
  <c r="K77" i="2"/>
  <c r="P154" i="8" s="1"/>
  <c r="L4" i="2"/>
  <c r="L14" i="2"/>
  <c r="L15" i="2"/>
  <c r="L12" i="2"/>
  <c r="L5" i="2"/>
  <c r="L11" i="2"/>
  <c r="L13" i="2"/>
  <c r="M54" i="8"/>
  <c r="Y28" i="8"/>
  <c r="U41" i="4"/>
  <c r="T46" i="4"/>
  <c r="N5" i="4"/>
  <c r="L54" i="8"/>
  <c r="N216" i="8"/>
  <c r="N209" i="8" s="1"/>
  <c r="M140" i="8"/>
  <c r="J53" i="2"/>
  <c r="J99" i="2" s="1"/>
  <c r="J78" i="2"/>
  <c r="O155" i="8" s="1"/>
  <c r="K52" i="2"/>
  <c r="P203" i="8" s="1"/>
  <c r="K51" i="2"/>
  <c r="E69" i="4"/>
  <c r="L50" i="2"/>
  <c r="I4" i="4"/>
  <c r="I135" i="4" s="1"/>
  <c r="M42" i="2"/>
  <c r="I47" i="2"/>
  <c r="J45" i="2"/>
  <c r="J47" i="2" s="1"/>
  <c r="G18" i="2"/>
  <c r="G70" i="2"/>
  <c r="H8" i="2"/>
  <c r="K43" i="2"/>
  <c r="K78" i="2" s="1"/>
  <c r="P155" i="8" s="1"/>
  <c r="K36" i="2"/>
  <c r="K41" i="2"/>
  <c r="L35" i="2"/>
  <c r="L71" i="2" s="1"/>
  <c r="Q142" i="8" s="1"/>
  <c r="M32" i="2"/>
  <c r="N29" i="2"/>
  <c r="M33" i="2"/>
  <c r="J75" i="1"/>
  <c r="J3" i="2"/>
  <c r="K9" i="1"/>
  <c r="L45" i="8" l="1"/>
  <c r="J69" i="2"/>
  <c r="J27" i="2"/>
  <c r="P166" i="8"/>
  <c r="K79" i="2"/>
  <c r="P156" i="8" s="1"/>
  <c r="I23" i="2"/>
  <c r="I98" i="2" s="1"/>
  <c r="F30" i="22"/>
  <c r="N40" i="2"/>
  <c r="U7" i="11"/>
  <c r="U10" i="11"/>
  <c r="U5" i="11"/>
  <c r="U6" i="11"/>
  <c r="U11" i="11"/>
  <c r="U8" i="11"/>
  <c r="L24" i="2"/>
  <c r="H98" i="2"/>
  <c r="O51" i="8"/>
  <c r="L52" i="8"/>
  <c r="Y69" i="8"/>
  <c r="N84" i="8"/>
  <c r="K152" i="1"/>
  <c r="N137" i="8"/>
  <c r="N197" i="8" s="1"/>
  <c r="O2" i="8"/>
  <c r="O46" i="8" s="1"/>
  <c r="G103" i="2"/>
  <c r="L88" i="8" s="1"/>
  <c r="J6" i="2"/>
  <c r="G30" i="22" s="1"/>
  <c r="J73" i="4"/>
  <c r="G59" i="4"/>
  <c r="H31" i="4"/>
  <c r="H40" i="4" s="1"/>
  <c r="H50" i="4" s="1"/>
  <c r="H66" i="4" s="1"/>
  <c r="H72" i="4" s="1"/>
  <c r="H77" i="4" s="1"/>
  <c r="H83" i="4" s="1"/>
  <c r="H102" i="4" s="1"/>
  <c r="H123" i="4" s="1"/>
  <c r="H22" i="4"/>
  <c r="I107" i="2"/>
  <c r="I74" i="4"/>
  <c r="L150" i="8"/>
  <c r="L237" i="8" s="1"/>
  <c r="J101" i="2"/>
  <c r="J74" i="4" s="1"/>
  <c r="K100" i="2"/>
  <c r="P223" i="8"/>
  <c r="O222" i="8"/>
  <c r="N38" i="8"/>
  <c r="Y107" i="8"/>
  <c r="G102" i="4"/>
  <c r="G123" i="4" s="1"/>
  <c r="G93" i="4"/>
  <c r="V36" i="4"/>
  <c r="V34" i="4"/>
  <c r="W32" i="4" s="1"/>
  <c r="P11" i="1"/>
  <c r="N12" i="1"/>
  <c r="K7" i="2"/>
  <c r="P204" i="8"/>
  <c r="P210" i="8"/>
  <c r="I35" i="8"/>
  <c r="K37" i="2"/>
  <c r="K55" i="2" s="1"/>
  <c r="P224" i="8" s="1"/>
  <c r="K87" i="2"/>
  <c r="P174" i="8" s="1"/>
  <c r="M10" i="8"/>
  <c r="M219" i="8"/>
  <c r="I13" i="4"/>
  <c r="X34" i="2"/>
  <c r="W34" i="2"/>
  <c r="X30" i="2"/>
  <c r="W30" i="2"/>
  <c r="X31" i="2"/>
  <c r="W31" i="2"/>
  <c r="P207" i="8"/>
  <c r="P9" i="8" s="1"/>
  <c r="H97" i="2"/>
  <c r="M139" i="8"/>
  <c r="M12" i="2"/>
  <c r="M13" i="2"/>
  <c r="M15" i="2"/>
  <c r="M4" i="2"/>
  <c r="M14" i="2"/>
  <c r="M5" i="2"/>
  <c r="M11" i="2"/>
  <c r="L16" i="2"/>
  <c r="L77" i="2"/>
  <c r="Q154" i="8" s="1"/>
  <c r="L25" i="2"/>
  <c r="L22" i="2"/>
  <c r="L21" i="2"/>
  <c r="L80" i="2"/>
  <c r="Q163" i="8" s="1"/>
  <c r="N54" i="8"/>
  <c r="K75" i="1"/>
  <c r="I5" i="5"/>
  <c r="U44" i="4"/>
  <c r="U46" i="4" s="1"/>
  <c r="N7" i="4"/>
  <c r="N9" i="4" s="1"/>
  <c r="O216" i="8"/>
  <c r="O209" i="8" s="1"/>
  <c r="N140" i="8"/>
  <c r="L41" i="2"/>
  <c r="L52" i="2"/>
  <c r="Q203" i="8" s="1"/>
  <c r="L51" i="2"/>
  <c r="K53" i="2"/>
  <c r="K99" i="2" s="1"/>
  <c r="J4" i="4"/>
  <c r="J135" i="4" s="1"/>
  <c r="N42" i="2"/>
  <c r="H18" i="2"/>
  <c r="H70" i="2"/>
  <c r="K45" i="2"/>
  <c r="I8" i="2"/>
  <c r="L43" i="2"/>
  <c r="L78" i="2" s="1"/>
  <c r="Q155" i="8" s="1"/>
  <c r="L36" i="2"/>
  <c r="L44" i="2"/>
  <c r="L84" i="2" s="1"/>
  <c r="N33" i="2"/>
  <c r="N32" i="2"/>
  <c r="M35" i="2"/>
  <c r="M71" i="2" s="1"/>
  <c r="R142" i="8" s="1"/>
  <c r="O29" i="2"/>
  <c r="K3" i="2"/>
  <c r="L9" i="1"/>
  <c r="M45" i="8" l="1"/>
  <c r="K47" i="2"/>
  <c r="N199" i="8"/>
  <c r="N198" i="8" s="1"/>
  <c r="N10" i="8" s="1"/>
  <c r="K69" i="2"/>
  <c r="K27" i="2"/>
  <c r="O40" i="2"/>
  <c r="L79" i="2"/>
  <c r="Q156" i="8" s="1"/>
  <c r="Q166" i="8"/>
  <c r="U12" i="11"/>
  <c r="J35" i="8"/>
  <c r="M24" i="2"/>
  <c r="H59" i="4"/>
  <c r="J23" i="2"/>
  <c r="J98" i="2" s="1"/>
  <c r="N55" i="8"/>
  <c r="M52" i="8"/>
  <c r="L152" i="1"/>
  <c r="O137" i="8"/>
  <c r="O84" i="8"/>
  <c r="H103" i="2"/>
  <c r="P2" i="8"/>
  <c r="P46" i="8" s="1"/>
  <c r="G110" i="2"/>
  <c r="K73" i="4"/>
  <c r="K6" i="2"/>
  <c r="H30" i="22" s="1"/>
  <c r="I31" i="4"/>
  <c r="I40" i="4" s="1"/>
  <c r="I50" i="4" s="1"/>
  <c r="I66" i="4" s="1"/>
  <c r="I72" i="4" s="1"/>
  <c r="I77" i="4" s="1"/>
  <c r="I83" i="4" s="1"/>
  <c r="I102" i="4" s="1"/>
  <c r="I123" i="4" s="1"/>
  <c r="I22" i="4"/>
  <c r="F69" i="4"/>
  <c r="K35" i="8" s="1"/>
  <c r="K106" i="2"/>
  <c r="K101" i="2"/>
  <c r="K74" i="4" s="1"/>
  <c r="J107" i="2"/>
  <c r="J220" i="8"/>
  <c r="K220" i="8" s="1"/>
  <c r="P222" i="8"/>
  <c r="L100" i="2"/>
  <c r="L73" i="4" s="1"/>
  <c r="Q223" i="8"/>
  <c r="M150" i="8"/>
  <c r="M237" i="8" s="1"/>
  <c r="O38" i="8"/>
  <c r="Z107" i="8"/>
  <c r="W36" i="4"/>
  <c r="W34" i="4"/>
  <c r="X32" i="4" s="1"/>
  <c r="O12" i="1"/>
  <c r="L7" i="2"/>
  <c r="Q11" i="1"/>
  <c r="Q204" i="8"/>
  <c r="Q210" i="8"/>
  <c r="L37" i="2"/>
  <c r="L55" i="2" s="1"/>
  <c r="L87" i="2"/>
  <c r="Q174" i="8" s="1"/>
  <c r="J13" i="4"/>
  <c r="I6" i="5"/>
  <c r="M80" i="2"/>
  <c r="R163" i="8" s="1"/>
  <c r="P51" i="8"/>
  <c r="Q207" i="8"/>
  <c r="Q9" i="8" s="1"/>
  <c r="I97" i="2"/>
  <c r="N139" i="8"/>
  <c r="M21" i="2"/>
  <c r="M22" i="2"/>
  <c r="M77" i="2"/>
  <c r="R154" i="8" s="1"/>
  <c r="M16" i="2"/>
  <c r="M25" i="2"/>
  <c r="N12" i="2"/>
  <c r="N11" i="2"/>
  <c r="N15" i="2"/>
  <c r="N4" i="2"/>
  <c r="N13" i="2"/>
  <c r="N5" i="2"/>
  <c r="N14" i="2"/>
  <c r="O54" i="8"/>
  <c r="L75" i="1"/>
  <c r="J5" i="5"/>
  <c r="Z28" i="8"/>
  <c r="Z69" i="8" s="1"/>
  <c r="V41" i="4"/>
  <c r="O5" i="4"/>
  <c r="P216" i="8"/>
  <c r="P209" i="8" s="1"/>
  <c r="O140" i="8"/>
  <c r="L53" i="2"/>
  <c r="L99" i="2" s="1"/>
  <c r="M44" i="2"/>
  <c r="M84" i="2" s="1"/>
  <c r="M51" i="2"/>
  <c r="M52" i="2"/>
  <c r="R203" i="8" s="1"/>
  <c r="N50" i="2"/>
  <c r="O42" i="2"/>
  <c r="K4" i="4"/>
  <c r="K135" i="4" s="1"/>
  <c r="I18" i="2"/>
  <c r="I70" i="2"/>
  <c r="L45" i="2"/>
  <c r="J8" i="2"/>
  <c r="M36" i="2"/>
  <c r="M41" i="2"/>
  <c r="M43" i="2"/>
  <c r="M78" i="2" s="1"/>
  <c r="R155" i="8" s="1"/>
  <c r="N35" i="2"/>
  <c r="N52" i="2" s="1"/>
  <c r="S203" i="8" s="1"/>
  <c r="O32" i="2"/>
  <c r="P29" i="2"/>
  <c r="O33" i="2"/>
  <c r="L3" i="2"/>
  <c r="M9" i="1"/>
  <c r="N45" i="8" l="1"/>
  <c r="N219" i="8"/>
  <c r="L47" i="2"/>
  <c r="L69" i="2"/>
  <c r="L27" i="2"/>
  <c r="M79" i="2"/>
  <c r="R156" i="8" s="1"/>
  <c r="R166" i="8"/>
  <c r="P40" i="2"/>
  <c r="L106" i="2"/>
  <c r="I59" i="4"/>
  <c r="K23" i="2"/>
  <c r="K98" i="2" s="1"/>
  <c r="O199" i="8"/>
  <c r="O198" i="8" s="1"/>
  <c r="O10" i="8" s="1"/>
  <c r="N24" i="2"/>
  <c r="N52" i="8"/>
  <c r="O55" i="8"/>
  <c r="P84" i="8"/>
  <c r="P137" i="8"/>
  <c r="O197" i="8"/>
  <c r="H110" i="2"/>
  <c r="Q2" i="8"/>
  <c r="Q84" i="8" s="1"/>
  <c r="I103" i="2"/>
  <c r="N88" i="8" s="1"/>
  <c r="L6" i="2"/>
  <c r="L23" i="2" s="1"/>
  <c r="L98" i="2" s="1"/>
  <c r="J31" i="4"/>
  <c r="J40" i="4" s="1"/>
  <c r="J50" i="4" s="1"/>
  <c r="J66" i="4" s="1"/>
  <c r="J72" i="4" s="1"/>
  <c r="J77" i="4" s="1"/>
  <c r="J83" i="4" s="1"/>
  <c r="J102" i="4" s="1"/>
  <c r="J123" i="4" s="1"/>
  <c r="J22" i="4"/>
  <c r="G69" i="4"/>
  <c r="L40" i="8" s="1"/>
  <c r="K107" i="2"/>
  <c r="J221" i="8"/>
  <c r="J226" i="8" s="1"/>
  <c r="M88" i="8"/>
  <c r="L101" i="2"/>
  <c r="L74" i="4" s="1"/>
  <c r="Q224" i="8"/>
  <c r="Q222" i="8" s="1"/>
  <c r="N150" i="8"/>
  <c r="N237" i="8" s="1"/>
  <c r="M100" i="2"/>
  <c r="M73" i="4" s="1"/>
  <c r="R223" i="8"/>
  <c r="P38" i="8"/>
  <c r="L220" i="8"/>
  <c r="L221" i="8" s="1"/>
  <c r="L226" i="8" s="1"/>
  <c r="K221" i="8"/>
  <c r="K226" i="8" s="1"/>
  <c r="X36" i="4"/>
  <c r="X34" i="4"/>
  <c r="R11" i="1"/>
  <c r="P12" i="1"/>
  <c r="M7" i="2"/>
  <c r="R204" i="8"/>
  <c r="R210" i="8"/>
  <c r="L66" i="8"/>
  <c r="M37" i="2"/>
  <c r="M55" i="2" s="1"/>
  <c r="R224" i="8" s="1"/>
  <c r="M87" i="2"/>
  <c r="R174" i="8" s="1"/>
  <c r="N71" i="2"/>
  <c r="S142" i="8" s="1"/>
  <c r="K13" i="4"/>
  <c r="J6" i="5"/>
  <c r="N80" i="2"/>
  <c r="S163" i="8" s="1"/>
  <c r="R207" i="8"/>
  <c r="R9" i="8" s="1"/>
  <c r="Q51" i="8"/>
  <c r="J97" i="2"/>
  <c r="O139" i="8"/>
  <c r="N21" i="2"/>
  <c r="N22" i="2"/>
  <c r="O15" i="2"/>
  <c r="O14" i="2"/>
  <c r="O13" i="2"/>
  <c r="O11" i="2"/>
  <c r="O5" i="2"/>
  <c r="O4" i="2"/>
  <c r="O12" i="2"/>
  <c r="N25" i="2"/>
  <c r="N77" i="2"/>
  <c r="S154" i="8" s="1"/>
  <c r="N16" i="2"/>
  <c r="P54" i="8"/>
  <c r="M75" i="1"/>
  <c r="K5" i="5"/>
  <c r="V44" i="4"/>
  <c r="V46" i="4" s="1"/>
  <c r="O7" i="4"/>
  <c r="O9" i="4" s="1"/>
  <c r="Q216" i="8"/>
  <c r="Q209" i="8" s="1"/>
  <c r="P140" i="8"/>
  <c r="N51" i="2"/>
  <c r="O50" i="2"/>
  <c r="M53" i="2"/>
  <c r="M99" i="2" s="1"/>
  <c r="L4" i="4"/>
  <c r="L135" i="4" s="1"/>
  <c r="P42" i="2"/>
  <c r="J18" i="2"/>
  <c r="J70" i="2"/>
  <c r="M45" i="2"/>
  <c r="M47" i="2" s="1"/>
  <c r="K8" i="2"/>
  <c r="N36" i="2"/>
  <c r="N41" i="2"/>
  <c r="N43" i="2"/>
  <c r="N78" i="2" s="1"/>
  <c r="S155" i="8" s="1"/>
  <c r="N44" i="2"/>
  <c r="N84" i="2" s="1"/>
  <c r="Q29" i="2"/>
  <c r="O35" i="2"/>
  <c r="O41" i="2" s="1"/>
  <c r="P33" i="2"/>
  <c r="P32" i="2"/>
  <c r="M3" i="2"/>
  <c r="N9" i="1"/>
  <c r="O45" i="8" l="1"/>
  <c r="M69" i="2"/>
  <c r="M27" i="2"/>
  <c r="N79" i="2"/>
  <c r="S156" i="8" s="1"/>
  <c r="S166" i="8"/>
  <c r="Q40" i="2"/>
  <c r="Q50" i="2" s="1"/>
  <c r="P199" i="8"/>
  <c r="P198" i="8" s="1"/>
  <c r="P219" i="8" s="1"/>
  <c r="L35" i="8"/>
  <c r="L56" i="8"/>
  <c r="L93" i="8"/>
  <c r="O24" i="2"/>
  <c r="O219" i="8"/>
  <c r="P55" i="8"/>
  <c r="O52" i="8"/>
  <c r="P197" i="8"/>
  <c r="Q46" i="8"/>
  <c r="J59" i="4"/>
  <c r="Q137" i="8"/>
  <c r="I110" i="2"/>
  <c r="R2" i="8"/>
  <c r="J103" i="2"/>
  <c r="M6" i="2"/>
  <c r="L106" i="8"/>
  <c r="K31" i="4"/>
  <c r="K40" i="4" s="1"/>
  <c r="K50" i="4" s="1"/>
  <c r="K59" i="4" s="1"/>
  <c r="K22" i="4"/>
  <c r="H69" i="4"/>
  <c r="M40" i="8" s="1"/>
  <c r="M66" i="8"/>
  <c r="M101" i="2"/>
  <c r="M74" i="4" s="1"/>
  <c r="L107" i="2"/>
  <c r="M106" i="2"/>
  <c r="N100" i="2"/>
  <c r="N106" i="2" s="1"/>
  <c r="S223" i="8"/>
  <c r="O150" i="8"/>
  <c r="O237" i="8" s="1"/>
  <c r="A36" i="4"/>
  <c r="R222" i="8"/>
  <c r="Q38" i="8"/>
  <c r="M220" i="8"/>
  <c r="M221" i="8" s="1"/>
  <c r="M226" i="8" s="1"/>
  <c r="AA107" i="8"/>
  <c r="Q12" i="1"/>
  <c r="N7" i="2"/>
  <c r="S11" i="1"/>
  <c r="S204" i="8"/>
  <c r="S210" i="8"/>
  <c r="N37" i="2"/>
  <c r="N55" i="2" s="1"/>
  <c r="S224" i="8" s="1"/>
  <c r="N87" i="2"/>
  <c r="S174" i="8" s="1"/>
  <c r="O71" i="2"/>
  <c r="T142" i="8" s="1"/>
  <c r="K6" i="5"/>
  <c r="L13" i="4"/>
  <c r="O80" i="2"/>
  <c r="T163" i="8" s="1"/>
  <c r="R51" i="8"/>
  <c r="O79" i="2"/>
  <c r="S207" i="8"/>
  <c r="S9" i="8" s="1"/>
  <c r="K97" i="2"/>
  <c r="P139" i="8"/>
  <c r="P13" i="2"/>
  <c r="P11" i="2"/>
  <c r="P4" i="2"/>
  <c r="P12" i="2"/>
  <c r="P14" i="2"/>
  <c r="P15" i="2"/>
  <c r="P5" i="2"/>
  <c r="O22" i="2"/>
  <c r="O21" i="2"/>
  <c r="O77" i="2"/>
  <c r="T154" i="8" s="1"/>
  <c r="O25" i="2"/>
  <c r="O16" i="2"/>
  <c r="Q54" i="8"/>
  <c r="N75" i="1"/>
  <c r="L5" i="5"/>
  <c r="W41" i="4"/>
  <c r="AA28" i="8"/>
  <c r="AA69" i="8" s="1"/>
  <c r="P5" i="4"/>
  <c r="R216" i="8"/>
  <c r="R209" i="8" s="1"/>
  <c r="Q199" i="8"/>
  <c r="Q198" i="8" s="1"/>
  <c r="Q140" i="8"/>
  <c r="O52" i="2"/>
  <c r="T203" i="8" s="1"/>
  <c r="O51" i="2"/>
  <c r="P50" i="2"/>
  <c r="N53" i="2"/>
  <c r="N99" i="2" s="1"/>
  <c r="M4" i="4"/>
  <c r="M135" i="4" s="1"/>
  <c r="Q42" i="2"/>
  <c r="R29" i="2"/>
  <c r="K18" i="2"/>
  <c r="K70" i="2"/>
  <c r="P35" i="2"/>
  <c r="P41" i="2" s="1"/>
  <c r="N45" i="2"/>
  <c r="L8" i="2"/>
  <c r="O43" i="2"/>
  <c r="O44" i="2"/>
  <c r="O84" i="2" s="1"/>
  <c r="Q32" i="2"/>
  <c r="Q33" i="2"/>
  <c r="O36" i="2"/>
  <c r="N3" i="2"/>
  <c r="O9" i="1"/>
  <c r="N47" i="2" l="1"/>
  <c r="N69" i="2"/>
  <c r="N27" i="2"/>
  <c r="T166" i="8"/>
  <c r="T156" i="8"/>
  <c r="R40" i="2"/>
  <c r="P10" i="8"/>
  <c r="M23" i="2"/>
  <c r="M98" i="2" s="1"/>
  <c r="P24" i="2"/>
  <c r="M107" i="2"/>
  <c r="M93" i="8"/>
  <c r="M56" i="8"/>
  <c r="N66" i="8"/>
  <c r="Q55" i="8"/>
  <c r="R137" i="8"/>
  <c r="R197" i="8" s="1"/>
  <c r="M35" i="8"/>
  <c r="R46" i="8"/>
  <c r="Q197" i="8"/>
  <c r="R84" i="8"/>
  <c r="N101" i="2"/>
  <c r="N74" i="4" s="1"/>
  <c r="S2" i="8"/>
  <c r="S84" i="8" s="1"/>
  <c r="J110" i="2"/>
  <c r="K103" i="2"/>
  <c r="K66" i="4"/>
  <c r="K72" i="4" s="1"/>
  <c r="K77" i="4" s="1"/>
  <c r="K83" i="4" s="1"/>
  <c r="K102" i="4" s="1"/>
  <c r="K123" i="4" s="1"/>
  <c r="N6" i="2"/>
  <c r="L31" i="4"/>
  <c r="L40" i="4" s="1"/>
  <c r="L50" i="4" s="1"/>
  <c r="L66" i="4" s="1"/>
  <c r="L72" i="4" s="1"/>
  <c r="L77" i="4" s="1"/>
  <c r="L83" i="4" s="1"/>
  <c r="L102" i="4" s="1"/>
  <c r="L123" i="4" s="1"/>
  <c r="L22" i="4"/>
  <c r="I69" i="4"/>
  <c r="N40" i="8" s="1"/>
  <c r="S222" i="8"/>
  <c r="O100" i="2"/>
  <c r="O73" i="4" s="1"/>
  <c r="T223" i="8"/>
  <c r="N73" i="4"/>
  <c r="P150" i="8"/>
  <c r="P237" i="8" s="1"/>
  <c r="N220" i="8"/>
  <c r="N221" i="8" s="1"/>
  <c r="N226" i="8" s="1"/>
  <c r="R38" i="8"/>
  <c r="M106" i="8"/>
  <c r="T11" i="1"/>
  <c r="R12" i="1"/>
  <c r="O7" i="2"/>
  <c r="O88" i="8"/>
  <c r="T204" i="8"/>
  <c r="T210" i="8"/>
  <c r="O37" i="2"/>
  <c r="O55" i="2" s="1"/>
  <c r="T224" i="8" s="1"/>
  <c r="O87" i="2"/>
  <c r="T174" i="8" s="1"/>
  <c r="P71" i="2"/>
  <c r="U142" i="8" s="1"/>
  <c r="Q10" i="8"/>
  <c r="Q219" i="8"/>
  <c r="M13" i="4"/>
  <c r="L6" i="5"/>
  <c r="P80" i="2"/>
  <c r="U163" i="8" s="1"/>
  <c r="S51" i="8"/>
  <c r="R33" i="2"/>
  <c r="R32" i="2"/>
  <c r="S29" i="2"/>
  <c r="T207" i="8"/>
  <c r="T9" i="8" s="1"/>
  <c r="P79" i="2"/>
  <c r="L97" i="2"/>
  <c r="Q139" i="8"/>
  <c r="P21" i="2"/>
  <c r="P22" i="2"/>
  <c r="Q4" i="2"/>
  <c r="Q14" i="2"/>
  <c r="Q5" i="2"/>
  <c r="Q11" i="2"/>
  <c r="Q13" i="2"/>
  <c r="Q12" i="2"/>
  <c r="Q15" i="2"/>
  <c r="P25" i="2"/>
  <c r="P77" i="2"/>
  <c r="U154" i="8" s="1"/>
  <c r="P16" i="2"/>
  <c r="R54" i="8"/>
  <c r="O75" i="1"/>
  <c r="M5" i="5"/>
  <c r="W44" i="4"/>
  <c r="W46" i="4" s="1"/>
  <c r="P7" i="4"/>
  <c r="P9" i="4" s="1"/>
  <c r="S216" i="8"/>
  <c r="S209" i="8" s="1"/>
  <c r="R140" i="8"/>
  <c r="O53" i="2"/>
  <c r="O99" i="2" s="1"/>
  <c r="O78" i="2"/>
  <c r="T155" i="8" s="1"/>
  <c r="P52" i="2"/>
  <c r="U203" i="8" s="1"/>
  <c r="P51" i="2"/>
  <c r="N4" i="4"/>
  <c r="N135" i="4" s="1"/>
  <c r="R42" i="2"/>
  <c r="P44" i="2"/>
  <c r="P84" i="2" s="1"/>
  <c r="P43" i="2"/>
  <c r="P36" i="2"/>
  <c r="L18" i="2"/>
  <c r="L70" i="2"/>
  <c r="O45" i="2"/>
  <c r="O47" i="2" s="1"/>
  <c r="Q35" i="2"/>
  <c r="Q41" i="2" s="1"/>
  <c r="M8" i="2"/>
  <c r="O3" i="2"/>
  <c r="P9" i="1"/>
  <c r="Q45" i="8" l="1"/>
  <c r="P45" i="8"/>
  <c r="O69" i="2"/>
  <c r="O27" i="2"/>
  <c r="U166" i="8"/>
  <c r="P52" i="8"/>
  <c r="U156" i="8"/>
  <c r="S40" i="2"/>
  <c r="R199" i="8"/>
  <c r="R198" i="8" s="1"/>
  <c r="R219" i="8" s="1"/>
  <c r="L59" i="4"/>
  <c r="N35" i="8"/>
  <c r="N93" i="8"/>
  <c r="N56" i="8"/>
  <c r="Q24" i="2"/>
  <c r="N23" i="2"/>
  <c r="N98" i="2" s="1"/>
  <c r="N107" i="2"/>
  <c r="Q52" i="8"/>
  <c r="O66" i="8"/>
  <c r="R55" i="8"/>
  <c r="Q150" i="8"/>
  <c r="Q237" i="8" s="1"/>
  <c r="S46" i="8"/>
  <c r="S137" i="8"/>
  <c r="T2" i="8"/>
  <c r="T46" i="8" s="1"/>
  <c r="K110" i="2"/>
  <c r="L103" i="2"/>
  <c r="O6" i="2"/>
  <c r="N106" i="8"/>
  <c r="M31" i="4"/>
  <c r="M40" i="4" s="1"/>
  <c r="M50" i="4" s="1"/>
  <c r="M59" i="4" s="1"/>
  <c r="M22" i="4"/>
  <c r="J69" i="4"/>
  <c r="O40" i="8" s="1"/>
  <c r="O101" i="2"/>
  <c r="O74" i="4" s="1"/>
  <c r="O106" i="2"/>
  <c r="P88" i="8"/>
  <c r="O220" i="8"/>
  <c r="T222" i="8"/>
  <c r="P100" i="2"/>
  <c r="P73" i="4" s="1"/>
  <c r="U223" i="8"/>
  <c r="S38" i="8"/>
  <c r="AB107" i="8"/>
  <c r="S12" i="1"/>
  <c r="P7" i="2"/>
  <c r="U11" i="1"/>
  <c r="U210" i="8"/>
  <c r="U204" i="8"/>
  <c r="P37" i="2"/>
  <c r="P55" i="2" s="1"/>
  <c r="U224" i="8" s="1"/>
  <c r="P87" i="2"/>
  <c r="U174" i="8" s="1"/>
  <c r="Q71" i="2"/>
  <c r="V142" i="8" s="1"/>
  <c r="M66" i="4"/>
  <c r="M72" i="4" s="1"/>
  <c r="M77" i="4" s="1"/>
  <c r="M83" i="4" s="1"/>
  <c r="M102" i="4" s="1"/>
  <c r="M123" i="4" s="1"/>
  <c r="N13" i="4"/>
  <c r="M6" i="5"/>
  <c r="S42" i="2"/>
  <c r="T51" i="8"/>
  <c r="R35" i="2"/>
  <c r="R43" i="2" s="1"/>
  <c r="S32" i="2"/>
  <c r="S33" i="2"/>
  <c r="T29" i="2"/>
  <c r="Q79" i="2"/>
  <c r="U207" i="8"/>
  <c r="U9" i="8" s="1"/>
  <c r="M97" i="2"/>
  <c r="R139" i="8"/>
  <c r="Q21" i="2"/>
  <c r="R11" i="2"/>
  <c r="R15" i="2"/>
  <c r="R4" i="2"/>
  <c r="R14" i="2"/>
  <c r="R5" i="2"/>
  <c r="R12" i="2"/>
  <c r="R13" i="2"/>
  <c r="Q25" i="2"/>
  <c r="Q77" i="2"/>
  <c r="V154" i="8" s="1"/>
  <c r="Q16" i="2"/>
  <c r="Q22" i="2"/>
  <c r="Q80" i="2"/>
  <c r="V163" i="8" s="1"/>
  <c r="S54" i="8"/>
  <c r="P75" i="1"/>
  <c r="N5" i="5"/>
  <c r="AB28" i="8"/>
  <c r="AB69" i="8" s="1"/>
  <c r="X41" i="4"/>
  <c r="Q5" i="4"/>
  <c r="T216" i="8"/>
  <c r="T209" i="8" s="1"/>
  <c r="S140" i="8"/>
  <c r="P53" i="2"/>
  <c r="P99" i="2" s="1"/>
  <c r="P78" i="2"/>
  <c r="U155" i="8" s="1"/>
  <c r="Q51" i="2"/>
  <c r="Q52" i="2"/>
  <c r="V203" i="8" s="1"/>
  <c r="R50" i="2"/>
  <c r="O4" i="4"/>
  <c r="O135" i="4" s="1"/>
  <c r="P45" i="2"/>
  <c r="Q36" i="2"/>
  <c r="Q43" i="2"/>
  <c r="M18" i="2"/>
  <c r="M70" i="2"/>
  <c r="Q44" i="2"/>
  <c r="Q84" i="2" s="1"/>
  <c r="N8" i="2"/>
  <c r="P3" i="2"/>
  <c r="Q9" i="1"/>
  <c r="P47" i="2" l="1"/>
  <c r="P69" i="2"/>
  <c r="P27" i="2"/>
  <c r="V166" i="8"/>
  <c r="V156" i="8"/>
  <c r="T40" i="2"/>
  <c r="T50" i="2" s="1"/>
  <c r="O35" i="8"/>
  <c r="O93" i="8"/>
  <c r="O56" i="8"/>
  <c r="R10" i="8"/>
  <c r="R24" i="2"/>
  <c r="S199" i="8"/>
  <c r="S198" i="8" s="1"/>
  <c r="S219" i="8" s="1"/>
  <c r="O23" i="2"/>
  <c r="O98" i="2" s="1"/>
  <c r="S55" i="8"/>
  <c r="T84" i="8"/>
  <c r="T137" i="8"/>
  <c r="T197" i="8" s="1"/>
  <c r="R150" i="8"/>
  <c r="R237" i="8" s="1"/>
  <c r="S197" i="8"/>
  <c r="M103" i="2"/>
  <c r="U2" i="8"/>
  <c r="U137" i="8" s="1"/>
  <c r="P6" i="2"/>
  <c r="P23" i="2" s="1"/>
  <c r="P98" i="2" s="1"/>
  <c r="N31" i="4"/>
  <c r="N40" i="4" s="1"/>
  <c r="N50" i="4" s="1"/>
  <c r="N66" i="4" s="1"/>
  <c r="N72" i="4" s="1"/>
  <c r="N77" i="4" s="1"/>
  <c r="N83" i="4" s="1"/>
  <c r="N102" i="4" s="1"/>
  <c r="N123" i="4" s="1"/>
  <c r="N22" i="4"/>
  <c r="P66" i="8"/>
  <c r="K69" i="4"/>
  <c r="P40" i="8" s="1"/>
  <c r="P106" i="2"/>
  <c r="O107" i="2"/>
  <c r="P220" i="8"/>
  <c r="P221" i="8" s="1"/>
  <c r="P226" i="8" s="1"/>
  <c r="O221" i="8"/>
  <c r="O226" i="8" s="1"/>
  <c r="U222" i="8"/>
  <c r="P101" i="2"/>
  <c r="P107" i="2" s="1"/>
  <c r="Q100" i="2"/>
  <c r="Q106" i="2" s="1"/>
  <c r="V223" i="8"/>
  <c r="Q88" i="8"/>
  <c r="T38" i="8"/>
  <c r="O106" i="8"/>
  <c r="V11" i="1"/>
  <c r="T12" i="1"/>
  <c r="Q7" i="2"/>
  <c r="V210" i="8"/>
  <c r="V204" i="8"/>
  <c r="Q37" i="2"/>
  <c r="Q55" i="2" s="1"/>
  <c r="Q87" i="2"/>
  <c r="V174" i="8" s="1"/>
  <c r="R71" i="2"/>
  <c r="W142" i="8" s="1"/>
  <c r="O13" i="4"/>
  <c r="N6" i="5"/>
  <c r="R80" i="2"/>
  <c r="W163" i="8" s="1"/>
  <c r="R52" i="2"/>
  <c r="W203" i="8" s="1"/>
  <c r="R41" i="2"/>
  <c r="R36" i="2"/>
  <c r="R78" i="2"/>
  <c r="W155" i="8" s="1"/>
  <c r="R44" i="2"/>
  <c r="R51" i="2"/>
  <c r="S35" i="2"/>
  <c r="S41" i="2" s="1"/>
  <c r="T42" i="2"/>
  <c r="U29" i="2"/>
  <c r="T32" i="2"/>
  <c r="T33" i="2"/>
  <c r="S50" i="2"/>
  <c r="U51" i="8"/>
  <c r="V207" i="8"/>
  <c r="V9" i="8" s="1"/>
  <c r="N97" i="2"/>
  <c r="S139" i="8"/>
  <c r="R22" i="2"/>
  <c r="R21" i="2"/>
  <c r="R77" i="2"/>
  <c r="W154" i="8" s="1"/>
  <c r="R25" i="2"/>
  <c r="R16" i="2"/>
  <c r="S14" i="2"/>
  <c r="S4" i="2"/>
  <c r="S13" i="2"/>
  <c r="S12" i="2"/>
  <c r="S15" i="2"/>
  <c r="S5" i="2"/>
  <c r="S11" i="2"/>
  <c r="T54" i="8"/>
  <c r="Q75" i="1"/>
  <c r="O5" i="5"/>
  <c r="X44" i="4"/>
  <c r="AC28" i="8" s="1"/>
  <c r="AC69" i="8" s="1"/>
  <c r="Q7" i="4"/>
  <c r="Q9" i="4" s="1"/>
  <c r="U216" i="8"/>
  <c r="U209" i="8" s="1"/>
  <c r="T140" i="8"/>
  <c r="Q53" i="2"/>
  <c r="Q99" i="2" s="1"/>
  <c r="Q78" i="2"/>
  <c r="V155" i="8" s="1"/>
  <c r="P4" i="4"/>
  <c r="P135" i="4" s="1"/>
  <c r="Q45" i="2"/>
  <c r="N18" i="2"/>
  <c r="N70" i="2"/>
  <c r="O8" i="2"/>
  <c r="R9" i="1"/>
  <c r="Q3" i="2"/>
  <c r="R45" i="8" l="1"/>
  <c r="Q47" i="2"/>
  <c r="Q69" i="2"/>
  <c r="Q27" i="2"/>
  <c r="R79" i="2"/>
  <c r="W156" i="8" s="1"/>
  <c r="U40" i="2"/>
  <c r="T199" i="8"/>
  <c r="T198" i="8" s="1"/>
  <c r="T10" i="8" s="1"/>
  <c r="T45" i="8" s="1"/>
  <c r="S10" i="8"/>
  <c r="S45" i="8" s="1"/>
  <c r="R52" i="8"/>
  <c r="S24" i="2"/>
  <c r="P93" i="8"/>
  <c r="P56" i="8"/>
  <c r="T55" i="8"/>
  <c r="P35" i="8"/>
  <c r="U46" i="8"/>
  <c r="S150" i="8"/>
  <c r="S237" i="8" s="1"/>
  <c r="U197" i="8"/>
  <c r="N59" i="4"/>
  <c r="U84" i="8"/>
  <c r="V2" i="8"/>
  <c r="V46" i="8" s="1"/>
  <c r="N103" i="2"/>
  <c r="Q6" i="2"/>
  <c r="Q23" i="2" s="1"/>
  <c r="Q98" i="2" s="1"/>
  <c r="O31" i="4"/>
  <c r="O40" i="4" s="1"/>
  <c r="O50" i="4" s="1"/>
  <c r="O66" i="4" s="1"/>
  <c r="O72" i="4" s="1"/>
  <c r="O77" i="4" s="1"/>
  <c r="O83" i="4" s="1"/>
  <c r="O102" i="4" s="1"/>
  <c r="O123" i="4" s="1"/>
  <c r="O22" i="4"/>
  <c r="P106" i="8"/>
  <c r="L69" i="4"/>
  <c r="Q40" i="8" s="1"/>
  <c r="Q220" i="8"/>
  <c r="Q221" i="8" s="1"/>
  <c r="Q226" i="8" s="1"/>
  <c r="P74" i="4"/>
  <c r="R100" i="2"/>
  <c r="R73" i="4" s="1"/>
  <c r="W223" i="8"/>
  <c r="Q73" i="4"/>
  <c r="Q101" i="2"/>
  <c r="Q74" i="4" s="1"/>
  <c r="V224" i="8"/>
  <c r="V222" i="8" s="1"/>
  <c r="U38" i="8"/>
  <c r="U12" i="1"/>
  <c r="R7" i="2"/>
  <c r="W11" i="1"/>
  <c r="R88" i="8"/>
  <c r="W210" i="8"/>
  <c r="W204" i="8"/>
  <c r="Q66" i="8"/>
  <c r="R37" i="2"/>
  <c r="R55" i="2" s="1"/>
  <c r="W224" i="8" s="1"/>
  <c r="R87" i="2"/>
  <c r="W174" i="8" s="1"/>
  <c r="S71" i="2"/>
  <c r="X142" i="8" s="1"/>
  <c r="O6" i="5"/>
  <c r="R53" i="2"/>
  <c r="R99" i="2" s="1"/>
  <c r="P13" i="4"/>
  <c r="V51" i="8"/>
  <c r="S51" i="2"/>
  <c r="S36" i="2"/>
  <c r="S52" i="2"/>
  <c r="X203" i="8" s="1"/>
  <c r="W207" i="8"/>
  <c r="W9" i="8" s="1"/>
  <c r="R45" i="2"/>
  <c r="S44" i="2"/>
  <c r="S84" i="2" s="1"/>
  <c r="S43" i="2"/>
  <c r="S53" i="2" s="1"/>
  <c r="X216" i="8" s="1"/>
  <c r="R84" i="2"/>
  <c r="X46" i="4"/>
  <c r="AC107" i="8" s="1"/>
  <c r="M69" i="4"/>
  <c r="U33" i="2"/>
  <c r="U42" i="2"/>
  <c r="U32" i="2"/>
  <c r="T35" i="2"/>
  <c r="T41" i="2" s="1"/>
  <c r="V29" i="2"/>
  <c r="O97" i="2"/>
  <c r="T139" i="8"/>
  <c r="S79" i="2"/>
  <c r="S25" i="2"/>
  <c r="S16" i="2"/>
  <c r="S77" i="2"/>
  <c r="X154" i="8" s="1"/>
  <c r="S80" i="2"/>
  <c r="X163" i="8" s="1"/>
  <c r="T12" i="2"/>
  <c r="T15" i="2"/>
  <c r="T5" i="2"/>
  <c r="T14" i="2"/>
  <c r="T4" i="2"/>
  <c r="T13" i="2"/>
  <c r="T11" i="2"/>
  <c r="S21" i="2"/>
  <c r="S22" i="2"/>
  <c r="U54" i="8"/>
  <c r="R75" i="1"/>
  <c r="P5" i="5"/>
  <c r="R5" i="4"/>
  <c r="V216" i="8"/>
  <c r="V209" i="8" s="1"/>
  <c r="U199" i="8"/>
  <c r="U198" i="8" s="1"/>
  <c r="U140" i="8"/>
  <c r="R3" i="2"/>
  <c r="Q4" i="4"/>
  <c r="Q135" i="4" s="1"/>
  <c r="O18" i="2"/>
  <c r="O70" i="2"/>
  <c r="P8" i="2"/>
  <c r="S9" i="1"/>
  <c r="R69" i="2" l="1"/>
  <c r="R27" i="2"/>
  <c r="R47" i="2"/>
  <c r="X166" i="8"/>
  <c r="W166" i="8"/>
  <c r="X156" i="8"/>
  <c r="V40" i="2"/>
  <c r="V50" i="2" s="1"/>
  <c r="R40" i="8"/>
  <c r="T219" i="8"/>
  <c r="S52" i="8"/>
  <c r="O59" i="4"/>
  <c r="Q35" i="8"/>
  <c r="Q93" i="8"/>
  <c r="B107" i="8"/>
  <c r="T24" i="2"/>
  <c r="Q56" i="8"/>
  <c r="V137" i="8"/>
  <c r="W51" i="8"/>
  <c r="T52" i="8"/>
  <c r="U55" i="8"/>
  <c r="R66" i="8"/>
  <c r="V84" i="8"/>
  <c r="T150" i="8"/>
  <c r="T237" i="8" s="1"/>
  <c r="O103" i="2"/>
  <c r="W2" i="8"/>
  <c r="R4" i="4"/>
  <c r="R135" i="4" s="1"/>
  <c r="S3" i="2"/>
  <c r="R6" i="2"/>
  <c r="P31" i="4"/>
  <c r="P40" i="4" s="1"/>
  <c r="P50" i="4" s="1"/>
  <c r="P66" i="4" s="1"/>
  <c r="P72" i="4" s="1"/>
  <c r="P77" i="4" s="1"/>
  <c r="P83" i="4" s="1"/>
  <c r="P102" i="4" s="1"/>
  <c r="P123" i="4" s="1"/>
  <c r="P22" i="4"/>
  <c r="R106" i="2"/>
  <c r="Q106" i="8"/>
  <c r="R220" i="8"/>
  <c r="R221" i="8" s="1"/>
  <c r="R226" i="8" s="1"/>
  <c r="Q107" i="2"/>
  <c r="S88" i="8"/>
  <c r="W216" i="8"/>
  <c r="W209" i="8" s="1"/>
  <c r="S100" i="2"/>
  <c r="S73" i="4" s="1"/>
  <c r="X223" i="8"/>
  <c r="R101" i="2"/>
  <c r="R74" i="4" s="1"/>
  <c r="W222" i="8"/>
  <c r="V38" i="8"/>
  <c r="X11" i="1"/>
  <c r="S99" i="2"/>
  <c r="V12" i="1"/>
  <c r="S7" i="2"/>
  <c r="A46" i="4"/>
  <c r="S37" i="2"/>
  <c r="S55" i="2" s="1"/>
  <c r="S87" i="2"/>
  <c r="X174" i="8" s="1"/>
  <c r="T71" i="2"/>
  <c r="Y142" i="8" s="1"/>
  <c r="P6" i="5"/>
  <c r="U10" i="8"/>
  <c r="U45" i="8" s="1"/>
  <c r="U219" i="8"/>
  <c r="Q13" i="4"/>
  <c r="S45" i="2"/>
  <c r="S78" i="2"/>
  <c r="X155" i="8" s="1"/>
  <c r="V42" i="2"/>
  <c r="U35" i="2"/>
  <c r="U36" i="2" s="1"/>
  <c r="T52" i="2"/>
  <c r="Y203" i="8" s="1"/>
  <c r="T44" i="2"/>
  <c r="T84" i="2" s="1"/>
  <c r="V32" i="2"/>
  <c r="U50" i="2"/>
  <c r="T36" i="2"/>
  <c r="V33" i="2"/>
  <c r="W29" i="2"/>
  <c r="T43" i="2"/>
  <c r="T78" i="2" s="1"/>
  <c r="Y155" i="8" s="1"/>
  <c r="T51" i="2"/>
  <c r="T79" i="2"/>
  <c r="P97" i="2"/>
  <c r="U139" i="8"/>
  <c r="X207" i="8"/>
  <c r="X9" i="8" s="1"/>
  <c r="S97" i="2"/>
  <c r="T22" i="2"/>
  <c r="T21" i="2"/>
  <c r="T77" i="2"/>
  <c r="Y154" i="8" s="1"/>
  <c r="T25" i="2"/>
  <c r="T16" i="2"/>
  <c r="T80" i="2"/>
  <c r="Y163" i="8" s="1"/>
  <c r="U15" i="2"/>
  <c r="U5" i="2"/>
  <c r="U14" i="2"/>
  <c r="U4" i="2"/>
  <c r="U13" i="2"/>
  <c r="U12" i="2"/>
  <c r="U11" i="2"/>
  <c r="X210" i="8"/>
  <c r="X209" i="8" s="1"/>
  <c r="X204" i="8"/>
  <c r="V54" i="8"/>
  <c r="S75" i="1"/>
  <c r="Q5" i="5"/>
  <c r="R7" i="4"/>
  <c r="R9" i="4" s="1"/>
  <c r="V199" i="8"/>
  <c r="V198" i="8" s="1"/>
  <c r="V140" i="8"/>
  <c r="T9" i="1"/>
  <c r="P18" i="2"/>
  <c r="P70" i="2"/>
  <c r="Q8" i="2"/>
  <c r="S69" i="2" l="1"/>
  <c r="S27" i="2"/>
  <c r="S47" i="2"/>
  <c r="Y166" i="8"/>
  <c r="S6" i="2"/>
  <c r="S23" i="2" s="1"/>
  <c r="Y156" i="8"/>
  <c r="W40" i="2"/>
  <c r="W50" i="2" s="1"/>
  <c r="R56" i="8"/>
  <c r="R35" i="8"/>
  <c r="R93" i="8"/>
  <c r="V197" i="8"/>
  <c r="P59" i="4"/>
  <c r="R23" i="2"/>
  <c r="R98" i="2" s="1"/>
  <c r="U24" i="2"/>
  <c r="V55" i="8"/>
  <c r="U52" i="8"/>
  <c r="U150" i="8"/>
  <c r="U237" i="8" s="1"/>
  <c r="W140" i="8"/>
  <c r="R8" i="2"/>
  <c r="X2" i="8"/>
  <c r="S4" i="4"/>
  <c r="S135" i="4" s="1"/>
  <c r="U9" i="1"/>
  <c r="T3" i="2"/>
  <c r="R13" i="4"/>
  <c r="W137" i="8"/>
  <c r="W84" i="8"/>
  <c r="W46" i="8"/>
  <c r="P103" i="2"/>
  <c r="Q31" i="4"/>
  <c r="Q40" i="4" s="1"/>
  <c r="Q50" i="4" s="1"/>
  <c r="Q66" i="4" s="1"/>
  <c r="Q72" i="4" s="1"/>
  <c r="Q77" i="4" s="1"/>
  <c r="Q83" i="4" s="1"/>
  <c r="Q102" i="4" s="1"/>
  <c r="Q123" i="4" s="1"/>
  <c r="Q22" i="4"/>
  <c r="N69" i="4"/>
  <c r="S40" i="8" s="1"/>
  <c r="S220" i="8"/>
  <c r="S221" i="8" s="1"/>
  <c r="S226" i="8" s="1"/>
  <c r="V35" i="2"/>
  <c r="V51" i="2" s="1"/>
  <c r="S66" i="8"/>
  <c r="R107" i="2"/>
  <c r="T88" i="8"/>
  <c r="S106" i="2"/>
  <c r="S101" i="2"/>
  <c r="S74" i="4" s="1"/>
  <c r="X224" i="8"/>
  <c r="X222" i="8" s="1"/>
  <c r="T100" i="2"/>
  <c r="T73" i="4" s="1"/>
  <c r="Y223" i="8"/>
  <c r="X38" i="8"/>
  <c r="W54" i="8"/>
  <c r="W38" i="8"/>
  <c r="R106" i="8"/>
  <c r="W12" i="1"/>
  <c r="T7" i="2"/>
  <c r="Y11" i="1"/>
  <c r="T37" i="2"/>
  <c r="T55" i="2" s="1"/>
  <c r="T87" i="2"/>
  <c r="Y174" i="8" s="1"/>
  <c r="U37" i="2"/>
  <c r="U55" i="2" s="1"/>
  <c r="U87" i="2"/>
  <c r="Z174" i="8" s="1"/>
  <c r="U71" i="2"/>
  <c r="Z142" i="8" s="1"/>
  <c r="Q6" i="5"/>
  <c r="V10" i="8"/>
  <c r="V45" i="8" s="1"/>
  <c r="V219" i="8"/>
  <c r="U41" i="2"/>
  <c r="U43" i="2"/>
  <c r="U78" i="2" s="1"/>
  <c r="Z155" i="8" s="1"/>
  <c r="U52" i="2"/>
  <c r="Z203" i="8" s="1"/>
  <c r="U44" i="2"/>
  <c r="U84" i="2" s="1"/>
  <c r="U51" i="2"/>
  <c r="X54" i="8"/>
  <c r="T53" i="2"/>
  <c r="Y216" i="8" s="1"/>
  <c r="T45" i="2"/>
  <c r="X32" i="2"/>
  <c r="W32" i="2"/>
  <c r="W42" i="2"/>
  <c r="X33" i="2"/>
  <c r="W33" i="2"/>
  <c r="X29" i="2"/>
  <c r="R97" i="2"/>
  <c r="Q97" i="2"/>
  <c r="V139" i="8"/>
  <c r="Y207" i="8"/>
  <c r="Y9" i="8" s="1"/>
  <c r="T97" i="2"/>
  <c r="U22" i="2"/>
  <c r="U21" i="2"/>
  <c r="Y204" i="8"/>
  <c r="U16" i="2"/>
  <c r="U80" i="2"/>
  <c r="Z163" i="8" s="1"/>
  <c r="U77" i="2"/>
  <c r="Z154" i="8" s="1"/>
  <c r="U25" i="2"/>
  <c r="V14" i="2"/>
  <c r="V4" i="2"/>
  <c r="V13" i="2"/>
  <c r="V12" i="2"/>
  <c r="V15" i="2"/>
  <c r="V5" i="2"/>
  <c r="V11" i="2"/>
  <c r="Y210" i="8"/>
  <c r="X51" i="8"/>
  <c r="T75" i="1"/>
  <c r="R5" i="5"/>
  <c r="S5" i="4"/>
  <c r="Q18" i="2"/>
  <c r="Q70" i="2"/>
  <c r="T69" i="2" l="1"/>
  <c r="T27" i="2"/>
  <c r="T47" i="2"/>
  <c r="U79" i="2"/>
  <c r="Z156" i="8" s="1"/>
  <c r="R70" i="2"/>
  <c r="Z166" i="8"/>
  <c r="X140" i="8"/>
  <c r="S8" i="2"/>
  <c r="W199" i="8"/>
  <c r="W198" i="8" s="1"/>
  <c r="W10" i="8" s="1"/>
  <c r="W45" i="8" s="1"/>
  <c r="X40" i="2"/>
  <c r="X50" i="2" s="1"/>
  <c r="W139" i="8"/>
  <c r="R18" i="2"/>
  <c r="V24" i="2"/>
  <c r="S56" i="8"/>
  <c r="S93" i="8"/>
  <c r="V52" i="2"/>
  <c r="AA203" i="8" s="1"/>
  <c r="V36" i="2"/>
  <c r="V87" i="2" s="1"/>
  <c r="AA174" i="8" s="1"/>
  <c r="V41" i="2"/>
  <c r="S35" i="8"/>
  <c r="V43" i="2"/>
  <c r="V78" i="2" s="1"/>
  <c r="AA155" i="8" s="1"/>
  <c r="V71" i="2"/>
  <c r="AA142" i="8" s="1"/>
  <c r="V44" i="2"/>
  <c r="V84" i="2" s="1"/>
  <c r="T66" i="8"/>
  <c r="W55" i="8"/>
  <c r="Y51" i="8"/>
  <c r="V52" i="8"/>
  <c r="T56" i="8"/>
  <c r="V150" i="8"/>
  <c r="V237" i="8" s="1"/>
  <c r="W197" i="8"/>
  <c r="S106" i="8"/>
  <c r="R103" i="2"/>
  <c r="S5" i="5"/>
  <c r="S6" i="5" s="1"/>
  <c r="U75" i="1"/>
  <c r="U3" i="2"/>
  <c r="T4" i="4"/>
  <c r="T135" i="4" s="1"/>
  <c r="Y2" i="8"/>
  <c r="V9" i="1"/>
  <c r="R31" i="4"/>
  <c r="R40" i="4" s="1"/>
  <c r="R50" i="4" s="1"/>
  <c r="R22" i="4"/>
  <c r="S13" i="4"/>
  <c r="T6" i="2"/>
  <c r="T23" i="2" s="1"/>
  <c r="X137" i="8"/>
  <c r="X46" i="8"/>
  <c r="X84" i="8"/>
  <c r="Q59" i="4"/>
  <c r="Q103" i="2"/>
  <c r="O69" i="4"/>
  <c r="T40" i="8" s="1"/>
  <c r="T220" i="8"/>
  <c r="T221" i="8" s="1"/>
  <c r="T226" i="8" s="1"/>
  <c r="S107" i="2"/>
  <c r="T106" i="2"/>
  <c r="U100" i="2"/>
  <c r="U106" i="2" s="1"/>
  <c r="Z223" i="8"/>
  <c r="U101" i="2"/>
  <c r="U74" i="4" s="1"/>
  <c r="Z224" i="8"/>
  <c r="T101" i="2"/>
  <c r="T107" i="2" s="1"/>
  <c r="Y224" i="8"/>
  <c r="Y222" i="8" s="1"/>
  <c r="X55" i="8"/>
  <c r="Z11" i="1"/>
  <c r="X199" i="8"/>
  <c r="X198" i="8" s="1"/>
  <c r="S98" i="2"/>
  <c r="X12" i="1"/>
  <c r="U7" i="2"/>
  <c r="T99" i="2"/>
  <c r="U88" i="8"/>
  <c r="R6" i="5"/>
  <c r="W35" i="2"/>
  <c r="W41" i="2" s="1"/>
  <c r="U45" i="2"/>
  <c r="U47" i="2" s="1"/>
  <c r="U53" i="2"/>
  <c r="Z216" i="8" s="1"/>
  <c r="X42" i="2"/>
  <c r="Y209" i="8"/>
  <c r="X35" i="2"/>
  <c r="X41" i="2" s="1"/>
  <c r="V80" i="2"/>
  <c r="AA163" i="8" s="1"/>
  <c r="V25" i="2"/>
  <c r="V16" i="2"/>
  <c r="V77" i="2"/>
  <c r="AA154" i="8" s="1"/>
  <c r="W13" i="2"/>
  <c r="W12" i="2"/>
  <c r="W15" i="2"/>
  <c r="W5" i="2"/>
  <c r="W14" i="2"/>
  <c r="W4" i="2"/>
  <c r="W11" i="2"/>
  <c r="Z207" i="8"/>
  <c r="Z9" i="8" s="1"/>
  <c r="U97" i="2"/>
  <c r="V22" i="2"/>
  <c r="V21" i="2"/>
  <c r="Z210" i="8"/>
  <c r="Z204" i="8"/>
  <c r="S7" i="4"/>
  <c r="V37" i="2" l="1"/>
  <c r="V55" i="2" s="1"/>
  <c r="AA224" i="8" s="1"/>
  <c r="V79" i="2"/>
  <c r="AA156" i="8" s="1"/>
  <c r="W150" i="8"/>
  <c r="W237" i="8" s="1"/>
  <c r="U69" i="2"/>
  <c r="U27" i="2"/>
  <c r="X139" i="8"/>
  <c r="AA166" i="8"/>
  <c r="S18" i="2"/>
  <c r="S70" i="2"/>
  <c r="W219" i="8"/>
  <c r="W52" i="8"/>
  <c r="U6" i="2"/>
  <c r="U23" i="2" s="1"/>
  <c r="V45" i="2"/>
  <c r="V53" i="2"/>
  <c r="AA216" i="8" s="1"/>
  <c r="W24" i="2"/>
  <c r="T35" i="8"/>
  <c r="T93" i="8"/>
  <c r="U66" i="8"/>
  <c r="X197" i="8"/>
  <c r="Y140" i="8"/>
  <c r="R59" i="4"/>
  <c r="R66" i="4"/>
  <c r="R72" i="4" s="1"/>
  <c r="R77" i="4" s="1"/>
  <c r="R83" i="4" s="1"/>
  <c r="R102" i="4" s="1"/>
  <c r="R123" i="4" s="1"/>
  <c r="U4" i="4"/>
  <c r="U135" i="4" s="1"/>
  <c r="Z2" i="8"/>
  <c r="W9" i="1"/>
  <c r="V3" i="2"/>
  <c r="T8" i="2"/>
  <c r="S31" i="4"/>
  <c r="S40" i="4" s="1"/>
  <c r="S50" i="4" s="1"/>
  <c r="S22" i="4"/>
  <c r="V75" i="1"/>
  <c r="T5" i="5"/>
  <c r="T6" i="5" s="1"/>
  <c r="Q53" i="5" s="1"/>
  <c r="T13" i="4"/>
  <c r="Y84" i="8"/>
  <c r="Y46" i="8"/>
  <c r="Y137" i="8"/>
  <c r="S103" i="2"/>
  <c r="X88" i="8" s="1"/>
  <c r="P69" i="4"/>
  <c r="U40" i="8" s="1"/>
  <c r="U220" i="8"/>
  <c r="U221" i="8" s="1"/>
  <c r="U226" i="8" s="1"/>
  <c r="U107" i="2"/>
  <c r="T106" i="8"/>
  <c r="T74" i="4"/>
  <c r="U73" i="4"/>
  <c r="V101" i="2"/>
  <c r="V107" i="2" s="1"/>
  <c r="V100" i="2"/>
  <c r="V106" i="2" s="1"/>
  <c r="AA223" i="8"/>
  <c r="AA222" i="8" s="1"/>
  <c r="Z222" i="8"/>
  <c r="Y54" i="8"/>
  <c r="Y38" i="8"/>
  <c r="Y12" i="1"/>
  <c r="V6" i="2"/>
  <c r="V7" i="2"/>
  <c r="Y199" i="8"/>
  <c r="Y198" i="8" s="1"/>
  <c r="Y219" i="8" s="1"/>
  <c r="T98" i="2"/>
  <c r="X219" i="8"/>
  <c r="X10" i="8"/>
  <c r="X45" i="8" s="1"/>
  <c r="U99" i="2"/>
  <c r="X71" i="2"/>
  <c r="AC142" i="8" s="1"/>
  <c r="W88" i="8"/>
  <c r="W71" i="2"/>
  <c r="AB142" i="8" s="1"/>
  <c r="W36" i="2"/>
  <c r="V88" i="8"/>
  <c r="J53" i="5"/>
  <c r="W51" i="2"/>
  <c r="W43" i="2"/>
  <c r="W53" i="2" s="1"/>
  <c r="AB216" i="8" s="1"/>
  <c r="W44" i="2"/>
  <c r="W84" i="2" s="1"/>
  <c r="W52" i="2"/>
  <c r="AB203" i="8" s="1"/>
  <c r="Z209" i="8"/>
  <c r="X43" i="2"/>
  <c r="X53" i="2" s="1"/>
  <c r="AC216" i="8" s="1"/>
  <c r="X44" i="2"/>
  <c r="X52" i="2"/>
  <c r="AC203" i="8" s="1"/>
  <c r="X36" i="2"/>
  <c r="X51" i="2"/>
  <c r="AA204" i="8"/>
  <c r="W16" i="2"/>
  <c r="W77" i="2"/>
  <c r="AB154" i="8" s="1"/>
  <c r="W25" i="2"/>
  <c r="W80" i="2"/>
  <c r="AB163" i="8" s="1"/>
  <c r="X12" i="2"/>
  <c r="X15" i="2"/>
  <c r="X5" i="2"/>
  <c r="X14" i="2"/>
  <c r="X4" i="2"/>
  <c r="X13" i="2"/>
  <c r="X11" i="2"/>
  <c r="W21" i="2"/>
  <c r="W22" i="2"/>
  <c r="AA210" i="8"/>
  <c r="AA207" i="8"/>
  <c r="AA9" i="8" s="1"/>
  <c r="V97" i="2"/>
  <c r="Z51" i="8"/>
  <c r="W79" i="2"/>
  <c r="AB156" i="8" s="1"/>
  <c r="T5" i="4"/>
  <c r="S9" i="4"/>
  <c r="V99" i="2" l="1"/>
  <c r="G53" i="5"/>
  <c r="K16" i="5"/>
  <c r="J16" i="5"/>
  <c r="G16" i="5"/>
  <c r="O53" i="5"/>
  <c r="F53" i="5"/>
  <c r="P53" i="5"/>
  <c r="H16" i="5"/>
  <c r="I53" i="5"/>
  <c r="V47" i="2"/>
  <c r="AA209" i="8"/>
  <c r="AA38" i="8" s="1"/>
  <c r="X150" i="8"/>
  <c r="X237" i="8" s="1"/>
  <c r="V69" i="2"/>
  <c r="V27" i="2"/>
  <c r="AB166" i="8"/>
  <c r="Y139" i="8"/>
  <c r="U8" i="2"/>
  <c r="Z140" i="8"/>
  <c r="I16" i="5"/>
  <c r="D53" i="5"/>
  <c r="T18" i="2"/>
  <c r="U35" i="8"/>
  <c r="U93" i="8"/>
  <c r="X24" i="2"/>
  <c r="X99" i="2" s="1"/>
  <c r="H53" i="5"/>
  <c r="E16" i="5"/>
  <c r="L16" i="5"/>
  <c r="R53" i="5"/>
  <c r="F16" i="5"/>
  <c r="L53" i="5"/>
  <c r="K53" i="5"/>
  <c r="E53" i="5"/>
  <c r="S53" i="5"/>
  <c r="D16" i="5"/>
  <c r="V23" i="2"/>
  <c r="T70" i="2"/>
  <c r="U56" i="8"/>
  <c r="X52" i="8"/>
  <c r="Y55" i="8"/>
  <c r="V66" i="8"/>
  <c r="Y197" i="8"/>
  <c r="Z46" i="8"/>
  <c r="Z137" i="8"/>
  <c r="Z197" i="8" s="1"/>
  <c r="Z84" i="8"/>
  <c r="U13" i="4"/>
  <c r="AA2" i="8"/>
  <c r="V4" i="4"/>
  <c r="V135" i="4" s="1"/>
  <c r="X9" i="1"/>
  <c r="W3" i="2"/>
  <c r="T31" i="4"/>
  <c r="T40" i="4" s="1"/>
  <c r="T50" i="4" s="1"/>
  <c r="T22" i="4"/>
  <c r="S66" i="4"/>
  <c r="S72" i="4" s="1"/>
  <c r="S77" i="4" s="1"/>
  <c r="S83" i="4" s="1"/>
  <c r="S102" i="4" s="1"/>
  <c r="S123" i="4" s="1"/>
  <c r="S59" i="4"/>
  <c r="U5" i="5"/>
  <c r="U6" i="5" s="1"/>
  <c r="W75" i="1"/>
  <c r="S69" i="4"/>
  <c r="T103" i="2"/>
  <c r="R69" i="4"/>
  <c r="Q69" i="4"/>
  <c r="V40" i="8" s="1"/>
  <c r="V220" i="8"/>
  <c r="W220" i="8" s="1"/>
  <c r="V74" i="4"/>
  <c r="V73" i="4"/>
  <c r="U106" i="8"/>
  <c r="W100" i="2"/>
  <c r="W73" i="4" s="1"/>
  <c r="AB223" i="8"/>
  <c r="Z38" i="8"/>
  <c r="Z55" i="8" s="1"/>
  <c r="W99" i="2"/>
  <c r="AA140" i="8"/>
  <c r="V8" i="2"/>
  <c r="Z12" i="1"/>
  <c r="W7" i="2"/>
  <c r="Z199" i="8"/>
  <c r="Z198" i="8" s="1"/>
  <c r="Z219" i="8" s="1"/>
  <c r="U98" i="2"/>
  <c r="U103" i="2" s="1"/>
  <c r="Y10" i="8"/>
  <c r="Y45" i="8" s="1"/>
  <c r="W37" i="2"/>
  <c r="W55" i="2" s="1"/>
  <c r="W87" i="2"/>
  <c r="AB174" i="8" s="1"/>
  <c r="X37" i="2"/>
  <c r="X55" i="2" s="1"/>
  <c r="AC224" i="8" s="1"/>
  <c r="X87" i="2"/>
  <c r="AC174" i="8" s="1"/>
  <c r="W78" i="2"/>
  <c r="AB155" i="8" s="1"/>
  <c r="W66" i="8"/>
  <c r="W45" i="2"/>
  <c r="X84" i="2"/>
  <c r="X78" i="2"/>
  <c r="AC155" i="8" s="1"/>
  <c r="Z54" i="8"/>
  <c r="X45" i="2"/>
  <c r="X47" i="2" s="1"/>
  <c r="X79" i="2"/>
  <c r="AC156" i="8" s="1"/>
  <c r="AA51" i="8"/>
  <c r="X22" i="2"/>
  <c r="X21" i="2"/>
  <c r="AB210" i="8"/>
  <c r="AB209" i="8" s="1"/>
  <c r="AB204" i="8"/>
  <c r="X16" i="2"/>
  <c r="X80" i="2"/>
  <c r="AC163" i="8" s="1"/>
  <c r="X77" i="2"/>
  <c r="AC154" i="8" s="1"/>
  <c r="X25" i="2"/>
  <c r="AA54" i="8"/>
  <c r="W97" i="2"/>
  <c r="AB207" i="8"/>
  <c r="AB9" i="8" s="1"/>
  <c r="T7" i="4"/>
  <c r="Y150" i="8" l="1"/>
  <c r="W47" i="2"/>
  <c r="W69" i="2"/>
  <c r="W27" i="2"/>
  <c r="Z139" i="8"/>
  <c r="Z150" i="8" s="1"/>
  <c r="Z237" i="8" s="1"/>
  <c r="AC166" i="8"/>
  <c r="U18" i="2"/>
  <c r="U70" i="2"/>
  <c r="W6" i="2"/>
  <c r="AB140" i="8" s="1"/>
  <c r="W40" i="8"/>
  <c r="W35" i="8" s="1"/>
  <c r="V35" i="8"/>
  <c r="W56" i="8"/>
  <c r="W93" i="8"/>
  <c r="V93" i="8"/>
  <c r="Y52" i="8"/>
  <c r="V56" i="8"/>
  <c r="X66" i="8"/>
  <c r="Y88" i="8"/>
  <c r="W4" i="4"/>
  <c r="W135" i="4" s="1"/>
  <c r="AB2" i="8"/>
  <c r="Y9" i="1"/>
  <c r="X3" i="2"/>
  <c r="X75" i="1"/>
  <c r="V5" i="5"/>
  <c r="V6" i="5" s="1"/>
  <c r="U22" i="4"/>
  <c r="U31" i="4"/>
  <c r="U40" i="4" s="1"/>
  <c r="U50" i="4" s="1"/>
  <c r="V13" i="4"/>
  <c r="T59" i="4"/>
  <c r="T66" i="4"/>
  <c r="T72" i="4" s="1"/>
  <c r="T77" i="4" s="1"/>
  <c r="T83" i="4" s="1"/>
  <c r="T102" i="4" s="1"/>
  <c r="T123" i="4" s="1"/>
  <c r="AA137" i="8"/>
  <c r="AA197" i="8" s="1"/>
  <c r="AA84" i="8"/>
  <c r="AA46" i="8"/>
  <c r="V221" i="8"/>
  <c r="V226" i="8" s="1"/>
  <c r="X101" i="2"/>
  <c r="X74" i="4" s="1"/>
  <c r="AA55" i="8"/>
  <c r="W106" i="2"/>
  <c r="X100" i="2"/>
  <c r="X73" i="4" s="1"/>
  <c r="AC223" i="8"/>
  <c r="AC222" i="8" s="1"/>
  <c r="W101" i="2"/>
  <c r="W107" i="2" s="1"/>
  <c r="AB224" i="8"/>
  <c r="AB222" i="8" s="1"/>
  <c r="AB38" i="8"/>
  <c r="AB55" i="8" s="1"/>
  <c r="X220" i="8"/>
  <c r="W221" i="8"/>
  <c r="W226" i="8" s="1"/>
  <c r="V106" i="8"/>
  <c r="X106" i="8"/>
  <c r="W106" i="8"/>
  <c r="X7" i="2"/>
  <c r="AA199" i="8"/>
  <c r="AA198" i="8" s="1"/>
  <c r="V98" i="2"/>
  <c r="Z10" i="8"/>
  <c r="Z45" i="8" s="1"/>
  <c r="AA139" i="8"/>
  <c r="AA150" i="8" s="1"/>
  <c r="AA237" i="8" s="1"/>
  <c r="V18" i="2"/>
  <c r="V70" i="2"/>
  <c r="Z88" i="8"/>
  <c r="AB51" i="8"/>
  <c r="AC207" i="8"/>
  <c r="AC9" i="8" s="1"/>
  <c r="X97" i="2"/>
  <c r="AC210" i="8"/>
  <c r="AC209" i="8" s="1"/>
  <c r="AB54" i="8"/>
  <c r="AC204" i="8"/>
  <c r="U5" i="4"/>
  <c r="T9" i="4"/>
  <c r="Y237" i="8" l="1"/>
  <c r="X107" i="2"/>
  <c r="X69" i="2"/>
  <c r="X27" i="2"/>
  <c r="W23" i="2"/>
  <c r="AB199" i="8" s="1"/>
  <c r="AB198" i="8" s="1"/>
  <c r="Z52" i="8"/>
  <c r="W8" i="2"/>
  <c r="W74" i="4"/>
  <c r="A74" i="4" s="1"/>
  <c r="X40" i="8"/>
  <c r="X6" i="2"/>
  <c r="X23" i="2" s="1"/>
  <c r="X93" i="8"/>
  <c r="X56" i="8"/>
  <c r="V103" i="2"/>
  <c r="U66" i="4"/>
  <c r="U72" i="4" s="1"/>
  <c r="U77" i="4" s="1"/>
  <c r="U83" i="4" s="1"/>
  <c r="U102" i="4" s="1"/>
  <c r="U123" i="4" s="1"/>
  <c r="U59" i="4"/>
  <c r="AC2" i="8"/>
  <c r="X4" i="4"/>
  <c r="X135" i="4" s="1"/>
  <c r="Z9" i="1"/>
  <c r="W5" i="5"/>
  <c r="W6" i="5" s="1"/>
  <c r="Y75" i="1"/>
  <c r="AB137" i="8"/>
  <c r="AB197" i="8" s="1"/>
  <c r="AB84" i="8"/>
  <c r="AB46" i="8"/>
  <c r="V31" i="4"/>
  <c r="V40" i="4" s="1"/>
  <c r="V50" i="4" s="1"/>
  <c r="V22" i="4"/>
  <c r="W13" i="4"/>
  <c r="U69" i="4"/>
  <c r="T69" i="4"/>
  <c r="Y66" i="8"/>
  <c r="X106" i="2"/>
  <c r="AC38" i="8"/>
  <c r="AC55" i="8" s="1"/>
  <c r="Y220" i="8"/>
  <c r="X221" i="8"/>
  <c r="X226" i="8" s="1"/>
  <c r="AA10" i="8"/>
  <c r="AA45" i="8" s="1"/>
  <c r="AA219" i="8"/>
  <c r="A73" i="4"/>
  <c r="Z66" i="8"/>
  <c r="AC54" i="8"/>
  <c r="AC51" i="8"/>
  <c r="U7" i="4"/>
  <c r="U9" i="4" s="1"/>
  <c r="W18" i="2" l="1"/>
  <c r="AB139" i="8"/>
  <c r="AB150" i="8" s="1"/>
  <c r="AB237" i="8" s="1"/>
  <c r="W70" i="2"/>
  <c r="W98" i="2"/>
  <c r="W103" i="2" s="1"/>
  <c r="AB88" i="8" s="1"/>
  <c r="AA52" i="8"/>
  <c r="AC140" i="8"/>
  <c r="Y40" i="8"/>
  <c r="Y35" i="8" s="1"/>
  <c r="X35" i="8"/>
  <c r="X8" i="2"/>
  <c r="Y93" i="8"/>
  <c r="Z56" i="8"/>
  <c r="Z93" i="8"/>
  <c r="Y56" i="8"/>
  <c r="AA56" i="8"/>
  <c r="AA93" i="8"/>
  <c r="Z106" i="8"/>
  <c r="Y4" i="4"/>
  <c r="Z4" i="4" s="1"/>
  <c r="AA4" i="4" s="1"/>
  <c r="AB4" i="4" s="1"/>
  <c r="AC4" i="4" s="1"/>
  <c r="X13" i="4"/>
  <c r="AC137" i="8"/>
  <c r="AC197" i="8" s="1"/>
  <c r="AC46" i="8"/>
  <c r="AC84" i="8"/>
  <c r="W22" i="4"/>
  <c r="W31" i="4"/>
  <c r="W40" i="4" s="1"/>
  <c r="W50" i="4" s="1"/>
  <c r="V66" i="4"/>
  <c r="V72" i="4" s="1"/>
  <c r="V77" i="4" s="1"/>
  <c r="V83" i="4" s="1"/>
  <c r="V102" i="4" s="1"/>
  <c r="V123" i="4" s="1"/>
  <c r="V59" i="4"/>
  <c r="X5" i="5"/>
  <c r="X6" i="5" s="1"/>
  <c r="Z75" i="1"/>
  <c r="Y106" i="8"/>
  <c r="Z220" i="8"/>
  <c r="Y221" i="8"/>
  <c r="Y226" i="8" s="1"/>
  <c r="AC199" i="8"/>
  <c r="AC198" i="8" s="1"/>
  <c r="X98" i="2"/>
  <c r="AA88" i="8"/>
  <c r="AB10" i="8"/>
  <c r="AB45" i="8" s="1"/>
  <c r="AB219" i="8"/>
  <c r="V5" i="4"/>
  <c r="X70" i="2" l="1"/>
  <c r="X18" i="2"/>
  <c r="AB52" i="8"/>
  <c r="Z40" i="8"/>
  <c r="AC139" i="8"/>
  <c r="AC150" i="8" s="1"/>
  <c r="AC237" i="8" s="1"/>
  <c r="AB56" i="8"/>
  <c r="AB93" i="8"/>
  <c r="X103" i="2"/>
  <c r="W66" i="4"/>
  <c r="W72" i="4" s="1"/>
  <c r="W77" i="4" s="1"/>
  <c r="W83" i="4" s="1"/>
  <c r="W102" i="4" s="1"/>
  <c r="W123" i="4" s="1"/>
  <c r="W59" i="4"/>
  <c r="X31" i="4"/>
  <c r="X40" i="4" s="1"/>
  <c r="X50" i="4" s="1"/>
  <c r="X22" i="4"/>
  <c r="V69" i="4"/>
  <c r="AA220" i="8"/>
  <c r="Z221" i="8"/>
  <c r="Z226" i="8" s="1"/>
  <c r="AA66" i="8"/>
  <c r="AC219" i="8"/>
  <c r="AC10" i="8"/>
  <c r="AC45" i="8" s="1"/>
  <c r="V7" i="4"/>
  <c r="V9" i="4" s="1"/>
  <c r="AC52" i="8" l="1"/>
  <c r="AA40" i="8"/>
  <c r="Z35" i="8"/>
  <c r="AC56" i="8"/>
  <c r="AC93" i="8"/>
  <c r="X59" i="4"/>
  <c r="X66" i="4"/>
  <c r="X72" i="4" s="1"/>
  <c r="X77" i="4" s="1"/>
  <c r="X83" i="4" s="1"/>
  <c r="X102" i="4" s="1"/>
  <c r="X123" i="4" s="1"/>
  <c r="W69" i="4"/>
  <c r="AB220" i="8"/>
  <c r="AA221" i="8"/>
  <c r="AA226" i="8" s="1"/>
  <c r="AA106" i="8"/>
  <c r="AB66" i="8"/>
  <c r="AC88" i="8"/>
  <c r="X69" i="4"/>
  <c r="W5" i="4"/>
  <c r="AA35" i="8" l="1"/>
  <c r="H204" i="8"/>
  <c r="H187" i="8" s="1"/>
  <c r="H219" i="8"/>
  <c r="G204" i="8"/>
  <c r="G187" i="8" s="1"/>
  <c r="G219" i="8"/>
  <c r="AC220" i="8"/>
  <c r="AC221" i="8" s="1"/>
  <c r="AC226" i="8" s="1"/>
  <c r="AB221" i="8"/>
  <c r="AB226" i="8" s="1"/>
  <c r="AB106" i="8"/>
  <c r="AC66" i="8"/>
  <c r="G8" i="8"/>
  <c r="W7" i="4"/>
  <c r="W9" i="4" s="1"/>
  <c r="AB40" i="8" s="1"/>
  <c r="H8" i="8"/>
  <c r="AB35" i="8" l="1"/>
  <c r="AC106" i="8"/>
  <c r="G18" i="8"/>
  <c r="H18" i="8"/>
  <c r="X5" i="4"/>
  <c r="X7" i="4" l="1"/>
  <c r="D69" i="4" l="1"/>
  <c r="X9" i="4"/>
  <c r="AC40" i="8" s="1"/>
  <c r="AC35" i="8" s="1"/>
  <c r="A69" i="4" l="1"/>
  <c r="A9" i="4"/>
  <c r="B106" i="8" l="1"/>
  <c r="L71" i="8" l="1"/>
  <c r="M71" i="8" l="1"/>
  <c r="N71" i="8" l="1"/>
  <c r="O71" i="8" l="1"/>
  <c r="P71" i="8" l="1"/>
  <c r="Q71" i="8"/>
  <c r="M53" i="5" l="1"/>
  <c r="H35" i="8" l="1"/>
  <c r="H42" i="8" l="1"/>
  <c r="I181" i="8"/>
  <c r="D18" i="4"/>
  <c r="D13" i="5" l="1"/>
  <c r="D14" i="5" s="1"/>
  <c r="D15" i="5" s="1"/>
  <c r="D17" i="5" s="1"/>
  <c r="D35" i="5" s="1"/>
  <c r="R52" i="4"/>
  <c r="W112" i="8" s="1"/>
  <c r="D52" i="4"/>
  <c r="O52" i="4"/>
  <c r="T112" i="8" s="1"/>
  <c r="J52" i="4"/>
  <c r="O112" i="8" s="1"/>
  <c r="P52" i="4"/>
  <c r="U112" i="8" s="1"/>
  <c r="S52" i="4"/>
  <c r="X112" i="8" s="1"/>
  <c r="I52" i="4"/>
  <c r="N112" i="8" s="1"/>
  <c r="N60" i="4"/>
  <c r="F52" i="4"/>
  <c r="K60" i="4"/>
  <c r="G52" i="4"/>
  <c r="L112" i="8" s="1"/>
  <c r="M52" i="4"/>
  <c r="R112" i="8" s="1"/>
  <c r="L52" i="4"/>
  <c r="Q112" i="8" s="1"/>
  <c r="P60" i="4"/>
  <c r="W52" i="4"/>
  <c r="AB112" i="8" s="1"/>
  <c r="V52" i="4"/>
  <c r="AA112" i="8" s="1"/>
  <c r="U52" i="4"/>
  <c r="Z112" i="8" s="1"/>
  <c r="V60" i="4"/>
  <c r="X60" i="4"/>
  <c r="I60" i="4"/>
  <c r="S60" i="4"/>
  <c r="T52" i="4"/>
  <c r="Y112" i="8" s="1"/>
  <c r="F60" i="4"/>
  <c r="G60" i="4"/>
  <c r="W60" i="4"/>
  <c r="T60" i="4"/>
  <c r="M60" i="4"/>
  <c r="U60" i="4"/>
  <c r="K52" i="4"/>
  <c r="P112" i="8" s="1"/>
  <c r="N52" i="4"/>
  <c r="S112" i="8" s="1"/>
  <c r="Q52" i="4"/>
  <c r="V112" i="8" s="1"/>
  <c r="X52" i="4"/>
  <c r="AC112" i="8" s="1"/>
  <c r="H52" i="4"/>
  <c r="M112" i="8" s="1"/>
  <c r="R60" i="4"/>
  <c r="O60" i="4"/>
  <c r="H60" i="4"/>
  <c r="E60" i="4"/>
  <c r="L60" i="4"/>
  <c r="J60" i="4"/>
  <c r="Q60" i="4"/>
  <c r="N110" i="8"/>
  <c r="W110" i="8"/>
  <c r="V110" i="8"/>
  <c r="AA110" i="8"/>
  <c r="Z110" i="8"/>
  <c r="O110" i="8"/>
  <c r="S110" i="8"/>
  <c r="E15" i="4"/>
  <c r="M110" i="8"/>
  <c r="X110" i="8"/>
  <c r="U110" i="8"/>
  <c r="Q110" i="8"/>
  <c r="Y110" i="8"/>
  <c r="AC110" i="8"/>
  <c r="T110" i="8"/>
  <c r="AB110" i="8"/>
  <c r="D15" i="4"/>
  <c r="D53" i="4" l="1"/>
  <c r="E51" i="4" s="1"/>
  <c r="B112" i="8"/>
  <c r="N64" i="8"/>
  <c r="E61" i="4"/>
  <c r="I177" i="8"/>
  <c r="P110" i="8"/>
  <c r="L110" i="8"/>
  <c r="R110" i="8"/>
  <c r="P64" i="8"/>
  <c r="A52" i="4"/>
  <c r="L64" i="8"/>
  <c r="AA64" i="8"/>
  <c r="R64" i="8"/>
  <c r="S64" i="8"/>
  <c r="A15" i="4"/>
  <c r="Z64" i="8"/>
  <c r="W64" i="8"/>
  <c r="V64" i="8"/>
  <c r="O64" i="8"/>
  <c r="Y64" i="8"/>
  <c r="AB64" i="8"/>
  <c r="Q64" i="8"/>
  <c r="D16" i="4"/>
  <c r="M64" i="8"/>
  <c r="T64" i="8"/>
  <c r="U64" i="8"/>
  <c r="AC64" i="8"/>
  <c r="X64" i="8"/>
  <c r="B110" i="8" l="1"/>
  <c r="E53" i="4"/>
  <c r="E55" i="4" s="1"/>
  <c r="D57" i="4"/>
  <c r="E14" i="4"/>
  <c r="E16" i="4" l="1"/>
  <c r="E18" i="4" s="1"/>
  <c r="J30" i="8"/>
  <c r="F51" i="4"/>
  <c r="F53" i="4" s="1"/>
  <c r="E57" i="4"/>
  <c r="F16" i="4" l="1"/>
  <c r="E23" i="4"/>
  <c r="K24" i="4" s="1"/>
  <c r="D124" i="4"/>
  <c r="D128" i="4" s="1"/>
  <c r="F55" i="4"/>
  <c r="G51" i="4"/>
  <c r="K30" i="8"/>
  <c r="G14" i="4" l="1"/>
  <c r="G16" i="4" s="1"/>
  <c r="F18" i="4"/>
  <c r="O24" i="4"/>
  <c r="T63" i="8" s="1"/>
  <c r="F24" i="4"/>
  <c r="H24" i="4"/>
  <c r="M111" i="8" s="1"/>
  <c r="M109" i="8" s="1"/>
  <c r="T24" i="4"/>
  <c r="Y63" i="8" s="1"/>
  <c r="J24" i="4"/>
  <c r="O111" i="8" s="1"/>
  <c r="O109" i="8" s="1"/>
  <c r="X24" i="4"/>
  <c r="AC63" i="8" s="1"/>
  <c r="V24" i="4"/>
  <c r="AA63" i="8" s="1"/>
  <c r="U24" i="4"/>
  <c r="Z63" i="8" s="1"/>
  <c r="N24" i="4"/>
  <c r="S111" i="8" s="1"/>
  <c r="S109" i="8" s="1"/>
  <c r="L24" i="4"/>
  <c r="Q111" i="8" s="1"/>
  <c r="Q109" i="8" s="1"/>
  <c r="I24" i="4"/>
  <c r="N111" i="8" s="1"/>
  <c r="N109" i="8" s="1"/>
  <c r="S24" i="4"/>
  <c r="X111" i="8" s="1"/>
  <c r="X109" i="8" s="1"/>
  <c r="R24" i="4"/>
  <c r="W111" i="8" s="1"/>
  <c r="W109" i="8" s="1"/>
  <c r="P24" i="4"/>
  <c r="U111" i="8" s="1"/>
  <c r="U109" i="8" s="1"/>
  <c r="Q24" i="4"/>
  <c r="V111" i="8" s="1"/>
  <c r="V109" i="8" s="1"/>
  <c r="W24" i="4"/>
  <c r="AB111" i="8" s="1"/>
  <c r="AB109" i="8" s="1"/>
  <c r="E24" i="4"/>
  <c r="G24" i="4"/>
  <c r="L111" i="8" s="1"/>
  <c r="M24" i="4"/>
  <c r="R63" i="8" s="1"/>
  <c r="P111" i="8"/>
  <c r="P109" i="8" s="1"/>
  <c r="P63" i="8"/>
  <c r="G53" i="4"/>
  <c r="G55" i="4" s="1"/>
  <c r="F57" i="4"/>
  <c r="AA111" i="8" l="1"/>
  <c r="AA109" i="8" s="1"/>
  <c r="E124" i="4"/>
  <c r="T111" i="8"/>
  <c r="T109" i="8" s="1"/>
  <c r="M63" i="8"/>
  <c r="E25" i="4"/>
  <c r="AC111" i="8"/>
  <c r="AC109" i="8" s="1"/>
  <c r="U63" i="8"/>
  <c r="Y111" i="8"/>
  <c r="Y109" i="8" s="1"/>
  <c r="V63" i="8"/>
  <c r="N63" i="8"/>
  <c r="Q63" i="8"/>
  <c r="O63" i="8"/>
  <c r="L63" i="8"/>
  <c r="W63" i="8"/>
  <c r="Z111" i="8"/>
  <c r="Z109" i="8" s="1"/>
  <c r="S63" i="8"/>
  <c r="A24" i="4"/>
  <c r="X63" i="8"/>
  <c r="AB63" i="8"/>
  <c r="R111" i="8"/>
  <c r="R109" i="8" s="1"/>
  <c r="L109" i="8"/>
  <c r="H14" i="4"/>
  <c r="L26" i="8"/>
  <c r="H51" i="4"/>
  <c r="L30" i="8"/>
  <c r="G18" i="4"/>
  <c r="F23" i="4" l="1"/>
  <c r="F25" i="4" s="1"/>
  <c r="F27" i="4" s="1"/>
  <c r="E27" i="4"/>
  <c r="J27" i="8"/>
  <c r="L65" i="8"/>
  <c r="B111" i="8"/>
  <c r="F124" i="4"/>
  <c r="L104" i="8"/>
  <c r="H53" i="4"/>
  <c r="H55" i="4" s="1"/>
  <c r="G57" i="4"/>
  <c r="H16" i="4"/>
  <c r="H18" i="4" s="1"/>
  <c r="G23" i="4" l="1"/>
  <c r="K27" i="8"/>
  <c r="G124" i="4"/>
  <c r="M104" i="8"/>
  <c r="H57" i="4"/>
  <c r="I14" i="4"/>
  <c r="M26" i="8"/>
  <c r="I51" i="4"/>
  <c r="M30" i="8"/>
  <c r="M65" i="8" l="1"/>
  <c r="G25" i="4"/>
  <c r="G27" i="4" s="1"/>
  <c r="I53" i="4"/>
  <c r="I55" i="4" s="1"/>
  <c r="I16" i="4"/>
  <c r="I18" i="4" s="1"/>
  <c r="L105" i="8" l="1"/>
  <c r="H23" i="4"/>
  <c r="H25" i="4" s="1"/>
  <c r="L27" i="8"/>
  <c r="H124" i="4"/>
  <c r="N104" i="8"/>
  <c r="J14" i="4"/>
  <c r="N26" i="8"/>
  <c r="J51" i="4"/>
  <c r="N30" i="8"/>
  <c r="N65" i="8" l="1"/>
  <c r="H27" i="4"/>
  <c r="I23" i="4"/>
  <c r="I25" i="4" s="1"/>
  <c r="M27" i="8"/>
  <c r="I57" i="4"/>
  <c r="J16" i="4"/>
  <c r="J18" i="4" s="1"/>
  <c r="J53" i="4"/>
  <c r="J55" i="4" s="1"/>
  <c r="I27" i="4" l="1"/>
  <c r="N105" i="8" s="1"/>
  <c r="J23" i="4"/>
  <c r="N27" i="8"/>
  <c r="M105" i="8"/>
  <c r="I124" i="4"/>
  <c r="O104" i="8"/>
  <c r="K14" i="4"/>
  <c r="O26" i="8"/>
  <c r="K51" i="4"/>
  <c r="O30" i="8"/>
  <c r="O65" i="8" l="1"/>
  <c r="J25" i="4"/>
  <c r="J27" i="4" s="1"/>
  <c r="J57" i="4"/>
  <c r="K53" i="4"/>
  <c r="K55" i="4" s="1"/>
  <c r="K16" i="4"/>
  <c r="O105" i="8" l="1"/>
  <c r="K23" i="4"/>
  <c r="O27" i="8"/>
  <c r="K57" i="4"/>
  <c r="L14" i="4"/>
  <c r="P26" i="8"/>
  <c r="K18" i="4"/>
  <c r="L51" i="4"/>
  <c r="P30" i="8"/>
  <c r="P65" i="8" l="1"/>
  <c r="K25" i="4"/>
  <c r="K27" i="4" s="1"/>
  <c r="P105" i="8" s="1"/>
  <c r="J124" i="4"/>
  <c r="P104" i="8"/>
  <c r="L53" i="4"/>
  <c r="L55" i="4" s="1"/>
  <c r="L16" i="4"/>
  <c r="L18" i="4" s="1"/>
  <c r="L23" i="4" l="1"/>
  <c r="P27" i="8"/>
  <c r="K124" i="4"/>
  <c r="Q104" i="8"/>
  <c r="M51" i="4"/>
  <c r="Q30" i="8"/>
  <c r="M14" i="4"/>
  <c r="Q26" i="8"/>
  <c r="Q65" i="8" l="1"/>
  <c r="L25" i="4"/>
  <c r="L27" i="4" s="1"/>
  <c r="Q105" i="8" s="1"/>
  <c r="L57" i="4"/>
  <c r="M16" i="4"/>
  <c r="M53" i="4"/>
  <c r="M55" i="4" s="1"/>
  <c r="M23" i="4" l="1"/>
  <c r="Q27" i="8"/>
  <c r="R26" i="8"/>
  <c r="N14" i="4"/>
  <c r="N51" i="4"/>
  <c r="R30" i="8"/>
  <c r="M18" i="4"/>
  <c r="R65" i="8" l="1"/>
  <c r="M25" i="4"/>
  <c r="M27" i="4" s="1"/>
  <c r="R105" i="8" s="1"/>
  <c r="L124" i="4"/>
  <c r="R104" i="8"/>
  <c r="M57" i="4"/>
  <c r="N53" i="4"/>
  <c r="N55" i="4" s="1"/>
  <c r="N16" i="4"/>
  <c r="N18" i="4" s="1"/>
  <c r="N23" i="4" l="1"/>
  <c r="R27" i="8"/>
  <c r="M124" i="4"/>
  <c r="S104" i="8"/>
  <c r="N57" i="4"/>
  <c r="O14" i="4"/>
  <c r="S26" i="8"/>
  <c r="O51" i="4"/>
  <c r="S30" i="8"/>
  <c r="S65" i="8" l="1"/>
  <c r="N25" i="4"/>
  <c r="N27" i="4" s="1"/>
  <c r="S105" i="8" s="1"/>
  <c r="O16" i="4"/>
  <c r="O53" i="4"/>
  <c r="O55" i="4" s="1"/>
  <c r="O23" i="4" l="1"/>
  <c r="O25" i="4" s="1"/>
  <c r="S27" i="8"/>
  <c r="P14" i="4"/>
  <c r="T26" i="8"/>
  <c r="P51" i="4"/>
  <c r="T30" i="8"/>
  <c r="O18" i="4"/>
  <c r="T65" i="8" l="1"/>
  <c r="O27" i="4"/>
  <c r="T105" i="8" s="1"/>
  <c r="P23" i="4"/>
  <c r="T27" i="8"/>
  <c r="N124" i="4"/>
  <c r="T104" i="8"/>
  <c r="O57" i="4"/>
  <c r="P53" i="4"/>
  <c r="P55" i="4" s="1"/>
  <c r="P16" i="4"/>
  <c r="P18" i="4" s="1"/>
  <c r="P25" i="4" l="1"/>
  <c r="P27" i="4" s="1"/>
  <c r="U105" i="8" s="1"/>
  <c r="O124" i="4"/>
  <c r="U104" i="8"/>
  <c r="Q14" i="4"/>
  <c r="U26" i="8"/>
  <c r="Q51" i="4"/>
  <c r="U30" i="8"/>
  <c r="U65" i="8" l="1"/>
  <c r="U27" i="8"/>
  <c r="Q23" i="4"/>
  <c r="P57" i="4"/>
  <c r="Q53" i="4"/>
  <c r="Q55" i="4" s="1"/>
  <c r="Q16" i="4"/>
  <c r="Q18" i="4" s="1"/>
  <c r="Q25" i="4" l="1"/>
  <c r="Q27" i="4" s="1"/>
  <c r="V105" i="8" s="1"/>
  <c r="P124" i="4"/>
  <c r="V104" i="8"/>
  <c r="Q57" i="4"/>
  <c r="R14" i="4"/>
  <c r="V26" i="8"/>
  <c r="R51" i="4"/>
  <c r="V30" i="8"/>
  <c r="V65" i="8" l="1"/>
  <c r="R23" i="4"/>
  <c r="V27" i="8"/>
  <c r="R53" i="4"/>
  <c r="R55" i="4" s="1"/>
  <c r="R16" i="4"/>
  <c r="R18" i="4" s="1"/>
  <c r="R25" i="4" l="1"/>
  <c r="R27" i="4" s="1"/>
  <c r="W105" i="8" s="1"/>
  <c r="Q124" i="4"/>
  <c r="W104" i="8"/>
  <c r="S51" i="4"/>
  <c r="W30" i="8"/>
  <c r="S14" i="4"/>
  <c r="W26" i="8"/>
  <c r="W65" i="8" l="1"/>
  <c r="S23" i="4"/>
  <c r="W27" i="8"/>
  <c r="R57" i="4"/>
  <c r="S16" i="4"/>
  <c r="S53" i="4"/>
  <c r="S55" i="4" s="1"/>
  <c r="S25" i="4" l="1"/>
  <c r="S27" i="4" s="1"/>
  <c r="X105" i="8" s="1"/>
  <c r="T14" i="4"/>
  <c r="X26" i="8"/>
  <c r="T51" i="4"/>
  <c r="X30" i="8"/>
  <c r="S18" i="4"/>
  <c r="X65" i="8" l="1"/>
  <c r="T23" i="4"/>
  <c r="X27" i="8"/>
  <c r="R124" i="4"/>
  <c r="X104" i="8"/>
  <c r="S57" i="4"/>
  <c r="T53" i="4"/>
  <c r="T55" i="4" s="1"/>
  <c r="T16" i="4"/>
  <c r="T18" i="4" s="1"/>
  <c r="T25" i="4" l="1"/>
  <c r="T27" i="4" s="1"/>
  <c r="Y105" i="8" s="1"/>
  <c r="S124" i="4"/>
  <c r="Y104" i="8"/>
  <c r="U14" i="4"/>
  <c r="Y26" i="8"/>
  <c r="U51" i="4"/>
  <c r="Y30" i="8"/>
  <c r="Y65" i="8" l="1"/>
  <c r="U23" i="4"/>
  <c r="Y27" i="8"/>
  <c r="U53" i="4"/>
  <c r="U55" i="4" s="1"/>
  <c r="U16" i="4"/>
  <c r="U25" i="4" l="1"/>
  <c r="U27" i="4" s="1"/>
  <c r="Z105" i="8" s="1"/>
  <c r="V14" i="4"/>
  <c r="Z26" i="8"/>
  <c r="U18" i="4"/>
  <c r="V51" i="4"/>
  <c r="Z30" i="8"/>
  <c r="Z65" i="8" s="1"/>
  <c r="V23" i="4" l="1"/>
  <c r="Z27" i="8"/>
  <c r="T124" i="4"/>
  <c r="Z104" i="8"/>
  <c r="V53" i="4"/>
  <c r="V55" i="4" s="1"/>
  <c r="V16" i="4"/>
  <c r="V18" i="4" s="1"/>
  <c r="V25" i="4" l="1"/>
  <c r="V27" i="4" s="1"/>
  <c r="AA105" i="8" s="1"/>
  <c r="Z114" i="8"/>
  <c r="U124" i="4"/>
  <c r="AA104" i="8"/>
  <c r="W51" i="4"/>
  <c r="AA30" i="8"/>
  <c r="AA65" i="8" s="1"/>
  <c r="W14" i="4"/>
  <c r="AA26" i="8"/>
  <c r="W23" i="4" l="1"/>
  <c r="W25" i="4" s="1"/>
  <c r="AA27" i="8"/>
  <c r="W16" i="4"/>
  <c r="W18" i="4" s="1"/>
  <c r="W53" i="4"/>
  <c r="W55" i="4" s="1"/>
  <c r="W27" i="4" l="1"/>
  <c r="AB105" i="8" s="1"/>
  <c r="X23" i="4"/>
  <c r="AB27" i="8"/>
  <c r="V124" i="4"/>
  <c r="AB104" i="8"/>
  <c r="X14" i="4"/>
  <c r="AB26" i="8"/>
  <c r="X51" i="4"/>
  <c r="AB30" i="8"/>
  <c r="AB65" i="8" s="1"/>
  <c r="X25" i="4" l="1"/>
  <c r="AC27" i="8" s="1"/>
  <c r="X53" i="4"/>
  <c r="AC30" i="8" s="1"/>
  <c r="AC65" i="8" s="1"/>
  <c r="X16" i="4"/>
  <c r="AC26" i="8" s="1"/>
  <c r="X27" i="4" l="1"/>
  <c r="AC105" i="8" s="1"/>
  <c r="B105" i="8" s="1"/>
  <c r="AB114" i="8"/>
  <c r="X55" i="4"/>
  <c r="X18" i="4"/>
  <c r="A27" i="4" l="1"/>
  <c r="W124" i="4"/>
  <c r="AC104" i="8"/>
  <c r="A55" i="4"/>
  <c r="A18" i="4"/>
  <c r="B104" i="8" l="1"/>
  <c r="N53" i="5"/>
  <c r="AC114" i="8" l="1"/>
  <c r="Z99" i="8" l="1"/>
  <c r="AB99" i="8"/>
  <c r="AC99" i="8"/>
  <c r="Z115" i="8" l="1"/>
  <c r="U3" i="4" s="1"/>
  <c r="AB115" i="8"/>
  <c r="W3" i="4" s="1"/>
  <c r="AC115" i="8"/>
  <c r="X3" i="4" s="1"/>
  <c r="D127" i="4" l="1"/>
  <c r="D129" i="4" s="1"/>
  <c r="E126" i="4" l="1"/>
  <c r="I17" i="8"/>
  <c r="E128" i="4" l="1"/>
  <c r="I151" i="8" l="1"/>
  <c r="E117" i="4" l="1"/>
  <c r="I8" i="8" l="1"/>
  <c r="I18" i="8" l="1"/>
  <c r="D89" i="2" l="1"/>
  <c r="D92" i="2" s="1"/>
  <c r="I176" i="8" l="1"/>
  <c r="D20" i="5" l="1"/>
  <c r="D22" i="5" s="1"/>
  <c r="M16" i="5" l="1"/>
  <c r="D23" i="5"/>
  <c r="D26" i="5"/>
  <c r="D27" i="5"/>
  <c r="D29" i="5" s="1"/>
  <c r="D30" i="5" s="1"/>
  <c r="D52" i="5" l="1"/>
  <c r="T53" i="5" s="1"/>
  <c r="D50" i="5"/>
  <c r="D51" i="5" s="1"/>
  <c r="D55" i="5" s="1"/>
  <c r="D54" i="5" l="1"/>
  <c r="I179" i="8"/>
  <c r="D94" i="2"/>
  <c r="I182" i="8" l="1"/>
  <c r="I25" i="8" l="1"/>
  <c r="I42" i="8" l="1"/>
  <c r="I44" i="8" l="1"/>
  <c r="I43" i="8"/>
  <c r="E89" i="2" l="1"/>
  <c r="E80" i="4"/>
  <c r="J151" i="8"/>
  <c r="J176" i="8" s="1"/>
  <c r="J177" i="8" l="1"/>
  <c r="E92" i="2" l="1"/>
  <c r="E61" i="5" l="1"/>
  <c r="E38" i="5"/>
  <c r="E40" i="5" s="1"/>
  <c r="E60" i="5"/>
  <c r="E14" i="5"/>
  <c r="E62" i="5" l="1"/>
  <c r="E63" i="5" s="1"/>
  <c r="E15" i="5"/>
  <c r="E20" i="5"/>
  <c r="E22" i="5" s="1"/>
  <c r="E41" i="5"/>
  <c r="E44" i="5" s="1"/>
  <c r="E45" i="5" s="1"/>
  <c r="E46" i="5" s="1"/>
  <c r="E47" i="5" s="1"/>
  <c r="E48" i="5" s="1"/>
  <c r="E17" i="5" l="1"/>
  <c r="E35" i="5" s="1"/>
  <c r="N16" i="5"/>
  <c r="E27" i="5"/>
  <c r="E29" i="5" s="1"/>
  <c r="E30" i="5" s="1"/>
  <c r="E52" i="5" s="1"/>
  <c r="E26" i="5"/>
  <c r="E23" i="5"/>
  <c r="E50" i="5" l="1"/>
  <c r="E51" i="5" s="1"/>
  <c r="E55" i="5" s="1"/>
  <c r="U53" i="5"/>
  <c r="E54" i="5" l="1"/>
  <c r="J179" i="8"/>
  <c r="E94" i="2"/>
  <c r="J182" i="8" l="1"/>
  <c r="E109" i="4" l="1"/>
  <c r="E119" i="4" l="1"/>
  <c r="E125" i="4" l="1"/>
  <c r="E127" i="4" s="1"/>
  <c r="E129" i="4" l="1"/>
  <c r="F126" i="4" l="1"/>
  <c r="J17" i="8"/>
  <c r="E110" i="4"/>
  <c r="F128" i="4" l="1"/>
  <c r="E112" i="4"/>
  <c r="E107" i="4" l="1"/>
  <c r="E113" i="4"/>
  <c r="E118" i="4" s="1"/>
  <c r="E120" i="4" s="1"/>
  <c r="F117" i="4" s="1"/>
  <c r="E115" i="4"/>
  <c r="J25" i="8" l="1"/>
  <c r="J8" i="8" l="1"/>
  <c r="J42" i="8"/>
  <c r="J18" i="8" l="1"/>
  <c r="J43" i="8" s="1"/>
  <c r="J44" i="8" l="1"/>
  <c r="AA99" i="8" l="1"/>
  <c r="AA114" i="8"/>
  <c r="AA115" i="8" l="1"/>
  <c r="V3" i="4" s="1"/>
  <c r="L99" i="8"/>
  <c r="V99" i="8"/>
  <c r="W99" i="8"/>
  <c r="X99" i="8"/>
  <c r="Y99" i="8"/>
  <c r="L114" i="8"/>
  <c r="V114" i="8"/>
  <c r="W114" i="8"/>
  <c r="X114" i="8"/>
  <c r="Y114" i="8"/>
  <c r="X115" i="8" l="1"/>
  <c r="Y115" i="8"/>
  <c r="W115" i="8"/>
  <c r="V115" i="8"/>
  <c r="L115" i="8"/>
  <c r="M99" i="8" l="1"/>
  <c r="M114" i="8"/>
  <c r="M115" i="8" l="1"/>
  <c r="O125" i="4" l="1"/>
  <c r="M125" i="4"/>
  <c r="Q125" i="4"/>
  <c r="L125" i="4"/>
  <c r="T125" i="4"/>
  <c r="N125" i="4"/>
  <c r="X125" i="4"/>
  <c r="K125" i="4"/>
  <c r="G125" i="4"/>
  <c r="H125" i="4"/>
  <c r="F110" i="4"/>
  <c r="V125" i="4"/>
  <c r="W125" i="4"/>
  <c r="R125" i="4"/>
  <c r="P125" i="4"/>
  <c r="S125" i="4"/>
  <c r="U125" i="4"/>
  <c r="J125" i="4"/>
  <c r="I125" i="4"/>
  <c r="F125" i="4"/>
  <c r="F127" i="4" s="1"/>
  <c r="F129" i="4" l="1"/>
  <c r="G126" i="4" l="1"/>
  <c r="K17" i="8"/>
  <c r="K151" i="8" l="1"/>
  <c r="G127" i="4"/>
  <c r="G128" i="4"/>
  <c r="L79" i="8" s="1"/>
  <c r="F80" i="4" l="1"/>
  <c r="F89" i="2"/>
  <c r="L98" i="8"/>
  <c r="L78" i="8"/>
  <c r="K177" i="8"/>
  <c r="K176" i="8"/>
  <c r="G129" i="4"/>
  <c r="F92" i="2" l="1"/>
  <c r="L17" i="8"/>
  <c r="G74" i="2" s="1"/>
  <c r="H126" i="4"/>
  <c r="F7" i="5"/>
  <c r="G80" i="4" l="1"/>
  <c r="F61" i="5"/>
  <c r="F60" i="5"/>
  <c r="F14" i="5"/>
  <c r="F38" i="5"/>
  <c r="F40" i="5" s="1"/>
  <c r="H127" i="4"/>
  <c r="H128" i="4"/>
  <c r="M79" i="8" s="1"/>
  <c r="G89" i="2" l="1"/>
  <c r="L151" i="8"/>
  <c r="L108" i="8"/>
  <c r="L102" i="8" s="1"/>
  <c r="F62" i="5"/>
  <c r="F63" i="5" s="1"/>
  <c r="F20" i="5"/>
  <c r="F22" i="5" s="1"/>
  <c r="F15" i="5"/>
  <c r="M98" i="8"/>
  <c r="M78" i="8"/>
  <c r="F45" i="5"/>
  <c r="F46" i="5" s="1"/>
  <c r="F47" i="5" s="1"/>
  <c r="F48" i="5" s="1"/>
  <c r="F44" i="5"/>
  <c r="F41" i="5"/>
  <c r="H129" i="4"/>
  <c r="L176" i="8" l="1"/>
  <c r="O16" i="5"/>
  <c r="F17" i="5"/>
  <c r="F35" i="5" s="1"/>
  <c r="M17" i="8"/>
  <c r="H74" i="2" s="1"/>
  <c r="I126" i="4"/>
  <c r="F27" i="5"/>
  <c r="F29" i="5" s="1"/>
  <c r="F30" i="5" s="1"/>
  <c r="F52" i="5" s="1"/>
  <c r="F26" i="5"/>
  <c r="F23" i="5"/>
  <c r="H80" i="4" l="1"/>
  <c r="L48" i="8"/>
  <c r="I127" i="4"/>
  <c r="I128" i="4"/>
  <c r="N79" i="8" s="1"/>
  <c r="F50" i="5"/>
  <c r="F51" i="5" s="1"/>
  <c r="F55" i="5" s="1"/>
  <c r="V53" i="5"/>
  <c r="M151" i="8" l="1"/>
  <c r="H89" i="2"/>
  <c r="L85" i="8"/>
  <c r="F54" i="5"/>
  <c r="K179" i="8"/>
  <c r="F94" i="2"/>
  <c r="N78" i="8"/>
  <c r="N98" i="8"/>
  <c r="I129" i="4"/>
  <c r="M108" i="8"/>
  <c r="M102" i="8" s="1"/>
  <c r="M176" i="8" l="1"/>
  <c r="K182" i="8"/>
  <c r="N17" i="8"/>
  <c r="I74" i="2" s="1"/>
  <c r="J126" i="4"/>
  <c r="M48" i="8" l="1"/>
  <c r="N151" i="8"/>
  <c r="F139" i="4"/>
  <c r="F109" i="4"/>
  <c r="J128" i="4"/>
  <c r="O79" i="8" s="1"/>
  <c r="J127" i="4"/>
  <c r="M85" i="8" l="1"/>
  <c r="I80" i="4"/>
  <c r="I89" i="2"/>
  <c r="F141" i="4"/>
  <c r="G136" i="4"/>
  <c r="O98" i="8"/>
  <c r="O78" i="8"/>
  <c r="J129" i="4"/>
  <c r="F119" i="4"/>
  <c r="F112" i="4"/>
  <c r="N176" i="8"/>
  <c r="N108" i="8" l="1"/>
  <c r="N102" i="8" s="1"/>
  <c r="N48" i="8"/>
  <c r="O17" i="8"/>
  <c r="J74" i="2" s="1"/>
  <c r="K126" i="4"/>
  <c r="F107" i="4"/>
  <c r="G110" i="4"/>
  <c r="F113" i="4"/>
  <c r="F118" i="4" s="1"/>
  <c r="F120" i="4" s="1"/>
  <c r="G117" i="4" s="1"/>
  <c r="F115" i="4"/>
  <c r="N114" i="8"/>
  <c r="G141" i="4" l="1"/>
  <c r="G91" i="2" s="1"/>
  <c r="J80" i="4"/>
  <c r="K127" i="4"/>
  <c r="K128" i="4"/>
  <c r="P79" i="8" s="1"/>
  <c r="N85" i="8"/>
  <c r="L177" i="8" l="1"/>
  <c r="G92" i="2"/>
  <c r="O151" i="8"/>
  <c r="J89" i="2"/>
  <c r="G139" i="4"/>
  <c r="H136" i="4" s="1"/>
  <c r="K129" i="4"/>
  <c r="L126" i="4" s="1"/>
  <c r="K25" i="8"/>
  <c r="O108" i="8"/>
  <c r="O102" i="8" s="1"/>
  <c r="P78" i="8"/>
  <c r="P98" i="8"/>
  <c r="L62" i="8" l="1"/>
  <c r="G7" i="5"/>
  <c r="O176" i="8"/>
  <c r="H139" i="4"/>
  <c r="I136" i="4" s="1"/>
  <c r="I139" i="4" s="1"/>
  <c r="L29" i="8"/>
  <c r="L68" i="8" s="1"/>
  <c r="P17" i="8"/>
  <c r="K74" i="2" s="1"/>
  <c r="L128" i="4"/>
  <c r="Q79" i="8" s="1"/>
  <c r="L127" i="4"/>
  <c r="K42" i="8"/>
  <c r="O114" i="8"/>
  <c r="K8" i="8"/>
  <c r="L80" i="8"/>
  <c r="G61" i="5" l="1"/>
  <c r="G38" i="5"/>
  <c r="G40" i="5" s="1"/>
  <c r="G60" i="5"/>
  <c r="G14" i="5"/>
  <c r="L61" i="8"/>
  <c r="O48" i="8"/>
  <c r="P151" i="8"/>
  <c r="H141" i="4"/>
  <c r="H91" i="2" s="1"/>
  <c r="M29" i="8"/>
  <c r="M68" i="8" s="1"/>
  <c r="J136" i="4"/>
  <c r="N29" i="8"/>
  <c r="I141" i="4"/>
  <c r="I91" i="2" s="1"/>
  <c r="K18" i="8"/>
  <c r="K43" i="8" s="1"/>
  <c r="Q78" i="8"/>
  <c r="Q98" i="8"/>
  <c r="L129" i="4"/>
  <c r="N177" i="8" l="1"/>
  <c r="I92" i="2"/>
  <c r="M177" i="8"/>
  <c r="H92" i="2"/>
  <c r="N68" i="8"/>
  <c r="G20" i="5"/>
  <c r="G22" i="5" s="1"/>
  <c r="G15" i="5"/>
  <c r="G62" i="5"/>
  <c r="G44" i="5"/>
  <c r="G45" i="5"/>
  <c r="G46" i="5" s="1"/>
  <c r="G47" i="5" s="1"/>
  <c r="G48" i="5" s="1"/>
  <c r="G41" i="5"/>
  <c r="J137" i="4"/>
  <c r="J139" i="4" s="1"/>
  <c r="O29" i="8" s="1"/>
  <c r="O68" i="8" s="1"/>
  <c r="O85" i="8"/>
  <c r="K89" i="2"/>
  <c r="P176" i="8"/>
  <c r="K80" i="4"/>
  <c r="Q17" i="8"/>
  <c r="L74" i="2" s="1"/>
  <c r="M126" i="4"/>
  <c r="K44" i="8"/>
  <c r="G17" i="5" l="1"/>
  <c r="G35" i="5" s="1"/>
  <c r="P16" i="5"/>
  <c r="G26" i="5"/>
  <c r="G23" i="5"/>
  <c r="G27" i="5"/>
  <c r="G29" i="5" s="1"/>
  <c r="G30" i="5" s="1"/>
  <c r="G52" i="5" s="1"/>
  <c r="M62" i="8"/>
  <c r="H7" i="5"/>
  <c r="L180" i="8"/>
  <c r="G63" i="5"/>
  <c r="I7" i="5"/>
  <c r="N62" i="8"/>
  <c r="P108" i="8"/>
  <c r="P102" i="8" s="1"/>
  <c r="P48" i="8"/>
  <c r="P85" i="8" s="1"/>
  <c r="L89" i="2"/>
  <c r="K136" i="4"/>
  <c r="J141" i="4"/>
  <c r="J91" i="2" s="1"/>
  <c r="M127" i="4"/>
  <c r="M128" i="4"/>
  <c r="R79" i="8" s="1"/>
  <c r="G50" i="5" l="1"/>
  <c r="G51" i="5" s="1"/>
  <c r="G55" i="5" s="1"/>
  <c r="G93" i="2" s="1"/>
  <c r="G94" i="2" s="1"/>
  <c r="O177" i="8"/>
  <c r="J92" i="2"/>
  <c r="N61" i="8"/>
  <c r="M61" i="8"/>
  <c r="I14" i="5"/>
  <c r="I38" i="5"/>
  <c r="I40" i="5" s="1"/>
  <c r="I60" i="5"/>
  <c r="I61" i="5"/>
  <c r="L32" i="8"/>
  <c r="H60" i="5"/>
  <c r="H38" i="5"/>
  <c r="H40" i="5" s="1"/>
  <c r="H14" i="5"/>
  <c r="H61" i="5"/>
  <c r="W53" i="5"/>
  <c r="L80" i="4"/>
  <c r="Q108" i="8" s="1"/>
  <c r="Q102" i="8" s="1"/>
  <c r="Q151" i="8"/>
  <c r="P114" i="8"/>
  <c r="M129" i="4"/>
  <c r="R17" i="8" s="1"/>
  <c r="M74" i="2" s="1"/>
  <c r="R98" i="8"/>
  <c r="R78" i="8"/>
  <c r="G54" i="5" l="1"/>
  <c r="H62" i="5"/>
  <c r="M180" i="8" s="1"/>
  <c r="L179" i="8"/>
  <c r="H20" i="5"/>
  <c r="H22" i="5" s="1"/>
  <c r="H15" i="5"/>
  <c r="I15" i="5"/>
  <c r="R16" i="5" s="1"/>
  <c r="I20" i="5"/>
  <c r="I22" i="5" s="1"/>
  <c r="I44" i="5"/>
  <c r="I45" i="5"/>
  <c r="I46" i="5" s="1"/>
  <c r="I47" i="5" s="1"/>
  <c r="I48" i="5" s="1"/>
  <c r="H45" i="5"/>
  <c r="H46" i="5" s="1"/>
  <c r="H47" i="5" s="1"/>
  <c r="H48" i="5" s="1"/>
  <c r="H44" i="5"/>
  <c r="H41" i="5"/>
  <c r="I41" i="5" s="1"/>
  <c r="O62" i="8"/>
  <c r="J7" i="5"/>
  <c r="I62" i="5"/>
  <c r="K137" i="4"/>
  <c r="K139" i="4" s="1"/>
  <c r="L136" i="4" s="1"/>
  <c r="Q176" i="8"/>
  <c r="Q48" i="8" s="1"/>
  <c r="M89" i="2"/>
  <c r="N126" i="4"/>
  <c r="N127" i="4" s="1"/>
  <c r="N99" i="8"/>
  <c r="Q114" i="8"/>
  <c r="H63" i="5" l="1"/>
  <c r="M32" i="8" s="1"/>
  <c r="L49" i="8"/>
  <c r="L182" i="8"/>
  <c r="J38" i="5"/>
  <c r="J40" i="5" s="1"/>
  <c r="J41" i="5" s="1"/>
  <c r="J14" i="5"/>
  <c r="J61" i="5"/>
  <c r="J60" i="5"/>
  <c r="O61" i="8"/>
  <c r="Q16" i="5"/>
  <c r="I17" i="5"/>
  <c r="I35" i="5" s="1"/>
  <c r="H17" i="5"/>
  <c r="H35" i="5" s="1"/>
  <c r="I26" i="5"/>
  <c r="I27" i="5"/>
  <c r="I29" i="5" s="1"/>
  <c r="I30" i="5" s="1"/>
  <c r="I52" i="5" s="1"/>
  <c r="N180" i="8"/>
  <c r="H26" i="5"/>
  <c r="H27" i="5"/>
  <c r="H29" i="5" s="1"/>
  <c r="H30" i="5" s="1"/>
  <c r="H52" i="5" s="1"/>
  <c r="H23" i="5"/>
  <c r="I23" i="5" s="1"/>
  <c r="K141" i="4"/>
  <c r="K91" i="2" s="1"/>
  <c r="P29" i="8"/>
  <c r="P68" i="8" s="1"/>
  <c r="R151" i="8"/>
  <c r="M80" i="4"/>
  <c r="N128" i="4"/>
  <c r="S79" i="8" s="1"/>
  <c r="Q85" i="8"/>
  <c r="S78" i="8"/>
  <c r="N115" i="8"/>
  <c r="I63" i="5" l="1"/>
  <c r="N32" i="8" s="1"/>
  <c r="L47" i="8"/>
  <c r="L76" i="8" s="1"/>
  <c r="L86" i="8"/>
  <c r="G109" i="4"/>
  <c r="G112" i="4" s="1"/>
  <c r="J62" i="5"/>
  <c r="O180" i="8" s="1"/>
  <c r="P177" i="8"/>
  <c r="K92" i="2"/>
  <c r="I50" i="5"/>
  <c r="X53" i="5"/>
  <c r="H50" i="5"/>
  <c r="H51" i="5" s="1"/>
  <c r="H55" i="5" s="1"/>
  <c r="H93" i="2" s="1"/>
  <c r="J20" i="5"/>
  <c r="J22" i="5" s="1"/>
  <c r="J26" i="5" s="1"/>
  <c r="J27" i="5" s="1"/>
  <c r="J29" i="5" s="1"/>
  <c r="J30" i="5" s="1"/>
  <c r="J15" i="5"/>
  <c r="L137" i="4"/>
  <c r="L139" i="4" s="1"/>
  <c r="Q29" i="8" s="1"/>
  <c r="Q68" i="8" s="1"/>
  <c r="R108" i="8"/>
  <c r="R102" i="8" s="1"/>
  <c r="R176" i="8"/>
  <c r="S98" i="8"/>
  <c r="N129" i="4"/>
  <c r="S17" i="8" s="1"/>
  <c r="N74" i="2" s="1"/>
  <c r="G119" i="4" l="1"/>
  <c r="G107" i="4" s="1"/>
  <c r="L77" i="8" s="1"/>
  <c r="L81" i="8" s="1"/>
  <c r="J63" i="5"/>
  <c r="O32" i="8" s="1"/>
  <c r="S16" i="5"/>
  <c r="J17" i="5"/>
  <c r="J35" i="5" s="1"/>
  <c r="J44" i="5" s="1"/>
  <c r="J45" i="5" s="1"/>
  <c r="J46" i="5" s="1"/>
  <c r="J47" i="5" s="1"/>
  <c r="J48" i="5" s="1"/>
  <c r="J50" i="5" s="1"/>
  <c r="M179" i="8"/>
  <c r="H94" i="2"/>
  <c r="J23" i="5"/>
  <c r="H54" i="5"/>
  <c r="I51" i="5" s="1"/>
  <c r="H110" i="4"/>
  <c r="G115" i="4"/>
  <c r="G113" i="4"/>
  <c r="G118" i="4" s="1"/>
  <c r="P62" i="8"/>
  <c r="K7" i="5"/>
  <c r="R114" i="8"/>
  <c r="R48" i="8"/>
  <c r="O126" i="4"/>
  <c r="O128" i="4" s="1"/>
  <c r="T79" i="8" s="1"/>
  <c r="M136" i="4"/>
  <c r="L141" i="4"/>
  <c r="L91" i="2" s="1"/>
  <c r="G120" i="4" l="1"/>
  <c r="H117" i="4" s="1"/>
  <c r="I55" i="5"/>
  <c r="I93" i="2" s="1"/>
  <c r="I54" i="5"/>
  <c r="J51" i="5" s="1"/>
  <c r="J55" i="5" s="1"/>
  <c r="J93" i="2" s="1"/>
  <c r="Q177" i="8"/>
  <c r="L92" i="2"/>
  <c r="P61" i="8"/>
  <c r="M49" i="8"/>
  <c r="M182" i="8"/>
  <c r="K38" i="5"/>
  <c r="K40" i="5" s="1"/>
  <c r="K41" i="5" s="1"/>
  <c r="K60" i="5"/>
  <c r="K14" i="5"/>
  <c r="K61" i="5"/>
  <c r="L16" i="8"/>
  <c r="L20" i="8"/>
  <c r="J52" i="5"/>
  <c r="R85" i="8"/>
  <c r="N89" i="2"/>
  <c r="N80" i="4"/>
  <c r="S151" i="8"/>
  <c r="S176" i="8" s="1"/>
  <c r="O127" i="4"/>
  <c r="O129" i="4" s="1"/>
  <c r="M139" i="4"/>
  <c r="M141" i="4" s="1"/>
  <c r="M91" i="2" s="1"/>
  <c r="K62" i="5" l="1"/>
  <c r="P180" i="8" s="1"/>
  <c r="J94" i="2"/>
  <c r="O179" i="8"/>
  <c r="J54" i="5"/>
  <c r="M47" i="8"/>
  <c r="M86" i="8"/>
  <c r="N179" i="8"/>
  <c r="I94" i="2"/>
  <c r="L25" i="8"/>
  <c r="L7" i="5"/>
  <c r="Q62" i="8"/>
  <c r="R177" i="8"/>
  <c r="M92" i="2"/>
  <c r="K15" i="5"/>
  <c r="K20" i="5"/>
  <c r="K22" i="5" s="1"/>
  <c r="H109" i="4"/>
  <c r="M80" i="8"/>
  <c r="L8" i="8"/>
  <c r="S108" i="8"/>
  <c r="S102" i="8" s="1"/>
  <c r="S48" i="8"/>
  <c r="P126" i="4"/>
  <c r="P127" i="4" s="1"/>
  <c r="U78" i="8" s="1"/>
  <c r="T17" i="8"/>
  <c r="O74" i="2" s="1"/>
  <c r="T98" i="8"/>
  <c r="T78" i="8"/>
  <c r="N136" i="4"/>
  <c r="N139" i="4" s="1"/>
  <c r="R29" i="8"/>
  <c r="R68" i="8" s="1"/>
  <c r="K63" i="5" l="1"/>
  <c r="P32" i="8" s="1"/>
  <c r="L18" i="8"/>
  <c r="Q61" i="8"/>
  <c r="H119" i="4"/>
  <c r="H112" i="4"/>
  <c r="T16" i="5"/>
  <c r="K17" i="5"/>
  <c r="K35" i="5" s="1"/>
  <c r="K44" i="5" s="1"/>
  <c r="K45" i="5" s="1"/>
  <c r="K46" i="5" s="1"/>
  <c r="K47" i="5" s="1"/>
  <c r="K48" i="5" s="1"/>
  <c r="K23" i="5"/>
  <c r="K26" i="5"/>
  <c r="K27" i="5" s="1"/>
  <c r="K29" i="5" s="1"/>
  <c r="K30" i="5" s="1"/>
  <c r="N49" i="8"/>
  <c r="N182" i="8"/>
  <c r="L60" i="5"/>
  <c r="L14" i="5"/>
  <c r="L38" i="5"/>
  <c r="L40" i="5" s="1"/>
  <c r="L41" i="5" s="1"/>
  <c r="L61" i="5"/>
  <c r="L42" i="8"/>
  <c r="O49" i="8"/>
  <c r="O182" i="8"/>
  <c r="R62" i="8"/>
  <c r="M7" i="5"/>
  <c r="M76" i="8"/>
  <c r="S114" i="8"/>
  <c r="O80" i="4"/>
  <c r="T108" i="8" s="1"/>
  <c r="T102" i="8" s="1"/>
  <c r="S85" i="8"/>
  <c r="P128" i="4"/>
  <c r="U79" i="8" s="1"/>
  <c r="N141" i="4"/>
  <c r="N91" i="2" s="1"/>
  <c r="S177" i="8" s="1"/>
  <c r="O136" i="4"/>
  <c r="O139" i="4" s="1"/>
  <c r="S29" i="8"/>
  <c r="S68" i="8" s="1"/>
  <c r="N92" i="2" l="1"/>
  <c r="R61" i="8"/>
  <c r="L20" i="5"/>
  <c r="L22" i="5" s="1"/>
  <c r="L26" i="5" s="1"/>
  <c r="L27" i="5" s="1"/>
  <c r="L29" i="5" s="1"/>
  <c r="L30" i="5" s="1"/>
  <c r="L15" i="5"/>
  <c r="N86" i="8"/>
  <c r="N47" i="8"/>
  <c r="L43" i="8"/>
  <c r="K50" i="5"/>
  <c r="K51" i="5" s="1"/>
  <c r="K55" i="5" s="1"/>
  <c r="K93" i="2" s="1"/>
  <c r="K52" i="5"/>
  <c r="J109" i="4"/>
  <c r="L62" i="5"/>
  <c r="I109" i="4"/>
  <c r="H113" i="4"/>
  <c r="H118" i="4" s="1"/>
  <c r="H120" i="4" s="1"/>
  <c r="I117" i="4" s="1"/>
  <c r="H107" i="4"/>
  <c r="M77" i="8" s="1"/>
  <c r="I110" i="4"/>
  <c r="H115" i="4"/>
  <c r="L44" i="8"/>
  <c r="M61" i="5"/>
  <c r="M14" i="5"/>
  <c r="M60" i="5"/>
  <c r="M38" i="5"/>
  <c r="M40" i="5" s="1"/>
  <c r="M41" i="5" s="1"/>
  <c r="O47" i="8"/>
  <c r="O86" i="8"/>
  <c r="T151" i="8"/>
  <c r="T176" i="8" s="1"/>
  <c r="T114" i="8"/>
  <c r="O89" i="2"/>
  <c r="U98" i="8"/>
  <c r="S62" i="8"/>
  <c r="N7" i="5"/>
  <c r="P129" i="4"/>
  <c r="O141" i="4"/>
  <c r="O91" i="2" s="1"/>
  <c r="T177" i="8" s="1"/>
  <c r="T62" i="8" s="1"/>
  <c r="P136" i="4"/>
  <c r="P139" i="4" s="1"/>
  <c r="P141" i="4" s="1"/>
  <c r="T29" i="8"/>
  <c r="T68" i="8" s="1"/>
  <c r="L23" i="5" l="1"/>
  <c r="M20" i="5"/>
  <c r="M22" i="5" s="1"/>
  <c r="M15" i="5"/>
  <c r="V16" i="5" s="1"/>
  <c r="O76" i="8"/>
  <c r="M20" i="8"/>
  <c r="I112" i="4"/>
  <c r="I119" i="4"/>
  <c r="J119" i="4"/>
  <c r="K94" i="2"/>
  <c r="P179" i="8"/>
  <c r="M81" i="8"/>
  <c r="U16" i="5"/>
  <c r="L17" i="5"/>
  <c r="L35" i="5" s="1"/>
  <c r="L44" i="5" s="1"/>
  <c r="L45" i="5" s="1"/>
  <c r="L46" i="5" s="1"/>
  <c r="L47" i="5" s="1"/>
  <c r="L48" i="5" s="1"/>
  <c r="L50" i="5" s="1"/>
  <c r="O99" i="8"/>
  <c r="O115" i="8" s="1"/>
  <c r="M62" i="5"/>
  <c r="R180" i="8" s="1"/>
  <c r="Q180" i="8"/>
  <c r="L63" i="5"/>
  <c r="K54" i="5"/>
  <c r="N76" i="8"/>
  <c r="T48" i="8"/>
  <c r="T61" i="8"/>
  <c r="O7" i="5"/>
  <c r="O61" i="5" s="1"/>
  <c r="O92" i="2"/>
  <c r="N14" i="5"/>
  <c r="N61" i="5"/>
  <c r="N60" i="5"/>
  <c r="N38" i="5"/>
  <c r="N40" i="5" s="1"/>
  <c r="S61" i="8"/>
  <c r="U17" i="8"/>
  <c r="P74" i="2" s="1"/>
  <c r="Q126" i="4"/>
  <c r="Q136" i="4"/>
  <c r="Q139" i="4" s="1"/>
  <c r="Q141" i="4" s="1"/>
  <c r="U29" i="8"/>
  <c r="U68" i="8" s="1"/>
  <c r="M17" i="5" l="1"/>
  <c r="M35" i="5" s="1"/>
  <c r="M44" i="5" s="1"/>
  <c r="M45" i="5" s="1"/>
  <c r="M46" i="5" s="1"/>
  <c r="M47" i="5" s="1"/>
  <c r="M48" i="5" s="1"/>
  <c r="L52" i="5"/>
  <c r="P49" i="8"/>
  <c r="P182" i="8"/>
  <c r="L51" i="5"/>
  <c r="L55" i="5" s="1"/>
  <c r="L93" i="2" s="1"/>
  <c r="I113" i="4"/>
  <c r="I118" i="4" s="1"/>
  <c r="I120" i="4" s="1"/>
  <c r="J117" i="4" s="1"/>
  <c r="I107" i="4"/>
  <c r="N77" i="8" s="1"/>
  <c r="J110" i="4"/>
  <c r="Q32" i="8"/>
  <c r="M63" i="5"/>
  <c r="R32" i="8" s="1"/>
  <c r="M25" i="8"/>
  <c r="I115" i="4"/>
  <c r="M16" i="8"/>
  <c r="M23" i="5"/>
  <c r="M26" i="5"/>
  <c r="M27" i="5" s="1"/>
  <c r="M29" i="5" s="1"/>
  <c r="M30" i="5" s="1"/>
  <c r="T85" i="8"/>
  <c r="O14" i="5"/>
  <c r="O20" i="5" s="1"/>
  <c r="O22" i="5" s="1"/>
  <c r="O38" i="5"/>
  <c r="O40" i="5" s="1"/>
  <c r="O60" i="5"/>
  <c r="O62" i="5" s="1"/>
  <c r="T180" i="8" s="1"/>
  <c r="N20" i="5"/>
  <c r="N22" i="5" s="1"/>
  <c r="N15" i="5"/>
  <c r="U151" i="8"/>
  <c r="N62" i="5"/>
  <c r="N41" i="5"/>
  <c r="Q127" i="4"/>
  <c r="Q128" i="4"/>
  <c r="V79" i="8" s="1"/>
  <c r="R136" i="4"/>
  <c r="R139" i="4" s="1"/>
  <c r="R141" i="4" s="1"/>
  <c r="V29" i="8"/>
  <c r="V68" i="8" s="1"/>
  <c r="M52" i="5" l="1"/>
  <c r="N80" i="8"/>
  <c r="M8" i="8"/>
  <c r="K109" i="4"/>
  <c r="K119" i="4" s="1"/>
  <c r="J112" i="4"/>
  <c r="J115" i="4" s="1"/>
  <c r="Q179" i="8"/>
  <c r="L94" i="2"/>
  <c r="P47" i="8"/>
  <c r="P86" i="8"/>
  <c r="N20" i="8"/>
  <c r="M42" i="8"/>
  <c r="L54" i="5"/>
  <c r="M50" i="5"/>
  <c r="O15" i="5"/>
  <c r="X16" i="5" s="1"/>
  <c r="P89" i="2"/>
  <c r="O41" i="5"/>
  <c r="P80" i="4"/>
  <c r="N23" i="5"/>
  <c r="O23" i="5" s="1"/>
  <c r="N63" i="5"/>
  <c r="S180" i="8"/>
  <c r="N17" i="5"/>
  <c r="N35" i="5" s="1"/>
  <c r="N44" i="5" s="1"/>
  <c r="N45" i="5" s="1"/>
  <c r="N46" i="5" s="1"/>
  <c r="N47" i="5" s="1"/>
  <c r="N48" i="5" s="1"/>
  <c r="W16" i="5"/>
  <c r="U176" i="8"/>
  <c r="V78" i="8"/>
  <c r="V98" i="8"/>
  <c r="Q129" i="4"/>
  <c r="S136" i="4"/>
  <c r="W29" i="8"/>
  <c r="W68" i="8" s="1"/>
  <c r="P91" i="2" l="1"/>
  <c r="U177" i="8" s="1"/>
  <c r="M51" i="5"/>
  <c r="M55" i="5" s="1"/>
  <c r="M93" i="2" s="1"/>
  <c r="N25" i="8"/>
  <c r="P99" i="8"/>
  <c r="P115" i="8" s="1"/>
  <c r="Q182" i="8"/>
  <c r="Q49" i="8"/>
  <c r="M18" i="8"/>
  <c r="P76" i="8"/>
  <c r="J113" i="4"/>
  <c r="J118" i="4" s="1"/>
  <c r="J120" i="4" s="1"/>
  <c r="K117" i="4" s="1"/>
  <c r="K110" i="4"/>
  <c r="K112" i="4" s="1"/>
  <c r="K113" i="4" s="1"/>
  <c r="K118" i="4" s="1"/>
  <c r="J107" i="4"/>
  <c r="O77" i="8" s="1"/>
  <c r="N81" i="8"/>
  <c r="N26" i="5"/>
  <c r="N27" i="5" s="1"/>
  <c r="N29" i="5" s="1"/>
  <c r="N30" i="5" s="1"/>
  <c r="N52" i="5" s="1"/>
  <c r="O17" i="5"/>
  <c r="O35" i="5" s="1"/>
  <c r="O44" i="5" s="1"/>
  <c r="O45" i="5" s="1"/>
  <c r="O46" i="5" s="1"/>
  <c r="O47" i="5" s="1"/>
  <c r="O48" i="5" s="1"/>
  <c r="U108" i="8"/>
  <c r="U102" i="8" s="1"/>
  <c r="U114" i="8" s="1"/>
  <c r="S32" i="8"/>
  <c r="O63" i="5"/>
  <c r="T32" i="8" s="1"/>
  <c r="V17" i="8"/>
  <c r="Q74" i="2" s="1"/>
  <c r="R126" i="4"/>
  <c r="U48" i="8"/>
  <c r="S139" i="4"/>
  <c r="S141" i="4" s="1"/>
  <c r="P92" i="2" l="1"/>
  <c r="M54" i="5"/>
  <c r="P7" i="5"/>
  <c r="P38" i="5" s="1"/>
  <c r="P40" i="5" s="1"/>
  <c r="U62" i="8"/>
  <c r="K120" i="4"/>
  <c r="L117" i="4" s="1"/>
  <c r="K107" i="4"/>
  <c r="P77" i="8" s="1"/>
  <c r="M44" i="8"/>
  <c r="L109" i="4"/>
  <c r="N42" i="8"/>
  <c r="N16" i="8"/>
  <c r="K115" i="4"/>
  <c r="M43" i="8"/>
  <c r="Q86" i="8"/>
  <c r="Q47" i="8"/>
  <c r="L110" i="4"/>
  <c r="O20" i="8"/>
  <c r="M94" i="2"/>
  <c r="R179" i="8"/>
  <c r="N50" i="5"/>
  <c r="O26" i="5"/>
  <c r="O27" i="5" s="1"/>
  <c r="O29" i="5" s="1"/>
  <c r="O30" i="5" s="1"/>
  <c r="O52" i="5" s="1"/>
  <c r="V151" i="8"/>
  <c r="R128" i="4"/>
  <c r="W79" i="8" s="1"/>
  <c r="R127" i="4"/>
  <c r="Q89" i="2"/>
  <c r="U85" i="8"/>
  <c r="X29" i="8"/>
  <c r="X68" i="8" s="1"/>
  <c r="T136" i="4"/>
  <c r="P61" i="5" l="1"/>
  <c r="P14" i="5"/>
  <c r="P20" i="5" s="1"/>
  <c r="P22" i="5" s="1"/>
  <c r="N51" i="5"/>
  <c r="N55" i="5" s="1"/>
  <c r="N93" i="2" s="1"/>
  <c r="S179" i="8" s="1"/>
  <c r="U61" i="8"/>
  <c r="P60" i="5"/>
  <c r="P62" i="5" s="1"/>
  <c r="P20" i="8"/>
  <c r="P25" i="8" s="1"/>
  <c r="L112" i="4"/>
  <c r="L115" i="4" s="1"/>
  <c r="O25" i="8"/>
  <c r="Q99" i="8"/>
  <c r="Q115" i="8" s="1"/>
  <c r="O80" i="8"/>
  <c r="N8" i="8"/>
  <c r="R182" i="8"/>
  <c r="R49" i="8"/>
  <c r="Q76" i="8"/>
  <c r="O50" i="5"/>
  <c r="Q80" i="4"/>
  <c r="V176" i="8"/>
  <c r="W78" i="8"/>
  <c r="R129" i="4"/>
  <c r="W98" i="8"/>
  <c r="P41" i="5"/>
  <c r="T139" i="4"/>
  <c r="T141" i="4" s="1"/>
  <c r="N54" i="5" l="1"/>
  <c r="O51" i="5" s="1"/>
  <c r="O55" i="5" s="1"/>
  <c r="O93" i="2" s="1"/>
  <c r="T179" i="8" s="1"/>
  <c r="P15" i="5"/>
  <c r="P17" i="5" s="1"/>
  <c r="P35" i="5" s="1"/>
  <c r="S49" i="8"/>
  <c r="S182" i="8"/>
  <c r="N109" i="4" s="1"/>
  <c r="N94" i="2"/>
  <c r="L113" i="4"/>
  <c r="L118" i="4" s="1"/>
  <c r="L119" i="4" s="1"/>
  <c r="M110" i="4" s="1"/>
  <c r="V108" i="8"/>
  <c r="V102" i="8" s="1"/>
  <c r="Q91" i="2"/>
  <c r="V177" i="8" s="1"/>
  <c r="N18" i="8"/>
  <c r="R47" i="8"/>
  <c r="R86" i="8"/>
  <c r="M109" i="4"/>
  <c r="O81" i="8"/>
  <c r="O42" i="8"/>
  <c r="P42" i="8"/>
  <c r="P44" i="5"/>
  <c r="P45" i="5" s="1"/>
  <c r="P46" i="5" s="1"/>
  <c r="P47" i="5" s="1"/>
  <c r="P48" i="5" s="1"/>
  <c r="P63" i="5"/>
  <c r="U32" i="8" s="1"/>
  <c r="U180" i="8"/>
  <c r="V48" i="8"/>
  <c r="P23" i="5"/>
  <c r="P26" i="5" s="1"/>
  <c r="P27" i="5" s="1"/>
  <c r="P29" i="5" s="1"/>
  <c r="P30" i="5" s="1"/>
  <c r="W17" i="8"/>
  <c r="R74" i="2" s="1"/>
  <c r="S126" i="4"/>
  <c r="U136" i="4"/>
  <c r="Y29" i="8"/>
  <c r="Y68" i="8" s="1"/>
  <c r="L107" i="4" l="1"/>
  <c r="Q77" i="8" s="1"/>
  <c r="Q20" i="8" s="1"/>
  <c r="S47" i="8"/>
  <c r="S86" i="8"/>
  <c r="L120" i="4"/>
  <c r="M117" i="4" s="1"/>
  <c r="M112" i="4"/>
  <c r="M113" i="4" s="1"/>
  <c r="M118" i="4" s="1"/>
  <c r="O54" i="5"/>
  <c r="R99" i="8"/>
  <c r="R115" i="8" s="1"/>
  <c r="O16" i="8"/>
  <c r="R76" i="8"/>
  <c r="N43" i="8"/>
  <c r="N44" i="8"/>
  <c r="O94" i="2"/>
  <c r="M119" i="4"/>
  <c r="Q7" i="5"/>
  <c r="Q14" i="5" s="1"/>
  <c r="V62" i="8"/>
  <c r="Q92" i="2"/>
  <c r="R80" i="4"/>
  <c r="R91" i="2" s="1"/>
  <c r="T182" i="8"/>
  <c r="T49" i="8"/>
  <c r="P52" i="5"/>
  <c r="S127" i="4"/>
  <c r="S128" i="4"/>
  <c r="X79" i="8" s="1"/>
  <c r="V85" i="8"/>
  <c r="P50" i="5"/>
  <c r="U139" i="4"/>
  <c r="Q25" i="8" l="1"/>
  <c r="Q42" i="8" s="1"/>
  <c r="P51" i="5"/>
  <c r="P54" i="5" s="1"/>
  <c r="S76" i="8"/>
  <c r="S99" i="8"/>
  <c r="S115" i="8" s="1"/>
  <c r="M115" i="4"/>
  <c r="M120" i="4"/>
  <c r="N117" i="4" s="1"/>
  <c r="O8" i="8"/>
  <c r="P80" i="8"/>
  <c r="V61" i="8"/>
  <c r="N110" i="4"/>
  <c r="N112" i="4" s="1"/>
  <c r="N113" i="4" s="1"/>
  <c r="N118" i="4" s="1"/>
  <c r="M107" i="4"/>
  <c r="R77" i="8" s="1"/>
  <c r="Q61" i="5"/>
  <c r="Q60" i="5"/>
  <c r="Q38" i="5"/>
  <c r="Q40" i="5" s="1"/>
  <c r="Q41" i="5" s="1"/>
  <c r="O109" i="4"/>
  <c r="T47" i="8"/>
  <c r="T86" i="8"/>
  <c r="W151" i="8"/>
  <c r="W176" i="8" s="1"/>
  <c r="R89" i="2"/>
  <c r="W108" i="8"/>
  <c r="W102" i="8" s="1"/>
  <c r="S129" i="4"/>
  <c r="X78" i="8"/>
  <c r="X98" i="8"/>
  <c r="Q15" i="5"/>
  <c r="Q17" i="5" s="1"/>
  <c r="Q35" i="5" s="1"/>
  <c r="Q20" i="5"/>
  <c r="Q22" i="5" s="1"/>
  <c r="V136" i="4"/>
  <c r="Z29" i="8"/>
  <c r="Z68" i="8" s="1"/>
  <c r="U141" i="4"/>
  <c r="P55" i="5" l="1"/>
  <c r="P93" i="2" s="1"/>
  <c r="P94" i="2" s="1"/>
  <c r="P81" i="8"/>
  <c r="O18" i="8"/>
  <c r="N115" i="4"/>
  <c r="N119" i="4" s="1"/>
  <c r="R20" i="8"/>
  <c r="Q62" i="5"/>
  <c r="V180" i="8" s="1"/>
  <c r="Q44" i="5"/>
  <c r="Q45" i="5" s="1"/>
  <c r="Q46" i="5" s="1"/>
  <c r="Q47" i="5" s="1"/>
  <c r="Q48" i="5" s="1"/>
  <c r="T99" i="8"/>
  <c r="T115" i="8" s="1"/>
  <c r="T76" i="8"/>
  <c r="W48" i="8"/>
  <c r="W177" i="8"/>
  <c r="R92" i="2"/>
  <c r="X17" i="8"/>
  <c r="S74" i="2" s="1"/>
  <c r="T126" i="4"/>
  <c r="Q23" i="5"/>
  <c r="Q26" i="5" s="1"/>
  <c r="Q27" i="5" s="1"/>
  <c r="Q29" i="5" s="1"/>
  <c r="Q30" i="5" s="1"/>
  <c r="V139" i="4"/>
  <c r="V141" i="4" s="1"/>
  <c r="U179" i="8" l="1"/>
  <c r="P16" i="8"/>
  <c r="O44" i="8"/>
  <c r="O43" i="8"/>
  <c r="R25" i="8"/>
  <c r="N107" i="4"/>
  <c r="S77" i="8" s="1"/>
  <c r="O110" i="4"/>
  <c r="O112" i="4" s="1"/>
  <c r="N120" i="4"/>
  <c r="O117" i="4" s="1"/>
  <c r="Q63" i="5"/>
  <c r="V32" i="8" s="1"/>
  <c r="Q52" i="5"/>
  <c r="S80" i="4"/>
  <c r="S91" i="2" s="1"/>
  <c r="T128" i="4"/>
  <c r="Y79" i="8" s="1"/>
  <c r="T127" i="4"/>
  <c r="U182" i="8"/>
  <c r="U49" i="8"/>
  <c r="Q50" i="5"/>
  <c r="Q51" i="5" s="1"/>
  <c r="Q55" i="5" s="1"/>
  <c r="Q93" i="2" s="1"/>
  <c r="W85" i="8"/>
  <c r="W62" i="8"/>
  <c r="R7" i="5"/>
  <c r="W136" i="4"/>
  <c r="AA29" i="8"/>
  <c r="AA68" i="8" s="1"/>
  <c r="Q80" i="8" l="1"/>
  <c r="P8" i="8"/>
  <c r="R42" i="8"/>
  <c r="O113" i="4"/>
  <c r="O118" i="4" s="1"/>
  <c r="O115" i="4"/>
  <c r="S20" i="8"/>
  <c r="S89" i="2"/>
  <c r="X151" i="8"/>
  <c r="X176" i="8" s="1"/>
  <c r="Q54" i="5"/>
  <c r="R38" i="5"/>
  <c r="R40" i="5" s="1"/>
  <c r="R14" i="5"/>
  <c r="R61" i="5"/>
  <c r="R60" i="5"/>
  <c r="W61" i="8"/>
  <c r="T129" i="4"/>
  <c r="Y98" i="8"/>
  <c r="Y78" i="8"/>
  <c r="X108" i="8"/>
  <c r="X102" i="8" s="1"/>
  <c r="X177" i="8"/>
  <c r="U47" i="8"/>
  <c r="U86" i="8"/>
  <c r="Q94" i="2"/>
  <c r="V179" i="8"/>
  <c r="P109" i="4"/>
  <c r="W139" i="4"/>
  <c r="W141" i="4" s="1"/>
  <c r="P18" i="8" l="1"/>
  <c r="Q81" i="8"/>
  <c r="O119" i="4"/>
  <c r="O107" i="4" s="1"/>
  <c r="T77" i="8" s="1"/>
  <c r="S25" i="8"/>
  <c r="S92" i="2"/>
  <c r="R62" i="5"/>
  <c r="R63" i="5" s="1"/>
  <c r="W32" i="8" s="1"/>
  <c r="U76" i="8"/>
  <c r="R15" i="5"/>
  <c r="R17" i="5" s="1"/>
  <c r="R35" i="5" s="1"/>
  <c r="R20" i="5"/>
  <c r="R22" i="5" s="1"/>
  <c r="R41" i="5"/>
  <c r="U99" i="8"/>
  <c r="S7" i="5"/>
  <c r="X62" i="8"/>
  <c r="Y17" i="8"/>
  <c r="T74" i="2" s="1"/>
  <c r="U126" i="4"/>
  <c r="X48" i="8"/>
  <c r="V182" i="8"/>
  <c r="V49" i="8"/>
  <c r="X136" i="4"/>
  <c r="AB29" i="8"/>
  <c r="AB68" i="8" s="1"/>
  <c r="Q16" i="8" l="1"/>
  <c r="P44" i="8"/>
  <c r="P43" i="8"/>
  <c r="P110" i="4"/>
  <c r="P112" i="4" s="1"/>
  <c r="P113" i="4" s="1"/>
  <c r="P118" i="4" s="1"/>
  <c r="T20" i="8"/>
  <c r="O120" i="4"/>
  <c r="P117" i="4" s="1"/>
  <c r="S42" i="8"/>
  <c r="R44" i="5"/>
  <c r="R45" i="5" s="1"/>
  <c r="R46" i="5" s="1"/>
  <c r="R47" i="5" s="1"/>
  <c r="R48" i="5" s="1"/>
  <c r="Y151" i="8"/>
  <c r="W180" i="8"/>
  <c r="U127" i="4"/>
  <c r="U128" i="4"/>
  <c r="Z79" i="8" s="1"/>
  <c r="S61" i="5"/>
  <c r="S38" i="5"/>
  <c r="S40" i="5" s="1"/>
  <c r="S14" i="5"/>
  <c r="S60" i="5"/>
  <c r="V47" i="8"/>
  <c r="V86" i="8"/>
  <c r="U115" i="8"/>
  <c r="I117" i="8" s="1"/>
  <c r="I116" i="8"/>
  <c r="X61" i="8"/>
  <c r="T89" i="2"/>
  <c r="Q109" i="4"/>
  <c r="X85" i="8"/>
  <c r="R23" i="5"/>
  <c r="R26" i="5" s="1"/>
  <c r="R27" i="5" s="1"/>
  <c r="R29" i="5" s="1"/>
  <c r="R30" i="5" s="1"/>
  <c r="X139" i="4"/>
  <c r="AC29" i="8" s="1"/>
  <c r="AC68" i="8" s="1"/>
  <c r="R80" i="8" l="1"/>
  <c r="Q8" i="8"/>
  <c r="P115" i="4"/>
  <c r="T25" i="8"/>
  <c r="P119" i="4"/>
  <c r="T80" i="4"/>
  <c r="U129" i="4"/>
  <c r="V126" i="4" s="1"/>
  <c r="S62" i="5"/>
  <c r="X180" i="8" s="1"/>
  <c r="S20" i="5"/>
  <c r="S22" i="5" s="1"/>
  <c r="S15" i="5"/>
  <c r="S17" i="5" s="1"/>
  <c r="S35" i="5" s="1"/>
  <c r="S41" i="5"/>
  <c r="R50" i="5"/>
  <c r="R51" i="5" s="1"/>
  <c r="R55" i="5" s="1"/>
  <c r="R93" i="2" s="1"/>
  <c r="R52" i="5"/>
  <c r="V76" i="8"/>
  <c r="Z78" i="8"/>
  <c r="Z98" i="8"/>
  <c r="Y176" i="8"/>
  <c r="X141" i="4"/>
  <c r="T91" i="2" l="1"/>
  <c r="Y177" i="8" s="1"/>
  <c r="Q18" i="8"/>
  <c r="R81" i="8"/>
  <c r="A141" i="4"/>
  <c r="T42" i="8"/>
  <c r="P107" i="4"/>
  <c r="U77" i="8" s="1"/>
  <c r="Q110" i="4"/>
  <c r="Q112" i="4" s="1"/>
  <c r="Q115" i="4" s="1"/>
  <c r="P120" i="4"/>
  <c r="Q117" i="4" s="1"/>
  <c r="S44" i="5"/>
  <c r="S45" i="5" s="1"/>
  <c r="S46" i="5" s="1"/>
  <c r="S47" i="5" s="1"/>
  <c r="S48" i="5" s="1"/>
  <c r="Y108" i="8"/>
  <c r="Y102" i="8" s="1"/>
  <c r="Z17" i="8"/>
  <c r="S63" i="5"/>
  <c r="X32" i="8" s="1"/>
  <c r="R94" i="2"/>
  <c r="W179" i="8"/>
  <c r="Y48" i="8"/>
  <c r="V128" i="4"/>
  <c r="AA79" i="8" s="1"/>
  <c r="V127" i="4"/>
  <c r="R54" i="5"/>
  <c r="S23" i="5"/>
  <c r="S26" i="5" s="1"/>
  <c r="S27" i="5" s="1"/>
  <c r="S29" i="5" s="1"/>
  <c r="S30" i="5" s="1"/>
  <c r="T92" i="2" l="1"/>
  <c r="T7" i="5"/>
  <c r="T14" i="5" s="1"/>
  <c r="Y62" i="8"/>
  <c r="R16" i="8"/>
  <c r="Q44" i="8"/>
  <c r="Q43" i="8"/>
  <c r="Q113" i="4"/>
  <c r="Q118" i="4" s="1"/>
  <c r="Q119" i="4" s="1"/>
  <c r="Q120" i="4" s="1"/>
  <c r="R117" i="4" s="1"/>
  <c r="U20" i="8"/>
  <c r="S52" i="5"/>
  <c r="U74" i="2"/>
  <c r="Z151" i="8" s="1"/>
  <c r="Z176" i="8" s="1"/>
  <c r="W49" i="8"/>
  <c r="W182" i="8"/>
  <c r="S50" i="5"/>
  <c r="S51" i="5" s="1"/>
  <c r="S55" i="5" s="1"/>
  <c r="S93" i="2" s="1"/>
  <c r="AA98" i="8"/>
  <c r="V129" i="4"/>
  <c r="AA78" i="8"/>
  <c r="Y85" i="8"/>
  <c r="T61" i="5" l="1"/>
  <c r="T60" i="5"/>
  <c r="T38" i="5"/>
  <c r="T40" i="5" s="1"/>
  <c r="T41" i="5" s="1"/>
  <c r="Y61" i="8"/>
  <c r="S80" i="8"/>
  <c r="R8" i="8"/>
  <c r="U25" i="8"/>
  <c r="U89" i="2"/>
  <c r="Q107" i="4"/>
  <c r="V77" i="8" s="1"/>
  <c r="R110" i="4"/>
  <c r="U80" i="4"/>
  <c r="S54" i="5"/>
  <c r="S94" i="2"/>
  <c r="X179" i="8"/>
  <c r="Z48" i="8"/>
  <c r="Z85" i="8" s="1"/>
  <c r="W47" i="8"/>
  <c r="W86" i="8"/>
  <c r="R109" i="4"/>
  <c r="AA17" i="8"/>
  <c r="V74" i="2" s="1"/>
  <c r="W126" i="4"/>
  <c r="T15" i="5"/>
  <c r="T17" i="5" s="1"/>
  <c r="T35" i="5" s="1"/>
  <c r="T20" i="5"/>
  <c r="T22" i="5" s="1"/>
  <c r="T62" i="5" l="1"/>
  <c r="Y180" i="8" s="1"/>
  <c r="Z108" i="8"/>
  <c r="Z102" i="8" s="1"/>
  <c r="U91" i="2"/>
  <c r="Z177" i="8" s="1"/>
  <c r="Z62" i="8" s="1"/>
  <c r="Z61" i="8" s="1"/>
  <c r="R18" i="8"/>
  <c r="S81" i="8"/>
  <c r="U42" i="8"/>
  <c r="T44" i="5"/>
  <c r="T45" i="5" s="1"/>
  <c r="T46" i="5" s="1"/>
  <c r="T47" i="5" s="1"/>
  <c r="T48" i="5" s="1"/>
  <c r="V20" i="8"/>
  <c r="AA151" i="8"/>
  <c r="T23" i="5"/>
  <c r="T26" i="5" s="1"/>
  <c r="T27" i="5" s="1"/>
  <c r="T29" i="5" s="1"/>
  <c r="T30" i="5" s="1"/>
  <c r="R112" i="4"/>
  <c r="X49" i="8"/>
  <c r="X182" i="8"/>
  <c r="W128" i="4"/>
  <c r="AB79" i="8" s="1"/>
  <c r="W127" i="4"/>
  <c r="W76" i="8"/>
  <c r="T63" i="5" l="1"/>
  <c r="Y32" i="8" s="1"/>
  <c r="S16" i="8"/>
  <c r="R44" i="8"/>
  <c r="R43" i="8"/>
  <c r="T52" i="5"/>
  <c r="V25" i="8"/>
  <c r="U92" i="2"/>
  <c r="U7" i="5"/>
  <c r="U38" i="5" s="1"/>
  <c r="U40" i="5" s="1"/>
  <c r="V80" i="4"/>
  <c r="V89" i="2"/>
  <c r="T50" i="5"/>
  <c r="T51" i="5" s="1"/>
  <c r="T55" i="5" s="1"/>
  <c r="T93" i="2" s="1"/>
  <c r="Y179" i="8" s="1"/>
  <c r="AB78" i="8"/>
  <c r="AB98" i="8"/>
  <c r="W129" i="4"/>
  <c r="S109" i="4"/>
  <c r="AA176" i="8"/>
  <c r="X86" i="8"/>
  <c r="X47" i="8"/>
  <c r="R113" i="4"/>
  <c r="R118" i="4" s="1"/>
  <c r="R115" i="4"/>
  <c r="AA108" i="8" l="1"/>
  <c r="AA102" i="8" s="1"/>
  <c r="V91" i="2"/>
  <c r="AA177" i="8" s="1"/>
  <c r="AA62" i="8" s="1"/>
  <c r="AA61" i="8" s="1"/>
  <c r="S8" i="8"/>
  <c r="T80" i="8"/>
  <c r="U60" i="5"/>
  <c r="U14" i="5"/>
  <c r="U15" i="5" s="1"/>
  <c r="U17" i="5" s="1"/>
  <c r="U35" i="5" s="1"/>
  <c r="U61" i="5"/>
  <c r="R119" i="4"/>
  <c r="R120" i="4" s="1"/>
  <c r="S117" i="4" s="1"/>
  <c r="V42" i="8"/>
  <c r="T94" i="2"/>
  <c r="T54" i="5"/>
  <c r="X76" i="8"/>
  <c r="AA48" i="8"/>
  <c r="AA85" i="8" s="1"/>
  <c r="X126" i="4"/>
  <c r="AB17" i="8"/>
  <c r="W74" i="2" s="1"/>
  <c r="Y182" i="8"/>
  <c r="Y49" i="8"/>
  <c r="U41" i="5"/>
  <c r="U62" i="5" l="1"/>
  <c r="Z180" i="8" s="1"/>
  <c r="T81" i="8"/>
  <c r="S18" i="8"/>
  <c r="U20" i="5"/>
  <c r="U22" i="5" s="1"/>
  <c r="U23" i="5" s="1"/>
  <c r="U26" i="5" s="1"/>
  <c r="U27" i="5" s="1"/>
  <c r="U29" i="5" s="1"/>
  <c r="U30" i="5" s="1"/>
  <c r="S110" i="4"/>
  <c r="S112" i="4" s="1"/>
  <c r="S115" i="4" s="1"/>
  <c r="R107" i="4"/>
  <c r="W77" i="8" s="1"/>
  <c r="U44" i="5"/>
  <c r="U45" i="5" s="1"/>
  <c r="U46" i="5" s="1"/>
  <c r="U47" i="5" s="1"/>
  <c r="U48" i="5" s="1"/>
  <c r="V7" i="5"/>
  <c r="V60" i="5" s="1"/>
  <c r="V92" i="2"/>
  <c r="W89" i="2"/>
  <c r="T109" i="4"/>
  <c r="Y47" i="8"/>
  <c r="Y86" i="8"/>
  <c r="X127" i="4"/>
  <c r="X128" i="4"/>
  <c r="AC79" i="8" s="1"/>
  <c r="U63" i="5" l="1"/>
  <c r="Z32" i="8" s="1"/>
  <c r="S43" i="8"/>
  <c r="S44" i="8"/>
  <c r="T16" i="8"/>
  <c r="S113" i="4"/>
  <c r="S118" i="4" s="1"/>
  <c r="S119" i="4" s="1"/>
  <c r="S107" i="4" s="1"/>
  <c r="X77" i="8" s="1"/>
  <c r="W20" i="8"/>
  <c r="U50" i="5"/>
  <c r="U51" i="5" s="1"/>
  <c r="U55" i="5" s="1"/>
  <c r="U93" i="2" s="1"/>
  <c r="W80" i="4"/>
  <c r="V61" i="5"/>
  <c r="V62" i="5" s="1"/>
  <c r="V38" i="5"/>
  <c r="V40" i="5" s="1"/>
  <c r="V14" i="5"/>
  <c r="V20" i="5" s="1"/>
  <c r="V22" i="5" s="1"/>
  <c r="AB151" i="8"/>
  <c r="AC98" i="8"/>
  <c r="AC78" i="8"/>
  <c r="X129" i="4"/>
  <c r="AC17" i="8" s="1"/>
  <c r="X74" i="2" s="1"/>
  <c r="U52" i="5"/>
  <c r="Y76" i="8"/>
  <c r="V63" i="5" l="1"/>
  <c r="AA32" i="8" s="1"/>
  <c r="AB108" i="8"/>
  <c r="AB102" i="8" s="1"/>
  <c r="W91" i="2"/>
  <c r="AB177" i="8" s="1"/>
  <c r="AB62" i="8" s="1"/>
  <c r="AB61" i="8" s="1"/>
  <c r="U80" i="8"/>
  <c r="T8" i="8"/>
  <c r="T110" i="4"/>
  <c r="T112" i="4" s="1"/>
  <c r="T115" i="4" s="1"/>
  <c r="S120" i="4"/>
  <c r="T117" i="4" s="1"/>
  <c r="X20" i="8"/>
  <c r="V15" i="5"/>
  <c r="V17" i="5" s="1"/>
  <c r="V35" i="5" s="1"/>
  <c r="W25" i="8"/>
  <c r="U54" i="5"/>
  <c r="V41" i="5"/>
  <c r="AB176" i="8"/>
  <c r="X80" i="4"/>
  <c r="X91" i="2" s="1"/>
  <c r="AA180" i="8"/>
  <c r="Z179" i="8"/>
  <c r="U94" i="2"/>
  <c r="V23" i="5"/>
  <c r="T18" i="8" l="1"/>
  <c r="U81" i="8"/>
  <c r="W92" i="2"/>
  <c r="V26" i="5"/>
  <c r="V27" i="5" s="1"/>
  <c r="V29" i="5" s="1"/>
  <c r="V30" i="5" s="1"/>
  <c r="T113" i="4"/>
  <c r="T118" i="4" s="1"/>
  <c r="T119" i="4" s="1"/>
  <c r="X25" i="8"/>
  <c r="V44" i="5"/>
  <c r="V45" i="5" s="1"/>
  <c r="V46" i="5" s="1"/>
  <c r="V47" i="5" s="1"/>
  <c r="V48" i="5" s="1"/>
  <c r="W42" i="8"/>
  <c r="X89" i="2"/>
  <c r="AC151" i="8"/>
  <c r="W7" i="5"/>
  <c r="W61" i="5" s="1"/>
  <c r="AB48" i="8"/>
  <c r="AB85" i="8" s="1"/>
  <c r="Z182" i="8"/>
  <c r="U109" i="4" s="1"/>
  <c r="Z49" i="8"/>
  <c r="A80" i="4"/>
  <c r="AC108" i="8"/>
  <c r="AC102" i="8" s="1"/>
  <c r="AC177" i="8"/>
  <c r="AC62" i="8" s="1"/>
  <c r="AC61" i="8" s="1"/>
  <c r="U16" i="8" l="1"/>
  <c r="T44" i="8"/>
  <c r="T43" i="8"/>
  <c r="V50" i="5"/>
  <c r="V51" i="5" s="1"/>
  <c r="V55" i="5" s="1"/>
  <c r="V93" i="2" s="1"/>
  <c r="V94" i="2" s="1"/>
  <c r="X42" i="8"/>
  <c r="V52" i="5"/>
  <c r="T107" i="4"/>
  <c r="Y77" i="8" s="1"/>
  <c r="U110" i="4"/>
  <c r="U112" i="4" s="1"/>
  <c r="T120" i="4"/>
  <c r="U117" i="4" s="1"/>
  <c r="AC176" i="8"/>
  <c r="X7" i="5" s="1"/>
  <c r="W38" i="5"/>
  <c r="W40" i="5" s="1"/>
  <c r="W41" i="5" s="1"/>
  <c r="W60" i="5"/>
  <c r="W62" i="5" s="1"/>
  <c r="W14" i="5"/>
  <c r="W20" i="5" s="1"/>
  <c r="W22" i="5" s="1"/>
  <c r="Z86" i="8"/>
  <c r="Z47" i="8"/>
  <c r="Z76" i="8" s="1"/>
  <c r="X92" i="2"/>
  <c r="V80" i="8" l="1"/>
  <c r="U8" i="8"/>
  <c r="V54" i="5"/>
  <c r="AA179" i="8"/>
  <c r="AA49" i="8" s="1"/>
  <c r="Y20" i="8"/>
  <c r="AC48" i="8"/>
  <c r="AC85" i="8" s="1"/>
  <c r="W15" i="5"/>
  <c r="W17" i="5" s="1"/>
  <c r="W35" i="5" s="1"/>
  <c r="W44" i="5" s="1"/>
  <c r="W45" i="5" s="1"/>
  <c r="W46" i="5" s="1"/>
  <c r="W47" i="5" s="1"/>
  <c r="W48" i="5" s="1"/>
  <c r="X14" i="5"/>
  <c r="X60" i="5"/>
  <c r="X61" i="5"/>
  <c r="X38" i="5"/>
  <c r="X40" i="5" s="1"/>
  <c r="U115" i="4"/>
  <c r="U113" i="4"/>
  <c r="U118" i="4" s="1"/>
  <c r="W23" i="5"/>
  <c r="W63" i="5"/>
  <c r="AB32" i="8" s="1"/>
  <c r="AB180" i="8"/>
  <c r="U18" i="8" l="1"/>
  <c r="V81" i="8"/>
  <c r="AA182" i="8"/>
  <c r="V109" i="4" s="1"/>
  <c r="W26" i="5"/>
  <c r="W27" i="5" s="1"/>
  <c r="W29" i="5" s="1"/>
  <c r="W30" i="5" s="1"/>
  <c r="W50" i="5" s="1"/>
  <c r="W51" i="5" s="1"/>
  <c r="W55" i="5" s="1"/>
  <c r="W93" i="2" s="1"/>
  <c r="Y25" i="8"/>
  <c r="U119" i="4"/>
  <c r="U120" i="4" s="1"/>
  <c r="V117" i="4" s="1"/>
  <c r="AA47" i="8"/>
  <c r="AA76" i="8" s="1"/>
  <c r="AA86" i="8"/>
  <c r="X41" i="5"/>
  <c r="X20" i="5"/>
  <c r="X22" i="5" s="1"/>
  <c r="X23" i="5" s="1"/>
  <c r="X15" i="5"/>
  <c r="X17" i="5" s="1"/>
  <c r="X35" i="5" s="1"/>
  <c r="X62" i="5"/>
  <c r="AC180" i="8" s="1"/>
  <c r="V16" i="8" l="1"/>
  <c r="U44" i="8"/>
  <c r="U43" i="8"/>
  <c r="W52" i="5"/>
  <c r="W54" i="5" s="1"/>
  <c r="Y42" i="8"/>
  <c r="V110" i="4"/>
  <c r="V112" i="4" s="1"/>
  <c r="V115" i="4" s="1"/>
  <c r="U107" i="4"/>
  <c r="Z77" i="8" s="1"/>
  <c r="Z20" i="8" s="1"/>
  <c r="Z25" i="8" s="1"/>
  <c r="Z42" i="8" s="1"/>
  <c r="X44" i="5"/>
  <c r="X45" i="5" s="1"/>
  <c r="X46" i="5" s="1"/>
  <c r="X47" i="5" s="1"/>
  <c r="X48" i="5" s="1"/>
  <c r="W94" i="2"/>
  <c r="AB179" i="8"/>
  <c r="X26" i="5"/>
  <c r="X27" i="5" s="1"/>
  <c r="X29" i="5" s="1"/>
  <c r="X30" i="5" s="1"/>
  <c r="X63" i="5"/>
  <c r="AC32" i="8" s="1"/>
  <c r="W80" i="8" l="1"/>
  <c r="V8" i="8"/>
  <c r="V113" i="4"/>
  <c r="V118" i="4" s="1"/>
  <c r="V119" i="4" s="1"/>
  <c r="V107" i="4" s="1"/>
  <c r="AA77" i="8" s="1"/>
  <c r="AA20" i="8" s="1"/>
  <c r="AA25" i="8" s="1"/>
  <c r="AA42" i="8" s="1"/>
  <c r="X50" i="5"/>
  <c r="X51" i="5" s="1"/>
  <c r="X55" i="5" s="1"/>
  <c r="X93" i="2" s="1"/>
  <c r="X94" i="2" s="1"/>
  <c r="X52" i="5"/>
  <c r="AB49" i="8"/>
  <c r="AB182" i="8"/>
  <c r="W109" i="4" s="1"/>
  <c r="V18" i="8" l="1"/>
  <c r="W81" i="8"/>
  <c r="V120" i="4"/>
  <c r="W117" i="4" s="1"/>
  <c r="W110" i="4"/>
  <c r="W112" i="4" s="1"/>
  <c r="X54" i="5"/>
  <c r="AC179" i="8"/>
  <c r="AC182" i="8" s="1"/>
  <c r="X109" i="4" s="1"/>
  <c r="AB47" i="8"/>
  <c r="AB76" i="8" s="1"/>
  <c r="AB86" i="8"/>
  <c r="W16" i="8" l="1"/>
  <c r="V44" i="8"/>
  <c r="V43" i="8"/>
  <c r="AC49" i="8"/>
  <c r="AC47" i="8" s="1"/>
  <c r="AC76" i="8" s="1"/>
  <c r="W115" i="4"/>
  <c r="W113" i="4"/>
  <c r="W118" i="4" s="1"/>
  <c r="W8" i="8" l="1"/>
  <c r="X80" i="8"/>
  <c r="W119" i="4"/>
  <c r="W120" i="4" s="1"/>
  <c r="X117" i="4" s="1"/>
  <c r="AC86" i="8"/>
  <c r="X81" i="8" l="1"/>
  <c r="W18" i="8"/>
  <c r="W107" i="4"/>
  <c r="AB77" i="8" s="1"/>
  <c r="X110" i="4"/>
  <c r="X112" i="4" s="1"/>
  <c r="X113" i="4" s="1"/>
  <c r="X118" i="4" s="1"/>
  <c r="W43" i="8" l="1"/>
  <c r="W44" i="8"/>
  <c r="X16" i="8"/>
  <c r="AB20" i="8"/>
  <c r="AB25" i="8" s="1"/>
  <c r="AB42" i="8" s="1"/>
  <c r="X115" i="4"/>
  <c r="X119" i="4" s="1"/>
  <c r="X120" i="4" s="1"/>
  <c r="X8" i="8" l="1"/>
  <c r="Y80" i="8"/>
  <c r="X107" i="4"/>
  <c r="AC77" i="8" s="1"/>
  <c r="Y81" i="8" l="1"/>
  <c r="X18" i="8"/>
  <c r="AC20" i="8"/>
  <c r="AC25" i="8" s="1"/>
  <c r="AC42" i="8" s="1"/>
  <c r="X43" i="8" l="1"/>
  <c r="X44" i="8"/>
  <c r="Y16" i="8"/>
  <c r="Y8" i="8" l="1"/>
  <c r="Z80" i="8"/>
  <c r="Z81" i="8" s="1"/>
  <c r="Z16" i="8" s="1"/>
  <c r="AA80" i="8" l="1"/>
  <c r="AA81" i="8" s="1"/>
  <c r="AA16" i="8" s="1"/>
  <c r="Z8" i="8"/>
  <c r="Z18" i="8" s="1"/>
  <c r="Y18" i="8"/>
  <c r="Z44" i="8" l="1"/>
  <c r="Z43" i="8"/>
  <c r="Y44" i="8"/>
  <c r="Y43" i="8"/>
  <c r="AB80" i="8"/>
  <c r="AB81" i="8" s="1"/>
  <c r="AB16" i="8" s="1"/>
  <c r="AA8" i="8"/>
  <c r="AA18" i="8" s="1"/>
  <c r="AA44" i="8" l="1"/>
  <c r="AA43" i="8"/>
  <c r="AC80" i="8"/>
  <c r="AC81" i="8" s="1"/>
  <c r="AC16" i="8" s="1"/>
  <c r="AC8" i="8" s="1"/>
  <c r="AC18" i="8" s="1"/>
  <c r="AB8" i="8"/>
  <c r="AB18" i="8" s="1"/>
  <c r="AB43" i="8" l="1"/>
  <c r="AB44" i="8"/>
  <c r="AC44" i="8"/>
  <c r="AC4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sj.51479</author>
  </authors>
  <commentList>
    <comment ref="S16" authorId="0" shapeId="0" xr:uid="{00000000-0006-0000-0300-000001000000}">
      <text>
        <r>
          <rPr>
            <b/>
            <sz val="9"/>
            <color indexed="81"/>
            <rFont val="Tahoma"/>
            <family val="2"/>
          </rPr>
          <t>sj.51479:</t>
        </r>
        <r>
          <rPr>
            <sz val="9"/>
            <color indexed="81"/>
            <rFont val="Tahoma"/>
            <family val="2"/>
          </rPr>
          <t xml:space="preserve">
Actual production updated till 30th Jun'20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tc={E456D756-A9DC-4F8B-ACC7-C1C8C008FA1F}</author>
  </authors>
  <commentList>
    <comment ref="C128"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Abolished now under Budget 2020 changes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Mayank K Goel</author>
  </authors>
  <commentList>
    <comment ref="D53" authorId="0" shapeId="0" xr:uid="{00000000-0006-0000-0500-000001000000}">
      <text>
        <r>
          <rPr>
            <b/>
            <sz val="9"/>
            <color indexed="81"/>
            <rFont val="Tahoma"/>
            <family val="2"/>
          </rPr>
          <t>Rs. 25 Cr added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tc={96568613-8FCD-49E8-B5C3-AC916C58A3A4}</author>
    <author>tc={CA1D3484-5995-4E95-837F-D654CA185D0A}</author>
    <author>tc={1D0D4483-775A-4E34-ABF5-E2A3823B034D}</author>
    <author>tc={C7C7382A-8B29-4E1D-8081-A0C4D3DFFA32}</author>
    <author>tc={A8A999CE-D6C4-4C77-8AD2-C1B6807B2E58}</author>
  </authors>
  <commentList>
    <comment ref="J3"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land of Rs. 128 Cr to be sold</t>
      </text>
    </comment>
    <comment ref="H10"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Rs. 55.1 Cr of reliance marking margin shifted to other current assets - which is assumed to be not recovered in future
Reply:
    Additional Fixed cost above the reassessed quantity (Rs. 665 PMT) valuing at Rs 56 Crs will not be realised and to be written off
At present for model purpose, it is considered in other current asset which are not realized in future</t>
      </text>
    </comment>
    <comment ref="J14" authorId="2" shapeId="0" xr:uid="{00000000-0006-0000-0600-000003000000}">
      <text>
        <t>[Threaded comment]
Your version of Excel allows you to read this threaded comment; however, any edits to it will get removed if the file is opened in a newer version of Excel. Learn more: https://go.microsoft.com/fwlink/?linkid=870924
Comment:
    Non-cash item, receivables written-off
1) Rs. 56 Cr - Additional Fixed cost above the reassessed quantity (Rs. 665 PMT) valuing at Rs 56 Crs will not be realised and to be written off
At present for model purpose, it is considered in other current asset which are not realized in future
2) Rs. 55.1 Cr - Reliance Marketing Margins</t>
      </text>
    </comment>
    <comment ref="H34" authorId="3" shapeId="0" xr:uid="{00000000-0006-0000-0600-000004000000}">
      <text>
        <t>[Threaded comment]
Your version of Excel allows you to read this threaded comment; however, any edits to it will get removed if the file is opened in a newer version of Excel. Learn more: https://go.microsoft.com/fwlink/?linkid=870924
Comment:
    Rs. 78.5 Cr is deposits from dealer and Rs. 4.35 Cr is provisions</t>
      </text>
    </comment>
    <comment ref="J41" authorId="4" shapeId="0" xr:uid="{00000000-0006-0000-0600-000005000000}">
      <text>
        <t>[Threaded comment]
Your version of Excel allows you to read this threaded comment; however, any edits to it will get removed if the file is opened in a newer version of Excel. Learn more: https://go.microsoft.com/fwlink/?linkid=870924
Comment:
    Rs. 13.56 Cr of statutory liabilities, Rs. 52 Cr of capex creditors and employee related liabilities are assumed to be realized in FY21</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tc={758E1E6F-C83C-44F2-9CBC-6EE5443F3DEE}</author>
  </authors>
  <commentList>
    <comment ref="D80"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Interest on Pool Urea of Rs. 6.90 Cr and Rs. 9.67 Cr of interest to GAIL</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Aarti Gupta</author>
  </authors>
  <commentList>
    <comment ref="S61" authorId="0" shapeId="0" xr:uid="{00000000-0006-0000-0B00-000001000000}">
      <text>
        <r>
          <rPr>
            <b/>
            <sz val="9"/>
            <color indexed="81"/>
            <rFont val="Tahoma"/>
            <family val="2"/>
          </rPr>
          <t>Aarti Gupta:</t>
        </r>
        <r>
          <rPr>
            <sz val="9"/>
            <color indexed="81"/>
            <rFont val="Tahoma"/>
            <family val="2"/>
          </rPr>
          <t xml:space="preserve">
Revised tax rate @22% base- new tax regime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tc={336EDA84-5330-46DA-AD7E-95FD47203755}</author>
    <author>tc={EB43A162-0A79-4ADD-86AB-4FCA0292DCC5}</author>
    <author>tc={B8BBE6C5-594F-4CE7-866D-584B843BF468}</author>
    <author>tc={0A09D1EC-EA2F-47A0-A65F-51775EAB849C}</author>
    <author>tc={16776225-EC5C-4D29-8C07-5227CBC925FA}</author>
    <author>tc={A4D495CB-2303-40FC-9EF3-2F441CD44A24}</author>
    <author>tc={F5BEAE52-3766-49EB-A7F2-E4B5C69DD0E8}</author>
    <author>tc={C176733D-1228-4882-BEBC-EC6EAC5DCC8F}</author>
    <author>tc={DA9C0AD1-8D17-4318-B506-6B996B0E2192}</author>
    <author>tc={4C5606D8-7862-4E9E-85EB-FAE0539C8CF9}</author>
    <author>tc={7643A3F1-A754-4028-96E6-4A66AEF7BF35}</author>
    <author>tc={E428BF62-334A-4C6D-8E5B-8B4858976A59}</author>
    <author>tc={1094F5B2-E7A5-4F10-919A-635BD4847B28}</author>
    <author>tc={8577FB5E-F382-475F-BA0C-3FA18CB09507}</author>
    <author>tc={33819049-ED82-4FD5-843A-E8E85F72129B}</author>
    <author>tc={838CAFAD-2462-4B67-887C-7385EF5FA27F}</author>
    <author>tc={FF5EA870-AF1F-4DA2-B16D-5E8EBD9A4FFB}</author>
    <author>tc={B62FA3C1-2030-4435-A764-FA10C1257662}</author>
    <author>tc={21BE7E12-9F02-49BF-9837-6950C5D59B5F}</author>
    <author>tc={2BD3F521-5BF4-481A-ABCA-CFBAFA8D97E9}</author>
    <author>tc={87DC2912-1D13-490F-8B29-D74ACAEAD93A}</author>
  </authors>
  <commentList>
    <comment ref="D35" authorId="0" shapeId="0" xr:uid="{00000000-0006-0000-0C00-000001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E35" authorId="1" shapeId="0" xr:uid="{00000000-0006-0000-0C00-000002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F35" authorId="2" shapeId="0" xr:uid="{00000000-0006-0000-0C00-000003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G35" authorId="3" shapeId="0" xr:uid="{00000000-0006-0000-0C00-000004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H35" authorId="4" shapeId="0" xr:uid="{00000000-0006-0000-0C00-000005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I35" authorId="5" shapeId="0" xr:uid="{00000000-0006-0000-0C00-000006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J35" authorId="6" shapeId="0" xr:uid="{00000000-0006-0000-0C00-000007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K35" authorId="7" shapeId="0" xr:uid="{00000000-0006-0000-0C00-000008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L35" authorId="8" shapeId="0" xr:uid="{00000000-0006-0000-0C00-000009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M35" authorId="9" shapeId="0" xr:uid="{00000000-0006-0000-0C00-00000A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N35" authorId="10" shapeId="0" xr:uid="{00000000-0006-0000-0C00-00000B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O35" authorId="11" shapeId="0" xr:uid="{00000000-0006-0000-0C00-00000C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P35" authorId="12" shapeId="0" xr:uid="{00000000-0006-0000-0C00-00000D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Q35" authorId="13" shapeId="0" xr:uid="{00000000-0006-0000-0C00-00000E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R35" authorId="14" shapeId="0" xr:uid="{00000000-0006-0000-0C00-00000F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S35" authorId="15" shapeId="0" xr:uid="{00000000-0006-0000-0C00-000010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T35" authorId="16" shapeId="0" xr:uid="{00000000-0006-0000-0C00-000011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U35" authorId="17" shapeId="0" xr:uid="{00000000-0006-0000-0C00-000012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V35" authorId="18" shapeId="0" xr:uid="{00000000-0006-0000-0C00-000013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W35" authorId="19" shapeId="0" xr:uid="{00000000-0006-0000-0C00-000014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 ref="X35" authorId="20" shapeId="0" xr:uid="{00000000-0006-0000-0C00-000015000000}">
      <text>
        <t>[Threaded comment]
Your version of Excel allows you to read this threaded comment; however, any edits to it will get removed if the file is opened in a newer version of Excel. Learn more: https://go.microsoft.com/fwlink/?linkid=870924
Comment:
    Rs. 903 Cr of business loss considered by Company for Corporate tax and Rs. 1016 Cr considered for MAT tax calculations</t>
      </text>
    </comment>
  </commentList>
</comments>
</file>

<file path=xl/sharedStrings.xml><?xml version="1.0" encoding="utf-8"?>
<sst xmlns="http://schemas.openxmlformats.org/spreadsheetml/2006/main" count="1239" uniqueCount="687">
  <si>
    <t>Urea Business</t>
  </si>
  <si>
    <t>Collection from Customers</t>
  </si>
  <si>
    <t>Neem Coating</t>
  </si>
  <si>
    <t>Subsidy</t>
  </si>
  <si>
    <t>Realization from Customers</t>
  </si>
  <si>
    <t>Rs/MT</t>
  </si>
  <si>
    <t>Dealer Margins</t>
  </si>
  <si>
    <t>% of Realization</t>
  </si>
  <si>
    <t>Production</t>
  </si>
  <si>
    <t>Production (MT)</t>
  </si>
  <si>
    <t>Capacity</t>
  </si>
  <si>
    <t>MTPD</t>
  </si>
  <si>
    <t>Plant Capacity</t>
  </si>
  <si>
    <t>Working Days</t>
  </si>
  <si>
    <t>Days</t>
  </si>
  <si>
    <t>Current Capacity</t>
  </si>
  <si>
    <t>MTPA</t>
  </si>
  <si>
    <t>Cut-Off Capacity</t>
  </si>
  <si>
    <t>Rs Cr</t>
  </si>
  <si>
    <t>Gas Cost Assumptions</t>
  </si>
  <si>
    <t>Pool Gas Price</t>
  </si>
  <si>
    <t>USD / MMBTU</t>
  </si>
  <si>
    <t>Marketing &amp; Transportation costs (GAIL)</t>
  </si>
  <si>
    <t>MMBTU to Gcal Factor</t>
  </si>
  <si>
    <t>Delivered Gas Price</t>
  </si>
  <si>
    <t>Rs / Gcal</t>
  </si>
  <si>
    <t>USD to INR</t>
  </si>
  <si>
    <t>Rs / USD</t>
  </si>
  <si>
    <t>Cost of Production</t>
  </si>
  <si>
    <t>Gas Costs</t>
  </si>
  <si>
    <t>Rs / MT</t>
  </si>
  <si>
    <t>Packaging Material</t>
  </si>
  <si>
    <t>Water</t>
  </si>
  <si>
    <t>Transportation &amp; Handling Costs</t>
  </si>
  <si>
    <t>Neem Coating Costs</t>
  </si>
  <si>
    <t>(in Rs Cr)</t>
  </si>
  <si>
    <t>Company Energy Efficiency (Gcal/MT)</t>
  </si>
  <si>
    <t>Target Energy Efficiency (Gcal/MT)</t>
  </si>
  <si>
    <t>Fixed cost above Cut-off Capacity</t>
  </si>
  <si>
    <t>Fixed cost below Cut-off Capacity</t>
  </si>
  <si>
    <t>Urea Revenue</t>
  </si>
  <si>
    <t>Packing Material</t>
  </si>
  <si>
    <t>Neam Cost</t>
  </si>
  <si>
    <t>Transportation</t>
  </si>
  <si>
    <t>Freight / Transportation Subsidy</t>
  </si>
  <si>
    <t>Urea</t>
  </si>
  <si>
    <t>Finished PVC (MT)</t>
  </si>
  <si>
    <t>Micro Irrigation</t>
  </si>
  <si>
    <t>Super line</t>
  </si>
  <si>
    <t>Easy drip</t>
  </si>
  <si>
    <t>HDPE</t>
  </si>
  <si>
    <t>Plain Laterals</t>
  </si>
  <si>
    <t>Finished PVC</t>
  </si>
  <si>
    <t>Lakh Metre</t>
  </si>
  <si>
    <t>MT</t>
  </si>
  <si>
    <t>Pricing</t>
  </si>
  <si>
    <t>Super line - eco</t>
  </si>
  <si>
    <t>Rs/Metre</t>
  </si>
  <si>
    <t>Rs/Kg</t>
  </si>
  <si>
    <t>Micro Irrigation Revenue</t>
  </si>
  <si>
    <t>Super line (Lakh Meter)</t>
  </si>
  <si>
    <t>Super line - eco (Lakh Meter)</t>
  </si>
  <si>
    <t>Easy drip (Lakh Meter)</t>
  </si>
  <si>
    <t>HDPE (Lakh Meter)</t>
  </si>
  <si>
    <t>Plain Laterals (Lakh Meter)</t>
  </si>
  <si>
    <t>Traded Goods</t>
  </si>
  <si>
    <t>Less: Dealer Discount</t>
  </si>
  <si>
    <t>Dealer Discount</t>
  </si>
  <si>
    <t>% of Gross Realization</t>
  </si>
  <si>
    <t>Net Revenue</t>
  </si>
  <si>
    <t>Raw material</t>
  </si>
  <si>
    <t>Traded Goods costs</t>
  </si>
  <si>
    <t>% of Traded Goods</t>
  </si>
  <si>
    <t>Raw Material Costs</t>
  </si>
  <si>
    <t>Power &amp; Fuel Costs</t>
  </si>
  <si>
    <t>Packaging</t>
  </si>
  <si>
    <t>Handling &amp; Transportation</t>
  </si>
  <si>
    <t>% of Sales</t>
  </si>
  <si>
    <t>Contribution</t>
  </si>
  <si>
    <t>Variable Expenses</t>
  </si>
  <si>
    <t>Consolidated P&amp;L</t>
  </si>
  <si>
    <t>Distribution</t>
  </si>
  <si>
    <t>Total Variable Expenses</t>
  </si>
  <si>
    <t>Revenue</t>
  </si>
  <si>
    <t>Other Expenses</t>
  </si>
  <si>
    <t>EBITDA</t>
  </si>
  <si>
    <t>Depreciation</t>
  </si>
  <si>
    <t>Interest Expenses</t>
  </si>
  <si>
    <t>PBT</t>
  </si>
  <si>
    <t>PAT</t>
  </si>
  <si>
    <t>Tax Schedule</t>
  </si>
  <si>
    <t>Financial Year</t>
  </si>
  <si>
    <t>PBDT</t>
  </si>
  <si>
    <t>Book Depreciation</t>
  </si>
  <si>
    <t>IT Depreciation</t>
  </si>
  <si>
    <t>MAT Calculations</t>
  </si>
  <si>
    <t>Business Loss calculations</t>
  </si>
  <si>
    <t>Cummulative business loss</t>
  </si>
  <si>
    <t>Unabsorbed Depreciation calculations</t>
  </si>
  <si>
    <t>PBT (Company Act)</t>
  </si>
  <si>
    <t>Cummulative Unsbsorbed Depreciation</t>
  </si>
  <si>
    <t>Carry forward losses that can be utilized</t>
  </si>
  <si>
    <t>Cummulative Carry forward losses available for set-off</t>
  </si>
  <si>
    <t>Utilized Carry forward losses</t>
  </si>
  <si>
    <t>Taxable Income adjusted for carry forward losses</t>
  </si>
  <si>
    <t>MAT applicable</t>
  </si>
  <si>
    <t>Corporate Tax Calculations</t>
  </si>
  <si>
    <t>PBT (IT Act)</t>
  </si>
  <si>
    <t>Corporate Tax</t>
  </si>
  <si>
    <t>MAT benefit that can be used</t>
  </si>
  <si>
    <t>MAT Credit used</t>
  </si>
  <si>
    <t>MAT Credit Available</t>
  </si>
  <si>
    <t>MAT Credit Expired</t>
  </si>
  <si>
    <t>Balance of MAT credit carried forward</t>
  </si>
  <si>
    <t>Actual Tax paid</t>
  </si>
  <si>
    <t>MAT</t>
  </si>
  <si>
    <t>Term Loan</t>
  </si>
  <si>
    <t>Tax Assumptions</t>
  </si>
  <si>
    <t>WCTL</t>
  </si>
  <si>
    <t>Capital Assumptions</t>
  </si>
  <si>
    <t>Opening Balance</t>
  </si>
  <si>
    <t>Repayment %</t>
  </si>
  <si>
    <t>Closing Balance</t>
  </si>
  <si>
    <t>Repayment</t>
  </si>
  <si>
    <t>Interest Expense</t>
  </si>
  <si>
    <t>Interest Rate</t>
  </si>
  <si>
    <t>Legal Cases</t>
  </si>
  <si>
    <t>Capex Term Loan</t>
  </si>
  <si>
    <t>Inventory</t>
  </si>
  <si>
    <t>Receivables</t>
  </si>
  <si>
    <t>Payables</t>
  </si>
  <si>
    <t>Working Capital Days</t>
  </si>
  <si>
    <t>Customer receivables days</t>
  </si>
  <si>
    <t>Government Receivable days</t>
  </si>
  <si>
    <t>Other Creditors</t>
  </si>
  <si>
    <t>LC Requirement</t>
  </si>
  <si>
    <t>Gas Cost</t>
  </si>
  <si>
    <t>LC Requirement for Gas</t>
  </si>
  <si>
    <t>Inventory for spares</t>
  </si>
  <si>
    <t>Inventory for Urea</t>
  </si>
  <si>
    <t>Working Capital (Rs Cr)</t>
  </si>
  <si>
    <t>Raw Material</t>
  </si>
  <si>
    <t>Finished Goods</t>
  </si>
  <si>
    <t>Receivables Days</t>
  </si>
  <si>
    <t>Payable Days</t>
  </si>
  <si>
    <t xml:space="preserve">Working Capital Requirements </t>
  </si>
  <si>
    <t>LC</t>
  </si>
  <si>
    <t>Working Capital Borrowings</t>
  </si>
  <si>
    <t>Borrowings</t>
  </si>
  <si>
    <t>Cash Credit Interest Rate</t>
  </si>
  <si>
    <t>BG Commission</t>
  </si>
  <si>
    <t>Working Capital - Fund Based</t>
  </si>
  <si>
    <t xml:space="preserve">BG </t>
  </si>
  <si>
    <t>BG for MI Project</t>
  </si>
  <si>
    <t>% of Net Sales</t>
  </si>
  <si>
    <t>Margin Money</t>
  </si>
  <si>
    <t>BG</t>
  </si>
  <si>
    <t>Margin Money for BG &amp; LC</t>
  </si>
  <si>
    <t xml:space="preserve">LC </t>
  </si>
  <si>
    <t>Working Capital - Non-Fund Based</t>
  </si>
  <si>
    <t>LC Commission</t>
  </si>
  <si>
    <t>Other Interest Expenses</t>
  </si>
  <si>
    <t>Interest on Dealership deposit</t>
  </si>
  <si>
    <t>Interest on Sales tax def</t>
  </si>
  <si>
    <t>Processing fee</t>
  </si>
  <si>
    <t>Capex Schedule</t>
  </si>
  <si>
    <t>Energy Efficiency Capex</t>
  </si>
  <si>
    <t>Maintenance Capex as per SAIPEM</t>
  </si>
  <si>
    <t>Other Current Assets</t>
  </si>
  <si>
    <t>Current Tax Assets</t>
  </si>
  <si>
    <t>Trade Payables</t>
  </si>
  <si>
    <t>Others</t>
  </si>
  <si>
    <t>Less: Tax</t>
  </si>
  <si>
    <t>FY18</t>
  </si>
  <si>
    <t>FY17</t>
  </si>
  <si>
    <t>FY16</t>
  </si>
  <si>
    <t>FY15</t>
  </si>
  <si>
    <t>Net Fixed Assets</t>
  </si>
  <si>
    <t>Capital Work-in Progress</t>
  </si>
  <si>
    <t>Net Current Assets</t>
  </si>
  <si>
    <t>Inventories</t>
  </si>
  <si>
    <t>Trade Receivables</t>
  </si>
  <si>
    <t>Security Deposit</t>
  </si>
  <si>
    <t>Current Assets</t>
  </si>
  <si>
    <t>Cash &amp; Equivalents</t>
  </si>
  <si>
    <t>Current Liabilities</t>
  </si>
  <si>
    <t>Other financial liabilities</t>
  </si>
  <si>
    <t>FY19</t>
  </si>
  <si>
    <t>Intangible Assets</t>
  </si>
  <si>
    <t>Financial Assets</t>
  </si>
  <si>
    <t>DTL</t>
  </si>
  <si>
    <t>Govt Grants</t>
  </si>
  <si>
    <t>Sales Tax Deferred</t>
  </si>
  <si>
    <t>Other Non-CL</t>
  </si>
  <si>
    <t>Business Loss</t>
  </si>
  <si>
    <t>Business Loss expired</t>
  </si>
  <si>
    <t>Manufactured Goods</t>
  </si>
  <si>
    <t>Pool Urea</t>
  </si>
  <si>
    <t>Speciality Fertlizers</t>
  </si>
  <si>
    <t>Govt Subsidy</t>
  </si>
  <si>
    <t>Govt Reimbursement</t>
  </si>
  <si>
    <t>Sale of Services</t>
  </si>
  <si>
    <t>Expenses</t>
  </si>
  <si>
    <t>Natural Gas</t>
  </si>
  <si>
    <t>Purchase of Stock-in-trade</t>
  </si>
  <si>
    <t>Cost of Material</t>
  </si>
  <si>
    <t>Speciality Fertilizer</t>
  </si>
  <si>
    <t>Inventory Days</t>
  </si>
  <si>
    <t>Payable</t>
  </si>
  <si>
    <t>Transport &amp; Handling</t>
  </si>
  <si>
    <t>Employee Benefits</t>
  </si>
  <si>
    <t>Traded (Pool Urea)</t>
  </si>
  <si>
    <t>Total Receivables</t>
  </si>
  <si>
    <t>Total Inventory</t>
  </si>
  <si>
    <t xml:space="preserve">MI Business </t>
  </si>
  <si>
    <t>Total Payables</t>
  </si>
  <si>
    <t>Gas Supply</t>
  </si>
  <si>
    <t>Gas Pool</t>
  </si>
  <si>
    <t>Gas Transportation</t>
  </si>
  <si>
    <t>Reliance (Marketing Margins)</t>
  </si>
  <si>
    <t>Market Receivables (Dealers)</t>
  </si>
  <si>
    <t>Urea Business - Working Capital Days</t>
  </si>
  <si>
    <t>Gas Payable Days</t>
  </si>
  <si>
    <t>Urea Packing &amp; Transport Payable Days</t>
  </si>
  <si>
    <t>MI Business - Working Capital Days</t>
  </si>
  <si>
    <t xml:space="preserve">Interest </t>
  </si>
  <si>
    <t>Other Operating Revenues</t>
  </si>
  <si>
    <t>Total Operating Revenues</t>
  </si>
  <si>
    <t>Other Income</t>
  </si>
  <si>
    <t>Power &amp; fuel</t>
  </si>
  <si>
    <t>Changes in Inventory</t>
  </si>
  <si>
    <t>Excise Duty</t>
  </si>
  <si>
    <t>Current Tax</t>
  </si>
  <si>
    <t>Defered Tax</t>
  </si>
  <si>
    <t>Exceptional Items</t>
  </si>
  <si>
    <t xml:space="preserve">Other Income  </t>
  </si>
  <si>
    <t>GoI Receivables Days</t>
  </si>
  <si>
    <t>Customer Receivable Days</t>
  </si>
  <si>
    <t>Customer Receivables</t>
  </si>
  <si>
    <t>Total Assets</t>
  </si>
  <si>
    <t>Equity Share Capital</t>
  </si>
  <si>
    <t>Total Liabilities</t>
  </si>
  <si>
    <t>Investor's Equity</t>
  </si>
  <si>
    <t>Cash Flow from Operations</t>
  </si>
  <si>
    <t>Interest</t>
  </si>
  <si>
    <t>Increase in Inventory</t>
  </si>
  <si>
    <t>Increase in Fixed Assets</t>
  </si>
  <si>
    <t>Cash Flow from Financing Activities</t>
  </si>
  <si>
    <t>Cash Flow from Investing Activities</t>
  </si>
  <si>
    <t>Net Cash Flows</t>
  </si>
  <si>
    <t>Opening Cash Balance</t>
  </si>
  <si>
    <t>Closing Cash Balance</t>
  </si>
  <si>
    <t>Capex Debt</t>
  </si>
  <si>
    <t>Other Payables</t>
  </si>
  <si>
    <t>Increase in Working Capital Loan</t>
  </si>
  <si>
    <t>Addition</t>
  </si>
  <si>
    <t>New Capex Debt</t>
  </si>
  <si>
    <t>Defered Tax Asset / Liability</t>
  </si>
  <si>
    <t>Corporate (IT) tax</t>
  </si>
  <si>
    <t>Cummulative DTL</t>
  </si>
  <si>
    <t>PBDT (Book)</t>
  </si>
  <si>
    <t>PBDT (IT)</t>
  </si>
  <si>
    <t>PBT (Book)</t>
  </si>
  <si>
    <t>PBT (IT)</t>
  </si>
  <si>
    <t>Upfront Settlement of CRPS</t>
  </si>
  <si>
    <t>Upfront Settlement of CRPS: 1=Y, 0=N</t>
  </si>
  <si>
    <t>Exceptional Item</t>
  </si>
  <si>
    <t>Contingent Liability Flag: 1=Y, 0=N</t>
  </si>
  <si>
    <t>Investor's CRPS</t>
  </si>
  <si>
    <t>Investors' Equity</t>
  </si>
  <si>
    <t>Investors' CRPS</t>
  </si>
  <si>
    <t>Working Capital Margins</t>
  </si>
  <si>
    <t>Interest Rate on Working Capital Loan</t>
  </si>
  <si>
    <t>Interest Rate on Sustainable Loan</t>
  </si>
  <si>
    <t>Interest Rate on WCTL</t>
  </si>
  <si>
    <t>Interest Rate on New Term Loan</t>
  </si>
  <si>
    <t>Sustainable Debt</t>
  </si>
  <si>
    <t>Increase in Lenders' CRPS</t>
  </si>
  <si>
    <t>Lenders' Unsustainable Loan</t>
  </si>
  <si>
    <t>Total</t>
  </si>
  <si>
    <t>Investor CRPS</t>
  </si>
  <si>
    <t>Dividend Payment</t>
  </si>
  <si>
    <t>Debt for Capex Funding</t>
  </si>
  <si>
    <t>Investor CRPS Dividend (Cummulative)</t>
  </si>
  <si>
    <t>Repayment of Existing Long Term Loan</t>
  </si>
  <si>
    <t>New Investors' Equity / CRPS</t>
  </si>
  <si>
    <t>Working Capital Loan</t>
  </si>
  <si>
    <t>One time settlement of CRPS</t>
  </si>
  <si>
    <t>Sale of Land</t>
  </si>
  <si>
    <t>Lenders' CRPS</t>
  </si>
  <si>
    <t>Govt Grant</t>
  </si>
  <si>
    <t>Sales tax</t>
  </si>
  <si>
    <t>Payment of contingent liabilities</t>
  </si>
  <si>
    <t>Contignent liabilities</t>
  </si>
  <si>
    <t>ENAAM BG</t>
  </si>
  <si>
    <t>Sustainable Term Loan</t>
  </si>
  <si>
    <t>Dividend (Investor's CRPS)</t>
  </si>
  <si>
    <t>Accrued Dividend</t>
  </si>
  <si>
    <t>Opening for Accrued Dividend</t>
  </si>
  <si>
    <t>Paid</t>
  </si>
  <si>
    <t>Closing</t>
  </si>
  <si>
    <t>Investor CRPS Dividend Payment</t>
  </si>
  <si>
    <t>DSRA Creation</t>
  </si>
  <si>
    <t xml:space="preserve">Opening </t>
  </si>
  <si>
    <t>Release</t>
  </si>
  <si>
    <t>Interest Rates</t>
  </si>
  <si>
    <t>DSRA</t>
  </si>
  <si>
    <t>Quarter</t>
  </si>
  <si>
    <t>DSRA Required</t>
  </si>
  <si>
    <t xml:space="preserve">DSRA Created </t>
  </si>
  <si>
    <t>DSRA Released</t>
  </si>
  <si>
    <t>Principal</t>
  </si>
  <si>
    <t>Gas Payables to GAIL</t>
  </si>
  <si>
    <t>Gas Payables to Pool Account</t>
  </si>
  <si>
    <t>New Tax Year</t>
  </si>
  <si>
    <t xml:space="preserve">EBITDA </t>
  </si>
  <si>
    <t>Add: Equity Infused for Margin of WC</t>
  </si>
  <si>
    <t>Outflows</t>
  </si>
  <si>
    <t>Total Cash Inflow</t>
  </si>
  <si>
    <t>Add: Sale of Land</t>
  </si>
  <si>
    <t>Less: Capex net of capex debt raised</t>
  </si>
  <si>
    <t>Average DSCR</t>
  </si>
  <si>
    <t>Minimum DSCR</t>
  </si>
  <si>
    <t>DSCR without CRPS Payment</t>
  </si>
  <si>
    <t>LC / BG Commission</t>
  </si>
  <si>
    <t>Add: Upfront Equity support for 1st year Principal</t>
  </si>
  <si>
    <t>Less: Extraordinary Expenses</t>
  </si>
  <si>
    <t>Less: Margin Required for Working Capital</t>
  </si>
  <si>
    <t>Cash available for DSRA</t>
  </si>
  <si>
    <t>Corporate Overheads</t>
  </si>
  <si>
    <t>GOI (Urea Subsidy &amp; Freight)</t>
  </si>
  <si>
    <t>GOI (Fixed Costs)</t>
  </si>
  <si>
    <t>State Govt (MI Business)</t>
  </si>
  <si>
    <t>Marketing (packaging &amp; Transport)</t>
  </si>
  <si>
    <t>Long term loan incl. Curr Portion</t>
  </si>
  <si>
    <t>Note: MAT for 15 yrs, PBT (IT) for 8 years and Unabsorbed Depreciation for infinite years</t>
  </si>
  <si>
    <t>Less Margin</t>
  </si>
  <si>
    <t>Fund Based Limits</t>
  </si>
  <si>
    <t>Capex Reserve</t>
  </si>
  <si>
    <t>NPV Calculations of Unsustainable Debt</t>
  </si>
  <si>
    <t>Present Value</t>
  </si>
  <si>
    <t>Water Cost</t>
  </si>
  <si>
    <t>Water Reimbursement</t>
  </si>
  <si>
    <t>Distribution Business</t>
  </si>
  <si>
    <t>Working Capital</t>
  </si>
  <si>
    <t>Working Capital Days - MI Business</t>
  </si>
  <si>
    <t>Receivable Days</t>
  </si>
  <si>
    <t>LC for Dripper</t>
  </si>
  <si>
    <t>MI Business Dealer Commission</t>
  </si>
  <si>
    <t>MI Business</t>
  </si>
  <si>
    <t>Distribution Business Expenses</t>
  </si>
  <si>
    <t>Interest Rate on Unsustainable Loan</t>
  </si>
  <si>
    <t>Divident Distribution Tax (DDT)</t>
  </si>
  <si>
    <t>Dividend Payable (incl. DDT)</t>
  </si>
  <si>
    <t>DSRA (Creation)/Release to the extent cash available</t>
  </si>
  <si>
    <t>Non-Fund Based Limits</t>
  </si>
  <si>
    <t>LC for Urea @</t>
  </si>
  <si>
    <t xml:space="preserve">LC/BG  for MI Business </t>
  </si>
  <si>
    <t xml:space="preserve">LC/BG  for Distribution Business </t>
  </si>
  <si>
    <t>Total Working Capital Limits</t>
  </si>
  <si>
    <t>Opening</t>
  </si>
  <si>
    <t>Interest to be paid to lenders from Apr'19 to Dec'19</t>
  </si>
  <si>
    <t>Add: Equity for Operations / Debt Support / Capex</t>
  </si>
  <si>
    <t>One Time Capex Funding</t>
  </si>
  <si>
    <t>Capex Required</t>
  </si>
  <si>
    <t>Debt Infusion</t>
  </si>
  <si>
    <t>Equity Infusion</t>
  </si>
  <si>
    <t>Internal Accruals</t>
  </si>
  <si>
    <t>Total Interest Outflow</t>
  </si>
  <si>
    <t>Interest Working Capital Borrowings</t>
  </si>
  <si>
    <t>Interest New Term Loan</t>
  </si>
  <si>
    <t>Interest Sustainable Debt</t>
  </si>
  <si>
    <t>Other Interest outflow</t>
  </si>
  <si>
    <t>Interest cut-back 5% (Apr'19 to Dec'19)</t>
  </si>
  <si>
    <t>New Term Loan</t>
  </si>
  <si>
    <t>Upfront Settlement of Unsustainable Debt</t>
  </si>
  <si>
    <t>Add: Margin Money Release  (FY19)</t>
  </si>
  <si>
    <t>Working Capital Days - Distribution Business</t>
  </si>
  <si>
    <t>Old Trade Payables</t>
  </si>
  <si>
    <t>New Trade Payables</t>
  </si>
  <si>
    <t>Less: Past Trade Payables (FY19)</t>
  </si>
  <si>
    <t>Add: Past Receivables + Inventory (FY19)</t>
  </si>
  <si>
    <t>Total Interest Overdue since NPA</t>
  </si>
  <si>
    <t>Lenders' NCD/OCD</t>
  </si>
  <si>
    <t>Total Interest Overdue since NPA (FY19)</t>
  </si>
  <si>
    <t>Interest overdue to be converted to Lenders' NCD/OCD</t>
  </si>
  <si>
    <t>Interest overdue to be converted to Lenders' Equity</t>
  </si>
  <si>
    <t>Total Principal</t>
  </si>
  <si>
    <t>R&amp;S post Investor CRPS dividend Payment</t>
  </si>
  <si>
    <t>Lenders' Equity against conversion of interest waived</t>
  </si>
  <si>
    <t>Year</t>
  </si>
  <si>
    <t>Unsustainable Debt</t>
  </si>
  <si>
    <t>Total Interest Overdue since NPA (FY20) till Mar'20</t>
  </si>
  <si>
    <t>FITL</t>
  </si>
  <si>
    <t>Repayment of FITL</t>
  </si>
  <si>
    <t>Interest FITL</t>
  </si>
  <si>
    <t>FITL Flag 1=Y, 0=N</t>
  </si>
  <si>
    <t>Less: Other Payables (FY19)</t>
  </si>
  <si>
    <t>Other Finanical Liabilities</t>
  </si>
  <si>
    <t>Chemicals and Consumables</t>
  </si>
  <si>
    <t>Catalyst</t>
  </si>
  <si>
    <t>Rpairs and Maintenance</t>
  </si>
  <si>
    <t>DSCR Calculations</t>
  </si>
  <si>
    <t>Total Equity / Quasi-Equity</t>
  </si>
  <si>
    <t>Working Capital Sanctioned Limit</t>
  </si>
  <si>
    <t>Present Debt Status</t>
  </si>
  <si>
    <t>Post Restructuring</t>
  </si>
  <si>
    <t>Additonal Debt</t>
  </si>
  <si>
    <t>FBWC</t>
  </si>
  <si>
    <t>NFBWC</t>
  </si>
  <si>
    <t>Total Outstanding</t>
  </si>
  <si>
    <t>OCRPS</t>
  </si>
  <si>
    <t>Unutilized WC Limit FY21</t>
  </si>
  <si>
    <t>Additional WC Limit FY21</t>
  </si>
  <si>
    <t>Aditional Capex Debt</t>
  </si>
  <si>
    <t>SBI</t>
  </si>
  <si>
    <t>IDBI</t>
  </si>
  <si>
    <t>ICICI</t>
  </si>
  <si>
    <t>BOI</t>
  </si>
  <si>
    <t>IOB</t>
  </si>
  <si>
    <t>PNB</t>
  </si>
  <si>
    <t>UCO</t>
  </si>
  <si>
    <t>%</t>
  </si>
  <si>
    <t>Principal (A)</t>
  </si>
  <si>
    <t>Interest (B)</t>
  </si>
  <si>
    <t>Principal (C )</t>
  </si>
  <si>
    <t>Interest (D)</t>
  </si>
  <si>
    <t>Utilized (E )</t>
  </si>
  <si>
    <t>Devolved (F)</t>
  </si>
  <si>
    <t>Total (G)</t>
  </si>
  <si>
    <t>Break-up of Sustainable Debt
TL</t>
  </si>
  <si>
    <t>Break-up of Sustainable Debt
WCTL</t>
  </si>
  <si>
    <t>NPV of (B+D)</t>
  </si>
  <si>
    <t>Actual</t>
  </si>
  <si>
    <t>FB (H)</t>
  </si>
  <si>
    <t>NFB (I)</t>
  </si>
  <si>
    <t>992*Proportion of (H+I) / Total (H+I)-Unutilized Limits</t>
  </si>
  <si>
    <t>Total Sustainable Debt 
51% of (A+C+F)</t>
  </si>
  <si>
    <t>Total UnSustainable Debt 
49% of (A+C+F)</t>
  </si>
  <si>
    <t>250*Proportion of (A+C+F) / Total (A+C+F)</t>
  </si>
  <si>
    <t>Regular NFB limit</t>
  </si>
  <si>
    <t>E</t>
  </si>
  <si>
    <t>Cummulative cash available post CRPS repayment for yearly Dividend</t>
  </si>
  <si>
    <t>Cummulative cash available post CRPS repayment for yearly Dividend for accrued dividend</t>
  </si>
  <si>
    <t>New Promoters Equity</t>
  </si>
  <si>
    <t>New Promoters CRPS</t>
  </si>
  <si>
    <t xml:space="preserve">GoI Receivables </t>
  </si>
  <si>
    <t>12M</t>
  </si>
  <si>
    <t>Total
FY 23</t>
  </si>
  <si>
    <t>Plant 1</t>
  </si>
  <si>
    <t>Energy Effn.</t>
  </si>
  <si>
    <t>Prod*EE/</t>
  </si>
  <si>
    <t>Year End Energy- P1</t>
  </si>
  <si>
    <t>Plant 2</t>
  </si>
  <si>
    <t>Year End Energy- P2</t>
  </si>
  <si>
    <t>Average EE for Year</t>
  </si>
  <si>
    <t>Total Prodn.</t>
  </si>
  <si>
    <t>Gas</t>
  </si>
  <si>
    <t>Bag</t>
  </si>
  <si>
    <t>Fixed Cost</t>
  </si>
  <si>
    <t>Market Coll</t>
  </si>
  <si>
    <t>Subsidy Revenue</t>
  </si>
  <si>
    <t>Financial Investor Equity + Additional Cash</t>
  </si>
  <si>
    <t>as on 31st mar'21 Int. Overdue</t>
  </si>
  <si>
    <t>as on 31st Dec'20 Int Provision</t>
  </si>
  <si>
    <t>Addition of Int for FY 21</t>
  </si>
  <si>
    <t>as on 31st mar'20 Int. Overdue</t>
  </si>
  <si>
    <t>Gas Pool Invoice</t>
  </si>
  <si>
    <t>Apr'21</t>
  </si>
  <si>
    <t>May'21</t>
  </si>
  <si>
    <t>Jun'21</t>
  </si>
  <si>
    <t>Jul'21</t>
  </si>
  <si>
    <t>Aug'21</t>
  </si>
  <si>
    <t>Exchange Rate</t>
  </si>
  <si>
    <t>Actual Weighted Avg</t>
  </si>
  <si>
    <t>Average USD / MMBTU</t>
  </si>
  <si>
    <t>Actual Weighted Avg as part of Gas Pool</t>
  </si>
  <si>
    <t>Total
FY 24</t>
  </si>
  <si>
    <t>Tax &amp; Extraordinary Items</t>
  </si>
  <si>
    <t>Audited</t>
  </si>
  <si>
    <t>Less: Energy Losss/Energy Incentive</t>
  </si>
  <si>
    <t>Interest due &amp; not paid</t>
  </si>
  <si>
    <t>Civil Repair</t>
  </si>
  <si>
    <t>Reliability Capex II</t>
  </si>
  <si>
    <t>Reliability Capex I</t>
  </si>
  <si>
    <t xml:space="preserve">Capex </t>
  </si>
  <si>
    <t>A</t>
  </si>
  <si>
    <t>B</t>
  </si>
  <si>
    <t>C</t>
  </si>
  <si>
    <t>D</t>
  </si>
  <si>
    <t>All figures in Rs Crores</t>
  </si>
  <si>
    <t xml:space="preserve">Projected Depreciation Schedule - Income Tax </t>
  </si>
  <si>
    <t>Projected Depreciation Schedule - Company Act</t>
  </si>
  <si>
    <t>S No</t>
  </si>
  <si>
    <t>Year Ending →</t>
  </si>
  <si>
    <r>
      <t>Year Ending 31</t>
    </r>
    <r>
      <rPr>
        <b/>
        <vertAlign val="superscript"/>
        <sz val="10"/>
        <color theme="0"/>
        <rFont val="Calibri"/>
        <family val="2"/>
      </rPr>
      <t>st</t>
    </r>
    <r>
      <rPr>
        <b/>
        <sz val="10"/>
        <color theme="0"/>
        <rFont val="Calibri"/>
        <family val="2"/>
      </rPr>
      <t xml:space="preserve"> March →</t>
    </r>
  </si>
  <si>
    <t>Year Counter →</t>
  </si>
  <si>
    <t xml:space="preserve">10% Block </t>
  </si>
  <si>
    <t xml:space="preserve">Civil Works </t>
  </si>
  <si>
    <t xml:space="preserve">15% Block </t>
  </si>
  <si>
    <t xml:space="preserve">Plant &amp; Machinery </t>
  </si>
  <si>
    <t xml:space="preserve">60% Block </t>
  </si>
  <si>
    <t>Furniture &amp; Fittings</t>
  </si>
  <si>
    <t>25% Block (Intangible)</t>
  </si>
  <si>
    <t>Office equipment</t>
  </si>
  <si>
    <t>Additions</t>
  </si>
  <si>
    <t>Computers</t>
  </si>
  <si>
    <t>Vehicles</t>
  </si>
  <si>
    <t xml:space="preserve">Maintenance &amp; New Capex </t>
  </si>
  <si>
    <t>Land</t>
  </si>
  <si>
    <t>Intangibles</t>
  </si>
  <si>
    <t>New Capex</t>
  </si>
  <si>
    <t xml:space="preserve">Maintenance Capex </t>
  </si>
  <si>
    <t xml:space="preserve">Regular Maintenance Capex </t>
  </si>
  <si>
    <t>Closing Balance - Net Block</t>
  </si>
  <si>
    <t xml:space="preserve">Maintenance and New Capex </t>
  </si>
  <si>
    <t>Depreciation Rates</t>
  </si>
  <si>
    <t>F</t>
  </si>
  <si>
    <t>Number of Days of Operation</t>
  </si>
  <si>
    <t>G</t>
  </si>
  <si>
    <t>Closing Balance - Gross Block</t>
  </si>
  <si>
    <t>H</t>
  </si>
  <si>
    <t>Total Depreciation</t>
  </si>
  <si>
    <t>Net block</t>
  </si>
  <si>
    <t>Other IT Equipment</t>
  </si>
  <si>
    <t xml:space="preserve"> Depreciation (Reporting)</t>
  </si>
  <si>
    <t>Regular Maintenance Capex</t>
  </si>
  <si>
    <t>Capital WIP</t>
  </si>
  <si>
    <t>Add : Addition</t>
  </si>
  <si>
    <t>Less Transferred to Fixed Assets</t>
  </si>
  <si>
    <t>Deferred Tax on Fair value of Land</t>
  </si>
  <si>
    <t>Book value of Land</t>
  </si>
  <si>
    <t>Less: Fair value of Land</t>
  </si>
  <si>
    <t>Difference in Value</t>
  </si>
  <si>
    <t>Less: Indexed cost of acquisition</t>
  </si>
  <si>
    <t>Difference in Value for DTL</t>
  </si>
  <si>
    <t>DTL @ 23.296%</t>
  </si>
  <si>
    <t>Today</t>
  </si>
  <si>
    <t>Expiry</t>
  </si>
  <si>
    <t>NAGARJUNA FERTILIZERS AND CHEMICALS LIMITED</t>
  </si>
  <si>
    <t>FINANCIAL YEAR  2020-2021</t>
  </si>
  <si>
    <t>No of months</t>
  </si>
  <si>
    <t>RATE OF</t>
  </si>
  <si>
    <t>WDV</t>
  </si>
  <si>
    <t>ADDITIONS</t>
  </si>
  <si>
    <t>VAT</t>
  </si>
  <si>
    <t>FOREX</t>
  </si>
  <si>
    <t>GRANT /</t>
  </si>
  <si>
    <t>DEPRE-</t>
  </si>
  <si>
    <t>Blokck of Asset</t>
  </si>
  <si>
    <t>DEPRN.</t>
  </si>
  <si>
    <t xml:space="preserve">AS ON </t>
  </si>
  <si>
    <t>DISPOSALS</t>
  </si>
  <si>
    <t>Dr/</t>
  </si>
  <si>
    <t>VARIANCE</t>
  </si>
  <si>
    <t>REIMBUR-</t>
  </si>
  <si>
    <t>TOTAL</t>
  </si>
  <si>
    <t>CIATION</t>
  </si>
  <si>
    <t>01.04.2020</t>
  </si>
  <si>
    <t>&gt; 180 days</t>
  </si>
  <si>
    <t>&lt; 180 days</t>
  </si>
  <si>
    <t>Cr</t>
  </si>
  <si>
    <t>SEMENT</t>
  </si>
  <si>
    <t>For 2020-21</t>
  </si>
  <si>
    <t>BUILDINGS</t>
  </si>
  <si>
    <t>Ikisan OB</t>
  </si>
  <si>
    <t>PLANT &amp; MACHINERY</t>
  </si>
  <si>
    <t>New Addition</t>
  </si>
  <si>
    <t xml:space="preserve">Ikisan </t>
  </si>
  <si>
    <t>FURNITURE &amp; FIXTURES</t>
  </si>
  <si>
    <t>CARS</t>
  </si>
  <si>
    <t>OTHER VEHICLES</t>
  </si>
  <si>
    <t>GRAND TOTAL</t>
  </si>
  <si>
    <t>R&amp;D Assets other than Wargal Buildings</t>
  </si>
  <si>
    <t>CFG</t>
  </si>
  <si>
    <t>Adjustment w.r.t. Forex Variance</t>
  </si>
  <si>
    <t>Total as per Schedule IV</t>
  </si>
  <si>
    <t>Forex Loss</t>
  </si>
  <si>
    <t>Assets of Ikisan Ltd</t>
  </si>
  <si>
    <t>Difference</t>
  </si>
  <si>
    <t>Note</t>
  </si>
  <si>
    <t>Less: Sale of R &amp; D asset (Printer) setoff</t>
  </si>
  <si>
    <t>Eleigible R&amp;D Expenditure as per DSIR guidelines</t>
  </si>
  <si>
    <t>Summary-31st Mar'21</t>
  </si>
  <si>
    <t>Asset description</t>
  </si>
  <si>
    <t>EXCHANGE RATE FLUCTUATION - REVAMP</t>
  </si>
  <si>
    <t>EXCHANGE RATE FLUCTUATION - REVAMP 2012-13 Apr Jun</t>
  </si>
  <si>
    <t>EXCHANGE RATE FLUCTUATION - REVAMP 2012-13 Jly-sep</t>
  </si>
  <si>
    <t>EXCHANGE RATE FLUCTUATION - REVAMP 2012-13 Oct-Dec</t>
  </si>
  <si>
    <t>EXCHANGE RATE FLUCTUATION - REVAMP 2012-13 JAN-MAR</t>
  </si>
  <si>
    <t>EXCHANGE RATE FLUCTUATION - REVAMP APL TO JUN 2013</t>
  </si>
  <si>
    <t>EXCHANGE RATE FLUCTUATION - REVAMP -SEPT 2013</t>
  </si>
  <si>
    <t>EXCHANGE RATE FLUCTUATION - REVAMP -DEC 2013</t>
  </si>
  <si>
    <t>EXCHANGE RATE FLUCTUATION - REVAMP 2012-13 Apr MAR</t>
  </si>
  <si>
    <t>EXCHANGE RATE FLUCTUATION - REVAMP 2014-15 Apr Jun</t>
  </si>
  <si>
    <t>EXCHANGE RATE FLUCTUATION - REVAMP 2014-15 JLY SEP</t>
  </si>
  <si>
    <t>EXCHANGE RATE FLUCTUATION - REVAMP 2014-15Apr Dec</t>
  </si>
  <si>
    <t>EXCHANGE RATE FLUCTUATION - REVAMP 2014-15 Apr MAR</t>
  </si>
  <si>
    <t>EXCHANGE RATE FLUCTUATION - REVAMP 2015-16 -JUNE15</t>
  </si>
  <si>
    <t>EXCHANGE RATE FLUCTUATION - REVAMP 2015-16 Jun SEP</t>
  </si>
  <si>
    <t>Capex and Depreciation parameters</t>
  </si>
  <si>
    <t>Companies act</t>
  </si>
  <si>
    <t>% of Gross block (GB) fully depleted</t>
  </si>
  <si>
    <t>Incremental share of fully depleted Gross block</t>
  </si>
  <si>
    <t>Residual value of Gross block (%)</t>
  </si>
  <si>
    <t>Maintenance capex as % of GB</t>
  </si>
  <si>
    <t>Advances</t>
  </si>
  <si>
    <t>Customized Fertilizers &amp; Other Operting income</t>
  </si>
  <si>
    <t>Customized Fertilizers Business Expenses</t>
  </si>
  <si>
    <t>Sep'21</t>
  </si>
  <si>
    <t xml:space="preserve">Maintenance </t>
  </si>
  <si>
    <t>New Funding Required</t>
  </si>
  <si>
    <t>Maintenance</t>
  </si>
  <si>
    <t>MI</t>
  </si>
  <si>
    <t>Oct'21</t>
  </si>
  <si>
    <t>Nov'21</t>
  </si>
  <si>
    <t>Dec'21</t>
  </si>
  <si>
    <t>Jan'22</t>
  </si>
  <si>
    <t>Feb'22</t>
  </si>
  <si>
    <t>Mar'22</t>
  </si>
  <si>
    <t>Total
FY 25</t>
  </si>
  <si>
    <t>FY 26 onwards</t>
  </si>
  <si>
    <t>E Loss</t>
  </si>
  <si>
    <t>Excess Energy</t>
  </si>
  <si>
    <t>31-03-2021</t>
  </si>
  <si>
    <t>Gas Payable</t>
  </si>
  <si>
    <t xml:space="preserve">Salaries and wages </t>
  </si>
  <si>
    <t>FINANCIAL YEAR  2021-2022</t>
  </si>
  <si>
    <t>01.04.2021</t>
  </si>
  <si>
    <t>New Additions</t>
  </si>
  <si>
    <t>1st</t>
  </si>
  <si>
    <t>2nd</t>
  </si>
  <si>
    <t>3rd</t>
  </si>
  <si>
    <t>4th</t>
  </si>
  <si>
    <t>5th</t>
  </si>
  <si>
    <t>6th</t>
  </si>
  <si>
    <t>7th</t>
  </si>
  <si>
    <t>8th</t>
  </si>
  <si>
    <t>9th</t>
  </si>
  <si>
    <t>10th</t>
  </si>
  <si>
    <t>11th</t>
  </si>
  <si>
    <t>12th</t>
  </si>
  <si>
    <t>13th</t>
  </si>
  <si>
    <t>14th</t>
  </si>
  <si>
    <t>15th</t>
  </si>
  <si>
    <t>16th</t>
  </si>
  <si>
    <t>31.03.2022</t>
  </si>
  <si>
    <t>31.03.2023</t>
  </si>
  <si>
    <t>31.03.2024</t>
  </si>
  <si>
    <t>31.03.2025</t>
  </si>
  <si>
    <t>31.03.2026</t>
  </si>
  <si>
    <t>31.03.2028</t>
  </si>
  <si>
    <t>31.03.2029</t>
  </si>
  <si>
    <t>31.03.2030</t>
  </si>
  <si>
    <t>31.03.2031</t>
  </si>
  <si>
    <t>31.03.2032</t>
  </si>
  <si>
    <t>31.03.2033</t>
  </si>
  <si>
    <t>31.03.2034</t>
  </si>
  <si>
    <t>31.03.2035</t>
  </si>
  <si>
    <t>31.03.2036</t>
  </si>
  <si>
    <t>31.03.2037</t>
  </si>
  <si>
    <t>CoCd</t>
  </si>
  <si>
    <t>BusA</t>
  </si>
  <si>
    <t>Bal.sh.itm</t>
  </si>
  <si>
    <t>NFCL</t>
  </si>
  <si>
    <t>CFGP</t>
  </si>
  <si>
    <t>PLNT&amp;MACHN</t>
  </si>
  <si>
    <t>CORP</t>
  </si>
  <si>
    <t>FURFIXOFEQ</t>
  </si>
  <si>
    <t>LAND</t>
  </si>
  <si>
    <t>ROADSCULVR</t>
  </si>
  <si>
    <t>VEHICLES</t>
  </si>
  <si>
    <t>IAS</t>
  </si>
  <si>
    <t>KKD</t>
  </si>
  <si>
    <t>RAILSIDING</t>
  </si>
  <si>
    <t>MIH</t>
  </si>
  <si>
    <t>MKTG</t>
  </si>
  <si>
    <t>New Plant Machinery</t>
  </si>
  <si>
    <t>ROD</t>
  </si>
  <si>
    <t>17th</t>
  </si>
  <si>
    <t>18th</t>
  </si>
  <si>
    <t>19th</t>
  </si>
  <si>
    <t>31.03.2038</t>
  </si>
  <si>
    <t>31.03.2039</t>
  </si>
  <si>
    <t>31.03.2040</t>
  </si>
  <si>
    <t>Electricity Charges</t>
  </si>
  <si>
    <t>Traded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</si>
</sst>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1">
    <numFmt numFmtId="6" formatCode="&quot;₹&quot;\ #,##0;[Red]&quot;₹&quot;\ \-#,##0"/>
    <numFmt numFmtId="8" formatCode="&quot;₹&quot;\ #,##0.00;[Red]&quot;₹&quot;\ \-#,##0.00"/>
    <numFmt numFmtId="41" formatCode="_ * #,##0_ ;_ * \-#,##0_ ;_ * &quot;-&quot;_ ;_ @_ "/>
    <numFmt numFmtId="43" formatCode="_ * #,##0.00_ ;_ * \-#,##0.00_ ;_ * &quot;-&quot;??_ ;_ @_ "/>
    <numFmt numFmtId="164" formatCode="&quot;$&quot;#,##0.00_);[Red]\(&quot;$&quot;#,##0.0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409]mmm\-yy;@"/>
    <numFmt numFmtId="170" formatCode="0.0"/>
    <numFmt numFmtId="171" formatCode="0.0%"/>
    <numFmt numFmtId="172" formatCode="0.000"/>
    <numFmt numFmtId="173" formatCode="_ * #,##0_ ;_ * \-#,##0_ ;_ * &quot;-&quot;??_ ;_ @_ "/>
    <numFmt numFmtId="174" formatCode="_(* #,##0_);_(* \(#,##0\);_(* &quot;-&quot;??_);_(@_)"/>
    <numFmt numFmtId="175" formatCode="_(* #,##0.0_);_(* \(#,##0.0\);_(* &quot;-&quot;??_);_(@_)"/>
    <numFmt numFmtId="176" formatCode="&quot;$&quot;#,##0.00"/>
    <numFmt numFmtId="177" formatCode="_ * #,##0_ ;_ * &quot;\&quot;&quot;\&quot;&quot;\&quot;\-#,##0_ ;_ * &quot;-&quot;_ ;_ @_ "/>
    <numFmt numFmtId="178" formatCode="0.000_)"/>
    <numFmt numFmtId="179" formatCode="#,##0.0_);[Red]\(#,##0.0\)"/>
    <numFmt numFmtId="180" formatCode="#,##0_);[Red]\(#,##0\);"/>
    <numFmt numFmtId="181" formatCode="#,##0.0000_);[Red]\(#,##0.00000\)"/>
    <numFmt numFmtId="182" formatCode="000"/>
    <numFmt numFmtId="183" formatCode="#,##0;&quot;\&quot;&quot;\&quot;&quot;\&quot;&quot;\&quot;\(#,##0&quot;\&quot;&quot;\&quot;&quot;\&quot;&quot;\&quot;\)"/>
    <numFmt numFmtId="184" formatCode="&quot;$&quot;#,##0_);[Red]\(&quot;$&quot;#,##0\);"/>
    <numFmt numFmtId="185" formatCode="&quot;$&quot;#,##0\ ;\(&quot;$&quot;#,##0\)"/>
    <numFmt numFmtId="186" formatCode="&quot;\&quot;&quot;\&quot;&quot;\&quot;&quot;\&quot;\$#,##0.00;&quot;\&quot;&quot;\&quot;&quot;\&quot;&quot;\&quot;\(&quot;\&quot;&quot;\&quot;&quot;\&quot;&quot;\&quot;\$#,##0.00&quot;\&quot;&quot;\&quot;&quot;\&quot;&quot;\&quot;\)"/>
    <numFmt numFmtId="187" formatCode="_-* #,##0\ _D_M_-;\-* #,##0\ _D_M_-;_-* &quot;-&quot;\ _D_M_-;_-@_-"/>
    <numFmt numFmtId="188" formatCode="_-* #,##0.00\ _D_M_-;\-* #,##0.00\ _D_M_-;_-* &quot;-&quot;??\ _D_M_-;_-@_-"/>
    <numFmt numFmtId="189" formatCode="&quot;\&quot;&quot;\&quot;&quot;\&quot;&quot;\&quot;\$#,##0;&quot;\&quot;&quot;\&quot;&quot;\&quot;&quot;\&quot;\(&quot;\&quot;&quot;\&quot;&quot;\&quot;&quot;\&quot;\$#,##0&quot;\&quot;&quot;\&quot;&quot;\&quot;&quot;\&quot;\)"/>
    <numFmt numFmtId="190" formatCode="_([$€-2]* #,##0.00_);_([$€-2]* \(#,##0.00\);_([$€-2]* &quot;-&quot;??_)"/>
    <numFmt numFmtId="191" formatCode="d/mmm/yy;@"/>
    <numFmt numFmtId="192" formatCode="_(* #,##0.0_);_(* &quot;\&quot;&quot;\&quot;&quot;\&quot;&quot;\&quot;\(#,##0.0&quot;\&quot;&quot;\&quot;&quot;\&quot;&quot;\&quot;\);_(* &quot;-&quot;_);_(@_)"/>
    <numFmt numFmtId="193" formatCode=";;;"/>
    <numFmt numFmtId="194" formatCode="0.00_)"/>
    <numFmt numFmtId="195" formatCode="0.00\ %;[Red]\(0.00\)%"/>
    <numFmt numFmtId="196" formatCode="_(* #,##0_);_(* \(#,##0\);_(* \-??_);_(@_)"/>
    <numFmt numFmtId="197" formatCode="0_)%;[Red]\(0\)%"/>
    <numFmt numFmtId="198" formatCode="0.0\ %;[Red]\(0.0\)%"/>
    <numFmt numFmtId="199" formatCode="mm/dd/yy"/>
    <numFmt numFmtId="200" formatCode="mmmm\ d\,\ yyyy"/>
    <numFmt numFmtId="201" formatCode="0000"/>
    <numFmt numFmtId="202" formatCode="00"/>
    <numFmt numFmtId="203" formatCode="_-* #,##0\ &quot;DM&quot;_-;\-* #,##0\ &quot;DM&quot;_-;_-* &quot;-&quot;\ &quot;DM&quot;_-;_-@_-"/>
    <numFmt numFmtId="204" formatCode="_-* #,##0.00\ &quot;DM&quot;_-;\-* #,##0.00\ &quot;DM&quot;_-;_-* &quot;-&quot;??\ &quot;DM&quot;_-;_-@_-"/>
    <numFmt numFmtId="205" formatCode="_ * #,##0.0000_ ;_ * \-#,##0.0000_ ;_ * &quot;-&quot;??_ ;_ @_ "/>
    <numFmt numFmtId="206" formatCode="_(* #,##0.000_);_(* \(#,##0.000\);_(* &quot;-&quot;??_);_(@_)"/>
    <numFmt numFmtId="207" formatCode="_-* #,##0.00_-;\-* #,##0.00_-;_-* &quot;-&quot;??_-;_-@_-"/>
    <numFmt numFmtId="208" formatCode="[$-409]d\-mmm\-yy;@"/>
    <numFmt numFmtId="209" formatCode="#,##0.00;[Red]#,##0.00"/>
    <numFmt numFmtId="210" formatCode="0_)"/>
    <numFmt numFmtId="211" formatCode="_ * #,##0.0_ ;_ * \-#,##0.0_ ;_ * &quot;-&quot;??_ ;_ @_ "/>
    <numFmt numFmtId="212" formatCode="_ * #,##0.0_ ;_ * \-#,##0.0_ ;_ * &quot;-&quot;_ ;_ @_ "/>
    <numFmt numFmtId="213" formatCode="_ * #,##0.000000_ ;_ * \-#,##0.000000_ ;_ * &quot;-&quot;??_ ;_ @_ "/>
    <numFmt numFmtId="214" formatCode="_(* #,##0.0_);\(* \(#,##0\);_(* &quot;-&quot;??_);_(@_)"/>
    <numFmt numFmtId="215" formatCode="_-* #,##0_-;\-* #,##0_-;_-* &quot;-&quot;??_-;_-@_-"/>
    <numFmt numFmtId="216" formatCode="_-* #,##0.000_-;\-* #,##0.000_-;_-* &quot;-&quot;???_-;_-@_-"/>
    <numFmt numFmtId="217" formatCode="dd/mmm/yyyy"/>
    <numFmt numFmtId="218" formatCode="#,##0."/>
    <numFmt numFmtId="219" formatCode="&quot;$&quot;#."/>
    <numFmt numFmtId="220" formatCode="#.00"/>
  </numFmts>
  <fonts count="157">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Arial"/>
      <family val="2"/>
    </font>
    <font>
      <sz val="10"/>
      <name val="Calibri"/>
      <family val="2"/>
      <scheme val="minor"/>
    </font>
    <font>
      <b/>
      <sz val="10"/>
      <color theme="0"/>
      <name val="Calibri"/>
      <family val="2"/>
      <scheme val="minor"/>
    </font>
    <font>
      <sz val="9"/>
      <color theme="1"/>
      <name val="Calibri"/>
      <family val="2"/>
      <scheme val="minor"/>
    </font>
    <font>
      <i/>
      <sz val="9"/>
      <color theme="1"/>
      <name val="Calibri"/>
      <family val="2"/>
      <scheme val="minor"/>
    </font>
    <font>
      <sz val="9"/>
      <color indexed="81"/>
      <name val="Tahoma"/>
      <family val="2"/>
    </font>
    <font>
      <b/>
      <sz val="9"/>
      <color indexed="81"/>
      <name val="Tahoma"/>
      <family val="2"/>
    </font>
    <font>
      <i/>
      <sz val="10"/>
      <color theme="1"/>
      <name val="Calibri"/>
      <family val="2"/>
      <scheme val="minor"/>
    </font>
    <font>
      <b/>
      <sz val="10"/>
      <color indexed="8"/>
      <name val="Calibri"/>
      <family val="2"/>
      <scheme val="minor"/>
    </font>
    <font>
      <sz val="10"/>
      <color rgb="FFFF0000"/>
      <name val="Calibri"/>
      <family val="2"/>
      <scheme val="minor"/>
    </font>
    <font>
      <sz val="8"/>
      <name val="Arial"/>
      <family val="2"/>
    </font>
    <font>
      <sz val="11"/>
      <color indexed="8"/>
      <name val="Calibri"/>
      <family val="2"/>
    </font>
    <font>
      <b/>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Helv"/>
      <charset val="204"/>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i/>
      <sz val="10"/>
      <name val="Arial"/>
      <family val="2"/>
    </font>
    <font>
      <sz val="12"/>
      <name val="Times New Roman"/>
      <family val="1"/>
    </font>
    <font>
      <sz val="12"/>
      <name val="Arial MT"/>
    </font>
    <font>
      <sz val="8"/>
      <name val="Times New Roman"/>
      <family val="1"/>
    </font>
    <font>
      <sz val="12"/>
      <name val="Tms Rmn"/>
    </font>
    <font>
      <b/>
      <sz val="10"/>
      <name val="Helv"/>
      <family val="2"/>
    </font>
    <font>
      <sz val="11"/>
      <name val="Tms Rmn"/>
      <family val="1"/>
    </font>
    <font>
      <sz val="10"/>
      <name val="Tms Rmn"/>
      <family val="1"/>
    </font>
    <font>
      <sz val="10"/>
      <name val="Tms Rmn"/>
    </font>
    <font>
      <sz val="10"/>
      <name val="Trebuchet MS"/>
      <family val="2"/>
    </font>
    <font>
      <sz val="11"/>
      <color indexed="8"/>
      <name val="Garamond"/>
      <family val="2"/>
    </font>
    <font>
      <sz val="11"/>
      <color indexed="8"/>
      <name val="Cambria"/>
      <family val="2"/>
    </font>
    <font>
      <sz val="10"/>
      <name val="Times New Roman"/>
      <family val="1"/>
    </font>
    <font>
      <sz val="10"/>
      <color indexed="22"/>
      <name val="Arial"/>
      <family val="2"/>
    </font>
    <font>
      <sz val="10"/>
      <name val="MS Serif"/>
      <family val="1"/>
    </font>
    <font>
      <b/>
      <u/>
      <sz val="10"/>
      <name val="Arial"/>
      <family val="2"/>
    </font>
    <font>
      <sz val="9"/>
      <name val="Arial"/>
      <family val="2"/>
    </font>
    <font>
      <sz val="10"/>
      <color indexed="16"/>
      <name val="MS Serif"/>
      <family val="1"/>
    </font>
    <font>
      <u/>
      <sz val="10"/>
      <color indexed="12"/>
      <name val="Arial"/>
      <family val="2"/>
    </font>
    <font>
      <b/>
      <u/>
      <sz val="11"/>
      <color indexed="37"/>
      <name val="Arial"/>
      <family val="2"/>
    </font>
    <font>
      <b/>
      <sz val="12"/>
      <name val="Arial"/>
      <family val="2"/>
    </font>
    <font>
      <b/>
      <sz val="8"/>
      <name val="MS Sans Serif"/>
      <family val="2"/>
    </font>
    <font>
      <sz val="10"/>
      <color indexed="12"/>
      <name val="Arial"/>
      <family val="2"/>
    </font>
    <font>
      <u/>
      <sz val="11"/>
      <color indexed="12"/>
      <name val="Calibri"/>
      <family val="2"/>
    </font>
    <font>
      <sz val="10"/>
      <color indexed="8"/>
      <name val="Arial"/>
      <family val="2"/>
    </font>
    <font>
      <sz val="7"/>
      <name val="Small Fonts"/>
      <family val="2"/>
    </font>
    <font>
      <sz val="10"/>
      <color indexed="8"/>
      <name val="MS Sans Serif"/>
      <family val="2"/>
    </font>
    <font>
      <b/>
      <i/>
      <sz val="16"/>
      <name val="Helv"/>
    </font>
    <font>
      <sz val="10"/>
      <name val="Courier"/>
      <family val="3"/>
    </font>
    <font>
      <sz val="11"/>
      <name val="Times New Roman"/>
      <family val="1"/>
    </font>
    <font>
      <sz val="9"/>
      <name val="Helv"/>
    </font>
    <font>
      <sz val="9"/>
      <color indexed="8"/>
      <name val="News Gothic MT"/>
      <family val="2"/>
    </font>
    <font>
      <b/>
      <sz val="10"/>
      <color indexed="9"/>
      <name val="Comic Sans MS"/>
      <family val="4"/>
    </font>
    <font>
      <b/>
      <sz val="12"/>
      <color indexed="17"/>
      <name val="Comic Sans MS"/>
      <family val="4"/>
    </font>
    <font>
      <b/>
      <sz val="24"/>
      <color indexed="19"/>
      <name val="Comic Sans MS"/>
      <family val="4"/>
    </font>
    <font>
      <sz val="10"/>
      <name val="MS Sans Serif"/>
      <family val="2"/>
    </font>
    <font>
      <b/>
      <sz val="10"/>
      <name val="MS Sans Serif"/>
      <family val="2"/>
    </font>
    <font>
      <sz val="8"/>
      <name val="Helv"/>
    </font>
    <font>
      <b/>
      <sz val="8"/>
      <color indexed="8"/>
      <name val="Helv"/>
    </font>
    <font>
      <sz val="9"/>
      <name val="Tms Rmn"/>
      <family val="1"/>
    </font>
    <font>
      <sz val="9"/>
      <name val="Tms Rmn"/>
    </font>
    <font>
      <b/>
      <sz val="18"/>
      <color indexed="56"/>
      <name val="Cambria"/>
      <family val="1"/>
    </font>
    <font>
      <sz val="12"/>
      <name val="宋体"/>
      <charset val="134"/>
    </font>
    <font>
      <sz val="11"/>
      <color theme="1"/>
      <name val="Cambria"/>
      <family val="2"/>
    </font>
    <font>
      <sz val="11"/>
      <color theme="1"/>
      <name val="Garamond"/>
      <family val="2"/>
    </font>
    <font>
      <sz val="11"/>
      <color theme="1"/>
      <name val="Verdana"/>
      <family val="2"/>
    </font>
    <font>
      <sz val="9"/>
      <color theme="1"/>
      <name val="Calibri"/>
      <family val="2"/>
    </font>
    <font>
      <sz val="11"/>
      <color theme="1"/>
      <name val="Times New Roman"/>
      <family val="2"/>
    </font>
    <font>
      <sz val="12"/>
      <color theme="1"/>
      <name val="Goudy Old Style"/>
      <family val="2"/>
    </font>
    <font>
      <sz val="12"/>
      <name val="Arial"/>
      <family val="2"/>
    </font>
    <font>
      <sz val="10"/>
      <color theme="1"/>
      <name val="Calibri Light"/>
      <family val="2"/>
      <scheme val="major"/>
    </font>
    <font>
      <b/>
      <sz val="10"/>
      <color theme="1"/>
      <name val="Calibri Light"/>
      <family val="2"/>
      <scheme val="major"/>
    </font>
    <font>
      <sz val="10"/>
      <color rgb="FF000000"/>
      <name val="Calibri Light"/>
      <family val="2"/>
      <scheme val="major"/>
    </font>
    <font>
      <b/>
      <sz val="10"/>
      <color rgb="FF000000"/>
      <name val="Calibri Light"/>
      <family val="2"/>
      <scheme val="major"/>
    </font>
    <font>
      <b/>
      <sz val="11"/>
      <color theme="1"/>
      <name val="Calibri"/>
      <family val="2"/>
      <scheme val="minor"/>
    </font>
    <font>
      <b/>
      <u/>
      <sz val="10"/>
      <color theme="1"/>
      <name val="Calibri"/>
      <family val="2"/>
      <scheme val="minor"/>
    </font>
    <font>
      <b/>
      <sz val="10"/>
      <color rgb="FFFF0000"/>
      <name val="Calibri"/>
      <family val="2"/>
      <scheme val="minor"/>
    </font>
    <font>
      <sz val="11"/>
      <color theme="1"/>
      <name val="Arial"/>
      <family val="2"/>
    </font>
    <font>
      <b/>
      <sz val="11"/>
      <color theme="1"/>
      <name val="Arial"/>
      <family val="2"/>
    </font>
    <font>
      <b/>
      <u/>
      <sz val="11"/>
      <color theme="1"/>
      <name val="Arial"/>
      <family val="2"/>
    </font>
    <font>
      <sz val="11"/>
      <name val="Arial"/>
      <family val="2"/>
    </font>
    <font>
      <b/>
      <sz val="11"/>
      <name val="Calibri"/>
      <family val="2"/>
    </font>
    <font>
      <sz val="11"/>
      <name val="Calibri"/>
      <family val="2"/>
    </font>
    <font>
      <sz val="14"/>
      <color theme="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i/>
      <sz val="11"/>
      <color theme="1"/>
      <name val="Calibri"/>
      <family val="2"/>
      <scheme val="minor"/>
    </font>
    <font>
      <b/>
      <sz val="10"/>
      <color rgb="FFFF0000"/>
      <name val="Calibri"/>
      <family val="2"/>
    </font>
    <font>
      <sz val="10"/>
      <color theme="1"/>
      <name val="Calibri"/>
      <family val="2"/>
    </font>
    <font>
      <b/>
      <sz val="10"/>
      <color theme="1"/>
      <name val="Calibri"/>
      <family val="2"/>
    </font>
    <font>
      <b/>
      <u/>
      <sz val="10"/>
      <name val="Calibri"/>
      <family val="2"/>
    </font>
    <font>
      <b/>
      <sz val="10"/>
      <name val="Calibri"/>
      <family val="2"/>
    </font>
    <font>
      <sz val="10"/>
      <name val="Calibri"/>
      <family val="2"/>
    </font>
    <font>
      <b/>
      <sz val="10"/>
      <color theme="0"/>
      <name val="Calibri"/>
      <family val="2"/>
    </font>
    <font>
      <b/>
      <vertAlign val="superscript"/>
      <sz val="10"/>
      <color theme="0"/>
      <name val="Calibri"/>
      <family val="2"/>
    </font>
    <font>
      <sz val="10"/>
      <color theme="0"/>
      <name val="Calibri"/>
      <family val="2"/>
    </font>
    <font>
      <i/>
      <sz val="10"/>
      <color rgb="FF0070C0"/>
      <name val="Calibri"/>
      <family val="2"/>
    </font>
    <font>
      <sz val="10"/>
      <color rgb="FF0070C0"/>
      <name val="Calibri"/>
      <family val="2"/>
    </font>
    <font>
      <sz val="10"/>
      <color rgb="FFC00000"/>
      <name val="Calibri"/>
      <family val="2"/>
    </font>
    <font>
      <sz val="10"/>
      <color indexed="8"/>
      <name val="Calibri"/>
      <family val="2"/>
    </font>
    <font>
      <sz val="10"/>
      <color rgb="FFFF0000"/>
      <name val="Calibri"/>
      <family val="2"/>
    </font>
    <font>
      <sz val="10"/>
      <color theme="0" tint="-4.9989318521683403E-2"/>
      <name val="Calibri"/>
      <family val="2"/>
    </font>
    <font>
      <b/>
      <u/>
      <sz val="10"/>
      <color theme="1"/>
      <name val="Calibri"/>
      <family val="2"/>
    </font>
    <font>
      <i/>
      <sz val="10"/>
      <color rgb="FFFF0000"/>
      <name val="Calibri"/>
      <family val="2"/>
    </font>
    <font>
      <i/>
      <sz val="10"/>
      <color theme="0"/>
      <name val="Calibri"/>
      <family val="2"/>
    </font>
    <font>
      <i/>
      <sz val="10"/>
      <color theme="1"/>
      <name val="Calibri"/>
      <family val="2"/>
    </font>
    <font>
      <sz val="12"/>
      <name val=".VnTime"/>
      <family val="2"/>
    </font>
    <font>
      <sz val="11"/>
      <color theme="1"/>
      <name val="Calibri"/>
      <family val="2"/>
    </font>
    <font>
      <b/>
      <sz val="10"/>
      <color indexed="8"/>
      <name val="Arial"/>
      <family val="2"/>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name val="ＭＳ Ｐゴシック"/>
      <family val="3"/>
      <charset val="128"/>
    </font>
    <font>
      <b/>
      <sz val="10"/>
      <color indexed="8"/>
      <name val="Calibri"/>
      <family val="2"/>
    </font>
    <font>
      <i/>
      <sz val="10"/>
      <color indexed="8"/>
      <name val="Calibri"/>
      <family val="2"/>
    </font>
    <font>
      <sz val="10"/>
      <color indexed="10"/>
      <name val="Calibri"/>
      <family val="2"/>
    </font>
    <font>
      <b/>
      <sz val="10"/>
      <color rgb="FF000000"/>
      <name val="Calibri"/>
      <family val="2"/>
      <scheme val="minor"/>
    </font>
    <font>
      <sz val="10"/>
      <color rgb="FF000000"/>
      <name val="Calibri"/>
      <family val="2"/>
      <scheme val="minor"/>
    </font>
    <font>
      <b/>
      <sz val="10"/>
      <color rgb="FF000000"/>
      <name val="Calibri"/>
      <family val="2"/>
    </font>
    <font>
      <sz val="10"/>
      <color rgb="FF000000"/>
      <name val="Calibri"/>
      <family val="2"/>
    </font>
    <font>
      <i/>
      <sz val="11"/>
      <color theme="4"/>
      <name val="Calibri"/>
      <family val="2"/>
      <scheme val="minor"/>
    </font>
    <font>
      <sz val="8"/>
      <name val="Calibri"/>
      <family val="2"/>
      <scheme val="minor"/>
    </font>
    <font>
      <sz val="11"/>
      <color rgb="FFFF0000"/>
      <name val="Calibri"/>
      <family val="2"/>
      <scheme val="minor"/>
    </font>
    <font>
      <b/>
      <sz val="11"/>
      <color rgb="FFFF0000"/>
      <name val="Calibri"/>
      <family val="2"/>
      <scheme val="minor"/>
    </font>
    <font>
      <sz val="1"/>
      <color indexed="8"/>
      <name val="Courier"/>
      <family val="3"/>
    </font>
    <font>
      <b/>
      <sz val="12"/>
      <color rgb="FFFF0000"/>
      <name val="Arial"/>
      <family val="2"/>
    </font>
    <font>
      <sz val="12"/>
      <color indexed="8"/>
      <name val="Arial"/>
      <family val="2"/>
    </font>
    <font>
      <i/>
      <sz val="12"/>
      <color indexed="8"/>
      <name val="Arial"/>
      <family val="2"/>
    </font>
    <font>
      <sz val="12"/>
      <color indexed="10"/>
      <name val="Arial"/>
      <family val="2"/>
    </font>
    <font>
      <sz val="8"/>
      <name val="Tahoma"/>
      <family val="2"/>
    </font>
    <font>
      <sz val="10"/>
      <name val="Arial"/>
      <family val="2"/>
    </font>
  </fonts>
  <fills count="8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0070C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9"/>
      </patternFill>
    </fill>
    <fill>
      <patternFill patternType="solid">
        <fgColor indexed="43"/>
      </patternFill>
    </fill>
    <fill>
      <patternFill patternType="solid">
        <fgColor indexed="26"/>
      </patternFill>
    </fill>
    <fill>
      <patternFill patternType="solid">
        <fgColor indexed="9"/>
        <bgColor indexed="64"/>
      </patternFill>
    </fill>
    <fill>
      <patternFill patternType="gray0625">
        <bgColor indexed="19"/>
      </patternFill>
    </fill>
    <fill>
      <patternFill patternType="gray0625">
        <bgColor indexed="50"/>
      </patternFill>
    </fill>
    <fill>
      <patternFill patternType="solid">
        <fgColor rgb="FFFFF5DA"/>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theme="7"/>
        <bgColor indexed="64"/>
      </patternFill>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0"/>
      </patternFill>
    </fill>
    <fill>
      <patternFill patternType="solid">
        <fgColor indexed="49"/>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1"/>
        <bgColor indexed="64"/>
      </patternFill>
    </fill>
    <fill>
      <patternFill patternType="solid">
        <fgColor indexed="40"/>
        <bgColor indexed="64"/>
      </patternFill>
    </fill>
    <fill>
      <patternFill patternType="solid">
        <fgColor indexed="15"/>
      </patternFill>
    </fill>
    <fill>
      <patternFill patternType="solid">
        <fgColor indexed="20"/>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EEECE1"/>
        <bgColor rgb="FF000000"/>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dotted">
        <color indexed="64"/>
      </right>
      <top/>
      <bottom style="dotted">
        <color indexed="64"/>
      </bottom>
      <diagonal/>
    </border>
    <border>
      <left style="thin">
        <color indexed="64"/>
      </left>
      <right/>
      <top style="thin">
        <color indexed="64"/>
      </top>
      <bottom/>
      <diagonal/>
    </border>
    <border>
      <left/>
      <right style="dotted">
        <color indexed="64"/>
      </right>
      <top/>
      <bottom/>
      <diagonal/>
    </border>
    <border>
      <left/>
      <right style="dotted">
        <color indexed="64"/>
      </right>
      <top style="thin">
        <color indexed="64"/>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18"/>
      </left>
      <right style="thin">
        <color indexed="18"/>
      </right>
      <top style="thin">
        <color indexed="18"/>
      </top>
      <bottom style="thin">
        <color indexed="18"/>
      </bottom>
      <diagonal/>
    </border>
    <border>
      <left style="thin">
        <color indexed="41"/>
      </left>
      <right style="thin">
        <color indexed="48"/>
      </right>
      <top style="medium">
        <color indexed="41"/>
      </top>
      <bottom style="thin">
        <color indexed="48"/>
      </bottom>
      <diagonal/>
    </border>
    <border>
      <left style="thin">
        <color indexed="8"/>
      </left>
      <right style="thin">
        <color indexed="8"/>
      </right>
      <top style="thin">
        <color indexed="8"/>
      </top>
      <bottom style="thin">
        <color indexed="8"/>
      </bottom>
      <diagonal/>
    </border>
    <border>
      <left style="thin">
        <color indexed="54"/>
      </left>
      <right/>
      <top style="thin">
        <color indexed="5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bottom/>
      <diagonal/>
    </border>
    <border>
      <left/>
      <right/>
      <top style="double">
        <color indexed="64"/>
      </top>
      <bottom/>
      <diagonal/>
    </border>
    <border>
      <left style="thin">
        <color indexed="64"/>
      </left>
      <right/>
      <top style="thin">
        <color indexed="64"/>
      </top>
      <bottom style="thin">
        <color indexed="64"/>
      </bottom>
      <diagonal/>
    </border>
    <border>
      <left/>
      <right style="thin">
        <color auto="1"/>
      </right>
      <top style="thin">
        <color indexed="64"/>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501">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168"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4" fillId="0" borderId="0"/>
    <xf numFmtId="0" fontId="5" fillId="0" borderId="0" applyNumberFormat="0" applyFill="0" applyBorder="0" applyAlignment="0" applyProtection="0"/>
    <xf numFmtId="0" fontId="34" fillId="0" borderId="0"/>
    <xf numFmtId="0" fontId="34" fillId="0" borderId="0"/>
    <xf numFmtId="0" fontId="5" fillId="0" borderId="0" applyNumberFormat="0" applyFill="0" applyBorder="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34" fillId="0" borderId="0"/>
    <xf numFmtId="0" fontId="34" fillId="0" borderId="0"/>
    <xf numFmtId="0" fontId="34" fillId="0" borderId="0"/>
    <xf numFmtId="0" fontId="5" fillId="0" borderId="0" applyNumberFormat="0" applyFill="0" applyBorder="0" applyAlignment="0" applyProtection="0"/>
    <xf numFmtId="0" fontId="5" fillId="0" borderId="0" applyNumberFormat="0" applyFill="0" applyBorder="0" applyAlignment="0" applyProtection="0"/>
    <xf numFmtId="0" fontId="34"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17" borderId="0"/>
    <xf numFmtId="0" fontId="35" fillId="18" borderId="0"/>
    <xf numFmtId="0" fontId="36" fillId="19" borderId="0"/>
    <xf numFmtId="0" fontId="37" fillId="20" borderId="0"/>
    <xf numFmtId="0" fontId="38" fillId="0" borderId="0"/>
    <xf numFmtId="0" fontId="39" fillId="0" borderId="0"/>
    <xf numFmtId="0" fontId="1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4" fontId="5" fillId="21"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4" fillId="0" borderId="0"/>
    <xf numFmtId="0" fontId="40" fillId="22" borderId="0"/>
    <xf numFmtId="0" fontId="5" fillId="0" borderId="0" applyNumberFormat="0" applyFill="0" applyBorder="0" applyAlignment="0" applyProtection="0"/>
    <xf numFmtId="0" fontId="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4"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17" borderId="0"/>
    <xf numFmtId="0" fontId="35" fillId="18" borderId="0"/>
    <xf numFmtId="0" fontId="36" fillId="19" borderId="0"/>
    <xf numFmtId="0" fontId="37" fillId="20" borderId="0"/>
    <xf numFmtId="0" fontId="38" fillId="0" borderId="0"/>
    <xf numFmtId="0" fontId="39" fillId="0" borderId="0"/>
    <xf numFmtId="0" fontId="1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4" fillId="0" borderId="0"/>
    <xf numFmtId="0" fontId="5" fillId="0" borderId="0" applyNumberFormat="0" applyFill="0" applyBorder="0" applyAlignment="0" applyProtection="0"/>
    <xf numFmtId="0" fontId="41" fillId="0" borderId="0" applyNumberFormat="0" applyFill="0" applyBorder="0" applyAlignment="0" applyProtection="0"/>
    <xf numFmtId="0" fontId="5" fillId="0" borderId="0" applyNumberFormat="0" applyFill="0" applyBorder="0" applyAlignment="0" applyProtection="0"/>
    <xf numFmtId="0" fontId="41" fillId="0" borderId="0"/>
    <xf numFmtId="0" fontId="41" fillId="0" borderId="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177" fontId="42" fillId="41" borderId="16">
      <alignment horizontal="center" vertical="center"/>
    </xf>
    <xf numFmtId="0" fontId="43" fillId="0" borderId="0">
      <alignment horizontal="center" wrapText="1"/>
      <protection locked="0"/>
    </xf>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44" fillId="0" borderId="0" applyNumberFormat="0" applyFill="0" applyBorder="0" applyAlignment="0" applyProtection="0"/>
    <xf numFmtId="175" fontId="5" fillId="0" borderId="0" applyFill="0" applyBorder="0" applyAlignment="0"/>
    <xf numFmtId="171" fontId="5" fillId="0" borderId="0" applyFill="0" applyBorder="0" applyAlignment="0"/>
    <xf numFmtId="176" fontId="5" fillId="0" borderId="0" applyFill="0" applyBorder="0" applyAlignment="0"/>
    <xf numFmtId="0" fontId="20" fillId="42" borderId="17" applyNumberFormat="0" applyAlignment="0" applyProtection="0"/>
    <xf numFmtId="0" fontId="20" fillId="42" borderId="17" applyNumberFormat="0" applyAlignment="0" applyProtection="0"/>
    <xf numFmtId="0" fontId="20" fillId="42" borderId="17" applyNumberFormat="0" applyAlignment="0" applyProtection="0"/>
    <xf numFmtId="0" fontId="20" fillId="42" borderId="17" applyNumberFormat="0" applyAlignment="0" applyProtection="0"/>
    <xf numFmtId="0" fontId="20" fillId="42" borderId="17" applyNumberFormat="0" applyAlignment="0" applyProtection="0"/>
    <xf numFmtId="0" fontId="45" fillId="0" borderId="0"/>
    <xf numFmtId="0" fontId="21" fillId="43" borderId="18" applyNumberFormat="0" applyAlignment="0" applyProtection="0"/>
    <xf numFmtId="0" fontId="21" fillId="43" borderId="18" applyNumberFormat="0" applyAlignment="0" applyProtection="0"/>
    <xf numFmtId="0" fontId="21" fillId="43" borderId="18" applyNumberFormat="0" applyAlignment="0" applyProtection="0"/>
    <xf numFmtId="0" fontId="21" fillId="43" borderId="18" applyNumberFormat="0" applyAlignment="0" applyProtection="0"/>
    <xf numFmtId="0" fontId="21" fillId="43" borderId="18" applyNumberFormat="0" applyAlignment="0" applyProtection="0"/>
    <xf numFmtId="168" fontId="1" fillId="0" borderId="0" applyFont="0" applyFill="0" applyBorder="0" applyAlignment="0" applyProtection="0"/>
    <xf numFmtId="178" fontId="46" fillId="0" borderId="0"/>
    <xf numFmtId="178" fontId="46" fillId="0" borderId="0"/>
    <xf numFmtId="178" fontId="46" fillId="0" borderId="0"/>
    <xf numFmtId="178" fontId="46" fillId="0" borderId="0"/>
    <xf numFmtId="178" fontId="46" fillId="0" borderId="0"/>
    <xf numFmtId="178" fontId="46" fillId="0" borderId="0"/>
    <xf numFmtId="178" fontId="46" fillId="0" borderId="0"/>
    <xf numFmtId="178" fontId="46" fillId="0" borderId="0"/>
    <xf numFmtId="179" fontId="47" fillId="0" borderId="0" applyFill="0" applyBorder="0" applyAlignment="0" applyProtection="0"/>
    <xf numFmtId="179" fontId="48" fillId="0" borderId="0" applyFill="0" applyBorder="0" applyAlignment="0" applyProtection="0"/>
    <xf numFmtId="40" fontId="47" fillId="0" borderId="0" applyFill="0" applyBorder="0" applyAlignment="0" applyProtection="0"/>
    <xf numFmtId="40" fontId="48" fillId="0" borderId="0" applyFill="0" applyBorder="0" applyAlignment="0" applyProtection="0"/>
    <xf numFmtId="180" fontId="47" fillId="44" borderId="0" applyFill="0" applyBorder="0" applyAlignment="0">
      <alignment vertical="top"/>
    </xf>
    <xf numFmtId="180" fontId="48" fillId="44" borderId="0" applyFill="0" applyBorder="0" applyAlignment="0">
      <alignment vertical="top"/>
    </xf>
    <xf numFmtId="181" fontId="47" fillId="0" borderId="0" applyFill="0" applyBorder="0" applyAlignment="0" applyProtection="0"/>
    <xf numFmtId="181" fontId="48" fillId="0" borderId="0" applyFill="0" applyBorder="0" applyAlignment="0" applyProtection="0"/>
    <xf numFmtId="166"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49"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82" fontId="49" fillId="0" borderId="0" applyFont="0" applyFill="0" applyBorder="0" applyAlignment="0" applyProtection="0"/>
    <xf numFmtId="168" fontId="50" fillId="0" borderId="0" applyFont="0" applyFill="0" applyBorder="0" applyAlignment="0" applyProtection="0"/>
    <xf numFmtId="168" fontId="51" fillId="0" borderId="0" applyFont="0" applyFill="0" applyBorder="0" applyAlignment="0" applyProtection="0"/>
    <xf numFmtId="168" fontId="8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83" fontId="52" fillId="0" borderId="0"/>
    <xf numFmtId="3" fontId="53" fillId="0" borderId="0" applyFont="0" applyFill="0" applyBorder="0" applyAlignment="0" applyProtection="0"/>
    <xf numFmtId="0" fontId="54" fillId="0" borderId="0" applyNumberFormat="0" applyAlignment="0">
      <alignment horizontal="left"/>
    </xf>
    <xf numFmtId="184" fontId="47" fillId="44" borderId="12" applyFill="0" applyBorder="0" applyAlignment="0">
      <alignment horizontal="right"/>
    </xf>
    <xf numFmtId="184" fontId="48" fillId="44" borderId="12" applyFill="0" applyBorder="0" applyAlignment="0">
      <alignment horizontal="right"/>
    </xf>
    <xf numFmtId="185" fontId="53" fillId="0" borderId="0" applyFont="0" applyFill="0" applyBorder="0" applyAlignment="0" applyProtection="0"/>
    <xf numFmtId="186" fontId="52" fillId="0" borderId="0"/>
    <xf numFmtId="0" fontId="53" fillId="0" borderId="0" applyFont="0" applyFill="0" applyBorder="0" applyAlignment="0" applyProtection="0"/>
    <xf numFmtId="164" fontId="5" fillId="0" borderId="0">
      <alignment horizontal="right"/>
      <protection locked="0"/>
    </xf>
    <xf numFmtId="164" fontId="5" fillId="0" borderId="15"/>
    <xf numFmtId="0" fontId="17" fillId="0" borderId="0">
      <protection locked="0"/>
    </xf>
    <xf numFmtId="0" fontId="17" fillId="0" borderId="0">
      <alignment horizontal="right"/>
      <protection locked="0"/>
    </xf>
    <xf numFmtId="0" fontId="55" fillId="0" borderId="0">
      <protection locked="0"/>
    </xf>
    <xf numFmtId="0" fontId="17" fillId="0" borderId="7">
      <protection locked="0"/>
    </xf>
    <xf numFmtId="0" fontId="5" fillId="0" borderId="0">
      <protection locked="0"/>
    </xf>
    <xf numFmtId="0" fontId="5" fillId="0" borderId="0">
      <protection locked="0"/>
    </xf>
    <xf numFmtId="164" fontId="17" fillId="0" borderId="11">
      <alignment horizontal="right"/>
      <protection locked="0"/>
    </xf>
    <xf numFmtId="38" fontId="17" fillId="0" borderId="11">
      <alignment horizontal="right"/>
      <protection locked="0"/>
    </xf>
    <xf numFmtId="38" fontId="5" fillId="0" borderId="0">
      <alignment horizontal="right"/>
      <protection locked="0"/>
    </xf>
    <xf numFmtId="38" fontId="5" fillId="0" borderId="15"/>
    <xf numFmtId="187" fontId="5" fillId="0" borderId="0" applyFont="0" applyFill="0" applyBorder="0" applyAlignment="0" applyProtection="0"/>
    <xf numFmtId="188" fontId="5" fillId="0" borderId="0" applyFont="0" applyFill="0" applyBorder="0" applyAlignment="0" applyProtection="0"/>
    <xf numFmtId="0" fontId="56" fillId="0" borderId="0"/>
    <xf numFmtId="189" fontId="52" fillId="0" borderId="0"/>
    <xf numFmtId="0" fontId="47" fillId="0" borderId="0" applyNumberFormat="0" applyFill="0" applyBorder="0" applyAlignment="0" applyProtection="0"/>
    <xf numFmtId="0" fontId="48" fillId="0" borderId="0" applyNumberFormat="0" applyFill="0" applyBorder="0" applyAlignment="0" applyProtection="0"/>
    <xf numFmtId="0" fontId="57" fillId="0" borderId="0" applyNumberFormat="0" applyAlignment="0">
      <alignment horizontal="left"/>
    </xf>
    <xf numFmtId="190" fontId="5" fillId="0" borderId="0" applyFont="0" applyFill="0" applyBorder="0" applyAlignment="0" applyProtection="0"/>
    <xf numFmtId="191" fontId="16" fillId="0" borderId="0"/>
    <xf numFmtId="0" fontId="58" fillId="0" borderId="0"/>
    <xf numFmtId="0" fontId="16"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2" fontId="53" fillId="0" borderId="0" applyFont="0" applyFill="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38" fontId="15" fillId="17" borderId="0" applyNumberFormat="0" applyBorder="0" applyAlignment="0" applyProtection="0"/>
    <xf numFmtId="0" fontId="59" fillId="0" borderId="0" applyNumberFormat="0" applyFill="0" applyBorder="0" applyAlignment="0" applyProtection="0"/>
    <xf numFmtId="0" fontId="60" fillId="0" borderId="19" applyNumberFormat="0" applyAlignment="0" applyProtection="0">
      <alignment horizontal="left" vertical="center"/>
    </xf>
    <xf numFmtId="0" fontId="60" fillId="0" borderId="11">
      <alignment horizontal="left" vertical="center"/>
    </xf>
    <xf numFmtId="49" fontId="17" fillId="0" borderId="14">
      <alignment horizontal="right" wrapText="1"/>
    </xf>
    <xf numFmtId="0" fontId="24" fillId="0" borderId="20" applyNumberFormat="0" applyFill="0" applyAlignment="0" applyProtection="0"/>
    <xf numFmtId="0" fontId="24" fillId="0" borderId="20" applyNumberFormat="0" applyFill="0" applyAlignment="0" applyProtection="0"/>
    <xf numFmtId="0" fontId="24" fillId="0" borderId="20" applyNumberFormat="0" applyFill="0" applyAlignment="0" applyProtection="0"/>
    <xf numFmtId="0" fontId="24" fillId="0" borderId="20" applyNumberFormat="0" applyFill="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92" fontId="42" fillId="0" borderId="0">
      <protection locked="0"/>
    </xf>
    <xf numFmtId="192" fontId="42" fillId="0" borderId="0">
      <protection locked="0"/>
    </xf>
    <xf numFmtId="0" fontId="61" fillId="0" borderId="7">
      <alignment horizontal="center"/>
    </xf>
    <xf numFmtId="0" fontId="61" fillId="0" borderId="0">
      <alignment horizontal="center"/>
    </xf>
    <xf numFmtId="193" fontId="47" fillId="0" borderId="0" applyFill="0" applyBorder="0" applyAlignment="0" applyProtection="0"/>
    <xf numFmtId="193" fontId="48" fillId="0" borderId="0" applyFill="0" applyBorder="0" applyAlignment="0" applyProtection="0"/>
    <xf numFmtId="0" fontId="62" fillId="0" borderId="23" applyNumberFormat="0" applyFill="0" applyAlignment="0" applyProtection="0"/>
    <xf numFmtId="0" fontId="63" fillId="0" borderId="0"/>
    <xf numFmtId="0" fontId="58" fillId="0" borderId="0" applyNumberFormat="0" applyFill="0" applyBorder="0" applyAlignment="0" applyProtection="0">
      <alignment vertical="top"/>
      <protection locked="0"/>
    </xf>
    <xf numFmtId="10" fontId="15" fillId="21" borderId="9" applyNumberFormat="0" applyBorder="0" applyAlignment="0" applyProtection="0"/>
    <xf numFmtId="0" fontId="27" fillId="28" borderId="17" applyNumberFormat="0" applyAlignment="0" applyProtection="0"/>
    <xf numFmtId="0" fontId="27" fillId="28" borderId="17" applyNumberFormat="0" applyAlignment="0" applyProtection="0"/>
    <xf numFmtId="0" fontId="27" fillId="28" borderId="17" applyNumberFormat="0" applyAlignment="0" applyProtection="0"/>
    <xf numFmtId="0" fontId="27" fillId="28" borderId="17" applyNumberFormat="0" applyAlignment="0" applyProtection="0"/>
    <xf numFmtId="0" fontId="27" fillId="28" borderId="17" applyNumberFormat="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0" fontId="28" fillId="0" borderId="24" applyNumberFormat="0" applyFill="0" applyAlignment="0" applyProtection="0"/>
    <xf numFmtId="166" fontId="64" fillId="0" borderId="0" applyFont="0" applyFill="0" applyBorder="0" applyAlignment="0" applyProtection="0"/>
    <xf numFmtId="168" fontId="64" fillId="0" borderId="0" applyFont="0" applyFill="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37" fontId="65" fillId="0" borderId="0"/>
    <xf numFmtId="0" fontId="5" fillId="0" borderId="0"/>
    <xf numFmtId="0" fontId="66" fillId="0" borderId="0"/>
    <xf numFmtId="194" fontId="67" fillId="0" borderId="0"/>
    <xf numFmtId="0" fontId="84" fillId="0" borderId="0"/>
    <xf numFmtId="0" fontId="83" fillId="0" borderId="0"/>
    <xf numFmtId="175" fontId="68" fillId="0" borderId="0"/>
    <xf numFmtId="195" fontId="68" fillId="0" borderId="0"/>
    <xf numFmtId="193" fontId="68" fillId="0" borderId="0"/>
    <xf numFmtId="193" fontId="68" fillId="0" borderId="0"/>
    <xf numFmtId="193" fontId="68" fillId="0" borderId="0"/>
    <xf numFmtId="193" fontId="68" fillId="0" borderId="0"/>
    <xf numFmtId="193" fontId="68" fillId="0" borderId="0"/>
    <xf numFmtId="174" fontId="68"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43" fontId="68" fillId="0" borderId="0"/>
    <xf numFmtId="0" fontId="1" fillId="0" borderId="0"/>
    <xf numFmtId="174" fontId="68"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69" fillId="0" borderId="0"/>
    <xf numFmtId="0" fontId="5" fillId="0" borderId="0"/>
    <xf numFmtId="0" fontId="1" fillId="0" borderId="0"/>
    <xf numFmtId="0" fontId="1" fillId="0" borderId="0"/>
    <xf numFmtId="0" fontId="1" fillId="0" borderId="0"/>
    <xf numFmtId="166" fontId="68" fillId="0" borderId="0"/>
    <xf numFmtId="0" fontId="1" fillId="0" borderId="0"/>
    <xf numFmtId="0" fontId="1" fillId="0" borderId="0"/>
    <xf numFmtId="43" fontId="68" fillId="0" borderId="0"/>
    <xf numFmtId="0" fontId="1" fillId="0" borderId="0"/>
    <xf numFmtId="0" fontId="5" fillId="0" borderId="0"/>
    <xf numFmtId="0" fontId="1" fillId="0" borderId="0"/>
    <xf numFmtId="196" fontId="68" fillId="0" borderId="0"/>
    <xf numFmtId="196" fontId="68" fillId="0" borderId="0"/>
    <xf numFmtId="0" fontId="1" fillId="0" borderId="0"/>
    <xf numFmtId="0" fontId="1" fillId="0" borderId="0"/>
    <xf numFmtId="0" fontId="1" fillId="0" borderId="0"/>
    <xf numFmtId="0" fontId="85" fillId="0" borderId="0"/>
    <xf numFmtId="0" fontId="1" fillId="0" borderId="0"/>
    <xf numFmtId="0" fontId="68" fillId="0" borderId="0"/>
    <xf numFmtId="0" fontId="85" fillId="0" borderId="0"/>
    <xf numFmtId="166" fontId="5" fillId="0" borderId="0" applyFont="0" applyFill="0" applyBorder="0" applyAlignment="0" applyProtection="0"/>
    <xf numFmtId="166" fontId="5" fillId="0" borderId="0" applyFont="0" applyFill="0" applyBorder="0" applyAlignment="0" applyProtection="0"/>
    <xf numFmtId="0" fontId="66" fillId="0" borderId="0"/>
    <xf numFmtId="37" fontId="70" fillId="0" borderId="0"/>
    <xf numFmtId="0" fontId="49" fillId="46" borderId="25" applyNumberFormat="0" applyFont="0" applyAlignment="0" applyProtection="0"/>
    <xf numFmtId="0" fontId="5" fillId="46" borderId="25" applyNumberFormat="0" applyFont="0" applyAlignment="0" applyProtection="0"/>
    <xf numFmtId="0" fontId="5" fillId="46" borderId="25" applyNumberFormat="0" applyFont="0" applyAlignment="0" applyProtection="0"/>
    <xf numFmtId="0" fontId="5" fillId="46" borderId="25" applyNumberFormat="0" applyFont="0" applyAlignment="0" applyProtection="0"/>
    <xf numFmtId="0" fontId="5" fillId="46" borderId="25" applyNumberFormat="0" applyFont="0" applyAlignment="0" applyProtection="0"/>
    <xf numFmtId="0" fontId="5" fillId="46" borderId="25" applyNumberFormat="0" applyFont="0" applyAlignment="0" applyProtection="0"/>
    <xf numFmtId="0" fontId="49" fillId="46" borderId="25" applyNumberFormat="0" applyFont="0" applyAlignment="0" applyProtection="0"/>
    <xf numFmtId="0" fontId="49" fillId="46" borderId="25" applyNumberFormat="0" applyFont="0" applyAlignment="0" applyProtection="0"/>
    <xf numFmtId="0" fontId="49" fillId="46" borderId="25" applyNumberFormat="0" applyFont="0" applyAlignment="0" applyProtection="0"/>
    <xf numFmtId="0" fontId="49" fillId="46" borderId="25" applyNumberFormat="0" applyFont="0" applyAlignment="0" applyProtection="0"/>
    <xf numFmtId="0" fontId="30" fillId="42" borderId="26" applyNumberFormat="0" applyAlignment="0" applyProtection="0"/>
    <xf numFmtId="0" fontId="30" fillId="42" borderId="26" applyNumberFormat="0" applyAlignment="0" applyProtection="0"/>
    <xf numFmtId="0" fontId="30" fillId="42" borderId="26" applyNumberFormat="0" applyAlignment="0" applyProtection="0"/>
    <xf numFmtId="0" fontId="30" fillId="42" borderId="26" applyNumberFormat="0" applyAlignment="0" applyProtection="0"/>
    <xf numFmtId="0" fontId="30" fillId="42" borderId="26" applyNumberFormat="0" applyAlignment="0" applyProtection="0"/>
    <xf numFmtId="40" fontId="71" fillId="47" borderId="0">
      <alignment horizontal="right"/>
    </xf>
    <xf numFmtId="0" fontId="72" fillId="48" borderId="0">
      <alignment horizontal="center"/>
    </xf>
    <xf numFmtId="0" fontId="72" fillId="49" borderId="13"/>
    <xf numFmtId="0" fontId="73" fillId="0" borderId="0" applyBorder="0">
      <alignment horizontal="centerContinuous"/>
    </xf>
    <xf numFmtId="0" fontId="74" fillId="0" borderId="0" applyBorder="0">
      <alignment horizontal="centerContinuous"/>
    </xf>
    <xf numFmtId="0" fontId="5" fillId="0" borderId="15">
      <protection locked="0"/>
    </xf>
    <xf numFmtId="197" fontId="47" fillId="44" borderId="0" applyFill="0" applyBorder="0" applyAlignment="0" applyProtection="0">
      <protection locked="0"/>
    </xf>
    <xf numFmtId="197" fontId="48" fillId="44" borderId="0" applyFill="0" applyBorder="0" applyAlignment="0" applyProtection="0">
      <protection locked="0"/>
    </xf>
    <xf numFmtId="198" fontId="47" fillId="44" borderId="0" applyFill="0" applyBorder="0" applyAlignment="0" applyProtection="0">
      <alignment vertical="top"/>
    </xf>
    <xf numFmtId="198" fontId="48" fillId="44" borderId="0" applyFill="0" applyBorder="0" applyAlignment="0" applyProtection="0">
      <alignment vertical="top"/>
    </xf>
    <xf numFmtId="195" fontId="47" fillId="0" borderId="0" applyFill="0" applyBorder="0" applyAlignment="0" applyProtection="0"/>
    <xf numFmtId="195" fontId="48" fillId="0" borderId="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5" fillId="0" borderId="0" applyNumberFormat="0" applyFont="0" applyFill="0" applyBorder="0" applyAlignment="0" applyProtection="0">
      <alignment horizontal="left"/>
    </xf>
    <xf numFmtId="15" fontId="75" fillId="0" borderId="0" applyFont="0" applyFill="0" applyBorder="0" applyAlignment="0" applyProtection="0"/>
    <xf numFmtId="4" fontId="75" fillId="0" borderId="0" applyFont="0" applyFill="0" applyBorder="0" applyAlignment="0" applyProtection="0"/>
    <xf numFmtId="0" fontId="76" fillId="0" borderId="7">
      <alignment horizontal="center"/>
    </xf>
    <xf numFmtId="199" fontId="77" fillId="0" borderId="0" applyNumberFormat="0" applyFill="0" applyBorder="0" applyAlignment="0" applyProtection="0">
      <alignment horizontal="left"/>
    </xf>
    <xf numFmtId="0" fontId="66" fillId="0" borderId="0"/>
    <xf numFmtId="0" fontId="60" fillId="0" borderId="0">
      <alignment horizontal="left"/>
      <protection locked="0"/>
    </xf>
    <xf numFmtId="0" fontId="5" fillId="0" borderId="0"/>
    <xf numFmtId="40" fontId="78" fillId="0" borderId="0" applyBorder="0">
      <alignment horizontal="right"/>
    </xf>
    <xf numFmtId="0" fontId="17" fillId="0" borderId="0">
      <alignment horizontal="left"/>
    </xf>
    <xf numFmtId="0" fontId="17" fillId="0" borderId="0">
      <alignment horizontal="right"/>
    </xf>
    <xf numFmtId="164" fontId="5" fillId="0" borderId="0">
      <alignment horizontal="right"/>
      <protection locked="0"/>
    </xf>
    <xf numFmtId="164" fontId="17" fillId="0" borderId="12">
      <alignment horizontal="right"/>
      <protection locked="0"/>
    </xf>
    <xf numFmtId="164" fontId="17" fillId="0" borderId="11">
      <alignment horizontal="right"/>
      <protection locked="0"/>
    </xf>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32" fillId="0" borderId="27" applyNumberFormat="0" applyFill="0" applyAlignment="0" applyProtection="0"/>
    <xf numFmtId="0" fontId="32" fillId="0" borderId="27" applyNumberFormat="0" applyFill="0" applyAlignment="0" applyProtection="0"/>
    <xf numFmtId="0" fontId="32" fillId="0" borderId="27" applyNumberFormat="0" applyFill="0" applyAlignment="0" applyProtection="0"/>
    <xf numFmtId="0" fontId="32" fillId="0" borderId="27" applyNumberFormat="0" applyFill="0" applyAlignment="0" applyProtection="0"/>
    <xf numFmtId="0" fontId="32" fillId="0" borderId="27" applyNumberFormat="0" applyFill="0" applyAlignment="0" applyProtection="0"/>
    <xf numFmtId="200" fontId="5" fillId="0" borderId="0">
      <alignment horizontal="left"/>
    </xf>
    <xf numFmtId="0" fontId="56" fillId="0" borderId="0"/>
    <xf numFmtId="201" fontId="5" fillId="0" borderId="10" applyFont="0" applyFill="0" applyBorder="0" applyProtection="0">
      <alignment horizontal="center"/>
      <protection locked="0"/>
    </xf>
    <xf numFmtId="201" fontId="5" fillId="0" borderId="10" applyFont="0" applyFill="0" applyBorder="0" applyProtection="0">
      <alignment horizontal="center"/>
      <protection locked="0"/>
    </xf>
    <xf numFmtId="202" fontId="17" fillId="0" borderId="15" applyFont="0" applyFill="0" applyBorder="0" applyProtection="0">
      <alignment horizontal="center"/>
    </xf>
    <xf numFmtId="38" fontId="5" fillId="0" borderId="9" applyFont="0" applyFill="0" applyBorder="0" applyAlignment="0" applyProtection="0">
      <protection locked="0"/>
    </xf>
    <xf numFmtId="38" fontId="5" fillId="0" borderId="9" applyFont="0" applyFill="0" applyBorder="0" applyAlignment="0" applyProtection="0">
      <protection locked="0"/>
    </xf>
    <xf numFmtId="15" fontId="5" fillId="0" borderId="9" applyFont="0" applyFill="0" applyBorder="0" applyProtection="0">
      <alignment horizontal="center"/>
      <protection locked="0"/>
    </xf>
    <xf numFmtId="15" fontId="5" fillId="0" borderId="9" applyFont="0" applyFill="0" applyBorder="0" applyProtection="0">
      <alignment horizontal="center"/>
      <protection locked="0"/>
    </xf>
    <xf numFmtId="10" fontId="5" fillId="0" borderId="9" applyFont="0" applyFill="0" applyBorder="0" applyProtection="0">
      <alignment horizontal="center"/>
      <protection locked="0"/>
    </xf>
    <xf numFmtId="10" fontId="5" fillId="0" borderId="9" applyFont="0" applyFill="0" applyBorder="0" applyProtection="0">
      <alignment horizontal="center"/>
      <protection locked="0"/>
    </xf>
    <xf numFmtId="182" fontId="5" fillId="0" borderId="9" applyFont="0" applyFill="0" applyBorder="0" applyProtection="0">
      <alignment horizontal="center"/>
    </xf>
    <xf numFmtId="182" fontId="5" fillId="0" borderId="9" applyFont="0" applyFill="0" applyBorder="0" applyProtection="0">
      <alignment horizontal="center"/>
    </xf>
    <xf numFmtId="165" fontId="64" fillId="0" borderId="0" applyFont="0" applyFill="0" applyBorder="0" applyAlignment="0" applyProtection="0"/>
    <xf numFmtId="167" fontId="64" fillId="0" borderId="0" applyFont="0" applyFill="0" applyBorder="0" applyAlignment="0" applyProtection="0"/>
    <xf numFmtId="203" fontId="5" fillId="0" borderId="0" applyFont="0" applyFill="0" applyBorder="0" applyAlignment="0" applyProtection="0"/>
    <xf numFmtId="204" fontId="5"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2" fillId="0" borderId="0">
      <alignment vertical="center"/>
    </xf>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71" fontId="5" fillId="0" borderId="0">
      <alignment horizontal="left" wrapText="1"/>
    </xf>
    <xf numFmtId="168" fontId="1" fillId="0" borderId="0" applyFont="0" applyFill="0" applyBorder="0" applyAlignment="0" applyProtection="0"/>
    <xf numFmtId="0" fontId="86" fillId="0" borderId="0"/>
    <xf numFmtId="43" fontId="1" fillId="0" borderId="0" applyFont="0" applyFill="0" applyBorder="0" applyAlignment="0" applyProtection="0"/>
    <xf numFmtId="0" fontId="5" fillId="0" borderId="0"/>
    <xf numFmtId="9" fontId="1" fillId="0" borderId="0" applyFont="0" applyFill="0" applyBorder="0" applyAlignment="0" applyProtection="0"/>
    <xf numFmtId="9" fontId="86" fillId="0" borderId="0" applyFont="0" applyFill="0" applyBorder="0" applyAlignment="0" applyProtection="0"/>
    <xf numFmtId="168" fontId="86"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87" fillId="0" borderId="0" applyFont="0" applyFill="0" applyBorder="0" applyAlignment="0" applyProtection="0"/>
    <xf numFmtId="0" fontId="1" fillId="0" borderId="0"/>
    <xf numFmtId="0" fontId="88" fillId="0" borderId="0"/>
    <xf numFmtId="164" fontId="5" fillId="0" borderId="28"/>
    <xf numFmtId="38" fontId="5" fillId="0" borderId="28"/>
    <xf numFmtId="0" fontId="5" fillId="0" borderId="28">
      <protection locked="0"/>
    </xf>
    <xf numFmtId="202" fontId="17" fillId="0" borderId="28" applyFont="0" applyFill="0" applyBorder="0" applyProtection="0">
      <alignment horizontal="center"/>
    </xf>
    <xf numFmtId="168" fontId="1" fillId="0" borderId="0" applyFont="0" applyFill="0" applyBorder="0" applyAlignment="0" applyProtection="0"/>
    <xf numFmtId="0" fontId="89" fillId="0" borderId="0"/>
    <xf numFmtId="0" fontId="89" fillId="0" borderId="0"/>
    <xf numFmtId="0" fontId="89" fillId="0" borderId="0"/>
    <xf numFmtId="0" fontId="8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7" fillId="0" borderId="0"/>
    <xf numFmtId="207" fontId="97" fillId="0" borderId="0" applyFont="0" applyFill="0" applyBorder="0" applyAlignment="0" applyProtection="0"/>
    <xf numFmtId="209" fontId="5" fillId="0" borderId="0"/>
    <xf numFmtId="43" fontId="1" fillId="0" borderId="0" applyFont="0" applyFill="0" applyBorder="0" applyAlignment="0" applyProtection="0"/>
    <xf numFmtId="0" fontId="128" fillId="0" borderId="0" applyNumberFormat="0" applyFill="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8" fillId="61"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8" fillId="64"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8" fillId="67"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8" fillId="67"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8" fillId="60"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8" fillId="69"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207" fontId="5" fillId="0" borderId="0" applyFont="0" applyFill="0" applyBorder="0" applyAlignment="0" applyProtection="0"/>
    <xf numFmtId="168" fontId="1" fillId="0" borderId="0" applyFont="0" applyFill="0" applyBorder="0" applyAlignment="0" applyProtection="0"/>
    <xf numFmtId="168" fontId="5" fillId="0" borderId="0" applyFont="0" applyFill="0" applyBorder="0" applyAlignment="0" applyProtection="0"/>
    <xf numFmtId="168" fontId="1" fillId="0" borderId="0" applyFont="0" applyFill="0" applyBorder="0" applyAlignment="0" applyProtection="0"/>
    <xf numFmtId="207" fontId="5" fillId="0" borderId="0" applyFont="0" applyFill="0" applyBorder="0" applyAlignment="0" applyProtection="0"/>
    <xf numFmtId="43" fontId="1"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168" fontId="1"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16" fillId="0" borderId="0" applyFont="0" applyFill="0" applyBorder="0" applyAlignment="0" applyProtection="0"/>
    <xf numFmtId="207" fontId="16" fillId="0" borderId="0" applyFont="0" applyFill="0" applyBorder="0" applyAlignment="0" applyProtection="0"/>
    <xf numFmtId="207" fontId="16" fillId="0" borderId="0" applyFont="0" applyFill="0" applyBorder="0" applyAlignment="0" applyProtection="0"/>
    <xf numFmtId="207" fontId="16" fillId="0" borderId="0" applyFont="0" applyFill="0" applyBorder="0" applyAlignment="0" applyProtection="0"/>
    <xf numFmtId="207" fontId="16" fillId="0" borderId="0" applyFont="0" applyFill="0" applyBorder="0" applyAlignment="0" applyProtection="0"/>
    <xf numFmtId="207" fontId="16" fillId="0" borderId="0" applyFont="0" applyFill="0" applyBorder="0" applyAlignment="0" applyProtection="0"/>
    <xf numFmtId="207" fontId="16" fillId="0" borderId="0" applyFont="0" applyFill="0" applyBorder="0" applyAlignment="0" applyProtection="0"/>
    <xf numFmtId="207" fontId="16" fillId="0" borderId="0" applyFont="0" applyFill="0" applyBorder="0" applyAlignment="0" applyProtection="0"/>
    <xf numFmtId="207" fontId="16" fillId="0" borderId="0" applyFont="0" applyFill="0" applyBorder="0" applyAlignment="0" applyProtection="0"/>
    <xf numFmtId="207" fontId="16" fillId="0" borderId="0" applyFont="0" applyFill="0" applyBorder="0" applyAlignment="0" applyProtection="0"/>
    <xf numFmtId="207" fontId="16" fillId="0" borderId="0" applyFont="0" applyFill="0" applyBorder="0" applyAlignment="0" applyProtection="0"/>
    <xf numFmtId="207" fontId="16"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07" fontId="5"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07"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21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207" fontId="5" fillId="0" borderId="0" applyFont="0" applyFill="0" applyBorder="0" applyAlignment="0" applyProtection="0"/>
    <xf numFmtId="168"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0" fontId="32" fillId="70" borderId="0" applyNumberFormat="0" applyBorder="0" applyAlignment="0" applyProtection="0"/>
    <xf numFmtId="0" fontId="32" fillId="71" borderId="0" applyNumberFormat="0" applyBorder="0" applyAlignment="0" applyProtection="0"/>
    <xf numFmtId="0" fontId="32" fillId="72" borderId="0" applyNumberFormat="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9"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0"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1" fillId="45" borderId="42" applyNumberFormat="0" applyProtection="0">
      <alignment vertical="center"/>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4" fontId="130" fillId="45" borderId="42" applyNumberFormat="0" applyProtection="0">
      <alignment horizontal="left" vertical="center"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0" fontId="130" fillId="45" borderId="42" applyNumberFormat="0" applyProtection="0">
      <alignment horizontal="left" vertical="top" indent="1"/>
    </xf>
    <xf numFmtId="4" fontId="130" fillId="73" borderId="0" applyNumberFormat="0" applyProtection="0">
      <alignment horizontal="left" vertical="center" indent="1"/>
    </xf>
    <xf numFmtId="4" fontId="15" fillId="74" borderId="43" applyNumberFormat="0" applyProtection="0">
      <alignment horizontal="left" vertical="center" indent="1"/>
    </xf>
    <xf numFmtId="4" fontId="15" fillId="74" borderId="43" applyNumberFormat="0" applyProtection="0">
      <alignment horizontal="left" vertical="center" indent="1"/>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24"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0"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8"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2"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36"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40"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39"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75"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64" fillId="31" borderId="42" applyNumberFormat="0" applyProtection="0">
      <alignment horizontal="right" vertical="center"/>
    </xf>
    <xf numFmtId="4" fontId="130" fillId="76" borderId="44" applyNumberFormat="0" applyProtection="0">
      <alignment horizontal="left" vertical="center" indent="1"/>
    </xf>
    <xf numFmtId="4" fontId="15" fillId="76" borderId="45" applyNumberFormat="0" applyProtection="0">
      <alignment horizontal="left" vertical="center" indent="1"/>
    </xf>
    <xf numFmtId="4" fontId="15" fillId="76" borderId="45" applyNumberFormat="0" applyProtection="0">
      <alignment horizontal="left" vertical="center" indent="1"/>
    </xf>
    <xf numFmtId="4" fontId="64" fillId="77" borderId="0" applyNumberFormat="0" applyProtection="0">
      <alignment horizontal="left" vertical="center" indent="1"/>
    </xf>
    <xf numFmtId="4" fontId="132" fillId="78" borderId="0" applyNumberFormat="0" applyProtection="0">
      <alignment horizontal="left" vertical="center" indent="1"/>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3" borderId="42" applyNumberFormat="0" applyProtection="0">
      <alignment horizontal="right" vertical="center"/>
    </xf>
    <xf numFmtId="4" fontId="64" fillId="77" borderId="0" applyNumberFormat="0" applyProtection="0">
      <alignment horizontal="left" vertical="center" indent="1"/>
    </xf>
    <xf numFmtId="4" fontId="15" fillId="79" borderId="45" applyNumberFormat="0" applyProtection="0">
      <alignment horizontal="left" vertical="center" indent="1"/>
    </xf>
    <xf numFmtId="4" fontId="15" fillId="79" borderId="45" applyNumberFormat="0" applyProtection="0">
      <alignment horizontal="left" vertical="center" indent="1"/>
    </xf>
    <xf numFmtId="4" fontId="64" fillId="73" borderId="0" applyNumberFormat="0" applyProtection="0">
      <alignment horizontal="left" vertical="center" indent="1"/>
    </xf>
    <xf numFmtId="4" fontId="15" fillId="80" borderId="45" applyNumberFormat="0" applyProtection="0">
      <alignment horizontal="left" vertical="center" indent="1"/>
    </xf>
    <xf numFmtId="4" fontId="15" fillId="80" borderId="45"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center"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8" borderId="42" applyNumberFormat="0" applyProtection="0">
      <alignment horizontal="left" vertical="top"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center"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73" borderId="42" applyNumberFormat="0" applyProtection="0">
      <alignment horizontal="left" vertical="top"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center"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29" borderId="42" applyNumberFormat="0" applyProtection="0">
      <alignment horizontal="left" vertical="top"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center"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77" borderId="42" applyNumberFormat="0" applyProtection="0">
      <alignment horizontal="left" vertical="top" indent="1"/>
    </xf>
    <xf numFmtId="0" fontId="5" fillId="44" borderId="9" applyNumberFormat="0">
      <protection locked="0"/>
    </xf>
    <xf numFmtId="0" fontId="5" fillId="44" borderId="9" applyNumberFormat="0">
      <protection locked="0"/>
    </xf>
    <xf numFmtId="0" fontId="5" fillId="44" borderId="9" applyNumberFormat="0">
      <protection locked="0"/>
    </xf>
    <xf numFmtId="0" fontId="5" fillId="44" borderId="9" applyNumberFormat="0">
      <protection locked="0"/>
    </xf>
    <xf numFmtId="0" fontId="5" fillId="44" borderId="9" applyNumberFormat="0">
      <protection locked="0"/>
    </xf>
    <xf numFmtId="0" fontId="5" fillId="44" borderId="9" applyNumberFormat="0">
      <protection locked="0"/>
    </xf>
    <xf numFmtId="0" fontId="5" fillId="44" borderId="9" applyNumberFormat="0">
      <protection locked="0"/>
    </xf>
    <xf numFmtId="0" fontId="5" fillId="44" borderId="9" applyNumberFormat="0">
      <protection locked="0"/>
    </xf>
    <xf numFmtId="0" fontId="5" fillId="44" borderId="9" applyNumberFormat="0">
      <protection locked="0"/>
    </xf>
    <xf numFmtId="0" fontId="5" fillId="44" borderId="9" applyNumberFormat="0">
      <protection locked="0"/>
    </xf>
    <xf numFmtId="0" fontId="5" fillId="44" borderId="9" applyNumberFormat="0">
      <protection locked="0"/>
    </xf>
    <xf numFmtId="0" fontId="5" fillId="44" borderId="9" applyNumberFormat="0">
      <protection locked="0"/>
    </xf>
    <xf numFmtId="0" fontId="5" fillId="44" borderId="9" applyNumberFormat="0">
      <protection locked="0"/>
    </xf>
    <xf numFmtId="0" fontId="5" fillId="44" borderId="9" applyNumberFormat="0">
      <protection locked="0"/>
    </xf>
    <xf numFmtId="0" fontId="133" fillId="19" borderId="46" applyBorder="0"/>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6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134" fillId="46" borderId="42" applyNumberFormat="0" applyProtection="0">
      <alignment vertical="center"/>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4" fontId="64" fillId="46" borderId="42" applyNumberFormat="0" applyProtection="0">
      <alignment horizontal="left" vertical="center"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0" fontId="64" fillId="46" borderId="42" applyNumberFormat="0" applyProtection="0">
      <alignment horizontal="left" vertical="top" indent="1"/>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6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134" fillId="77" borderId="42" applyNumberFormat="0" applyProtection="0">
      <alignment horizontal="right" vertical="center"/>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4" fontId="64" fillId="73" borderId="42" applyNumberFormat="0" applyProtection="0">
      <alignment horizontal="left" vertical="center"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0" fontId="64" fillId="73" borderId="42" applyNumberFormat="0" applyProtection="0">
      <alignment horizontal="left" vertical="top" indent="1"/>
    </xf>
    <xf numFmtId="4" fontId="135" fillId="81" borderId="0" applyNumberFormat="0" applyProtection="0">
      <alignment horizontal="left" vertical="center" indent="1"/>
    </xf>
    <xf numFmtId="0" fontId="15" fillId="82" borderId="9"/>
    <xf numFmtId="0" fontId="15" fillId="82" borderId="9"/>
    <xf numFmtId="0" fontId="15" fillId="82" borderId="9"/>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4" fontId="136" fillId="77" borderId="42" applyNumberFormat="0" applyProtection="0">
      <alignment horizontal="right" vertical="center"/>
    </xf>
    <xf numFmtId="0" fontId="137" fillId="0" borderId="0" applyNumberFormat="0" applyFill="0" applyBorder="0" applyAlignment="0" applyProtection="0"/>
    <xf numFmtId="38" fontId="138" fillId="0" borderId="0" applyFont="0" applyFill="0" applyBorder="0" applyAlignment="0" applyProtection="0"/>
    <xf numFmtId="0" fontId="138" fillId="0" borderId="0"/>
    <xf numFmtId="0" fontId="5" fillId="0" borderId="0"/>
    <xf numFmtId="43" fontId="5" fillId="0" borderId="0" applyFont="0" applyFill="0" applyBorder="0" applyAlignment="0" applyProtection="0"/>
    <xf numFmtId="218" fontId="150" fillId="0" borderId="0">
      <protection locked="0"/>
    </xf>
    <xf numFmtId="219" fontId="150" fillId="0" borderId="0">
      <protection locked="0"/>
    </xf>
    <xf numFmtId="0" fontId="150" fillId="0" borderId="0">
      <protection locked="0"/>
    </xf>
    <xf numFmtId="0" fontId="150" fillId="0" borderId="0">
      <protection locked="0"/>
    </xf>
    <xf numFmtId="0" fontId="150" fillId="0" borderId="0">
      <protection locked="0"/>
    </xf>
    <xf numFmtId="0" fontId="150" fillId="0" borderId="0">
      <protection locked="0"/>
    </xf>
    <xf numFmtId="0" fontId="150" fillId="0" borderId="0">
      <protection locked="0"/>
    </xf>
    <xf numFmtId="0" fontId="150" fillId="0" borderId="0">
      <protection locked="0"/>
    </xf>
    <xf numFmtId="0" fontId="150" fillId="0" borderId="0">
      <protection locked="0"/>
    </xf>
    <xf numFmtId="0" fontId="150" fillId="0" borderId="0">
      <protection locked="0"/>
    </xf>
    <xf numFmtId="220" fontId="150" fillId="0" borderId="0">
      <protection locked="0"/>
    </xf>
    <xf numFmtId="0" fontId="150" fillId="0" borderId="0">
      <protection locked="0"/>
    </xf>
    <xf numFmtId="0" fontId="150" fillId="0" borderId="0">
      <protection locked="0"/>
    </xf>
    <xf numFmtId="0" fontId="150" fillId="0" borderId="65">
      <protection locked="0"/>
    </xf>
    <xf numFmtId="0" fontId="5" fillId="0" borderId="0"/>
    <xf numFmtId="43" fontId="5" fillId="0" borderId="0" applyFont="0" applyFill="0" applyBorder="0" applyAlignment="0" applyProtection="0"/>
    <xf numFmtId="0" fontId="156" fillId="0" borderId="0"/>
  </cellStyleXfs>
  <cellXfs count="1264">
    <xf numFmtId="0" fontId="0" fillId="0" borderId="0" xfId="0"/>
    <xf numFmtId="0" fontId="2" fillId="0" borderId="0" xfId="0" applyFont="1"/>
    <xf numFmtId="0" fontId="3" fillId="0" borderId="0" xfId="0" applyFont="1"/>
    <xf numFmtId="0" fontId="2" fillId="0" borderId="0" xfId="0" applyFont="1" applyAlignment="1">
      <alignment horizontal="center" vertical="center"/>
    </xf>
    <xf numFmtId="169" fontId="3" fillId="0" borderId="0" xfId="0" applyNumberFormat="1" applyFont="1" applyAlignment="1">
      <alignment horizontal="center" vertical="center"/>
    </xf>
    <xf numFmtId="2" fontId="2" fillId="0" borderId="0" xfId="0" applyNumberFormat="1" applyFont="1" applyAlignment="1">
      <alignment horizontal="center" vertical="center"/>
    </xf>
    <xf numFmtId="170" fontId="2" fillId="0" borderId="0" xfId="0" applyNumberFormat="1" applyFont="1" applyAlignment="1">
      <alignment horizontal="center" vertical="center"/>
    </xf>
    <xf numFmtId="1" fontId="2" fillId="0" borderId="0" xfId="0" applyNumberFormat="1" applyFont="1" applyAlignment="1">
      <alignment horizontal="center" vertical="center"/>
    </xf>
    <xf numFmtId="9" fontId="2" fillId="0" borderId="0" xfId="1" applyFont="1" applyAlignment="1">
      <alignment horizontal="center" vertical="center"/>
    </xf>
    <xf numFmtId="171" fontId="2" fillId="0" borderId="0" xfId="1" applyNumberFormat="1" applyFont="1" applyAlignment="1">
      <alignment horizontal="center" vertical="center"/>
    </xf>
    <xf numFmtId="1" fontId="2" fillId="0" borderId="0" xfId="0" applyNumberFormat="1" applyFont="1" applyAlignment="1">
      <alignment horizontal="left" vertical="center"/>
    </xf>
    <xf numFmtId="1" fontId="3" fillId="0" borderId="0" xfId="0" applyNumberFormat="1" applyFont="1" applyAlignment="1">
      <alignment horizontal="center" vertical="center"/>
    </xf>
    <xf numFmtId="1" fontId="2" fillId="2" borderId="0" xfId="0" applyNumberFormat="1" applyFont="1" applyFill="1" applyAlignment="1">
      <alignment horizontal="center" vertical="center"/>
    </xf>
    <xf numFmtId="10" fontId="2" fillId="2" borderId="0" xfId="1" applyNumberFormat="1" applyFont="1" applyFill="1" applyAlignment="1">
      <alignment horizontal="center" vertical="center"/>
    </xf>
    <xf numFmtId="2" fontId="2" fillId="2" borderId="0" xfId="0" applyNumberFormat="1" applyFont="1" applyFill="1" applyAlignment="1">
      <alignment horizontal="center" vertical="center"/>
    </xf>
    <xf numFmtId="172" fontId="2" fillId="2" borderId="0" xfId="0" applyNumberFormat="1" applyFont="1" applyFill="1" applyAlignment="1">
      <alignment horizontal="center" vertical="center"/>
    </xf>
    <xf numFmtId="1" fontId="2" fillId="0" borderId="0" xfId="0" applyNumberFormat="1" applyFont="1" applyFill="1" applyAlignment="1">
      <alignment horizontal="left" vertical="center"/>
    </xf>
    <xf numFmtId="2" fontId="2" fillId="0" borderId="0" xfId="0" applyNumberFormat="1" applyFont="1" applyFill="1" applyAlignment="1">
      <alignment horizontal="center" vertical="center"/>
    </xf>
    <xf numFmtId="1" fontId="2" fillId="0" borderId="0" xfId="0" applyNumberFormat="1" applyFont="1" applyFill="1" applyAlignment="1">
      <alignment horizontal="center" vertical="center"/>
    </xf>
    <xf numFmtId="1" fontId="2" fillId="0" borderId="0" xfId="0" applyNumberFormat="1" applyFont="1" applyAlignment="1">
      <alignment vertical="center"/>
    </xf>
    <xf numFmtId="1" fontId="2" fillId="0" borderId="0" xfId="0" applyNumberFormat="1" applyFont="1" applyFill="1" applyAlignment="1">
      <alignment vertical="center"/>
    </xf>
    <xf numFmtId="1" fontId="3" fillId="0" borderId="0" xfId="0" applyNumberFormat="1" applyFont="1" applyAlignment="1">
      <alignment vertical="center"/>
    </xf>
    <xf numFmtId="1" fontId="2" fillId="0" borderId="0" xfId="0" applyNumberFormat="1" applyFont="1"/>
    <xf numFmtId="0" fontId="3" fillId="6" borderId="0" xfId="0" applyFont="1" applyFill="1"/>
    <xf numFmtId="0" fontId="2" fillId="0" borderId="0" xfId="0" applyFont="1" applyFill="1" applyAlignment="1">
      <alignment horizontal="center" vertical="center"/>
    </xf>
    <xf numFmtId="0" fontId="2" fillId="0" borderId="0" xfId="0" applyFont="1" applyFill="1"/>
    <xf numFmtId="1" fontId="3" fillId="0" borderId="0" xfId="0" applyNumberFormat="1" applyFont="1"/>
    <xf numFmtId="1" fontId="2" fillId="0" borderId="0" xfId="0" applyNumberFormat="1" applyFont="1" applyFill="1"/>
    <xf numFmtId="1" fontId="2" fillId="8" borderId="0" xfId="0" applyNumberFormat="1" applyFont="1" applyFill="1" applyAlignment="1">
      <alignment horizontal="center" vertical="center"/>
    </xf>
    <xf numFmtId="0" fontId="2" fillId="0" borderId="0" xfId="0" applyFont="1" applyFill="1" applyBorder="1"/>
    <xf numFmtId="0" fontId="4" fillId="0" borderId="0" xfId="2" applyFont="1"/>
    <xf numFmtId="0" fontId="6" fillId="0" borderId="0" xfId="2" applyFont="1" applyAlignment="1">
      <alignment horizontal="center"/>
    </xf>
    <xf numFmtId="0" fontId="6" fillId="0" borderId="0" xfId="2" applyFont="1"/>
    <xf numFmtId="0" fontId="6" fillId="0" borderId="0" xfId="2" applyFont="1" applyFill="1" applyBorder="1"/>
    <xf numFmtId="0" fontId="4" fillId="9" borderId="0" xfId="2" applyFont="1" applyFill="1"/>
    <xf numFmtId="0" fontId="6" fillId="9" borderId="0" xfId="2" applyFont="1" applyFill="1" applyAlignment="1">
      <alignment horizontal="center"/>
    </xf>
    <xf numFmtId="0" fontId="7" fillId="10" borderId="0" xfId="2" applyFont="1" applyFill="1"/>
    <xf numFmtId="17" fontId="7" fillId="10" borderId="0" xfId="2" applyNumberFormat="1" applyFont="1" applyFill="1" applyAlignment="1">
      <alignment horizontal="center"/>
    </xf>
    <xf numFmtId="17" fontId="4" fillId="0" borderId="0" xfId="2" applyNumberFormat="1" applyFont="1" applyFill="1" applyBorder="1"/>
    <xf numFmtId="0" fontId="4" fillId="0" borderId="0" xfId="2" applyFont="1" applyFill="1"/>
    <xf numFmtId="17" fontId="4" fillId="0" borderId="0" xfId="2" applyNumberFormat="1" applyFont="1" applyFill="1" applyAlignment="1">
      <alignment horizontal="center"/>
    </xf>
    <xf numFmtId="0" fontId="6" fillId="0" borderId="0" xfId="2" applyFont="1" applyFill="1"/>
    <xf numFmtId="173" fontId="6" fillId="0" borderId="0" xfId="3" applyNumberFormat="1" applyFont="1" applyFill="1" applyBorder="1"/>
    <xf numFmtId="0" fontId="4" fillId="7" borderId="0" xfId="2" applyFont="1" applyFill="1"/>
    <xf numFmtId="173" fontId="4" fillId="0" borderId="0" xfId="3" applyNumberFormat="1" applyFont="1" applyFill="1" applyBorder="1"/>
    <xf numFmtId="0" fontId="4" fillId="0" borderId="0" xfId="2" applyFont="1" applyFill="1" applyBorder="1"/>
    <xf numFmtId="0" fontId="6" fillId="0" borderId="0" xfId="2" applyFont="1" applyBorder="1"/>
    <xf numFmtId="10" fontId="6" fillId="2" borderId="0" xfId="2" applyNumberFormat="1" applyFont="1" applyFill="1" applyBorder="1" applyAlignment="1">
      <alignment horizontal="center" vertical="center"/>
    </xf>
    <xf numFmtId="1" fontId="2" fillId="0" borderId="0" xfId="0" applyNumberFormat="1" applyFont="1" applyAlignment="1">
      <alignment horizontal="center"/>
    </xf>
    <xf numFmtId="10" fontId="2" fillId="0" borderId="0" xfId="1" applyNumberFormat="1" applyFont="1" applyAlignment="1">
      <alignment horizontal="center" vertical="center"/>
    </xf>
    <xf numFmtId="10" fontId="2" fillId="0" borderId="0" xfId="1" applyNumberFormat="1" applyFont="1"/>
    <xf numFmtId="10" fontId="3" fillId="2" borderId="0" xfId="1" applyNumberFormat="1" applyFont="1" applyFill="1" applyAlignment="1">
      <alignment horizontal="center" vertical="center"/>
    </xf>
    <xf numFmtId="2" fontId="2" fillId="0" borderId="0" xfId="1" applyNumberFormat="1" applyFont="1" applyAlignment="1">
      <alignment horizontal="center" vertical="center"/>
    </xf>
    <xf numFmtId="2" fontId="2" fillId="0" borderId="0" xfId="1" applyNumberFormat="1" applyFont="1" applyAlignment="1">
      <alignment horizontal="left" vertical="center"/>
    </xf>
    <xf numFmtId="1" fontId="2" fillId="0" borderId="0" xfId="1" applyNumberFormat="1" applyFont="1" applyAlignment="1">
      <alignment horizontal="center" vertical="center"/>
    </xf>
    <xf numFmtId="10" fontId="2" fillId="0" borderId="0" xfId="1" applyNumberFormat="1" applyFont="1" applyFill="1" applyAlignment="1">
      <alignment horizontal="center" vertical="center"/>
    </xf>
    <xf numFmtId="0" fontId="8" fillId="0" borderId="0" xfId="0" applyFont="1" applyBorder="1" applyProtection="1"/>
    <xf numFmtId="0" fontId="9" fillId="0" borderId="0" xfId="0" applyFont="1" applyFill="1" applyBorder="1" applyAlignment="1" applyProtection="1">
      <alignment horizontal="left" indent="1"/>
    </xf>
    <xf numFmtId="1" fontId="2" fillId="6" borderId="0" xfId="0" applyNumberFormat="1" applyFont="1" applyFill="1" applyAlignment="1">
      <alignment horizontal="center" vertical="center"/>
    </xf>
    <xf numFmtId="0" fontId="3" fillId="0" borderId="0" xfId="0" applyFont="1" applyAlignment="1">
      <alignment horizontal="center" vertical="center"/>
    </xf>
    <xf numFmtId="0" fontId="2" fillId="0" borderId="4" xfId="0" applyFont="1" applyBorder="1"/>
    <xf numFmtId="169" fontId="3" fillId="0" borderId="0" xfId="0" applyNumberFormat="1" applyFont="1" applyBorder="1" applyAlignment="1">
      <alignment horizontal="center" vertical="center"/>
    </xf>
    <xf numFmtId="1" fontId="2" fillId="0" borderId="0" xfId="0" applyNumberFormat="1" applyFont="1" applyBorder="1" applyAlignment="1">
      <alignment horizontal="center" vertical="center"/>
    </xf>
    <xf numFmtId="1" fontId="2" fillId="2" borderId="0" xfId="0" applyNumberFormat="1" applyFont="1" applyFill="1" applyBorder="1" applyAlignment="1">
      <alignment horizontal="center" vertical="center"/>
    </xf>
    <xf numFmtId="0" fontId="3" fillId="0" borderId="4" xfId="0" applyFont="1" applyBorder="1"/>
    <xf numFmtId="1" fontId="3" fillId="0" borderId="0" xfId="0" applyNumberFormat="1" applyFont="1" applyBorder="1" applyAlignment="1">
      <alignment horizontal="center" vertical="center"/>
    </xf>
    <xf numFmtId="0" fontId="3" fillId="0" borderId="6" xfId="0" applyFont="1" applyBorder="1"/>
    <xf numFmtId="1" fontId="2" fillId="0" borderId="7" xfId="0" applyNumberFormat="1" applyFont="1" applyBorder="1" applyAlignment="1">
      <alignment horizontal="center" vertical="center"/>
    </xf>
    <xf numFmtId="0" fontId="3" fillId="0" borderId="0" xfId="0" applyFont="1" applyAlignment="1">
      <alignment horizontal="left" vertical="center"/>
    </xf>
    <xf numFmtId="1" fontId="3" fillId="0" borderId="0" xfId="0" applyNumberFormat="1" applyFont="1" applyFill="1"/>
    <xf numFmtId="1" fontId="3" fillId="0" borderId="0" xfId="0" applyNumberFormat="1" applyFont="1" applyFill="1" applyAlignment="1">
      <alignment horizontal="center" vertical="center"/>
    </xf>
    <xf numFmtId="0" fontId="2" fillId="0" borderId="1" xfId="0" applyFont="1" applyBorder="1"/>
    <xf numFmtId="1" fontId="2" fillId="0" borderId="2" xfId="0" applyNumberFormat="1" applyFont="1" applyBorder="1" applyAlignment="1">
      <alignment horizontal="center" vertical="center"/>
    </xf>
    <xf numFmtId="1" fontId="2" fillId="3" borderId="0" xfId="0" applyNumberFormat="1" applyFont="1" applyFill="1" applyBorder="1" applyAlignment="1">
      <alignment horizontal="center" vertical="center"/>
    </xf>
    <xf numFmtId="171" fontId="2" fillId="0" borderId="0" xfId="1" applyNumberFormat="1" applyFont="1" applyBorder="1" applyAlignment="1">
      <alignment horizontal="center" vertical="center"/>
    </xf>
    <xf numFmtId="0" fontId="8" fillId="0" borderId="4" xfId="0" applyFont="1" applyBorder="1" applyProtection="1"/>
    <xf numFmtId="0" fontId="2" fillId="0" borderId="6" xfId="0" applyFont="1" applyBorder="1"/>
    <xf numFmtId="0" fontId="3" fillId="6" borderId="1" xfId="0" applyFont="1" applyFill="1" applyBorder="1"/>
    <xf numFmtId="1" fontId="2" fillId="0" borderId="4" xfId="0" applyNumberFormat="1" applyFont="1" applyBorder="1" applyAlignment="1">
      <alignment vertical="center"/>
    </xf>
    <xf numFmtId="1" fontId="2" fillId="0" borderId="0" xfId="1" applyNumberFormat="1" applyFont="1" applyBorder="1" applyAlignment="1">
      <alignment horizontal="center" vertical="center"/>
    </xf>
    <xf numFmtId="0" fontId="3" fillId="0" borderId="4" xfId="0" applyFont="1" applyFill="1" applyBorder="1"/>
    <xf numFmtId="1" fontId="2" fillId="0" borderId="0" xfId="0" applyNumberFormat="1" applyFont="1" applyFill="1" applyBorder="1" applyAlignment="1">
      <alignment horizontal="center" vertical="center"/>
    </xf>
    <xf numFmtId="1" fontId="3" fillId="0" borderId="7" xfId="0" applyNumberFormat="1" applyFont="1" applyBorder="1" applyAlignment="1">
      <alignment horizontal="center" vertical="center"/>
    </xf>
    <xf numFmtId="0" fontId="3" fillId="0" borderId="1" xfId="0" applyFont="1" applyBorder="1"/>
    <xf numFmtId="1" fontId="12" fillId="0" borderId="0" xfId="0" applyNumberFormat="1" applyFont="1"/>
    <xf numFmtId="1" fontId="2" fillId="0" borderId="9" xfId="0" applyNumberFormat="1" applyFont="1" applyBorder="1"/>
    <xf numFmtId="1" fontId="3" fillId="0" borderId="9" xfId="0" applyNumberFormat="1" applyFont="1" applyBorder="1" applyAlignment="1">
      <alignment horizontal="center" vertical="center"/>
    </xf>
    <xf numFmtId="1" fontId="3" fillId="0" borderId="9" xfId="0" applyNumberFormat="1" applyFont="1" applyBorder="1"/>
    <xf numFmtId="1" fontId="3" fillId="0" borderId="9" xfId="0" applyNumberFormat="1" applyFont="1" applyBorder="1" applyAlignment="1">
      <alignment horizontal="center"/>
    </xf>
    <xf numFmtId="1" fontId="12" fillId="0" borderId="9" xfId="0" applyNumberFormat="1" applyFont="1" applyBorder="1" applyAlignment="1">
      <alignment horizontal="center" vertical="center"/>
    </xf>
    <xf numFmtId="1" fontId="12" fillId="0" borderId="9" xfId="0" applyNumberFormat="1" applyFont="1" applyBorder="1" applyAlignment="1">
      <alignment horizontal="center"/>
    </xf>
    <xf numFmtId="1" fontId="2" fillId="0" borderId="9" xfId="0" applyNumberFormat="1" applyFont="1" applyBorder="1" applyAlignment="1">
      <alignment horizontal="center" vertical="center"/>
    </xf>
    <xf numFmtId="1" fontId="12" fillId="0" borderId="9" xfId="0" applyNumberFormat="1" applyFont="1" applyFill="1" applyBorder="1" applyAlignment="1">
      <alignment horizontal="center"/>
    </xf>
    <xf numFmtId="1" fontId="3" fillId="0" borderId="4" xfId="0" applyNumberFormat="1" applyFont="1" applyFill="1" applyBorder="1"/>
    <xf numFmtId="1" fontId="2" fillId="0" borderId="4" xfId="0" applyNumberFormat="1" applyFont="1" applyFill="1" applyBorder="1"/>
    <xf numFmtId="1" fontId="2" fillId="0" borderId="4" xfId="0" applyNumberFormat="1" applyFont="1" applyBorder="1"/>
    <xf numFmtId="1" fontId="3" fillId="0" borderId="4" xfId="0" applyNumberFormat="1" applyFont="1" applyBorder="1"/>
    <xf numFmtId="1" fontId="3" fillId="0" borderId="6" xfId="0" applyNumberFormat="1" applyFont="1" applyBorder="1"/>
    <xf numFmtId="1" fontId="3" fillId="6" borderId="2" xfId="0" applyNumberFormat="1" applyFont="1" applyFill="1" applyBorder="1" applyAlignment="1">
      <alignment horizontal="center" vertical="center"/>
    </xf>
    <xf numFmtId="1" fontId="3" fillId="0" borderId="0" xfId="0" applyNumberFormat="1" applyFont="1" applyFill="1" applyBorder="1" applyAlignment="1">
      <alignment horizontal="center" vertical="center"/>
    </xf>
    <xf numFmtId="1" fontId="6" fillId="0" borderId="0" xfId="0" applyNumberFormat="1" applyFont="1" applyFill="1" applyBorder="1" applyAlignment="1">
      <alignment horizontal="center" vertical="center"/>
    </xf>
    <xf numFmtId="0" fontId="2" fillId="0" borderId="4" xfId="0" applyFont="1" applyBorder="1" applyAlignment="1">
      <alignment horizontal="left" vertical="center"/>
    </xf>
    <xf numFmtId="1" fontId="2" fillId="0" borderId="0" xfId="0" applyNumberFormat="1" applyFont="1" applyFill="1" applyBorder="1" applyAlignment="1">
      <alignment horizontal="center"/>
    </xf>
    <xf numFmtId="1" fontId="6" fillId="2" borderId="0" xfId="0" applyNumberFormat="1" applyFont="1" applyFill="1" applyBorder="1" applyAlignment="1">
      <alignment horizontal="center" vertical="center"/>
    </xf>
    <xf numFmtId="1" fontId="3" fillId="2" borderId="0" xfId="0" applyNumberFormat="1" applyFont="1" applyFill="1" applyBorder="1" applyAlignment="1">
      <alignment horizontal="center" vertical="center"/>
    </xf>
    <xf numFmtId="1" fontId="2" fillId="2" borderId="0" xfId="0" applyNumberFormat="1" applyFont="1" applyFill="1" applyBorder="1" applyAlignment="1">
      <alignment horizontal="center"/>
    </xf>
    <xf numFmtId="1" fontId="2" fillId="2" borderId="2" xfId="0" applyNumberFormat="1" applyFont="1" applyFill="1" applyBorder="1" applyAlignment="1">
      <alignment horizontal="center" vertical="center"/>
    </xf>
    <xf numFmtId="1" fontId="3" fillId="2" borderId="2" xfId="0" applyNumberFormat="1" applyFont="1" applyFill="1" applyBorder="1" applyAlignment="1">
      <alignment horizontal="center" vertical="center"/>
    </xf>
    <xf numFmtId="1" fontId="2" fillId="6" borderId="0" xfId="0" applyNumberFormat="1" applyFont="1" applyFill="1"/>
    <xf numFmtId="0" fontId="13" fillId="0" borderId="0" xfId="0" applyFont="1" applyAlignment="1">
      <alignment horizontal="center" vertical="center"/>
    </xf>
    <xf numFmtId="1" fontId="4" fillId="0" borderId="0" xfId="0" applyNumberFormat="1" applyFont="1" applyFill="1" applyBorder="1" applyAlignment="1">
      <alignment horizontal="center" vertical="center"/>
    </xf>
    <xf numFmtId="1" fontId="4" fillId="2" borderId="0" xfId="0" applyNumberFormat="1" applyFont="1" applyFill="1" applyBorder="1" applyAlignment="1">
      <alignment horizontal="center" vertical="center"/>
    </xf>
    <xf numFmtId="1" fontId="2" fillId="0" borderId="0" xfId="0" applyNumberFormat="1" applyFont="1" applyBorder="1"/>
    <xf numFmtId="1" fontId="3" fillId="2" borderId="7" xfId="0" applyNumberFormat="1" applyFont="1" applyFill="1" applyBorder="1" applyAlignment="1">
      <alignment horizontal="center" vertical="center"/>
    </xf>
    <xf numFmtId="0" fontId="3" fillId="0" borderId="0" xfId="0" applyFont="1" applyFill="1"/>
    <xf numFmtId="1" fontId="3" fillId="2" borderId="0" xfId="0" applyNumberFormat="1" applyFont="1" applyFill="1" applyBorder="1" applyAlignment="1">
      <alignment horizontal="center"/>
    </xf>
    <xf numFmtId="1" fontId="6" fillId="2" borderId="0" xfId="3" applyNumberFormat="1" applyFont="1" applyFill="1" applyAlignment="1">
      <alignment horizontal="center" vertical="center"/>
    </xf>
    <xf numFmtId="1" fontId="6" fillId="0" borderId="0" xfId="3" applyNumberFormat="1" applyFont="1" applyAlignment="1">
      <alignment horizontal="center" vertical="center"/>
    </xf>
    <xf numFmtId="1" fontId="6" fillId="9" borderId="0" xfId="3" applyNumberFormat="1" applyFont="1" applyFill="1" applyAlignment="1">
      <alignment horizontal="center" vertical="center"/>
    </xf>
    <xf numFmtId="1" fontId="4" fillId="7" borderId="0" xfId="3" applyNumberFormat="1" applyFont="1" applyFill="1" applyAlignment="1">
      <alignment horizontal="center" vertical="center"/>
    </xf>
    <xf numFmtId="1" fontId="4" fillId="0" borderId="0" xfId="3" applyNumberFormat="1" applyFont="1" applyFill="1" applyAlignment="1">
      <alignment horizontal="center" vertical="center"/>
    </xf>
    <xf numFmtId="1" fontId="6" fillId="9" borderId="0" xfId="2" applyNumberFormat="1" applyFont="1" applyFill="1" applyAlignment="1">
      <alignment horizontal="center" vertical="center"/>
    </xf>
    <xf numFmtId="1" fontId="6" fillId="0" borderId="0" xfId="2" applyNumberFormat="1" applyFont="1" applyFill="1" applyAlignment="1">
      <alignment horizontal="center" vertical="center"/>
    </xf>
    <xf numFmtId="1" fontId="6" fillId="0" borderId="0" xfId="2" applyNumberFormat="1" applyFont="1" applyAlignment="1">
      <alignment horizontal="center" vertical="center"/>
    </xf>
    <xf numFmtId="1" fontId="4" fillId="7" borderId="0" xfId="2" applyNumberFormat="1" applyFont="1" applyFill="1" applyAlignment="1">
      <alignment horizontal="center" vertical="center"/>
    </xf>
    <xf numFmtId="1" fontId="4" fillId="9" borderId="0" xfId="2" applyNumberFormat="1" applyFont="1" applyFill="1" applyAlignment="1">
      <alignment horizontal="center" vertical="center"/>
    </xf>
    <xf numFmtId="1" fontId="6" fillId="0" borderId="0" xfId="3" applyNumberFormat="1" applyFont="1" applyFill="1" applyAlignment="1">
      <alignment horizontal="center" vertical="center"/>
    </xf>
    <xf numFmtId="1" fontId="4" fillId="9" borderId="0" xfId="3" applyNumberFormat="1" applyFont="1" applyFill="1" applyAlignment="1">
      <alignment horizontal="center" vertical="center"/>
    </xf>
    <xf numFmtId="0" fontId="6" fillId="0" borderId="0" xfId="2" applyFont="1" applyAlignment="1">
      <alignment horizontal="center" vertical="center"/>
    </xf>
    <xf numFmtId="0" fontId="6" fillId="9" borderId="0" xfId="2" applyFont="1" applyFill="1" applyAlignment="1">
      <alignment horizontal="center" vertical="center"/>
    </xf>
    <xf numFmtId="17" fontId="7" fillId="10" borderId="0" xfId="2" applyNumberFormat="1" applyFont="1" applyFill="1" applyAlignment="1">
      <alignment horizontal="center" vertical="center"/>
    </xf>
    <xf numFmtId="1" fontId="4" fillId="0" borderId="0" xfId="2" applyNumberFormat="1" applyFont="1" applyFill="1" applyAlignment="1">
      <alignment horizontal="center" vertical="center"/>
    </xf>
    <xf numFmtId="1" fontId="2" fillId="11" borderId="0" xfId="0" applyNumberFormat="1" applyFont="1" applyFill="1" applyAlignment="1">
      <alignment horizontal="center" vertical="center"/>
    </xf>
    <xf numFmtId="170" fontId="2" fillId="2" borderId="0"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9" fontId="2" fillId="0" borderId="0" xfId="0" applyNumberFormat="1" applyFont="1" applyAlignment="1">
      <alignment horizontal="center" vertical="center"/>
    </xf>
    <xf numFmtId="0" fontId="3" fillId="6" borderId="0" xfId="0" applyFont="1" applyFill="1" applyAlignment="1">
      <alignment horizontal="center" vertical="center"/>
    </xf>
    <xf numFmtId="0" fontId="2" fillId="0" borderId="2"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pplyProtection="1">
      <alignment horizontal="center" vertical="center"/>
    </xf>
    <xf numFmtId="0" fontId="2" fillId="0" borderId="7" xfId="0" applyFont="1" applyBorder="1" applyAlignment="1">
      <alignment horizontal="center" vertical="center"/>
    </xf>
    <xf numFmtId="0" fontId="3" fillId="6"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9" fontId="2" fillId="2" borderId="0" xfId="1" applyNumberFormat="1" applyFont="1" applyFill="1" applyAlignment="1">
      <alignment horizontal="center" vertical="center"/>
    </xf>
    <xf numFmtId="170" fontId="2" fillId="2" borderId="0" xfId="0" applyNumberFormat="1" applyFont="1" applyFill="1" applyAlignment="1">
      <alignment horizontal="center" vertical="center"/>
    </xf>
    <xf numFmtId="9" fontId="2" fillId="2" borderId="0" xfId="1" applyFont="1" applyFill="1" applyAlignment="1">
      <alignment horizontal="center" vertical="center"/>
    </xf>
    <xf numFmtId="171" fontId="2" fillId="2" borderId="0" xfId="1" applyNumberFormat="1" applyFont="1" applyFill="1" applyAlignment="1">
      <alignment horizontal="center" vertical="center"/>
    </xf>
    <xf numFmtId="1" fontId="2" fillId="2" borderId="0" xfId="1" applyNumberFormat="1" applyFont="1" applyFill="1" applyAlignment="1">
      <alignment horizontal="center" vertical="center"/>
    </xf>
    <xf numFmtId="9" fontId="2" fillId="0" borderId="0" xfId="1" applyFont="1" applyFill="1" applyAlignment="1">
      <alignment horizontal="center" vertical="center"/>
    </xf>
    <xf numFmtId="1" fontId="2" fillId="0" borderId="7" xfId="0" applyNumberFormat="1" applyFont="1" applyFill="1" applyBorder="1" applyAlignment="1">
      <alignment horizontal="center" vertical="center"/>
    </xf>
    <xf numFmtId="0" fontId="2" fillId="0" borderId="4" xfId="0" applyFont="1" applyFill="1" applyBorder="1"/>
    <xf numFmtId="0" fontId="2" fillId="0" borderId="0" xfId="0" applyFont="1" applyFill="1" applyBorder="1" applyAlignment="1">
      <alignment horizontal="center" vertical="center"/>
    </xf>
    <xf numFmtId="1" fontId="2" fillId="0" borderId="0" xfId="1" applyNumberFormat="1" applyFont="1" applyFill="1" applyBorder="1" applyAlignment="1">
      <alignment horizontal="center" vertical="center"/>
    </xf>
    <xf numFmtId="10" fontId="2" fillId="2" borderId="0" xfId="0" applyNumberFormat="1" applyFont="1" applyFill="1" applyAlignment="1">
      <alignment horizontal="center" vertical="center"/>
    </xf>
    <xf numFmtId="10" fontId="2" fillId="0" borderId="0" xfId="0" applyNumberFormat="1" applyFont="1" applyFill="1" applyAlignment="1">
      <alignment horizontal="center" vertical="center"/>
    </xf>
    <xf numFmtId="9" fontId="2" fillId="0" borderId="0" xfId="1" applyNumberFormat="1" applyFont="1" applyFill="1" applyAlignment="1">
      <alignment horizontal="center" vertical="center"/>
    </xf>
    <xf numFmtId="1" fontId="3" fillId="0" borderId="0" xfId="0" applyNumberFormat="1" applyFont="1" applyFill="1" applyAlignment="1">
      <alignment vertical="center"/>
    </xf>
    <xf numFmtId="1" fontId="2" fillId="4" borderId="0" xfId="0" applyNumberFormat="1" applyFont="1" applyFill="1" applyAlignment="1">
      <alignment horizontal="center" vertical="center"/>
    </xf>
    <xf numFmtId="1" fontId="3" fillId="6" borderId="0" xfId="4" applyNumberFormat="1" applyFont="1" applyFill="1" applyAlignment="1">
      <alignment horizontal="center" vertical="center"/>
    </xf>
    <xf numFmtId="1" fontId="3" fillId="0" borderId="1" xfId="0" applyNumberFormat="1" applyFont="1" applyBorder="1"/>
    <xf numFmtId="1" fontId="3" fillId="0" borderId="2" xfId="0" applyNumberFormat="1" applyFont="1" applyBorder="1" applyAlignment="1">
      <alignment horizontal="center" vertical="center"/>
    </xf>
    <xf numFmtId="1" fontId="2" fillId="6" borderId="0" xfId="0" applyNumberFormat="1" applyFont="1" applyFill="1" applyBorder="1" applyAlignment="1">
      <alignment horizontal="center" vertical="center"/>
    </xf>
    <xf numFmtId="1" fontId="2" fillId="6" borderId="5" xfId="0" applyNumberFormat="1" applyFont="1" applyFill="1" applyBorder="1" applyAlignment="1">
      <alignment horizontal="center" vertical="center"/>
    </xf>
    <xf numFmtId="1" fontId="3" fillId="6" borderId="0" xfId="0" applyNumberFormat="1" applyFont="1" applyFill="1" applyBorder="1" applyAlignment="1">
      <alignment horizontal="center" vertical="center"/>
    </xf>
    <xf numFmtId="1" fontId="3" fillId="6" borderId="5" xfId="0" applyNumberFormat="1" applyFont="1" applyFill="1" applyBorder="1" applyAlignment="1">
      <alignment horizontal="center" vertical="center"/>
    </xf>
    <xf numFmtId="1" fontId="3" fillId="6" borderId="7" xfId="0" applyNumberFormat="1" applyFont="1" applyFill="1" applyBorder="1" applyAlignment="1">
      <alignment horizontal="center" vertical="center"/>
    </xf>
    <xf numFmtId="1" fontId="3" fillId="6" borderId="8" xfId="0" applyNumberFormat="1" applyFont="1" applyFill="1" applyBorder="1" applyAlignment="1">
      <alignment horizontal="center" vertical="center"/>
    </xf>
    <xf numFmtId="1" fontId="2" fillId="2" borderId="2" xfId="0" applyNumberFormat="1" applyFont="1" applyFill="1" applyBorder="1" applyAlignment="1">
      <alignment horizontal="center"/>
    </xf>
    <xf numFmtId="1" fontId="2" fillId="3" borderId="0" xfId="0" applyNumberFormat="1" applyFont="1" applyFill="1" applyBorder="1" applyAlignment="1">
      <alignment horizontal="center"/>
    </xf>
    <xf numFmtId="1" fontId="3" fillId="6" borderId="9" xfId="0" applyNumberFormat="1" applyFont="1" applyFill="1" applyBorder="1"/>
    <xf numFmtId="1" fontId="2" fillId="6" borderId="9"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1" fontId="2" fillId="6" borderId="9" xfId="0" applyNumberFormat="1" applyFont="1" applyFill="1" applyBorder="1"/>
    <xf numFmtId="1" fontId="3" fillId="0" borderId="9" xfId="0" applyNumberFormat="1" applyFont="1" applyFill="1" applyBorder="1"/>
    <xf numFmtId="9" fontId="2" fillId="0" borderId="9" xfId="1" applyFont="1" applyFill="1" applyBorder="1" applyAlignment="1">
      <alignment horizontal="center" vertical="center"/>
    </xf>
    <xf numFmtId="9" fontId="2" fillId="2" borderId="9" xfId="1" applyFont="1" applyFill="1" applyBorder="1" applyAlignment="1">
      <alignment horizontal="center" vertical="center"/>
    </xf>
    <xf numFmtId="9" fontId="2" fillId="6" borderId="9" xfId="1" applyFont="1" applyFill="1" applyBorder="1" applyAlignment="1">
      <alignment horizontal="center" vertical="center"/>
    </xf>
    <xf numFmtId="1" fontId="2" fillId="0" borderId="9" xfId="0" applyNumberFormat="1" applyFont="1" applyFill="1" applyBorder="1"/>
    <xf numFmtId="1" fontId="2" fillId="0" borderId="9" xfId="0" applyNumberFormat="1" applyFont="1" applyFill="1" applyBorder="1" applyAlignment="1">
      <alignment horizontal="center" vertical="center"/>
    </xf>
    <xf numFmtId="1" fontId="2" fillId="2" borderId="9" xfId="0" applyNumberFormat="1" applyFont="1" applyFill="1" applyBorder="1" applyAlignment="1">
      <alignment horizontal="center"/>
    </xf>
    <xf numFmtId="1" fontId="12" fillId="0" borderId="9" xfId="0" applyNumberFormat="1" applyFont="1" applyFill="1" applyBorder="1" applyAlignment="1">
      <alignment horizontal="left" indent="1"/>
    </xf>
    <xf numFmtId="1" fontId="12" fillId="0" borderId="9" xfId="0" applyNumberFormat="1" applyFont="1" applyFill="1" applyBorder="1" applyAlignment="1">
      <alignment horizontal="center" vertical="center"/>
    </xf>
    <xf numFmtId="1" fontId="12" fillId="2" borderId="9" xfId="0" applyNumberFormat="1" applyFont="1" applyFill="1" applyBorder="1" applyAlignment="1">
      <alignment horizontal="center" vertical="center"/>
    </xf>
    <xf numFmtId="1" fontId="12" fillId="2" borderId="9" xfId="0" applyNumberFormat="1" applyFont="1" applyFill="1" applyBorder="1" applyAlignment="1">
      <alignment horizontal="center"/>
    </xf>
    <xf numFmtId="1" fontId="12" fillId="6" borderId="9" xfId="0" applyNumberFormat="1" applyFont="1" applyFill="1" applyBorder="1" applyAlignment="1">
      <alignment horizontal="center" vertical="center"/>
    </xf>
    <xf numFmtId="1" fontId="3" fillId="2" borderId="9" xfId="0" applyNumberFormat="1" applyFont="1" applyFill="1" applyBorder="1" applyAlignment="1">
      <alignment horizontal="center" vertical="center"/>
    </xf>
    <xf numFmtId="1" fontId="3" fillId="6" borderId="9" xfId="0" applyNumberFormat="1" applyFont="1" applyFill="1" applyBorder="1" applyAlignment="1">
      <alignment horizontal="center" vertical="center"/>
    </xf>
    <xf numFmtId="1" fontId="3" fillId="0" borderId="9" xfId="0" applyNumberFormat="1" applyFont="1" applyFill="1" applyBorder="1" applyAlignment="1">
      <alignment horizontal="center" vertical="center"/>
    </xf>
    <xf numFmtId="171" fontId="2" fillId="0" borderId="9" xfId="1" applyNumberFormat="1" applyFont="1" applyBorder="1" applyAlignment="1">
      <alignment horizontal="center" vertical="center"/>
    </xf>
    <xf numFmtId="171" fontId="2" fillId="2" borderId="9" xfId="1" applyNumberFormat="1" applyFont="1" applyFill="1" applyBorder="1" applyAlignment="1">
      <alignment horizontal="center" vertical="center"/>
    </xf>
    <xf numFmtId="1" fontId="3" fillId="2" borderId="9" xfId="1" applyNumberFormat="1" applyFont="1" applyFill="1" applyBorder="1" applyAlignment="1">
      <alignment horizontal="center" vertical="center"/>
    </xf>
    <xf numFmtId="1" fontId="2" fillId="2" borderId="9" xfId="1" applyNumberFormat="1" applyFont="1" applyFill="1" applyBorder="1" applyAlignment="1">
      <alignment horizontal="center" vertical="center"/>
    </xf>
    <xf numFmtId="171" fontId="3" fillId="0" borderId="9" xfId="1" applyNumberFormat="1" applyFont="1" applyBorder="1" applyAlignment="1">
      <alignment horizontal="center" vertical="center"/>
    </xf>
    <xf numFmtId="1" fontId="6" fillId="2" borderId="0" xfId="0" applyNumberFormat="1" applyFont="1" applyFill="1" applyBorder="1" applyAlignment="1">
      <alignment horizontal="center"/>
    </xf>
    <xf numFmtId="169" fontId="3" fillId="6" borderId="2" xfId="0" applyNumberFormat="1" applyFont="1" applyFill="1" applyBorder="1" applyAlignment="1">
      <alignment horizontal="center" vertical="center"/>
    </xf>
    <xf numFmtId="169" fontId="3" fillId="6" borderId="3" xfId="0" applyNumberFormat="1" applyFont="1" applyFill="1" applyBorder="1" applyAlignment="1">
      <alignment horizontal="center" vertical="center"/>
    </xf>
    <xf numFmtId="1" fontId="14" fillId="6" borderId="0" xfId="0" applyNumberFormat="1" applyFont="1" applyFill="1" applyBorder="1" applyAlignment="1">
      <alignment horizontal="center" vertical="center"/>
    </xf>
    <xf numFmtId="168" fontId="2" fillId="0" borderId="0" xfId="4" applyFont="1" applyAlignment="1">
      <alignment horizontal="center" vertical="center"/>
    </xf>
    <xf numFmtId="15" fontId="6" fillId="2" borderId="0" xfId="2" applyNumberFormat="1" applyFont="1" applyFill="1" applyBorder="1" applyAlignment="1">
      <alignment horizontal="center" vertical="center"/>
    </xf>
    <xf numFmtId="1" fontId="3" fillId="6" borderId="0" xfId="4" applyNumberFormat="1" applyFont="1" applyFill="1" applyBorder="1" applyAlignment="1">
      <alignment horizontal="center" vertical="center"/>
    </xf>
    <xf numFmtId="1" fontId="3" fillId="6" borderId="5" xfId="4" applyNumberFormat="1" applyFont="1" applyFill="1" applyBorder="1" applyAlignment="1">
      <alignment horizontal="center" vertical="center"/>
    </xf>
    <xf numFmtId="1" fontId="2" fillId="6" borderId="0" xfId="4" applyNumberFormat="1" applyFont="1" applyFill="1" applyBorder="1" applyAlignment="1">
      <alignment horizontal="center" vertical="center"/>
    </xf>
    <xf numFmtId="2" fontId="3" fillId="6" borderId="0" xfId="4" applyNumberFormat="1" applyFont="1" applyFill="1" applyBorder="1" applyAlignment="1">
      <alignment horizontal="center" vertical="center"/>
    </xf>
    <xf numFmtId="1" fontId="6" fillId="6" borderId="0" xfId="0" applyNumberFormat="1" applyFont="1" applyFill="1" applyBorder="1" applyAlignment="1">
      <alignment horizontal="center" vertical="center"/>
    </xf>
    <xf numFmtId="169" fontId="3" fillId="0" borderId="2" xfId="0" applyNumberFormat="1" applyFont="1" applyBorder="1" applyAlignment="1">
      <alignment horizontal="center" vertical="center"/>
    </xf>
    <xf numFmtId="169" fontId="3" fillId="0" borderId="3" xfId="0" applyNumberFormat="1" applyFont="1" applyBorder="1" applyAlignment="1">
      <alignment horizontal="center" vertical="center"/>
    </xf>
    <xf numFmtId="0" fontId="2" fillId="0" borderId="5" xfId="0" applyFont="1" applyBorder="1" applyAlignment="1">
      <alignment horizontal="center" vertical="center"/>
    </xf>
    <xf numFmtId="1" fontId="2" fillId="0" borderId="5" xfId="0" applyNumberFormat="1" applyFont="1" applyBorder="1" applyAlignment="1">
      <alignment horizontal="center" vertical="center"/>
    </xf>
    <xf numFmtId="0" fontId="3" fillId="0" borderId="0" xfId="0" applyFont="1" applyBorder="1"/>
    <xf numFmtId="1" fontId="3" fillId="0" borderId="5" xfId="0" applyNumberFormat="1" applyFont="1" applyBorder="1" applyAlignment="1">
      <alignment horizontal="center" vertical="center"/>
    </xf>
    <xf numFmtId="0" fontId="3" fillId="6" borderId="2" xfId="0" applyFont="1" applyFill="1" applyBorder="1"/>
    <xf numFmtId="1" fontId="2" fillId="0" borderId="5" xfId="0" applyNumberFormat="1" applyFont="1" applyFill="1" applyBorder="1" applyAlignment="1">
      <alignment horizontal="center" vertical="center"/>
    </xf>
    <xf numFmtId="0" fontId="2" fillId="0" borderId="7" xfId="0" applyFont="1" applyBorder="1"/>
    <xf numFmtId="1" fontId="2" fillId="0" borderId="8" xfId="0" applyNumberFormat="1" applyFont="1" applyBorder="1" applyAlignment="1">
      <alignment horizontal="center" vertical="center"/>
    </xf>
    <xf numFmtId="10" fontId="3" fillId="0" borderId="4" xfId="1" applyNumberFormat="1" applyFont="1" applyBorder="1"/>
    <xf numFmtId="0" fontId="3" fillId="0" borderId="5" xfId="0" applyFont="1" applyBorder="1" applyAlignment="1">
      <alignment horizontal="center" vertical="center"/>
    </xf>
    <xf numFmtId="2" fontId="2" fillId="0" borderId="4" xfId="1" applyNumberFormat="1" applyFont="1" applyBorder="1" applyAlignment="1">
      <alignment horizontal="left" vertical="center"/>
    </xf>
    <xf numFmtId="2" fontId="3" fillId="0" borderId="4" xfId="1" applyNumberFormat="1" applyFont="1" applyBorder="1" applyAlignment="1">
      <alignment horizontal="left" vertical="center"/>
    </xf>
    <xf numFmtId="10" fontId="2" fillId="0" borderId="0" xfId="1" applyNumberFormat="1" applyFont="1" applyBorder="1" applyAlignment="1">
      <alignment horizontal="center" vertical="center"/>
    </xf>
    <xf numFmtId="170" fontId="2" fillId="2" borderId="0" xfId="1" applyNumberFormat="1" applyFont="1" applyFill="1" applyAlignment="1">
      <alignment horizontal="center" vertical="center"/>
    </xf>
    <xf numFmtId="169" fontId="3" fillId="2" borderId="2" xfId="0" applyNumberFormat="1" applyFont="1" applyFill="1" applyBorder="1" applyAlignment="1">
      <alignment horizontal="center" vertical="center"/>
    </xf>
    <xf numFmtId="1" fontId="3" fillId="2" borderId="9" xfId="0" applyNumberFormat="1" applyFont="1" applyFill="1" applyBorder="1" applyAlignment="1">
      <alignment horizontal="center"/>
    </xf>
    <xf numFmtId="169" fontId="3" fillId="6" borderId="0" xfId="4" applyNumberFormat="1" applyFont="1" applyFill="1" applyAlignment="1">
      <alignment horizontal="center" vertical="center"/>
    </xf>
    <xf numFmtId="1" fontId="2" fillId="14" borderId="0" xfId="0" applyNumberFormat="1" applyFont="1" applyFill="1" applyAlignment="1">
      <alignment horizontal="center" vertical="center"/>
    </xf>
    <xf numFmtId="1" fontId="3" fillId="14" borderId="0" xfId="0" applyNumberFormat="1" applyFont="1" applyFill="1" applyBorder="1" applyAlignment="1">
      <alignment horizontal="center" vertical="center"/>
    </xf>
    <xf numFmtId="2" fontId="2" fillId="0" borderId="0" xfId="1" applyNumberFormat="1" applyFont="1" applyFill="1" applyAlignment="1">
      <alignment horizontal="center" vertical="center"/>
    </xf>
    <xf numFmtId="170" fontId="2" fillId="6" borderId="0" xfId="0" applyNumberFormat="1" applyFont="1" applyFill="1" applyAlignment="1">
      <alignment horizontal="center" vertical="center"/>
    </xf>
    <xf numFmtId="169" fontId="3" fillId="0" borderId="0" xfId="1" applyNumberFormat="1" applyFont="1" applyFill="1" applyAlignment="1">
      <alignment horizontal="center" vertical="center"/>
    </xf>
    <xf numFmtId="1" fontId="2" fillId="0" borderId="0" xfId="1" applyNumberFormat="1" applyFont="1" applyFill="1" applyAlignment="1">
      <alignment horizontal="center" vertical="center"/>
    </xf>
    <xf numFmtId="1" fontId="3" fillId="4" borderId="0" xfId="1" applyNumberFormat="1" applyFont="1" applyFill="1" applyAlignment="1">
      <alignment horizontal="center" vertical="center"/>
    </xf>
    <xf numFmtId="1" fontId="2" fillId="0" borderId="3" xfId="0" applyNumberFormat="1" applyFont="1" applyBorder="1" applyAlignment="1">
      <alignment horizontal="center" vertical="center"/>
    </xf>
    <xf numFmtId="1" fontId="12" fillId="0" borderId="0" xfId="0" applyNumberFormat="1" applyFont="1" applyFill="1"/>
    <xf numFmtId="170" fontId="2" fillId="0" borderId="0" xfId="1" applyNumberFormat="1" applyFont="1" applyAlignment="1">
      <alignment horizontal="center" vertical="center"/>
    </xf>
    <xf numFmtId="9" fontId="3" fillId="2" borderId="0" xfId="0" applyNumberFormat="1" applyFont="1" applyFill="1" applyBorder="1" applyAlignment="1">
      <alignment horizontal="center" vertical="center"/>
    </xf>
    <xf numFmtId="9" fontId="2" fillId="2" borderId="0" xfId="1" applyFont="1" applyFill="1" applyBorder="1" applyAlignment="1">
      <alignment horizontal="center" vertical="center"/>
    </xf>
    <xf numFmtId="2" fontId="2" fillId="0" borderId="0" xfId="4" applyNumberFormat="1" applyFont="1" applyBorder="1" applyAlignment="1">
      <alignment horizontal="center" vertical="center"/>
    </xf>
    <xf numFmtId="170" fontId="2" fillId="8" borderId="0" xfId="0" applyNumberFormat="1" applyFont="1" applyFill="1" applyAlignment="1">
      <alignment horizontal="center" vertical="center"/>
    </xf>
    <xf numFmtId="17" fontId="3" fillId="0" borderId="0" xfId="0" applyNumberFormat="1" applyFont="1"/>
    <xf numFmtId="170" fontId="2" fillId="0" borderId="0" xfId="0" applyNumberFormat="1" applyFont="1"/>
    <xf numFmtId="1" fontId="2" fillId="14" borderId="9" xfId="0" applyNumberFormat="1" applyFont="1" applyFill="1" applyBorder="1" applyAlignment="1">
      <alignment horizontal="center" vertical="center"/>
    </xf>
    <xf numFmtId="1" fontId="6" fillId="14" borderId="0" xfId="2" applyNumberFormat="1" applyFont="1" applyFill="1" applyAlignment="1">
      <alignment horizontal="center" vertical="center"/>
    </xf>
    <xf numFmtId="1" fontId="2" fillId="3" borderId="0" xfId="0" applyNumberFormat="1" applyFont="1" applyFill="1" applyAlignment="1">
      <alignment horizontal="center" vertical="center"/>
    </xf>
    <xf numFmtId="0" fontId="2" fillId="0" borderId="9" xfId="0" applyFont="1" applyBorder="1"/>
    <xf numFmtId="169" fontId="3" fillId="0" borderId="9" xfId="0" applyNumberFormat="1" applyFont="1" applyBorder="1" applyAlignment="1">
      <alignment horizontal="center" vertical="center"/>
    </xf>
    <xf numFmtId="1" fontId="3" fillId="2" borderId="9" xfId="0" applyNumberFormat="1" applyFont="1" applyFill="1" applyBorder="1"/>
    <xf numFmtId="0" fontId="2" fillId="0" borderId="9" xfId="0" applyFont="1" applyBorder="1" applyAlignment="1">
      <alignment horizontal="center" vertical="center"/>
    </xf>
    <xf numFmtId="0" fontId="2" fillId="0" borderId="9" xfId="0" applyFont="1" applyBorder="1" applyAlignment="1">
      <alignment horizontal="left" vertical="center"/>
    </xf>
    <xf numFmtId="1" fontId="2" fillId="3" borderId="9" xfId="0" applyNumberFormat="1" applyFont="1" applyFill="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2" fillId="0" borderId="9" xfId="0" applyFont="1" applyBorder="1" applyAlignment="1">
      <alignment horizontal="center"/>
    </xf>
    <xf numFmtId="0" fontId="3" fillId="0" borderId="9" xfId="0" applyFont="1" applyBorder="1" applyAlignment="1">
      <alignment horizontal="center" vertical="center"/>
    </xf>
    <xf numFmtId="0" fontId="3" fillId="0" borderId="9" xfId="0" applyFont="1" applyBorder="1"/>
    <xf numFmtId="0" fontId="3" fillId="0" borderId="9" xfId="0" applyFont="1" applyBorder="1" applyAlignment="1">
      <alignment horizontal="center"/>
    </xf>
    <xf numFmtId="1" fontId="3" fillId="4" borderId="9" xfId="0" applyNumberFormat="1" applyFont="1" applyFill="1" applyBorder="1" applyAlignment="1">
      <alignment horizontal="center"/>
    </xf>
    <xf numFmtId="0" fontId="2" fillId="4" borderId="9" xfId="0" applyFont="1" applyFill="1" applyBorder="1" applyAlignment="1">
      <alignment horizontal="center" vertical="center"/>
    </xf>
    <xf numFmtId="1" fontId="2" fillId="4" borderId="9" xfId="0" applyNumberFormat="1" applyFont="1" applyFill="1" applyBorder="1" applyAlignment="1">
      <alignment horizontal="center" vertical="center"/>
    </xf>
    <xf numFmtId="0" fontId="2" fillId="0" borderId="2" xfId="0" applyFont="1" applyBorder="1"/>
    <xf numFmtId="1" fontId="3" fillId="0" borderId="3" xfId="0" applyNumberFormat="1" applyFont="1" applyBorder="1" applyAlignment="1">
      <alignment horizontal="center" vertical="center"/>
    </xf>
    <xf numFmtId="0" fontId="2" fillId="11" borderId="0" xfId="0" applyFont="1" applyFill="1" applyBorder="1"/>
    <xf numFmtId="1" fontId="2" fillId="11" borderId="0" xfId="0" applyNumberFormat="1" applyFont="1" applyFill="1" applyBorder="1" applyAlignment="1">
      <alignment horizontal="center" vertical="center"/>
    </xf>
    <xf numFmtId="1" fontId="3" fillId="11" borderId="5" xfId="0" applyNumberFormat="1" applyFont="1" applyFill="1" applyBorder="1" applyAlignment="1">
      <alignment horizontal="center" vertical="center"/>
    </xf>
    <xf numFmtId="0" fontId="2" fillId="9" borderId="0" xfId="0" applyFont="1" applyFill="1" applyBorder="1"/>
    <xf numFmtId="1" fontId="2" fillId="9" borderId="0" xfId="0" applyNumberFormat="1" applyFont="1" applyFill="1" applyBorder="1" applyAlignment="1">
      <alignment horizontal="center" vertical="center"/>
    </xf>
    <xf numFmtId="1" fontId="3" fillId="9" borderId="5" xfId="0" applyNumberFormat="1" applyFont="1" applyFill="1" applyBorder="1" applyAlignment="1">
      <alignment horizontal="center" vertical="center"/>
    </xf>
    <xf numFmtId="0" fontId="2" fillId="9" borderId="7" xfId="0" applyFont="1" applyFill="1" applyBorder="1"/>
    <xf numFmtId="1" fontId="2" fillId="9" borderId="7" xfId="0" applyNumberFormat="1" applyFont="1" applyFill="1" applyBorder="1" applyAlignment="1">
      <alignment horizontal="center" vertical="center"/>
    </xf>
    <xf numFmtId="1" fontId="3" fillId="9" borderId="8" xfId="0" applyNumberFormat="1" applyFont="1" applyFill="1" applyBorder="1" applyAlignment="1">
      <alignment horizontal="center" vertical="center"/>
    </xf>
    <xf numFmtId="0" fontId="3" fillId="11" borderId="4" xfId="0" applyFont="1" applyFill="1" applyBorder="1"/>
    <xf numFmtId="0" fontId="3" fillId="9" borderId="4" xfId="0" applyFont="1" applyFill="1" applyBorder="1"/>
    <xf numFmtId="0" fontId="3" fillId="9" borderId="6" xfId="0" applyFont="1" applyFill="1" applyBorder="1"/>
    <xf numFmtId="0" fontId="3" fillId="4" borderId="9" xfId="0" applyFont="1" applyFill="1" applyBorder="1"/>
    <xf numFmtId="9" fontId="6" fillId="4" borderId="0" xfId="1" applyFont="1" applyFill="1" applyBorder="1" applyAlignment="1">
      <alignment horizontal="center" vertical="center"/>
    </xf>
    <xf numFmtId="1" fontId="2" fillId="0" borderId="9" xfId="0" applyNumberFormat="1" applyFont="1" applyBorder="1" applyAlignment="1">
      <alignment horizontal="center"/>
    </xf>
    <xf numFmtId="10" fontId="3" fillId="0" borderId="0" xfId="1" applyNumberFormat="1" applyFont="1" applyAlignment="1">
      <alignment horizontal="center" vertical="center"/>
    </xf>
    <xf numFmtId="1" fontId="2" fillId="16" borderId="0" xfId="0" applyNumberFormat="1" applyFont="1" applyFill="1" applyAlignment="1">
      <alignment horizontal="center" vertical="center"/>
    </xf>
    <xf numFmtId="2" fontId="2" fillId="16" borderId="0" xfId="0" applyNumberFormat="1" applyFont="1" applyFill="1" applyAlignment="1">
      <alignment horizontal="center" vertical="center"/>
    </xf>
    <xf numFmtId="2" fontId="3" fillId="6" borderId="0" xfId="0" applyNumberFormat="1" applyFont="1" applyFill="1" applyAlignment="1">
      <alignment horizontal="center" vertical="center"/>
    </xf>
    <xf numFmtId="171" fontId="2" fillId="0" borderId="0" xfId="1" applyNumberFormat="1" applyFont="1"/>
    <xf numFmtId="10" fontId="2" fillId="16" borderId="0" xfId="1" applyNumberFormat="1" applyFont="1" applyFill="1" applyAlignment="1">
      <alignment horizontal="center" vertical="center"/>
    </xf>
    <xf numFmtId="1" fontId="2" fillId="16" borderId="0" xfId="1" applyNumberFormat="1" applyFont="1" applyFill="1" applyAlignment="1">
      <alignment horizontal="center" vertical="center"/>
    </xf>
    <xf numFmtId="170" fontId="2" fillId="16" borderId="0" xfId="1" applyNumberFormat="1" applyFont="1" applyFill="1" applyAlignment="1">
      <alignment horizontal="center" vertical="center"/>
    </xf>
    <xf numFmtId="170" fontId="2" fillId="0" borderId="0" xfId="1" applyNumberFormat="1" applyFont="1" applyFill="1" applyAlignment="1">
      <alignment horizontal="center" vertical="center"/>
    </xf>
    <xf numFmtId="170" fontId="2" fillId="16" borderId="0" xfId="0" applyNumberFormat="1" applyFont="1" applyFill="1" applyAlignment="1">
      <alignment horizontal="center" vertical="center"/>
    </xf>
    <xf numFmtId="1" fontId="2" fillId="2" borderId="0" xfId="0" applyNumberFormat="1" applyFont="1" applyFill="1" applyBorder="1" applyAlignment="1">
      <alignment horizontal="right"/>
    </xf>
    <xf numFmtId="1" fontId="8" fillId="2" borderId="0" xfId="0" applyNumberFormat="1" applyFont="1" applyFill="1" applyBorder="1" applyAlignment="1" applyProtection="1">
      <alignment horizontal="center" vertical="center"/>
    </xf>
    <xf numFmtId="1" fontId="8" fillId="0" borderId="0" xfId="1" applyNumberFormat="1" applyFont="1" applyBorder="1" applyAlignment="1" applyProtection="1">
      <alignment horizontal="center" vertical="center"/>
    </xf>
    <xf numFmtId="1" fontId="8" fillId="0" borderId="0" xfId="601" applyNumberFormat="1" applyFont="1" applyFill="1" applyBorder="1" applyAlignment="1" applyProtection="1">
      <alignment horizontal="center" vertical="center"/>
    </xf>
    <xf numFmtId="2" fontId="2" fillId="16" borderId="0" xfId="1" applyNumberFormat="1" applyFont="1" applyFill="1" applyAlignment="1">
      <alignment horizontal="center" vertical="center"/>
    </xf>
    <xf numFmtId="171" fontId="3" fillId="0" borderId="0" xfId="1" applyNumberFormat="1" applyFont="1" applyAlignment="1">
      <alignment horizontal="center" vertical="center"/>
    </xf>
    <xf numFmtId="0" fontId="3" fillId="0" borderId="0" xfId="0" applyFont="1" applyFill="1" applyBorder="1"/>
    <xf numFmtId="0" fontId="2" fillId="2" borderId="0" xfId="0" applyFont="1" applyFill="1"/>
    <xf numFmtId="1" fontId="2" fillId="2" borderId="0" xfId="0" applyNumberFormat="1" applyFont="1" applyFill="1"/>
    <xf numFmtId="2" fontId="3" fillId="0" borderId="0" xfId="0" applyNumberFormat="1" applyFont="1" applyAlignment="1">
      <alignment horizontal="center" vertical="center"/>
    </xf>
    <xf numFmtId="9" fontId="2" fillId="16" borderId="0" xfId="1" applyFont="1" applyFill="1" applyAlignment="1">
      <alignment horizontal="center" vertical="center"/>
    </xf>
    <xf numFmtId="0" fontId="90" fillId="0" borderId="0" xfId="0" applyFont="1"/>
    <xf numFmtId="0" fontId="91" fillId="0" borderId="0" xfId="0" applyFont="1" applyFill="1" applyBorder="1"/>
    <xf numFmtId="0" fontId="93" fillId="0" borderId="0" xfId="0" applyFont="1" applyBorder="1" applyAlignment="1">
      <alignment horizontal="left" wrapText="1" readingOrder="1"/>
    </xf>
    <xf numFmtId="2" fontId="91" fillId="0" borderId="0" xfId="0" applyNumberFormat="1" applyFont="1"/>
    <xf numFmtId="169" fontId="91" fillId="2" borderId="2" xfId="0" applyNumberFormat="1" applyFont="1" applyFill="1" applyBorder="1" applyAlignment="1">
      <alignment horizontal="center" vertical="center"/>
    </xf>
    <xf numFmtId="0" fontId="90" fillId="0" borderId="0" xfId="0" applyFont="1" applyFill="1"/>
    <xf numFmtId="0" fontId="91" fillId="0" borderId="0" xfId="0" applyFont="1" applyFill="1"/>
    <xf numFmtId="0" fontId="91" fillId="2" borderId="1" xfId="0" applyFont="1" applyFill="1" applyBorder="1"/>
    <xf numFmtId="169" fontId="91" fillId="2" borderId="3" xfId="0" applyNumberFormat="1" applyFont="1" applyFill="1" applyBorder="1" applyAlignment="1">
      <alignment horizontal="center" vertical="center"/>
    </xf>
    <xf numFmtId="1" fontId="90" fillId="0" borderId="0" xfId="0" applyNumberFormat="1" applyFont="1" applyBorder="1"/>
    <xf numFmtId="0" fontId="92" fillId="0" borderId="4" xfId="0" applyFont="1" applyBorder="1" applyAlignment="1">
      <alignment horizontal="left" wrapText="1" readingOrder="1"/>
    </xf>
    <xf numFmtId="0" fontId="93" fillId="0" borderId="4" xfId="0" applyFont="1" applyBorder="1" applyAlignment="1">
      <alignment horizontal="left" wrapText="1" readingOrder="1"/>
    </xf>
    <xf numFmtId="1" fontId="91" fillId="0" borderId="0" xfId="0" applyNumberFormat="1" applyFont="1" applyBorder="1"/>
    <xf numFmtId="0" fontId="93" fillId="50" borderId="4" xfId="0" applyFont="1" applyFill="1" applyBorder="1" applyAlignment="1">
      <alignment horizontal="left" wrapText="1" readingOrder="1"/>
    </xf>
    <xf numFmtId="0" fontId="90" fillId="0" borderId="0" xfId="0" applyFont="1" applyBorder="1"/>
    <xf numFmtId="0" fontId="90" fillId="0" borderId="5" xfId="0" applyFont="1" applyBorder="1"/>
    <xf numFmtId="0" fontId="91" fillId="0" borderId="0" xfId="0" applyFont="1" applyBorder="1"/>
    <xf numFmtId="2" fontId="91" fillId="0" borderId="0" xfId="0" applyNumberFormat="1" applyFont="1" applyBorder="1"/>
    <xf numFmtId="2" fontId="91" fillId="0" borderId="5" xfId="0" applyNumberFormat="1" applyFont="1" applyBorder="1"/>
    <xf numFmtId="0" fontId="93" fillId="0" borderId="6" xfId="0" applyFont="1" applyBorder="1" applyAlignment="1">
      <alignment horizontal="left" wrapText="1" readingOrder="1"/>
    </xf>
    <xf numFmtId="0" fontId="90" fillId="0" borderId="7" xfId="0" applyFont="1" applyBorder="1"/>
    <xf numFmtId="2" fontId="91" fillId="0" borderId="7" xfId="0" applyNumberFormat="1" applyFont="1" applyBorder="1"/>
    <xf numFmtId="0" fontId="90" fillId="0" borderId="8" xfId="0" applyFont="1" applyBorder="1"/>
    <xf numFmtId="0" fontId="93" fillId="2" borderId="1" xfId="0" applyFont="1" applyFill="1" applyBorder="1" applyAlignment="1">
      <alignment horizontal="left" wrapText="1" readingOrder="1"/>
    </xf>
    <xf numFmtId="0" fontId="90" fillId="2" borderId="2" xfId="0" applyFont="1" applyFill="1" applyBorder="1"/>
    <xf numFmtId="169" fontId="91" fillId="2" borderId="2" xfId="0" applyNumberFormat="1" applyFont="1" applyFill="1" applyBorder="1"/>
    <xf numFmtId="169" fontId="91" fillId="2" borderId="3" xfId="0" applyNumberFormat="1" applyFont="1" applyFill="1" applyBorder="1"/>
    <xf numFmtId="1" fontId="91" fillId="0" borderId="0" xfId="0" applyNumberFormat="1" applyFont="1" applyFill="1" applyBorder="1" applyAlignment="1">
      <alignment horizontal="center" vertical="center"/>
    </xf>
    <xf numFmtId="1" fontId="91" fillId="0" borderId="5" xfId="0" applyNumberFormat="1" applyFont="1" applyFill="1" applyBorder="1" applyAlignment="1">
      <alignment horizontal="center" vertical="center"/>
    </xf>
    <xf numFmtId="1" fontId="90" fillId="0" borderId="0" xfId="0" applyNumberFormat="1" applyFont="1" applyFill="1" applyBorder="1" applyAlignment="1">
      <alignment horizontal="center" vertical="center"/>
    </xf>
    <xf numFmtId="1" fontId="90" fillId="0" borderId="5" xfId="0" applyNumberFormat="1" applyFont="1" applyFill="1" applyBorder="1" applyAlignment="1">
      <alignment horizontal="center" vertical="center"/>
    </xf>
    <xf numFmtId="0" fontId="91" fillId="0" borderId="7" xfId="0" applyFont="1" applyBorder="1"/>
    <xf numFmtId="1" fontId="91" fillId="0" borderId="7" xfId="0" applyNumberFormat="1" applyFont="1" applyFill="1" applyBorder="1" applyAlignment="1">
      <alignment horizontal="center" vertical="center"/>
    </xf>
    <xf numFmtId="1" fontId="91" fillId="0" borderId="8" xfId="0" applyNumberFormat="1" applyFont="1" applyFill="1" applyBorder="1" applyAlignment="1">
      <alignment horizontal="center" vertical="center"/>
    </xf>
    <xf numFmtId="1" fontId="90" fillId="0" borderId="0" xfId="0" applyNumberFormat="1" applyFont="1" applyBorder="1" applyAlignment="1">
      <alignment horizontal="center" vertical="center"/>
    </xf>
    <xf numFmtId="1" fontId="90" fillId="0" borderId="5" xfId="0" applyNumberFormat="1" applyFont="1" applyBorder="1" applyAlignment="1">
      <alignment horizontal="center" vertical="center"/>
    </xf>
    <xf numFmtId="1" fontId="91" fillId="0" borderId="0" xfId="0" applyNumberFormat="1" applyFont="1" applyBorder="1" applyAlignment="1">
      <alignment horizontal="center" vertical="center"/>
    </xf>
    <xf numFmtId="1" fontId="91" fillId="0" borderId="5" xfId="0" applyNumberFormat="1" applyFont="1" applyBorder="1" applyAlignment="1">
      <alignment horizontal="center" vertical="center"/>
    </xf>
    <xf numFmtId="1" fontId="91" fillId="0" borderId="7" xfId="0" applyNumberFormat="1" applyFont="1" applyBorder="1" applyAlignment="1">
      <alignment horizontal="center" vertical="center"/>
    </xf>
    <xf numFmtId="1" fontId="91" fillId="0" borderId="8" xfId="0"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wrapText="1"/>
    </xf>
    <xf numFmtId="9" fontId="0" fillId="0" borderId="0" xfId="0" applyNumberFormat="1" applyAlignment="1">
      <alignment horizontal="center" vertical="center"/>
    </xf>
    <xf numFmtId="2" fontId="0" fillId="0" borderId="0" xfId="0" applyNumberFormat="1" applyAlignment="1">
      <alignment horizontal="center" vertical="center" wrapText="1"/>
    </xf>
    <xf numFmtId="0" fontId="0" fillId="11" borderId="9" xfId="0" applyFill="1" applyBorder="1"/>
    <xf numFmtId="0" fontId="94" fillId="0" borderId="0" xfId="0" applyFont="1" applyAlignment="1">
      <alignment horizontal="center" vertical="center"/>
    </xf>
    <xf numFmtId="0" fontId="94" fillId="11" borderId="9" xfId="0" applyFont="1" applyFill="1" applyBorder="1" applyAlignment="1">
      <alignment horizontal="center" vertical="center" wrapText="1"/>
    </xf>
    <xf numFmtId="0" fontId="94" fillId="0" borderId="0" xfId="0" applyFont="1"/>
    <xf numFmtId="0" fontId="94" fillId="8" borderId="9" xfId="0" applyFont="1" applyFill="1" applyBorder="1" applyAlignment="1">
      <alignment horizontal="center" vertical="center" wrapText="1"/>
    </xf>
    <xf numFmtId="0" fontId="94" fillId="8" borderId="9" xfId="0" applyFont="1" applyFill="1" applyBorder="1" applyAlignment="1">
      <alignment horizontal="center" vertical="center"/>
    </xf>
    <xf numFmtId="2" fontId="94" fillId="51" borderId="9" xfId="0" applyNumberFormat="1" applyFont="1" applyFill="1" applyBorder="1" applyAlignment="1">
      <alignment horizontal="center" vertical="center" wrapText="1"/>
    </xf>
    <xf numFmtId="0" fontId="94" fillId="0" borderId="0" xfId="0" applyFont="1" applyAlignment="1">
      <alignment wrapText="1"/>
    </xf>
    <xf numFmtId="0" fontId="94" fillId="9" borderId="9" xfId="0" applyFont="1" applyFill="1" applyBorder="1" applyAlignment="1">
      <alignment horizontal="center" vertical="center"/>
    </xf>
    <xf numFmtId="0" fontId="94" fillId="11" borderId="9" xfId="0" applyFont="1" applyFill="1" applyBorder="1" applyAlignment="1">
      <alignment horizontal="center" vertical="center"/>
    </xf>
    <xf numFmtId="1" fontId="94" fillId="51" borderId="9" xfId="0" applyNumberFormat="1" applyFont="1" applyFill="1" applyBorder="1" applyAlignment="1">
      <alignment horizontal="center" vertical="center" wrapText="1"/>
    </xf>
    <xf numFmtId="171" fontId="0" fillId="0" borderId="0" xfId="1" applyNumberFormat="1" applyFont="1" applyAlignment="1">
      <alignment horizontal="center"/>
    </xf>
    <xf numFmtId="1" fontId="0" fillId="9" borderId="9" xfId="0" applyNumberFormat="1" applyFill="1" applyBorder="1" applyAlignment="1">
      <alignment horizontal="center" vertical="center"/>
    </xf>
    <xf numFmtId="1" fontId="0" fillId="0" borderId="0" xfId="0" applyNumberFormat="1" applyAlignment="1">
      <alignment horizontal="center" vertical="center"/>
    </xf>
    <xf numFmtId="1" fontId="0" fillId="11" borderId="9" xfId="0" applyNumberFormat="1" applyFill="1" applyBorder="1" applyAlignment="1">
      <alignment horizontal="center" vertical="center"/>
    </xf>
    <xf numFmtId="170" fontId="0" fillId="8" borderId="9" xfId="0" applyNumberFormat="1" applyFill="1" applyBorder="1" applyAlignment="1">
      <alignment horizontal="center" vertical="center"/>
    </xf>
    <xf numFmtId="1" fontId="0" fillId="0" borderId="0" xfId="0" applyNumberFormat="1" applyAlignment="1">
      <alignment horizontal="center" vertical="center" wrapText="1"/>
    </xf>
    <xf numFmtId="0" fontId="94" fillId="11" borderId="9" xfId="0" applyFont="1" applyFill="1" applyBorder="1"/>
    <xf numFmtId="1" fontId="94" fillId="9" borderId="9" xfId="0" applyNumberFormat="1" applyFont="1" applyFill="1" applyBorder="1" applyAlignment="1">
      <alignment horizontal="center" vertical="center"/>
    </xf>
    <xf numFmtId="1" fontId="94" fillId="0" borderId="0" xfId="0" applyNumberFormat="1" applyFont="1" applyAlignment="1">
      <alignment horizontal="center" vertical="center"/>
    </xf>
    <xf numFmtId="1" fontId="94" fillId="11" borderId="9" xfId="0" applyNumberFormat="1" applyFont="1" applyFill="1" applyBorder="1" applyAlignment="1">
      <alignment horizontal="center" vertical="center"/>
    </xf>
    <xf numFmtId="10" fontId="0" fillId="0" borderId="0" xfId="1" applyNumberFormat="1" applyFont="1" applyAlignment="1">
      <alignment horizontal="center" vertical="center"/>
    </xf>
    <xf numFmtId="0" fontId="2" fillId="6" borderId="4" xfId="0" applyFont="1" applyFill="1" applyBorder="1"/>
    <xf numFmtId="0" fontId="3" fillId="6" borderId="0" xfId="0" applyFont="1" applyFill="1" applyAlignment="1">
      <alignment horizontal="center"/>
    </xf>
    <xf numFmtId="0" fontId="3" fillId="6" borderId="5" xfId="0" applyFont="1" applyFill="1" applyBorder="1" applyAlignment="1">
      <alignment horizontal="center"/>
    </xf>
    <xf numFmtId="4" fontId="2" fillId="0" borderId="0" xfId="0" applyNumberFormat="1" applyFont="1"/>
    <xf numFmtId="10" fontId="2" fillId="0" borderId="0" xfId="0" applyNumberFormat="1" applyFont="1"/>
    <xf numFmtId="4" fontId="14" fillId="0" borderId="0" xfId="0" applyNumberFormat="1" applyFont="1"/>
    <xf numFmtId="10" fontId="2" fillId="0" borderId="5" xfId="0" applyNumberFormat="1" applyFont="1" applyBorder="1"/>
    <xf numFmtId="2" fontId="2" fillId="2" borderId="0" xfId="0" applyNumberFormat="1" applyFont="1" applyFill="1"/>
    <xf numFmtId="4" fontId="3" fillId="0" borderId="7" xfId="0" applyNumberFormat="1" applyFont="1" applyBorder="1"/>
    <xf numFmtId="10" fontId="3" fillId="0" borderId="7" xfId="0" applyNumberFormat="1" applyFont="1" applyBorder="1"/>
    <xf numFmtId="10" fontId="3" fillId="0" borderId="8" xfId="0" applyNumberFormat="1" applyFont="1" applyBorder="1"/>
    <xf numFmtId="0" fontId="2" fillId="0" borderId="0" xfId="0" applyFont="1" applyAlignment="1">
      <alignment wrapText="1"/>
    </xf>
    <xf numFmtId="2" fontId="2" fillId="0" borderId="0" xfId="0" applyNumberFormat="1" applyFont="1"/>
    <xf numFmtId="0" fontId="94" fillId="0" borderId="13" xfId="0" applyFont="1" applyBorder="1" applyAlignment="1">
      <alignment horizontal="center" vertical="center"/>
    </xf>
    <xf numFmtId="170" fontId="0" fillId="51" borderId="9" xfId="1" applyNumberFormat="1" applyFont="1" applyFill="1" applyBorder="1" applyAlignment="1">
      <alignment horizontal="center" vertical="center" wrapText="1"/>
    </xf>
    <xf numFmtId="170" fontId="0" fillId="51" borderId="9" xfId="0" applyNumberFormat="1" applyFill="1" applyBorder="1" applyAlignment="1">
      <alignment horizontal="center" vertical="center" wrapText="1"/>
    </xf>
    <xf numFmtId="170" fontId="94" fillId="8" borderId="9" xfId="0" applyNumberFormat="1" applyFont="1" applyFill="1" applyBorder="1" applyAlignment="1">
      <alignment horizontal="center" vertical="center"/>
    </xf>
    <xf numFmtId="170" fontId="94" fillId="51" borderId="9" xfId="0" applyNumberFormat="1" applyFont="1" applyFill="1" applyBorder="1" applyAlignment="1">
      <alignment horizontal="center" vertical="center" wrapText="1"/>
    </xf>
    <xf numFmtId="9" fontId="2" fillId="0" borderId="0" xfId="1" applyNumberFormat="1" applyFont="1" applyAlignment="1">
      <alignment horizontal="center" vertical="center"/>
    </xf>
    <xf numFmtId="170" fontId="90" fillId="0" borderId="0" xfId="0" applyNumberFormat="1" applyFont="1" applyBorder="1"/>
    <xf numFmtId="170" fontId="90" fillId="0" borderId="5" xfId="0" applyNumberFormat="1" applyFont="1" applyBorder="1"/>
    <xf numFmtId="170" fontId="91" fillId="0" borderId="0" xfId="0" applyNumberFormat="1" applyFont="1" applyBorder="1"/>
    <xf numFmtId="170" fontId="91" fillId="0" borderId="5" xfId="0" applyNumberFormat="1" applyFont="1" applyBorder="1"/>
    <xf numFmtId="171" fontId="90" fillId="0" borderId="0" xfId="1" applyNumberFormat="1" applyFont="1" applyFill="1"/>
    <xf numFmtId="171" fontId="92" fillId="0" borderId="4" xfId="1" applyNumberFormat="1" applyFont="1" applyFill="1" applyBorder="1" applyAlignment="1">
      <alignment horizontal="left" wrapText="1" readingOrder="1"/>
    </xf>
    <xf numFmtId="171" fontId="90" fillId="0" borderId="0" xfId="1" applyNumberFormat="1" applyFont="1" applyFill="1" applyBorder="1"/>
    <xf numFmtId="0" fontId="92" fillId="0" borderId="4" xfId="0" applyFont="1" applyFill="1" applyBorder="1" applyAlignment="1">
      <alignment horizontal="left" wrapText="1" readingOrder="1"/>
    </xf>
    <xf numFmtId="1" fontId="90" fillId="0" borderId="0" xfId="0" applyNumberFormat="1" applyFont="1" applyFill="1" applyBorder="1"/>
    <xf numFmtId="170" fontId="90" fillId="0" borderId="0" xfId="0" applyNumberFormat="1" applyFont="1" applyFill="1" applyBorder="1"/>
    <xf numFmtId="1" fontId="90" fillId="0" borderId="0" xfId="0" applyNumberFormat="1" applyFont="1"/>
    <xf numFmtId="1" fontId="91" fillId="0" borderId="0" xfId="0" applyNumberFormat="1" applyFont="1"/>
    <xf numFmtId="170" fontId="0" fillId="0" borderId="0" xfId="0" applyNumberFormat="1" applyAlignment="1">
      <alignment horizontal="center" vertical="center" wrapText="1"/>
    </xf>
    <xf numFmtId="170" fontId="0" fillId="0" borderId="0" xfId="0" applyNumberFormat="1" applyAlignment="1">
      <alignment horizontal="center" vertical="center"/>
    </xf>
    <xf numFmtId="1" fontId="2" fillId="52" borderId="0" xfId="0" applyNumberFormat="1" applyFont="1" applyFill="1" applyBorder="1" applyAlignment="1">
      <alignment horizontal="center" vertical="center"/>
    </xf>
    <xf numFmtId="2" fontId="3" fillId="52" borderId="0" xfId="4" applyNumberFormat="1" applyFont="1" applyFill="1" applyBorder="1" applyAlignment="1">
      <alignment horizontal="center" vertical="center"/>
    </xf>
    <xf numFmtId="1" fontId="2" fillId="52" borderId="0" xfId="0" applyNumberFormat="1" applyFont="1" applyFill="1"/>
    <xf numFmtId="1" fontId="2" fillId="52" borderId="0" xfId="0" applyNumberFormat="1" applyFont="1" applyFill="1" applyBorder="1" applyAlignment="1">
      <alignment horizontal="center"/>
    </xf>
    <xf numFmtId="1" fontId="3" fillId="52" borderId="0" xfId="4" applyNumberFormat="1" applyFont="1" applyFill="1" applyBorder="1" applyAlignment="1">
      <alignment horizontal="center" vertical="center"/>
    </xf>
    <xf numFmtId="1" fontId="3" fillId="52" borderId="5" xfId="4" applyNumberFormat="1" applyFont="1" applyFill="1" applyBorder="1" applyAlignment="1">
      <alignment horizontal="center" vertical="center"/>
    </xf>
    <xf numFmtId="1" fontId="2" fillId="52" borderId="7" xfId="0" applyNumberFormat="1" applyFont="1" applyFill="1" applyBorder="1" applyAlignment="1">
      <alignment horizontal="center" vertical="center"/>
    </xf>
    <xf numFmtId="1" fontId="2" fillId="52" borderId="7" xfId="0" applyNumberFormat="1" applyFont="1" applyFill="1" applyBorder="1" applyAlignment="1">
      <alignment horizontal="center"/>
    </xf>
    <xf numFmtId="2" fontId="3" fillId="52" borderId="7" xfId="4" applyNumberFormat="1" applyFont="1" applyFill="1" applyBorder="1" applyAlignment="1">
      <alignment horizontal="center" vertical="center"/>
    </xf>
    <xf numFmtId="1" fontId="3" fillId="52" borderId="7" xfId="4" applyNumberFormat="1" applyFont="1" applyFill="1" applyBorder="1" applyAlignment="1">
      <alignment horizontal="center" vertical="center"/>
    </xf>
    <xf numFmtId="1" fontId="3" fillId="52" borderId="8" xfId="4" applyNumberFormat="1" applyFont="1" applyFill="1" applyBorder="1" applyAlignment="1">
      <alignment horizontal="center" vertical="center"/>
    </xf>
    <xf numFmtId="1" fontId="0" fillId="0" borderId="0" xfId="0" applyNumberFormat="1"/>
    <xf numFmtId="9" fontId="0" fillId="0" borderId="0" xfId="0" applyNumberFormat="1"/>
    <xf numFmtId="0" fontId="3" fillId="0" borderId="0" xfId="0" applyFont="1" applyAlignment="1" applyProtection="1">
      <alignment horizontal="center"/>
      <protection locked="0"/>
    </xf>
    <xf numFmtId="0" fontId="3" fillId="0" borderId="0" xfId="0" applyFont="1" applyProtection="1">
      <protection locked="0"/>
    </xf>
    <xf numFmtId="17" fontId="3" fillId="0" borderId="0" xfId="0" applyNumberFormat="1" applyFont="1" applyProtection="1">
      <protection locked="0"/>
    </xf>
    <xf numFmtId="0" fontId="3" fillId="0" borderId="0" xfId="0" applyFont="1" applyAlignment="1" applyProtection="1">
      <alignment horizontal="center" wrapText="1"/>
      <protection locked="0"/>
    </xf>
    <xf numFmtId="17" fontId="3" fillId="0" borderId="0" xfId="0" applyNumberFormat="1" applyFont="1" applyAlignment="1" applyProtection="1">
      <alignment horizontal="center" wrapText="1"/>
      <protection locked="0"/>
    </xf>
    <xf numFmtId="0" fontId="95" fillId="0" borderId="0" xfId="0" applyFont="1" applyProtection="1">
      <protection locked="0"/>
    </xf>
    <xf numFmtId="0" fontId="96" fillId="0" borderId="0" xfId="0" applyFont="1" applyProtection="1">
      <protection locked="0"/>
    </xf>
    <xf numFmtId="0" fontId="3" fillId="0" borderId="0" xfId="0" applyFont="1" applyFill="1" applyProtection="1">
      <protection locked="0"/>
    </xf>
    <xf numFmtId="0" fontId="2" fillId="0" borderId="0" xfId="0" applyFont="1" applyProtection="1">
      <protection locked="0"/>
    </xf>
    <xf numFmtId="173" fontId="14" fillId="0" borderId="0" xfId="3" applyNumberFormat="1" applyFont="1" applyProtection="1">
      <protection locked="0"/>
    </xf>
    <xf numFmtId="173" fontId="2" fillId="0" borderId="0" xfId="3" applyNumberFormat="1" applyFont="1" applyProtection="1">
      <protection locked="0"/>
    </xf>
    <xf numFmtId="173" fontId="3" fillId="0" borderId="0" xfId="3" applyNumberFormat="1" applyFont="1" applyAlignment="1" applyProtection="1">
      <alignment horizontal="center"/>
      <protection locked="0"/>
    </xf>
    <xf numFmtId="173" fontId="3" fillId="0" borderId="0" xfId="3" applyNumberFormat="1" applyFont="1" applyProtection="1">
      <protection locked="0"/>
    </xf>
    <xf numFmtId="173" fontId="2" fillId="0" borderId="0" xfId="3" applyNumberFormat="1" applyFont="1" applyFill="1" applyProtection="1">
      <protection locked="0"/>
    </xf>
    <xf numFmtId="43" fontId="14" fillId="0" borderId="0" xfId="3" applyFont="1" applyProtection="1">
      <protection locked="0"/>
    </xf>
    <xf numFmtId="0" fontId="14" fillId="0" borderId="0" xfId="0" applyFont="1" applyProtection="1">
      <protection locked="0"/>
    </xf>
    <xf numFmtId="43" fontId="14" fillId="0" borderId="0" xfId="3" applyFont="1" applyFill="1" applyProtection="1">
      <protection locked="0"/>
    </xf>
    <xf numFmtId="168" fontId="14" fillId="0" borderId="0" xfId="280" applyFont="1" applyProtection="1">
      <protection locked="0"/>
    </xf>
    <xf numFmtId="173" fontId="96" fillId="0" borderId="0" xfId="3" applyNumberFormat="1" applyFont="1" applyProtection="1">
      <protection locked="0"/>
    </xf>
    <xf numFmtId="43" fontId="2" fillId="0" borderId="0" xfId="3" applyFont="1" applyProtection="1">
      <protection locked="0"/>
    </xf>
    <xf numFmtId="43" fontId="3" fillId="0" borderId="0" xfId="3" applyFont="1" applyProtection="1">
      <protection locked="0"/>
    </xf>
    <xf numFmtId="43" fontId="3" fillId="0" borderId="0" xfId="3" applyFont="1" applyAlignment="1" applyProtection="1">
      <alignment horizontal="center"/>
      <protection locked="0"/>
    </xf>
    <xf numFmtId="43" fontId="2" fillId="0" borderId="0" xfId="3" applyFont="1" applyAlignment="1" applyProtection="1">
      <alignment horizontal="center"/>
      <protection locked="0"/>
    </xf>
    <xf numFmtId="173" fontId="14" fillId="0" borderId="0" xfId="3" applyNumberFormat="1" applyFont="1" applyFill="1" applyProtection="1">
      <protection locked="0"/>
    </xf>
    <xf numFmtId="168" fontId="14" fillId="0" borderId="0" xfId="280" applyFont="1" applyFill="1" applyProtection="1">
      <protection locked="0"/>
    </xf>
    <xf numFmtId="43" fontId="3" fillId="0" borderId="0" xfId="3" applyNumberFormat="1" applyFont="1" applyProtection="1">
      <protection locked="0"/>
    </xf>
    <xf numFmtId="205" fontId="96" fillId="0" borderId="0" xfId="3" applyNumberFormat="1" applyFont="1" applyProtection="1">
      <protection locked="0"/>
    </xf>
    <xf numFmtId="173" fontId="14" fillId="0" borderId="0" xfId="0" applyNumberFormat="1" applyFont="1" applyProtection="1">
      <protection locked="0"/>
    </xf>
    <xf numFmtId="173" fontId="14" fillId="3" borderId="0" xfId="0" applyNumberFormat="1" applyFont="1" applyFill="1" applyProtection="1">
      <protection locked="0"/>
    </xf>
    <xf numFmtId="43" fontId="0" fillId="0" borderId="0" xfId="3" applyFont="1"/>
    <xf numFmtId="43" fontId="0" fillId="0" borderId="0" xfId="0" applyNumberFormat="1"/>
    <xf numFmtId="173" fontId="0" fillId="0" borderId="0" xfId="0" applyNumberFormat="1"/>
    <xf numFmtId="168" fontId="0" fillId="0" borderId="0" xfId="4" applyFont="1"/>
    <xf numFmtId="0" fontId="14" fillId="0" borderId="0" xfId="0" applyFont="1" applyAlignment="1">
      <alignment wrapText="1"/>
    </xf>
    <xf numFmtId="0" fontId="3" fillId="0" borderId="0" xfId="0" applyFont="1" applyAlignment="1">
      <alignment wrapText="1"/>
    </xf>
    <xf numFmtId="9" fontId="0" fillId="0" borderId="0" xfId="1" applyFont="1"/>
    <xf numFmtId="173" fontId="94" fillId="0" borderId="0" xfId="3" applyNumberFormat="1" applyFont="1"/>
    <xf numFmtId="43" fontId="94" fillId="0" borderId="0" xfId="3" applyNumberFormat="1" applyFont="1"/>
    <xf numFmtId="43" fontId="94" fillId="0" borderId="0" xfId="0" applyNumberFormat="1" applyFont="1"/>
    <xf numFmtId="43" fontId="0" fillId="53" borderId="0" xfId="0" applyNumberFormat="1" applyFill="1"/>
    <xf numFmtId="173" fontId="0" fillId="0" borderId="0" xfId="3" applyNumberFormat="1" applyFont="1"/>
    <xf numFmtId="1" fontId="2" fillId="54" borderId="0" xfId="4" applyNumberFormat="1" applyFont="1" applyFill="1" applyBorder="1" applyAlignment="1">
      <alignment horizontal="center" vertical="center"/>
    </xf>
    <xf numFmtId="1" fontId="2" fillId="54" borderId="0" xfId="0" applyNumberFormat="1" applyFont="1" applyFill="1" applyAlignment="1">
      <alignment vertical="center"/>
    </xf>
    <xf numFmtId="1" fontId="2" fillId="54" borderId="0" xfId="0" applyNumberFormat="1" applyFont="1" applyFill="1" applyAlignment="1">
      <alignment horizontal="center" vertical="center"/>
    </xf>
    <xf numFmtId="10" fontId="2" fillId="54" borderId="0" xfId="1" applyNumberFormat="1" applyFont="1" applyFill="1" applyAlignment="1">
      <alignment horizontal="center" vertical="center"/>
    </xf>
    <xf numFmtId="170" fontId="2" fillId="54" borderId="0" xfId="1" applyNumberFormat="1" applyFont="1" applyFill="1" applyAlignment="1">
      <alignment horizontal="center" vertical="center"/>
    </xf>
    <xf numFmtId="2" fontId="2" fillId="54" borderId="0" xfId="1" applyNumberFormat="1" applyFont="1" applyFill="1" applyAlignment="1">
      <alignment horizontal="center" vertical="center"/>
    </xf>
    <xf numFmtId="1" fontId="2" fillId="54" borderId="0" xfId="1" applyNumberFormat="1" applyFont="1" applyFill="1" applyAlignment="1">
      <alignment horizontal="center" vertical="center"/>
    </xf>
    <xf numFmtId="0" fontId="97" fillId="0" borderId="0" xfId="610"/>
    <xf numFmtId="0" fontId="98" fillId="0" borderId="0" xfId="610" applyFont="1"/>
    <xf numFmtId="14" fontId="98" fillId="0" borderId="0" xfId="610" applyNumberFormat="1" applyFont="1" applyAlignment="1">
      <alignment horizontal="center"/>
    </xf>
    <xf numFmtId="0" fontId="97" fillId="0" borderId="9" xfId="610" applyBorder="1"/>
    <xf numFmtId="0" fontId="98" fillId="0" borderId="9" xfId="610" applyFont="1" applyBorder="1"/>
    <xf numFmtId="0" fontId="98" fillId="0" borderId="9" xfId="610" applyFont="1" applyBorder="1" applyAlignment="1">
      <alignment horizontal="center"/>
    </xf>
    <xf numFmtId="0" fontId="98" fillId="0" borderId="30" xfId="610" applyFont="1" applyBorder="1" applyAlignment="1">
      <alignment horizontal="center"/>
    </xf>
    <xf numFmtId="0" fontId="99" fillId="0" borderId="30" xfId="610" applyFont="1" applyBorder="1"/>
    <xf numFmtId="0" fontId="99" fillId="0" borderId="31" xfId="610" applyFont="1" applyBorder="1"/>
    <xf numFmtId="0" fontId="98" fillId="0" borderId="30" xfId="610" applyFont="1" applyBorder="1"/>
    <xf numFmtId="0" fontId="97" fillId="0" borderId="30" xfId="610" applyBorder="1"/>
    <xf numFmtId="0" fontId="97" fillId="0" borderId="31" xfId="610" applyBorder="1"/>
    <xf numFmtId="0" fontId="97" fillId="0" borderId="30" xfId="610" applyBorder="1" applyAlignment="1">
      <alignment horizontal="left" indent="1" shrinkToFit="1"/>
    </xf>
    <xf numFmtId="0" fontId="98" fillId="0" borderId="30" xfId="610" applyFont="1" applyBorder="1" applyAlignment="1">
      <alignment vertical="top"/>
    </xf>
    <xf numFmtId="0" fontId="97" fillId="0" borderId="30" xfId="610" applyBorder="1" applyAlignment="1">
      <alignment horizontal="left" indent="1"/>
    </xf>
    <xf numFmtId="0" fontId="97" fillId="0" borderId="30" xfId="610" applyBorder="1" applyAlignment="1">
      <alignment horizontal="left" wrapText="1" indent="1"/>
    </xf>
    <xf numFmtId="0" fontId="97" fillId="0" borderId="0" xfId="610" applyAlignment="1">
      <alignment vertical="center"/>
    </xf>
    <xf numFmtId="0" fontId="97" fillId="0" borderId="30" xfId="610" applyBorder="1" applyAlignment="1">
      <alignment horizontal="left"/>
    </xf>
    <xf numFmtId="0" fontId="97" fillId="0" borderId="30" xfId="610" applyBorder="1" applyAlignment="1">
      <alignment horizontal="right"/>
    </xf>
    <xf numFmtId="0" fontId="97" fillId="0" borderId="30" xfId="610" quotePrefix="1" applyBorder="1" applyAlignment="1">
      <alignment horizontal="left" indent="2"/>
    </xf>
    <xf numFmtId="0" fontId="97" fillId="0" borderId="32" xfId="610" applyBorder="1"/>
    <xf numFmtId="0" fontId="98" fillId="0" borderId="9" xfId="610" applyFont="1" applyBorder="1" applyAlignment="1">
      <alignment horizontal="right"/>
    </xf>
    <xf numFmtId="0" fontId="97" fillId="0" borderId="34" xfId="610" applyBorder="1"/>
    <xf numFmtId="0" fontId="97" fillId="0" borderId="35" xfId="610" applyBorder="1"/>
    <xf numFmtId="0" fontId="101" fillId="55" borderId="0" xfId="610" quotePrefix="1" applyFont="1" applyFill="1" applyAlignment="1">
      <alignment horizontal="left" vertical="top"/>
    </xf>
    <xf numFmtId="0" fontId="102" fillId="55" borderId="0" xfId="610" applyFont="1" applyFill="1" applyAlignment="1">
      <alignment vertical="top" wrapText="1"/>
    </xf>
    <xf numFmtId="0" fontId="101" fillId="55" borderId="0" xfId="610" applyFont="1" applyFill="1" applyAlignment="1">
      <alignment horizontal="left" vertical="top"/>
    </xf>
    <xf numFmtId="174" fontId="100" fillId="0" borderId="30" xfId="4" applyNumberFormat="1" applyFont="1" applyFill="1" applyBorder="1"/>
    <xf numFmtId="174" fontId="100" fillId="0" borderId="13" xfId="4" applyNumberFormat="1" applyFont="1" applyFill="1" applyBorder="1"/>
    <xf numFmtId="174" fontId="100" fillId="0" borderId="9" xfId="4" applyNumberFormat="1" applyFont="1" applyFill="1" applyBorder="1"/>
    <xf numFmtId="174" fontId="100" fillId="0" borderId="30" xfId="4" applyNumberFormat="1" applyFont="1" applyFill="1" applyBorder="1" applyAlignment="1">
      <alignment vertical="top"/>
    </xf>
    <xf numFmtId="174" fontId="97" fillId="0" borderId="31" xfId="4" applyNumberFormat="1" applyFont="1" applyBorder="1"/>
    <xf numFmtId="174" fontId="98" fillId="0" borderId="29" xfId="4" applyNumberFormat="1" applyFont="1" applyFill="1" applyBorder="1"/>
    <xf numFmtId="174" fontId="97" fillId="0" borderId="30" xfId="4" applyNumberFormat="1" applyFont="1" applyBorder="1"/>
    <xf numFmtId="174" fontId="98" fillId="0" borderId="9" xfId="4" applyNumberFormat="1" applyFont="1" applyBorder="1"/>
    <xf numFmtId="174" fontId="97" fillId="0" borderId="0" xfId="4" applyNumberFormat="1" applyFont="1"/>
    <xf numFmtId="174" fontId="97" fillId="0" borderId="33" xfId="4" applyNumberFormat="1" applyFont="1" applyBorder="1" applyAlignment="1">
      <alignment wrapText="1"/>
    </xf>
    <xf numFmtId="174" fontId="98" fillId="0" borderId="13" xfId="4" applyNumberFormat="1" applyFont="1" applyBorder="1" applyAlignment="1">
      <alignment wrapText="1"/>
    </xf>
    <xf numFmtId="17" fontId="98" fillId="0" borderId="0" xfId="610" applyNumberFormat="1" applyFont="1" applyAlignment="1">
      <alignment horizontal="center"/>
    </xf>
    <xf numFmtId="0" fontId="103" fillId="0" borderId="0" xfId="0" applyFont="1"/>
    <xf numFmtId="168" fontId="104" fillId="0" borderId="0" xfId="4" applyFont="1" applyAlignment="1">
      <alignment horizontal="right"/>
    </xf>
    <xf numFmtId="0" fontId="104" fillId="0" borderId="0" xfId="0" applyFont="1" applyAlignment="1">
      <alignment horizontal="center"/>
    </xf>
    <xf numFmtId="0" fontId="103" fillId="0" borderId="0" xfId="0" applyFont="1" applyAlignment="1">
      <alignment horizontal="center"/>
    </xf>
    <xf numFmtId="174" fontId="103" fillId="0" borderId="0" xfId="4" applyNumberFormat="1" applyFont="1"/>
    <xf numFmtId="168" fontId="103" fillId="0" borderId="0" xfId="4" applyFont="1"/>
    <xf numFmtId="206" fontId="103" fillId="0" borderId="0" xfId="4" applyNumberFormat="1" applyFont="1"/>
    <xf numFmtId="0" fontId="104" fillId="0" borderId="0" xfId="0" applyFont="1"/>
    <xf numFmtId="174" fontId="104" fillId="0" borderId="0" xfId="4" applyNumberFormat="1" applyFont="1"/>
    <xf numFmtId="0" fontId="105" fillId="0" borderId="9" xfId="0" applyFont="1" applyBorder="1" applyAlignment="1">
      <alignment horizontal="justify" vertical="top" wrapText="1"/>
    </xf>
    <xf numFmtId="0" fontId="94" fillId="0" borderId="9" xfId="0" applyFont="1" applyBorder="1" applyAlignment="1">
      <alignment horizontal="justify" vertical="top" wrapText="1"/>
    </xf>
    <xf numFmtId="0" fontId="106" fillId="0" borderId="9" xfId="0" applyFont="1" applyBorder="1" applyAlignment="1">
      <alignment horizontal="justify" vertical="top" wrapText="1"/>
    </xf>
    <xf numFmtId="43" fontId="0" fillId="0" borderId="9" xfId="3" applyFont="1" applyBorder="1" applyAlignment="1">
      <alignment horizontal="justify" vertical="top" wrapText="1"/>
    </xf>
    <xf numFmtId="0" fontId="0" fillId="0" borderId="36" xfId="0" applyBorder="1" applyAlignment="1">
      <alignment horizontal="justify" vertical="top" wrapText="1"/>
    </xf>
    <xf numFmtId="0" fontId="107" fillId="0" borderId="9" xfId="0" applyFont="1" applyBorder="1" applyAlignment="1">
      <alignment horizontal="left" vertical="top" wrapText="1" indent="2"/>
    </xf>
    <xf numFmtId="43" fontId="108" fillId="0" borderId="9" xfId="3" applyFont="1" applyBorder="1" applyAlignment="1">
      <alignment horizontal="justify" vertical="top" wrapText="1"/>
    </xf>
    <xf numFmtId="43" fontId="108" fillId="0" borderId="9" xfId="3" applyFont="1" applyBorder="1"/>
    <xf numFmtId="43" fontId="94" fillId="0" borderId="9" xfId="3" applyFont="1" applyBorder="1" applyAlignment="1">
      <alignment horizontal="justify" vertical="top" wrapText="1"/>
    </xf>
    <xf numFmtId="174" fontId="104" fillId="0" borderId="0" xfId="0" applyNumberFormat="1" applyFont="1"/>
    <xf numFmtId="0" fontId="109" fillId="0" borderId="0" xfId="0" applyFont="1" applyBorder="1" applyProtection="1">
      <protection locked="0"/>
    </xf>
    <xf numFmtId="0" fontId="110" fillId="0" borderId="0" xfId="0" applyFont="1" applyBorder="1" applyProtection="1">
      <protection locked="0"/>
    </xf>
    <xf numFmtId="0" fontId="111" fillId="0" borderId="0" xfId="0" applyFont="1" applyBorder="1" applyProtection="1">
      <protection locked="0"/>
    </xf>
    <xf numFmtId="194" fontId="112" fillId="0" borderId="0" xfId="421" applyNumberFormat="1" applyFont="1" applyBorder="1" applyAlignment="1" applyProtection="1">
      <alignment vertical="center"/>
      <protection locked="0"/>
    </xf>
    <xf numFmtId="2" fontId="113" fillId="0" borderId="0" xfId="421" applyNumberFormat="1" applyFont="1" applyBorder="1" applyAlignment="1" applyProtection="1">
      <alignment horizontal="left" vertical="center"/>
      <protection locked="0"/>
    </xf>
    <xf numFmtId="194" fontId="114" fillId="0" borderId="0" xfId="421" applyNumberFormat="1" applyFont="1" applyBorder="1" applyAlignment="1" applyProtection="1">
      <alignment vertical="center"/>
      <protection locked="0"/>
    </xf>
    <xf numFmtId="194" fontId="114" fillId="0" borderId="0" xfId="421" applyNumberFormat="1" applyFont="1" applyBorder="1" applyAlignment="1" applyProtection="1">
      <alignment horizontal="center" vertical="center"/>
      <protection locked="0"/>
    </xf>
    <xf numFmtId="2" fontId="115" fillId="56" borderId="28" xfId="421" applyNumberFormat="1" applyFont="1" applyFill="1" applyBorder="1" applyAlignment="1" applyProtection="1">
      <alignment horizontal="right" vertical="center" wrapText="1"/>
      <protection locked="0"/>
    </xf>
    <xf numFmtId="2" fontId="115" fillId="56" borderId="33" xfId="421" applyNumberFormat="1" applyFont="1" applyFill="1" applyBorder="1" applyAlignment="1" applyProtection="1">
      <alignment horizontal="right" vertical="center" wrapText="1"/>
      <protection locked="0"/>
    </xf>
    <xf numFmtId="208" fontId="115" fillId="56" borderId="28" xfId="421" applyNumberFormat="1" applyFont="1" applyFill="1" applyBorder="1" applyAlignment="1" applyProtection="1">
      <alignment horizontal="right" vertical="center"/>
      <protection locked="0"/>
    </xf>
    <xf numFmtId="208" fontId="115" fillId="56" borderId="28" xfId="421" applyNumberFormat="1" applyFont="1" applyFill="1" applyBorder="1" applyAlignment="1" applyProtection="1">
      <alignment horizontal="center" vertical="center"/>
      <protection locked="0"/>
    </xf>
    <xf numFmtId="208" fontId="115" fillId="56" borderId="0" xfId="612" applyNumberFormat="1" applyFont="1" applyFill="1" applyBorder="1" applyAlignment="1" applyProtection="1">
      <alignment horizontal="right" vertical="center"/>
      <protection locked="0"/>
    </xf>
    <xf numFmtId="208" fontId="115" fillId="56" borderId="13" xfId="612" applyNumberFormat="1" applyFont="1" applyFill="1" applyBorder="1" applyAlignment="1" applyProtection="1">
      <alignment horizontal="right" vertical="center"/>
      <protection locked="0"/>
    </xf>
    <xf numFmtId="1" fontId="115" fillId="56" borderId="0" xfId="421" applyNumberFormat="1" applyFont="1" applyFill="1" applyBorder="1" applyAlignment="1" applyProtection="1">
      <alignment horizontal="right" vertical="center"/>
      <protection locked="0"/>
    </xf>
    <xf numFmtId="1" fontId="115" fillId="56" borderId="38" xfId="421" applyNumberFormat="1" applyFont="1" applyFill="1" applyBorder="1" applyAlignment="1" applyProtection="1">
      <alignment horizontal="right" vertical="center"/>
      <protection locked="0"/>
    </xf>
    <xf numFmtId="1" fontId="115" fillId="56" borderId="0" xfId="421" applyNumberFormat="1" applyFont="1" applyFill="1" applyBorder="1" applyAlignment="1" applyProtection="1">
      <alignment horizontal="center" vertical="center"/>
      <protection locked="0"/>
    </xf>
    <xf numFmtId="1" fontId="115" fillId="56" borderId="38" xfId="421" applyNumberFormat="1" applyFont="1" applyFill="1" applyBorder="1" applyAlignment="1" applyProtection="1">
      <alignment horizontal="center" vertical="center"/>
      <protection locked="0"/>
    </xf>
    <xf numFmtId="194" fontId="115" fillId="56" borderId="31" xfId="421" applyNumberFormat="1" applyFont="1" applyFill="1" applyBorder="1" applyAlignment="1" applyProtection="1">
      <alignment horizontal="center" vertical="center"/>
      <protection locked="0"/>
    </xf>
    <xf numFmtId="194" fontId="115" fillId="56" borderId="0" xfId="421" applyNumberFormat="1" applyFont="1" applyFill="1" applyBorder="1" applyAlignment="1" applyProtection="1">
      <alignment vertical="center"/>
      <protection locked="0"/>
    </xf>
    <xf numFmtId="194" fontId="115" fillId="56" borderId="13" xfId="421" applyNumberFormat="1" applyFont="1" applyFill="1" applyBorder="1" applyAlignment="1" applyProtection="1">
      <alignment vertical="center"/>
      <protection locked="0"/>
    </xf>
    <xf numFmtId="194" fontId="117" fillId="56" borderId="0" xfId="421" applyNumberFormat="1" applyFont="1" applyFill="1" applyBorder="1" applyAlignment="1" applyProtection="1">
      <alignment horizontal="right" vertical="center"/>
      <protection locked="0"/>
    </xf>
    <xf numFmtId="194" fontId="117" fillId="56" borderId="38" xfId="421" applyNumberFormat="1" applyFont="1" applyFill="1" applyBorder="1" applyAlignment="1" applyProtection="1">
      <alignment horizontal="right" vertical="center"/>
      <protection locked="0"/>
    </xf>
    <xf numFmtId="194" fontId="117" fillId="56" borderId="13" xfId="421" applyNumberFormat="1" applyFont="1" applyFill="1" applyBorder="1" applyAlignment="1" applyProtection="1">
      <alignment horizontal="right" vertical="center"/>
      <protection locked="0"/>
    </xf>
    <xf numFmtId="194" fontId="117" fillId="56" borderId="0" xfId="421" applyNumberFormat="1" applyFont="1" applyFill="1" applyBorder="1" applyAlignment="1" applyProtection="1">
      <alignment horizontal="center" vertical="center"/>
      <protection locked="0"/>
    </xf>
    <xf numFmtId="194" fontId="117" fillId="56" borderId="38" xfId="421" applyNumberFormat="1" applyFont="1" applyFill="1" applyBorder="1" applyAlignment="1" applyProtection="1">
      <alignment horizontal="center" vertical="center"/>
      <protection locked="0"/>
    </xf>
    <xf numFmtId="210" fontId="114" fillId="0" borderId="31" xfId="421" applyNumberFormat="1" applyFont="1" applyFill="1" applyBorder="1" applyAlignment="1" applyProtection="1">
      <alignment horizontal="center" vertical="center"/>
      <protection locked="0"/>
    </xf>
    <xf numFmtId="194" fontId="113" fillId="0" borderId="0" xfId="421" applyNumberFormat="1" applyFont="1" applyFill="1" applyBorder="1" applyAlignment="1" applyProtection="1">
      <alignment vertical="center"/>
      <protection locked="0"/>
    </xf>
    <xf numFmtId="194" fontId="113" fillId="0" borderId="13" xfId="421" applyNumberFormat="1" applyFont="1" applyFill="1" applyBorder="1" applyAlignment="1" applyProtection="1">
      <alignment vertical="center"/>
      <protection locked="0"/>
    </xf>
    <xf numFmtId="173" fontId="114" fillId="57" borderId="0" xfId="613" applyNumberFormat="1" applyFont="1" applyFill="1" applyBorder="1" applyAlignment="1" applyProtection="1">
      <alignment horizontal="right" vertical="center"/>
      <protection locked="0"/>
    </xf>
    <xf numFmtId="173" fontId="114" fillId="57" borderId="38" xfId="613" applyNumberFormat="1" applyFont="1" applyFill="1" applyBorder="1" applyAlignment="1" applyProtection="1">
      <alignment horizontal="right" vertical="center"/>
      <protection locked="0"/>
    </xf>
    <xf numFmtId="173" fontId="114" fillId="0" borderId="0" xfId="613" applyNumberFormat="1" applyFont="1" applyFill="1" applyBorder="1" applyAlignment="1" applyProtection="1">
      <alignment horizontal="right" vertical="center"/>
      <protection locked="0"/>
    </xf>
    <xf numFmtId="173" fontId="114" fillId="0" borderId="13" xfId="613" applyNumberFormat="1" applyFont="1" applyFill="1" applyBorder="1" applyAlignment="1" applyProtection="1">
      <alignment horizontal="right" vertical="center"/>
      <protection locked="0"/>
    </xf>
    <xf numFmtId="0" fontId="118" fillId="0" borderId="0" xfId="0" applyFont="1" applyBorder="1" applyProtection="1">
      <protection locked="0"/>
    </xf>
    <xf numFmtId="0" fontId="110" fillId="0" borderId="0" xfId="0" applyFont="1" applyBorder="1" applyAlignment="1" applyProtection="1">
      <alignment horizontal="left" indent="1"/>
      <protection locked="0"/>
    </xf>
    <xf numFmtId="173" fontId="114" fillId="57" borderId="0" xfId="613" applyNumberFormat="1" applyFont="1" applyFill="1" applyBorder="1" applyAlignment="1" applyProtection="1">
      <alignment horizontal="center" vertical="center"/>
      <protection locked="0"/>
    </xf>
    <xf numFmtId="173" fontId="114" fillId="57" borderId="38" xfId="613" applyNumberFormat="1" applyFont="1" applyFill="1" applyBorder="1" applyAlignment="1" applyProtection="1">
      <alignment horizontal="center" vertical="center"/>
      <protection locked="0"/>
    </xf>
    <xf numFmtId="173" fontId="114" fillId="0" borderId="0" xfId="613" applyNumberFormat="1" applyFont="1" applyFill="1" applyBorder="1" applyAlignment="1" applyProtection="1">
      <alignment horizontal="center" vertical="center"/>
      <protection locked="0"/>
    </xf>
    <xf numFmtId="0" fontId="110" fillId="0" borderId="13" xfId="0" applyFont="1" applyBorder="1" applyProtection="1">
      <protection locked="0"/>
    </xf>
    <xf numFmtId="194" fontId="113" fillId="57" borderId="29" xfId="421" applyNumberFormat="1" applyFont="1" applyFill="1" applyBorder="1" applyAlignment="1" applyProtection="1">
      <alignment horizontal="center" vertical="center"/>
      <protection locked="0"/>
    </xf>
    <xf numFmtId="194" fontId="113" fillId="57" borderId="11" xfId="421" applyNumberFormat="1" applyFont="1" applyFill="1" applyBorder="1" applyAlignment="1" applyProtection="1">
      <alignment vertical="center"/>
      <protection locked="0"/>
    </xf>
    <xf numFmtId="194" fontId="113" fillId="57" borderId="10" xfId="421" applyNumberFormat="1" applyFont="1" applyFill="1" applyBorder="1" applyAlignment="1" applyProtection="1">
      <alignment vertical="center"/>
      <protection locked="0"/>
    </xf>
    <xf numFmtId="3" fontId="114" fillId="57" borderId="11" xfId="421" applyNumberFormat="1" applyFont="1" applyFill="1" applyBorder="1" applyAlignment="1" applyProtection="1">
      <alignment horizontal="right" vertical="center"/>
      <protection locked="0"/>
    </xf>
    <xf numFmtId="3" fontId="114" fillId="57" borderId="39" xfId="421" applyNumberFormat="1" applyFont="1" applyFill="1" applyBorder="1" applyAlignment="1" applyProtection="1">
      <alignment horizontal="right" vertical="center"/>
      <protection locked="0"/>
    </xf>
    <xf numFmtId="3" fontId="114" fillId="57" borderId="10" xfId="421" applyNumberFormat="1" applyFont="1" applyFill="1" applyBorder="1" applyAlignment="1" applyProtection="1">
      <alignment horizontal="right" vertical="center"/>
      <protection locked="0"/>
    </xf>
    <xf numFmtId="4" fontId="114" fillId="57" borderId="0" xfId="421" applyNumberFormat="1" applyFont="1" applyFill="1" applyBorder="1" applyAlignment="1" applyProtection="1">
      <alignment horizontal="right" vertical="center"/>
      <protection locked="0"/>
    </xf>
    <xf numFmtId="4" fontId="114" fillId="57" borderId="38" xfId="421" applyNumberFormat="1" applyFont="1" applyFill="1" applyBorder="1" applyAlignment="1" applyProtection="1">
      <alignment horizontal="right" vertical="center"/>
      <protection locked="0"/>
    </xf>
    <xf numFmtId="4" fontId="114" fillId="0" borderId="0" xfId="421" applyNumberFormat="1" applyFont="1" applyFill="1" applyBorder="1" applyAlignment="1" applyProtection="1">
      <alignment horizontal="right" vertical="center"/>
      <protection locked="0"/>
    </xf>
    <xf numFmtId="4" fontId="114" fillId="0" borderId="13" xfId="421" applyNumberFormat="1" applyFont="1" applyFill="1" applyBorder="1" applyAlignment="1" applyProtection="1">
      <alignment horizontal="right" vertical="center"/>
      <protection locked="0"/>
    </xf>
    <xf numFmtId="0" fontId="110" fillId="0" borderId="0" xfId="0" applyFont="1" applyFill="1" applyBorder="1" applyProtection="1">
      <protection locked="0"/>
    </xf>
    <xf numFmtId="194" fontId="114" fillId="0" borderId="0" xfId="421" applyNumberFormat="1" applyFont="1" applyFill="1" applyBorder="1" applyAlignment="1" applyProtection="1">
      <alignment horizontal="left" vertical="center" indent="1"/>
      <protection locked="0"/>
    </xf>
    <xf numFmtId="194" fontId="114" fillId="0" borderId="13" xfId="421" applyNumberFormat="1" applyFont="1" applyFill="1" applyBorder="1" applyAlignment="1" applyProtection="1">
      <alignment horizontal="left" vertical="center" indent="1"/>
      <protection locked="0"/>
    </xf>
    <xf numFmtId="211" fontId="114" fillId="57" borderId="0" xfId="613" applyNumberFormat="1" applyFont="1" applyFill="1" applyBorder="1" applyAlignment="1" applyProtection="1">
      <alignment horizontal="right" vertical="center"/>
      <protection locked="0"/>
    </xf>
    <xf numFmtId="211" fontId="114" fillId="12" borderId="0" xfId="613" applyNumberFormat="1" applyFont="1" applyFill="1" applyBorder="1" applyAlignment="1" applyProtection="1">
      <alignment horizontal="right" vertical="center"/>
      <protection locked="0"/>
    </xf>
    <xf numFmtId="211" fontId="114" fillId="0" borderId="0" xfId="613" applyNumberFormat="1" applyFont="1" applyFill="1" applyBorder="1" applyAlignment="1" applyProtection="1">
      <alignment horizontal="right" vertical="center"/>
      <protection locked="0"/>
    </xf>
    <xf numFmtId="211" fontId="114" fillId="0" borderId="13" xfId="613" applyNumberFormat="1" applyFont="1" applyFill="1" applyBorder="1" applyAlignment="1" applyProtection="1">
      <alignment horizontal="right" vertical="center"/>
      <protection locked="0"/>
    </xf>
    <xf numFmtId="173" fontId="119" fillId="57" borderId="0" xfId="613" applyNumberFormat="1" applyFont="1" applyFill="1" applyBorder="1" applyAlignment="1" applyProtection="1">
      <alignment horizontal="center" vertical="center"/>
      <protection locked="0"/>
    </xf>
    <xf numFmtId="3" fontId="114" fillId="57" borderId="11" xfId="421" applyNumberFormat="1" applyFont="1" applyFill="1" applyBorder="1" applyAlignment="1" applyProtection="1">
      <alignment vertical="center"/>
      <protection locked="0"/>
    </xf>
    <xf numFmtId="3" fontId="114" fillId="57" borderId="39" xfId="421" applyNumberFormat="1" applyFont="1" applyFill="1" applyBorder="1" applyAlignment="1" applyProtection="1">
      <alignment vertical="center"/>
      <protection locked="0"/>
    </xf>
    <xf numFmtId="4" fontId="119" fillId="57" borderId="0" xfId="421" applyNumberFormat="1" applyFont="1" applyFill="1" applyBorder="1" applyAlignment="1" applyProtection="1">
      <alignment horizontal="center" vertical="center"/>
      <protection locked="0"/>
    </xf>
    <xf numFmtId="4" fontId="114" fillId="57" borderId="38" xfId="421" applyNumberFormat="1" applyFont="1" applyFill="1" applyBorder="1" applyAlignment="1" applyProtection="1">
      <alignment horizontal="center" vertical="center"/>
      <protection locked="0"/>
    </xf>
    <xf numFmtId="4" fontId="114" fillId="0" borderId="0" xfId="421" applyNumberFormat="1" applyFont="1" applyFill="1" applyBorder="1" applyAlignment="1" applyProtection="1">
      <alignment horizontal="center" vertical="center"/>
      <protection locked="0"/>
    </xf>
    <xf numFmtId="211" fontId="117" fillId="57" borderId="0" xfId="613" applyNumberFormat="1" applyFont="1" applyFill="1" applyBorder="1" applyAlignment="1" applyProtection="1">
      <alignment horizontal="center" vertical="center"/>
      <protection locked="0"/>
    </xf>
    <xf numFmtId="174" fontId="117" fillId="57" borderId="38" xfId="613" applyNumberFormat="1" applyFont="1" applyFill="1" applyBorder="1" applyAlignment="1" applyProtection="1">
      <alignment horizontal="center" vertical="center"/>
      <protection locked="0"/>
    </xf>
    <xf numFmtId="175" fontId="114" fillId="0" borderId="0" xfId="613" applyNumberFormat="1" applyFont="1" applyFill="1" applyBorder="1" applyAlignment="1" applyProtection="1">
      <alignment horizontal="center" vertical="center"/>
      <protection locked="0"/>
    </xf>
    <xf numFmtId="211" fontId="110" fillId="57" borderId="0" xfId="0" applyNumberFormat="1" applyFont="1" applyFill="1" applyBorder="1" applyAlignment="1" applyProtection="1">
      <alignment horizontal="right"/>
      <protection locked="0"/>
    </xf>
    <xf numFmtId="211" fontId="110" fillId="12" borderId="0" xfId="0" applyNumberFormat="1" applyFont="1" applyFill="1" applyBorder="1" applyAlignment="1" applyProtection="1">
      <alignment horizontal="right"/>
      <protection locked="0"/>
    </xf>
    <xf numFmtId="173" fontId="110" fillId="57" borderId="38" xfId="0" applyNumberFormat="1" applyFont="1" applyFill="1" applyBorder="1" applyAlignment="1" applyProtection="1">
      <alignment horizontal="right"/>
      <protection locked="0"/>
    </xf>
    <xf numFmtId="211" fontId="110" fillId="0" borderId="0" xfId="0" applyNumberFormat="1" applyFont="1" applyFill="1" applyBorder="1" applyAlignment="1" applyProtection="1">
      <alignment horizontal="right"/>
      <protection locked="0"/>
    </xf>
    <xf numFmtId="211" fontId="110" fillId="0" borderId="0" xfId="0" applyNumberFormat="1" applyFont="1" applyBorder="1" applyAlignment="1" applyProtection="1">
      <alignment horizontal="right"/>
      <protection locked="0"/>
    </xf>
    <xf numFmtId="211" fontId="110" fillId="0" borderId="13" xfId="0" applyNumberFormat="1" applyFont="1" applyBorder="1" applyAlignment="1" applyProtection="1">
      <alignment horizontal="right"/>
      <protection locked="0"/>
    </xf>
    <xf numFmtId="168" fontId="114" fillId="0" borderId="0" xfId="613" applyNumberFormat="1" applyFont="1" applyFill="1" applyBorder="1" applyAlignment="1" applyProtection="1">
      <alignment horizontal="center" vertical="center"/>
      <protection locked="0"/>
    </xf>
    <xf numFmtId="0" fontId="110" fillId="0" borderId="31" xfId="0" applyFont="1" applyBorder="1" applyProtection="1">
      <protection locked="0"/>
    </xf>
    <xf numFmtId="0" fontId="110" fillId="57" borderId="0" xfId="0" applyFont="1" applyFill="1" applyBorder="1" applyAlignment="1" applyProtection="1">
      <alignment horizontal="right"/>
      <protection locked="0"/>
    </xf>
    <xf numFmtId="43" fontId="110" fillId="57" borderId="38" xfId="0" applyNumberFormat="1" applyFont="1" applyFill="1" applyBorder="1" applyAlignment="1" applyProtection="1">
      <alignment horizontal="right"/>
      <protection locked="0"/>
    </xf>
    <xf numFmtId="0" fontId="110" fillId="0" borderId="0" xfId="0" applyFont="1" applyBorder="1" applyAlignment="1" applyProtection="1">
      <alignment horizontal="right"/>
      <protection locked="0"/>
    </xf>
    <xf numFmtId="0" fontId="110" fillId="0" borderId="0" xfId="0" applyFont="1" applyFill="1" applyBorder="1" applyAlignment="1" applyProtection="1">
      <alignment horizontal="right"/>
      <protection locked="0"/>
    </xf>
    <xf numFmtId="0" fontId="110" fillId="0" borderId="13" xfId="0" applyFont="1" applyBorder="1" applyAlignment="1" applyProtection="1">
      <alignment horizontal="right"/>
      <protection locked="0"/>
    </xf>
    <xf numFmtId="174" fontId="114" fillId="0" borderId="0" xfId="613" applyNumberFormat="1" applyFont="1" applyFill="1" applyBorder="1" applyAlignment="1" applyProtection="1">
      <alignment horizontal="center" vertical="center"/>
      <protection locked="0"/>
    </xf>
    <xf numFmtId="174" fontId="114" fillId="3" borderId="0" xfId="613" applyNumberFormat="1" applyFont="1" applyFill="1" applyBorder="1" applyAlignment="1" applyProtection="1">
      <alignment horizontal="center" vertical="center"/>
      <protection locked="0"/>
    </xf>
    <xf numFmtId="174" fontId="114" fillId="3" borderId="0" xfId="613" applyNumberFormat="1" applyFont="1" applyFill="1" applyBorder="1" applyAlignment="1" applyProtection="1">
      <alignment horizontal="right" vertical="center"/>
      <protection locked="0"/>
    </xf>
    <xf numFmtId="3" fontId="120" fillId="57" borderId="11" xfId="421" applyNumberFormat="1" applyFont="1" applyFill="1" applyBorder="1" applyAlignment="1" applyProtection="1">
      <alignment horizontal="right" vertical="center"/>
      <protection locked="0"/>
    </xf>
    <xf numFmtId="168" fontId="114" fillId="0" borderId="0" xfId="613" applyNumberFormat="1" applyFont="1" applyFill="1" applyBorder="1" applyAlignment="1" applyProtection="1">
      <alignment horizontal="right" vertical="center"/>
      <protection locked="0"/>
    </xf>
    <xf numFmtId="0" fontId="111" fillId="0" borderId="0" xfId="0" applyFont="1" applyBorder="1" applyAlignment="1" applyProtection="1">
      <alignment horizontal="left" indent="1"/>
      <protection locked="0"/>
    </xf>
    <xf numFmtId="194" fontId="111" fillId="0" borderId="0" xfId="0" applyNumberFormat="1" applyFont="1" applyBorder="1" applyProtection="1">
      <protection locked="0"/>
    </xf>
    <xf numFmtId="175" fontId="114" fillId="0" borderId="0" xfId="613" applyNumberFormat="1" applyFont="1" applyFill="1" applyBorder="1" applyAlignment="1" applyProtection="1">
      <alignment horizontal="right" vertical="center"/>
      <protection locked="0"/>
    </xf>
    <xf numFmtId="210" fontId="113" fillId="57" borderId="29" xfId="421" applyNumberFormat="1" applyFont="1" applyFill="1" applyBorder="1" applyAlignment="1" applyProtection="1">
      <alignment horizontal="center" vertical="center"/>
      <protection locked="0"/>
    </xf>
    <xf numFmtId="4" fontId="120" fillId="57" borderId="11" xfId="421" applyNumberFormat="1" applyFont="1" applyFill="1" applyBorder="1" applyAlignment="1" applyProtection="1">
      <alignment horizontal="right" vertical="center"/>
      <protection locked="0"/>
    </xf>
    <xf numFmtId="4" fontId="114" fillId="57" borderId="39" xfId="421" applyNumberFormat="1" applyFont="1" applyFill="1" applyBorder="1" applyAlignment="1" applyProtection="1">
      <alignment horizontal="right" vertical="center"/>
      <protection locked="0"/>
    </xf>
    <xf numFmtId="4" fontId="114" fillId="57" borderId="11" xfId="421" applyNumberFormat="1" applyFont="1" applyFill="1" applyBorder="1" applyAlignment="1" applyProtection="1">
      <alignment horizontal="right" vertical="center"/>
      <protection locked="0"/>
    </xf>
    <xf numFmtId="4" fontId="114" fillId="57" borderId="10" xfId="421" applyNumberFormat="1" applyFont="1" applyFill="1" applyBorder="1" applyAlignment="1" applyProtection="1">
      <alignment horizontal="right" vertical="center"/>
      <protection locked="0"/>
    </xf>
    <xf numFmtId="194" fontId="114" fillId="0" borderId="0" xfId="421" applyNumberFormat="1" applyFont="1" applyFill="1" applyBorder="1" applyAlignment="1" applyProtection="1">
      <alignment vertical="center"/>
      <protection locked="0"/>
    </xf>
    <xf numFmtId="194" fontId="114" fillId="0" borderId="13" xfId="421" applyNumberFormat="1" applyFont="1" applyFill="1" applyBorder="1" applyAlignment="1" applyProtection="1">
      <alignment vertical="center"/>
      <protection locked="0"/>
    </xf>
    <xf numFmtId="9" fontId="119" fillId="57" borderId="0" xfId="501" applyNumberFormat="1" applyFont="1" applyFill="1" applyBorder="1" applyAlignment="1" applyProtection="1">
      <alignment horizontal="right" vertical="center"/>
      <protection locked="0"/>
    </xf>
    <xf numFmtId="9" fontId="119" fillId="57" borderId="38" xfId="501" applyNumberFormat="1" applyFont="1" applyFill="1" applyBorder="1" applyAlignment="1" applyProtection="1">
      <alignment horizontal="right" vertical="center"/>
      <protection locked="0"/>
    </xf>
    <xf numFmtId="9" fontId="114" fillId="57" borderId="0" xfId="501" applyNumberFormat="1" applyFont="1" applyFill="1" applyBorder="1" applyAlignment="1" applyProtection="1">
      <alignment horizontal="right" vertical="center"/>
      <protection locked="0"/>
    </xf>
    <xf numFmtId="9" fontId="114" fillId="0" borderId="0" xfId="501" applyNumberFormat="1" applyFont="1" applyFill="1" applyBorder="1" applyAlignment="1" applyProtection="1">
      <alignment horizontal="right" vertical="center"/>
      <protection locked="0"/>
    </xf>
    <xf numFmtId="9" fontId="114" fillId="0" borderId="13" xfId="501" applyNumberFormat="1" applyFont="1" applyFill="1" applyBorder="1" applyAlignment="1" applyProtection="1">
      <alignment horizontal="right" vertical="center"/>
      <protection locked="0"/>
    </xf>
    <xf numFmtId="174" fontId="114" fillId="0" borderId="0" xfId="613" applyNumberFormat="1" applyFont="1" applyFill="1" applyBorder="1" applyAlignment="1" applyProtection="1">
      <alignment horizontal="right" vertical="center"/>
      <protection locked="0"/>
    </xf>
    <xf numFmtId="194" fontId="110" fillId="0" borderId="0" xfId="0" applyNumberFormat="1" applyFont="1" applyBorder="1" applyProtection="1">
      <protection locked="0"/>
    </xf>
    <xf numFmtId="9" fontId="119" fillId="57" borderId="0" xfId="0" applyNumberFormat="1" applyFont="1" applyFill="1" applyBorder="1" applyAlignment="1" applyProtection="1">
      <alignment horizontal="right"/>
      <protection locked="0"/>
    </xf>
    <xf numFmtId="194" fontId="121" fillId="0" borderId="0" xfId="421" applyNumberFormat="1" applyFont="1" applyFill="1" applyBorder="1" applyAlignment="1" applyProtection="1">
      <alignment vertical="center"/>
      <protection locked="0"/>
    </xf>
    <xf numFmtId="194" fontId="121" fillId="0" borderId="13" xfId="421" applyNumberFormat="1" applyFont="1" applyFill="1" applyBorder="1" applyAlignment="1" applyProtection="1">
      <alignment vertical="center"/>
      <protection locked="0"/>
    </xf>
    <xf numFmtId="3" fontId="114" fillId="57" borderId="0" xfId="421" applyNumberFormat="1" applyFont="1" applyFill="1" applyBorder="1" applyAlignment="1" applyProtection="1">
      <alignment horizontal="right" vertical="center"/>
      <protection locked="0"/>
    </xf>
    <xf numFmtId="3" fontId="114" fillId="57" borderId="38" xfId="421" applyNumberFormat="1" applyFont="1" applyFill="1" applyBorder="1" applyAlignment="1" applyProtection="1">
      <alignment horizontal="right" vertical="center"/>
      <protection locked="0"/>
    </xf>
    <xf numFmtId="3" fontId="114" fillId="0" borderId="0" xfId="421" applyNumberFormat="1" applyFont="1" applyFill="1" applyBorder="1" applyAlignment="1" applyProtection="1">
      <alignment horizontal="right" vertical="center"/>
      <protection locked="0"/>
    </xf>
    <xf numFmtId="3" fontId="114" fillId="0" borderId="13" xfId="421" applyNumberFormat="1" applyFont="1" applyFill="1" applyBorder="1" applyAlignment="1" applyProtection="1">
      <alignment horizontal="right" vertical="center"/>
      <protection locked="0"/>
    </xf>
    <xf numFmtId="173" fontId="117" fillId="57" borderId="0" xfId="613" applyNumberFormat="1" applyFont="1" applyFill="1" applyBorder="1" applyAlignment="1" applyProtection="1">
      <alignment horizontal="center" vertical="center"/>
      <protection locked="0"/>
    </xf>
    <xf numFmtId="173" fontId="122" fillId="57" borderId="0" xfId="613" applyNumberFormat="1" applyFont="1" applyFill="1" applyBorder="1" applyAlignment="1" applyProtection="1">
      <alignment horizontal="right" vertical="center"/>
      <protection locked="0"/>
    </xf>
    <xf numFmtId="173" fontId="122" fillId="57" borderId="38" xfId="613" applyNumberFormat="1" applyFont="1" applyFill="1" applyBorder="1" applyAlignment="1" applyProtection="1">
      <alignment horizontal="right" vertical="center"/>
      <protection locked="0"/>
    </xf>
    <xf numFmtId="173" fontId="114" fillId="15" borderId="0" xfId="613" applyNumberFormat="1" applyFont="1" applyFill="1" applyBorder="1" applyAlignment="1" applyProtection="1">
      <alignment horizontal="right" vertical="center"/>
      <protection locked="0"/>
    </xf>
    <xf numFmtId="173" fontId="114" fillId="58" borderId="13" xfId="613" applyNumberFormat="1" applyFont="1" applyFill="1" applyBorder="1" applyAlignment="1" applyProtection="1">
      <alignment horizontal="right" vertical="center"/>
      <protection locked="0"/>
    </xf>
    <xf numFmtId="173" fontId="114" fillId="0" borderId="38" xfId="613" applyNumberFormat="1" applyFont="1" applyFill="1" applyBorder="1" applyAlignment="1" applyProtection="1">
      <alignment horizontal="center" vertical="center"/>
      <protection locked="0"/>
    </xf>
    <xf numFmtId="173" fontId="114" fillId="3" borderId="0" xfId="613" applyNumberFormat="1" applyFont="1" applyFill="1" applyBorder="1" applyAlignment="1" applyProtection="1">
      <alignment horizontal="center" vertical="center"/>
      <protection locked="0"/>
    </xf>
    <xf numFmtId="211" fontId="122" fillId="57" borderId="0" xfId="613" applyNumberFormat="1" applyFont="1" applyFill="1" applyBorder="1" applyAlignment="1" applyProtection="1">
      <alignment horizontal="right" vertical="center"/>
      <protection locked="0"/>
    </xf>
    <xf numFmtId="0" fontId="110" fillId="57" borderId="38" xfId="0" applyFont="1" applyFill="1" applyBorder="1" applyAlignment="1" applyProtection="1">
      <alignment horizontal="right"/>
      <protection locked="0"/>
    </xf>
    <xf numFmtId="173" fontId="120" fillId="57" borderId="11" xfId="613" applyNumberFormat="1" applyFont="1" applyFill="1" applyBorder="1" applyAlignment="1" applyProtection="1">
      <alignment horizontal="right" vertical="center"/>
      <protection locked="0"/>
    </xf>
    <xf numFmtId="173" fontId="114" fillId="57" borderId="39" xfId="613" applyNumberFormat="1" applyFont="1" applyFill="1" applyBorder="1" applyAlignment="1" applyProtection="1">
      <alignment horizontal="right" vertical="center"/>
      <protection locked="0"/>
    </xf>
    <xf numFmtId="173" fontId="114" fillId="57" borderId="11" xfId="613" applyNumberFormat="1" applyFont="1" applyFill="1" applyBorder="1" applyAlignment="1" applyProtection="1">
      <alignment horizontal="right" vertical="center"/>
      <protection locked="0"/>
    </xf>
    <xf numFmtId="173" fontId="114" fillId="57" borderId="10" xfId="613" applyNumberFormat="1" applyFont="1" applyFill="1" applyBorder="1" applyAlignment="1" applyProtection="1">
      <alignment horizontal="right" vertical="center"/>
      <protection locked="0"/>
    </xf>
    <xf numFmtId="210" fontId="114" fillId="0" borderId="29" xfId="421" applyNumberFormat="1" applyFont="1" applyFill="1" applyBorder="1" applyAlignment="1" applyProtection="1">
      <alignment horizontal="center" vertical="center"/>
      <protection locked="0"/>
    </xf>
    <xf numFmtId="194" fontId="121" fillId="0" borderId="11" xfId="421" applyNumberFormat="1" applyFont="1" applyFill="1" applyBorder="1" applyAlignment="1" applyProtection="1">
      <alignment vertical="center"/>
      <protection locked="0"/>
    </xf>
    <xf numFmtId="194" fontId="121" fillId="0" borderId="10" xfId="421" applyNumberFormat="1" applyFont="1" applyFill="1" applyBorder="1" applyAlignment="1" applyProtection="1">
      <alignment vertical="center"/>
      <protection locked="0"/>
    </xf>
    <xf numFmtId="173" fontId="122" fillId="57" borderId="11" xfId="613" applyNumberFormat="1" applyFont="1" applyFill="1" applyBorder="1" applyAlignment="1" applyProtection="1">
      <alignment horizontal="right" vertical="center"/>
      <protection locked="0"/>
    </xf>
    <xf numFmtId="173" fontId="122" fillId="57" borderId="39" xfId="613" applyNumberFormat="1" applyFont="1" applyFill="1" applyBorder="1" applyAlignment="1" applyProtection="1">
      <alignment horizontal="right" vertical="center"/>
      <protection locked="0"/>
    </xf>
    <xf numFmtId="173" fontId="114" fillId="0" borderId="11" xfId="613" applyNumberFormat="1" applyFont="1" applyFill="1" applyBorder="1" applyAlignment="1" applyProtection="1">
      <alignment horizontal="right" vertical="center"/>
      <protection locked="0"/>
    </xf>
    <xf numFmtId="173" fontId="114" fillId="0" borderId="10" xfId="613" applyNumberFormat="1" applyFont="1" applyFill="1" applyBorder="1" applyAlignment="1" applyProtection="1">
      <alignment horizontal="right" vertical="center"/>
      <protection locked="0"/>
    </xf>
    <xf numFmtId="194" fontId="114" fillId="0" borderId="31" xfId="421" applyNumberFormat="1" applyFont="1" applyBorder="1" applyAlignment="1" applyProtection="1">
      <alignment horizontal="center" vertical="center"/>
      <protection locked="0"/>
    </xf>
    <xf numFmtId="194" fontId="114" fillId="0" borderId="13" xfId="421" applyNumberFormat="1" applyFont="1" applyBorder="1" applyAlignment="1" applyProtection="1">
      <alignment vertical="center"/>
      <protection locked="0"/>
    </xf>
    <xf numFmtId="173" fontId="114" fillId="0" borderId="0" xfId="613" applyNumberFormat="1" applyFont="1" applyBorder="1" applyAlignment="1" applyProtection="1">
      <alignment horizontal="center" vertical="center"/>
      <protection locked="0"/>
    </xf>
    <xf numFmtId="173" fontId="114" fillId="0" borderId="38" xfId="613" applyNumberFormat="1" applyFont="1" applyBorder="1" applyAlignment="1" applyProtection="1">
      <alignment horizontal="center" vertical="center"/>
      <protection locked="0"/>
    </xf>
    <xf numFmtId="173" fontId="110" fillId="57" borderId="0" xfId="0" applyNumberFormat="1" applyFont="1" applyFill="1" applyBorder="1" applyProtection="1">
      <protection locked="0"/>
    </xf>
    <xf numFmtId="173" fontId="110" fillId="0" borderId="0" xfId="0" applyNumberFormat="1" applyFont="1" applyBorder="1" applyProtection="1">
      <protection locked="0"/>
    </xf>
    <xf numFmtId="173" fontId="110" fillId="0" borderId="13" xfId="0" applyNumberFormat="1" applyFont="1" applyBorder="1" applyProtection="1">
      <protection locked="0"/>
    </xf>
    <xf numFmtId="171" fontId="110" fillId="0" borderId="0" xfId="1" applyNumberFormat="1" applyFont="1" applyFill="1" applyBorder="1" applyProtection="1">
      <protection locked="0"/>
    </xf>
    <xf numFmtId="1" fontId="115" fillId="0" borderId="0" xfId="421" applyNumberFormat="1" applyFont="1" applyFill="1" applyBorder="1" applyAlignment="1" applyProtection="1">
      <alignment horizontal="left" vertical="center"/>
      <protection locked="0"/>
    </xf>
    <xf numFmtId="1" fontId="115" fillId="0" borderId="0" xfId="421" applyNumberFormat="1" applyFont="1" applyFill="1" applyBorder="1" applyAlignment="1" applyProtection="1">
      <alignment horizontal="center" vertical="center"/>
      <protection locked="0"/>
    </xf>
    <xf numFmtId="1" fontId="115" fillId="0" borderId="0" xfId="0" applyNumberFormat="1" applyFont="1" applyFill="1" applyBorder="1" applyAlignment="1" applyProtection="1">
      <protection locked="0"/>
    </xf>
    <xf numFmtId="173" fontId="120" fillId="57" borderId="0" xfId="613" applyNumberFormat="1" applyFont="1" applyFill="1" applyBorder="1" applyAlignment="1" applyProtection="1">
      <alignment horizontal="center" vertical="center"/>
      <protection locked="0"/>
    </xf>
    <xf numFmtId="2" fontId="110" fillId="0" borderId="0" xfId="0" applyNumberFormat="1" applyFont="1" applyFill="1" applyBorder="1" applyProtection="1">
      <protection locked="0"/>
    </xf>
    <xf numFmtId="0" fontId="114" fillId="0" borderId="0" xfId="0" applyFont="1" applyFill="1" applyBorder="1" applyAlignment="1" applyProtection="1">
      <protection locked="0"/>
    </xf>
    <xf numFmtId="173" fontId="110" fillId="0" borderId="0" xfId="0" applyNumberFormat="1" applyFont="1" applyFill="1" applyBorder="1" applyProtection="1">
      <protection locked="0"/>
    </xf>
    <xf numFmtId="173" fontId="110" fillId="0" borderId="0" xfId="613" applyNumberFormat="1" applyFont="1" applyFill="1" applyBorder="1" applyProtection="1">
      <protection locked="0"/>
    </xf>
    <xf numFmtId="173" fontId="114" fillId="0" borderId="0" xfId="613" applyNumberFormat="1" applyFont="1" applyFill="1" applyBorder="1" applyAlignment="1" applyProtection="1">
      <protection locked="0"/>
    </xf>
    <xf numFmtId="3" fontId="120" fillId="57" borderId="11" xfId="421" applyNumberFormat="1" applyFont="1" applyFill="1" applyBorder="1" applyAlignment="1" applyProtection="1">
      <alignment vertical="center"/>
      <protection locked="0"/>
    </xf>
    <xf numFmtId="194" fontId="113" fillId="57" borderId="31" xfId="421" applyNumberFormat="1" applyFont="1" applyFill="1" applyBorder="1" applyAlignment="1" applyProtection="1">
      <alignment horizontal="center" vertical="center"/>
      <protection locked="0"/>
    </xf>
    <xf numFmtId="194" fontId="113" fillId="57" borderId="0" xfId="421" applyNumberFormat="1" applyFont="1" applyFill="1" applyBorder="1" applyAlignment="1" applyProtection="1">
      <alignment vertical="center"/>
      <protection locked="0"/>
    </xf>
    <xf numFmtId="194" fontId="113" fillId="57" borderId="13" xfId="421" applyNumberFormat="1" applyFont="1" applyFill="1" applyBorder="1" applyAlignment="1" applyProtection="1">
      <alignment vertical="center"/>
      <protection locked="0"/>
    </xf>
    <xf numFmtId="3" fontId="120" fillId="57" borderId="0" xfId="421" applyNumberFormat="1" applyFont="1" applyFill="1" applyBorder="1" applyAlignment="1" applyProtection="1">
      <alignment vertical="center"/>
      <protection locked="0"/>
    </xf>
    <xf numFmtId="3" fontId="114" fillId="57" borderId="38" xfId="421" applyNumberFormat="1" applyFont="1" applyFill="1" applyBorder="1" applyAlignment="1" applyProtection="1">
      <alignment vertical="center"/>
      <protection locked="0"/>
    </xf>
    <xf numFmtId="3" fontId="114" fillId="57" borderId="0" xfId="421" applyNumberFormat="1" applyFont="1" applyFill="1" applyBorder="1" applyAlignment="1" applyProtection="1">
      <alignment vertical="center"/>
      <protection locked="0"/>
    </xf>
    <xf numFmtId="41" fontId="114" fillId="57" borderId="0" xfId="613" applyNumberFormat="1" applyFont="1" applyFill="1" applyBorder="1" applyAlignment="1" applyProtection="1">
      <alignment horizontal="center" vertical="center"/>
      <protection locked="0"/>
    </xf>
    <xf numFmtId="41" fontId="114" fillId="57" borderId="38" xfId="613" applyNumberFormat="1" applyFont="1" applyFill="1" applyBorder="1" applyAlignment="1" applyProtection="1">
      <alignment horizontal="center" vertical="center"/>
      <protection locked="0"/>
    </xf>
    <xf numFmtId="41" fontId="114" fillId="3" borderId="0" xfId="613" applyNumberFormat="1" applyFont="1" applyFill="1" applyBorder="1" applyAlignment="1" applyProtection="1">
      <alignment horizontal="center" vertical="center"/>
      <protection locked="0"/>
    </xf>
    <xf numFmtId="41" fontId="114" fillId="0" borderId="0" xfId="613" applyNumberFormat="1" applyFont="1" applyFill="1" applyBorder="1" applyAlignment="1" applyProtection="1">
      <alignment horizontal="right" vertical="center"/>
      <protection locked="0"/>
    </xf>
    <xf numFmtId="170" fontId="110" fillId="0" borderId="0" xfId="0" applyNumberFormat="1" applyFont="1" applyFill="1" applyBorder="1" applyProtection="1">
      <protection locked="0"/>
    </xf>
    <xf numFmtId="212" fontId="114" fillId="57" borderId="38" xfId="613" applyNumberFormat="1" applyFont="1" applyFill="1" applyBorder="1" applyAlignment="1" applyProtection="1">
      <alignment horizontal="center" vertical="center"/>
      <protection locked="0"/>
    </xf>
    <xf numFmtId="0" fontId="110" fillId="0" borderId="0" xfId="0" applyFont="1" applyProtection="1">
      <protection locked="0"/>
    </xf>
    <xf numFmtId="211" fontId="110" fillId="0" borderId="0" xfId="613" applyNumberFormat="1" applyFont="1" applyFill="1" applyBorder="1" applyProtection="1">
      <protection locked="0"/>
    </xf>
    <xf numFmtId="211" fontId="110" fillId="0" borderId="0" xfId="0" applyNumberFormat="1" applyFont="1" applyFill="1" applyBorder="1" applyProtection="1">
      <protection locked="0"/>
    </xf>
    <xf numFmtId="173" fontId="122" fillId="0" borderId="0" xfId="613" applyNumberFormat="1" applyFont="1" applyFill="1" applyBorder="1" applyProtection="1">
      <protection locked="0"/>
    </xf>
    <xf numFmtId="4" fontId="120" fillId="57" borderId="11" xfId="421" applyNumberFormat="1" applyFont="1" applyFill="1" applyBorder="1" applyAlignment="1" applyProtection="1">
      <alignment horizontal="center" vertical="center"/>
      <protection locked="0"/>
    </xf>
    <xf numFmtId="4" fontId="114" fillId="57" borderId="39" xfId="421" applyNumberFormat="1" applyFont="1" applyFill="1" applyBorder="1" applyAlignment="1" applyProtection="1">
      <alignment horizontal="center" vertical="center"/>
      <protection locked="0"/>
    </xf>
    <xf numFmtId="4" fontId="114" fillId="57" borderId="11" xfId="421" applyNumberFormat="1" applyFont="1" applyFill="1" applyBorder="1" applyAlignment="1" applyProtection="1">
      <alignment horizontal="center" vertical="center"/>
      <protection locked="0"/>
    </xf>
    <xf numFmtId="171" fontId="123" fillId="57" borderId="0" xfId="501" applyNumberFormat="1" applyFont="1" applyFill="1" applyBorder="1" applyAlignment="1" applyProtection="1">
      <alignment horizontal="right" vertical="center"/>
      <protection locked="0"/>
    </xf>
    <xf numFmtId="171" fontId="110" fillId="57" borderId="38" xfId="501" applyNumberFormat="1" applyFont="1" applyFill="1" applyBorder="1" applyAlignment="1" applyProtection="1">
      <alignment horizontal="right" vertical="center"/>
      <protection locked="0"/>
    </xf>
    <xf numFmtId="171" fontId="110" fillId="0" borderId="0" xfId="501" applyNumberFormat="1" applyFont="1" applyFill="1" applyBorder="1" applyAlignment="1" applyProtection="1">
      <alignment horizontal="right" vertical="center"/>
      <protection locked="0"/>
    </xf>
    <xf numFmtId="9" fontId="110" fillId="0" borderId="0" xfId="501" applyNumberFormat="1" applyFont="1" applyFill="1" applyBorder="1" applyAlignment="1" applyProtection="1">
      <alignment horizontal="right" vertical="center"/>
      <protection locked="0"/>
    </xf>
    <xf numFmtId="174" fontId="110" fillId="0" borderId="0" xfId="613" applyNumberFormat="1" applyFont="1" applyFill="1" applyBorder="1" applyProtection="1">
      <protection locked="0"/>
    </xf>
    <xf numFmtId="211" fontId="110" fillId="0" borderId="0" xfId="276" applyNumberFormat="1" applyFont="1" applyFill="1" applyBorder="1" applyProtection="1">
      <protection locked="0"/>
    </xf>
    <xf numFmtId="173" fontId="110" fillId="0" borderId="0" xfId="276" applyNumberFormat="1" applyFont="1" applyFill="1" applyBorder="1" applyProtection="1">
      <protection locked="0"/>
    </xf>
    <xf numFmtId="174" fontId="110" fillId="0" borderId="0" xfId="276" applyNumberFormat="1" applyFont="1" applyFill="1" applyBorder="1" applyProtection="1">
      <protection locked="0"/>
    </xf>
    <xf numFmtId="173" fontId="110" fillId="0" borderId="0" xfId="276" applyNumberFormat="1" applyFont="1" applyFill="1" applyBorder="1" applyAlignment="1" applyProtection="1">
      <alignment horizontal="right"/>
      <protection locked="0"/>
    </xf>
    <xf numFmtId="0" fontId="111" fillId="0" borderId="0" xfId="0" applyFont="1" applyFill="1" applyBorder="1" applyProtection="1">
      <protection locked="0"/>
    </xf>
    <xf numFmtId="211" fontId="111" fillId="0" borderId="0" xfId="276" applyNumberFormat="1" applyFont="1" applyFill="1" applyBorder="1" applyProtection="1">
      <protection locked="0"/>
    </xf>
    <xf numFmtId="173" fontId="111" fillId="0" borderId="0" xfId="276" applyNumberFormat="1" applyFont="1" applyFill="1" applyBorder="1" applyProtection="1">
      <protection locked="0"/>
    </xf>
    <xf numFmtId="173" fontId="113" fillId="0" borderId="0" xfId="276" applyNumberFormat="1" applyFont="1" applyFill="1" applyBorder="1" applyProtection="1">
      <protection locked="0"/>
    </xf>
    <xf numFmtId="0" fontId="124" fillId="0" borderId="0" xfId="0" applyFont="1" applyFill="1" applyBorder="1" applyProtection="1">
      <protection locked="0"/>
    </xf>
    <xf numFmtId="173" fontId="114" fillId="0" borderId="0" xfId="613" applyNumberFormat="1" applyFont="1" applyFill="1" applyBorder="1" applyProtection="1">
      <protection locked="0"/>
    </xf>
    <xf numFmtId="171" fontId="110" fillId="0" borderId="13" xfId="501" applyNumberFormat="1" applyFont="1" applyFill="1" applyBorder="1" applyAlignment="1" applyProtection="1">
      <alignment horizontal="right" vertical="center"/>
      <protection locked="0"/>
    </xf>
    <xf numFmtId="173" fontId="110" fillId="0" borderId="0" xfId="0" applyNumberFormat="1" applyFont="1" applyBorder="1" applyAlignment="1" applyProtection="1">
      <alignment horizontal="right"/>
      <protection locked="0"/>
    </xf>
    <xf numFmtId="10" fontId="120" fillId="57" borderId="0" xfId="501" applyNumberFormat="1" applyFont="1" applyFill="1" applyBorder="1" applyAlignment="1" applyProtection="1">
      <alignment horizontal="right" vertical="center"/>
      <protection locked="0"/>
    </xf>
    <xf numFmtId="10" fontId="114" fillId="57" borderId="38" xfId="501" applyNumberFormat="1" applyFont="1" applyFill="1" applyBorder="1" applyAlignment="1" applyProtection="1">
      <alignment horizontal="right" vertical="center"/>
      <protection locked="0"/>
    </xf>
    <xf numFmtId="10" fontId="114" fillId="0" borderId="0" xfId="501" applyNumberFormat="1" applyFont="1" applyFill="1" applyBorder="1" applyAlignment="1" applyProtection="1">
      <alignment horizontal="right" vertical="center"/>
      <protection locked="0"/>
    </xf>
    <xf numFmtId="10" fontId="114" fillId="0" borderId="13" xfId="501" applyNumberFormat="1" applyFont="1" applyFill="1" applyBorder="1" applyAlignment="1" applyProtection="1">
      <alignment horizontal="right" vertical="center"/>
      <protection locked="0"/>
    </xf>
    <xf numFmtId="174" fontId="114" fillId="0" borderId="0" xfId="613" applyNumberFormat="1" applyFont="1" applyFill="1" applyBorder="1" applyProtection="1">
      <protection locked="0"/>
    </xf>
    <xf numFmtId="4" fontId="114" fillId="57" borderId="10" xfId="421" applyNumberFormat="1" applyFont="1" applyFill="1" applyBorder="1" applyAlignment="1" applyProtection="1">
      <alignment horizontal="center" vertical="center"/>
      <protection locked="0"/>
    </xf>
    <xf numFmtId="211" fontId="111" fillId="0" borderId="0" xfId="613" applyNumberFormat="1" applyFont="1" applyFill="1" applyBorder="1" applyProtection="1">
      <protection locked="0"/>
    </xf>
    <xf numFmtId="173" fontId="111" fillId="0" borderId="0" xfId="613" applyNumberFormat="1" applyFont="1" applyFill="1" applyBorder="1" applyProtection="1">
      <protection locked="0"/>
    </xf>
    <xf numFmtId="173" fontId="113" fillId="0" borderId="0" xfId="613" applyNumberFormat="1" applyFont="1" applyFill="1" applyBorder="1" applyProtection="1">
      <protection locked="0"/>
    </xf>
    <xf numFmtId="0" fontId="115" fillId="0" borderId="0" xfId="0" applyFont="1" applyFill="1" applyBorder="1" applyProtection="1">
      <protection locked="0"/>
    </xf>
    <xf numFmtId="174" fontId="113" fillId="0" borderId="0" xfId="0" applyNumberFormat="1" applyFont="1" applyFill="1" applyBorder="1" applyProtection="1">
      <protection locked="0"/>
    </xf>
    <xf numFmtId="1" fontId="113" fillId="0" borderId="0" xfId="0" applyNumberFormat="1" applyFont="1" applyFill="1" applyBorder="1" applyAlignment="1" applyProtection="1">
      <protection locked="0"/>
    </xf>
    <xf numFmtId="0" fontId="125" fillId="0" borderId="0" xfId="0" applyFont="1" applyFill="1" applyBorder="1" applyProtection="1">
      <protection locked="0"/>
    </xf>
    <xf numFmtId="173" fontId="114" fillId="3" borderId="0" xfId="613" applyNumberFormat="1" applyFont="1" applyFill="1" applyBorder="1" applyAlignment="1" applyProtection="1">
      <alignment horizontal="right" vertical="center"/>
      <protection locked="0"/>
    </xf>
    <xf numFmtId="208" fontId="114" fillId="0" borderId="0" xfId="0" applyNumberFormat="1" applyFont="1" applyFill="1" applyBorder="1" applyAlignment="1" applyProtection="1">
      <alignment vertical="center"/>
      <protection locked="0"/>
    </xf>
    <xf numFmtId="3" fontId="114" fillId="0" borderId="0" xfId="0" applyNumberFormat="1" applyFont="1" applyFill="1" applyBorder="1" applyAlignment="1" applyProtection="1">
      <alignment horizontal="center" vertical="center"/>
      <protection locked="0"/>
    </xf>
    <xf numFmtId="0" fontId="125" fillId="0" borderId="0" xfId="0" applyFont="1" applyBorder="1" applyProtection="1">
      <protection locked="0"/>
    </xf>
    <xf numFmtId="9" fontId="114" fillId="57" borderId="38" xfId="1" applyFont="1" applyFill="1" applyBorder="1" applyAlignment="1" applyProtection="1">
      <alignment horizontal="right" vertical="center"/>
      <protection locked="0"/>
    </xf>
    <xf numFmtId="173" fontId="114" fillId="0" borderId="13" xfId="613" applyNumberFormat="1" applyFont="1" applyFill="1" applyBorder="1" applyAlignment="1" applyProtection="1">
      <alignment horizontal="center" vertical="center"/>
      <protection locked="0"/>
    </xf>
    <xf numFmtId="173" fontId="120" fillId="57" borderId="11" xfId="613" applyNumberFormat="1" applyFont="1" applyFill="1" applyBorder="1" applyAlignment="1" applyProtection="1">
      <alignment horizontal="center" vertical="center"/>
      <protection locked="0"/>
    </xf>
    <xf numFmtId="173" fontId="114" fillId="57" borderId="39" xfId="613" applyNumberFormat="1" applyFont="1" applyFill="1" applyBorder="1" applyAlignment="1" applyProtection="1">
      <alignment horizontal="center" vertical="center"/>
      <protection locked="0"/>
    </xf>
    <xf numFmtId="173" fontId="114" fillId="57" borderId="11" xfId="613" applyNumberFormat="1" applyFont="1" applyFill="1" applyBorder="1" applyAlignment="1" applyProtection="1">
      <alignment horizontal="center" vertical="center"/>
      <protection locked="0"/>
    </xf>
    <xf numFmtId="173" fontId="114" fillId="57" borderId="10" xfId="613" applyNumberFormat="1" applyFont="1" applyFill="1" applyBorder="1" applyAlignment="1" applyProtection="1">
      <alignment horizontal="center" vertical="center"/>
      <protection locked="0"/>
    </xf>
    <xf numFmtId="210" fontId="114" fillId="0" borderId="40" xfId="421" applyNumberFormat="1" applyFont="1" applyFill="1" applyBorder="1" applyAlignment="1" applyProtection="1">
      <alignment horizontal="center" vertical="center"/>
      <protection locked="0"/>
    </xf>
    <xf numFmtId="194" fontId="121" fillId="0" borderId="14" xfId="421" applyNumberFormat="1" applyFont="1" applyFill="1" applyBorder="1" applyAlignment="1" applyProtection="1">
      <alignment vertical="center"/>
      <protection locked="0"/>
    </xf>
    <xf numFmtId="194" fontId="121" fillId="0" borderId="35" xfId="421" applyNumberFormat="1" applyFont="1" applyFill="1" applyBorder="1" applyAlignment="1" applyProtection="1">
      <alignment vertical="center"/>
      <protection locked="0"/>
    </xf>
    <xf numFmtId="173" fontId="114" fillId="57" borderId="14" xfId="613" applyNumberFormat="1" applyFont="1" applyFill="1" applyBorder="1" applyAlignment="1" applyProtection="1">
      <alignment horizontal="center" vertical="center"/>
      <protection locked="0"/>
    </xf>
    <xf numFmtId="173" fontId="114" fillId="57" borderId="41" xfId="613" applyNumberFormat="1" applyFont="1" applyFill="1" applyBorder="1" applyAlignment="1" applyProtection="1">
      <alignment horizontal="center" vertical="center"/>
      <protection locked="0"/>
    </xf>
    <xf numFmtId="173" fontId="114" fillId="0" borderId="14" xfId="613" applyNumberFormat="1" applyFont="1" applyFill="1" applyBorder="1" applyAlignment="1" applyProtection="1">
      <alignment horizontal="center" vertical="center"/>
      <protection locked="0"/>
    </xf>
    <xf numFmtId="0" fontId="120" fillId="0" borderId="0" xfId="0" applyFont="1" applyBorder="1" applyProtection="1">
      <protection locked="0"/>
    </xf>
    <xf numFmtId="174" fontId="110" fillId="0" borderId="0" xfId="0" applyNumberFormat="1" applyFont="1" applyFill="1" applyBorder="1" applyProtection="1">
      <protection locked="0"/>
    </xf>
    <xf numFmtId="171" fontId="126" fillId="0" borderId="0" xfId="1" applyNumberFormat="1" applyFont="1" applyBorder="1" applyProtection="1">
      <protection locked="0"/>
    </xf>
    <xf numFmtId="0" fontId="110" fillId="0" borderId="37" xfId="0" applyFont="1" applyBorder="1" applyProtection="1">
      <protection locked="0"/>
    </xf>
    <xf numFmtId="0" fontId="110" fillId="0" borderId="28" xfId="0" applyFont="1" applyBorder="1" applyProtection="1">
      <protection locked="0"/>
    </xf>
    <xf numFmtId="0" fontId="120" fillId="0" borderId="28" xfId="0" applyFont="1" applyBorder="1" applyProtection="1">
      <protection locked="0"/>
    </xf>
    <xf numFmtId="0" fontId="111" fillId="0" borderId="28" xfId="0" applyFont="1" applyBorder="1" applyProtection="1">
      <protection locked="0"/>
    </xf>
    <xf numFmtId="0" fontId="111" fillId="0" borderId="33" xfId="0" applyFont="1" applyBorder="1" applyProtection="1">
      <protection locked="0"/>
    </xf>
    <xf numFmtId="168" fontId="111" fillId="0" borderId="0" xfId="0" applyNumberFormat="1" applyFont="1" applyFill="1" applyBorder="1" applyProtection="1">
      <protection locked="0"/>
    </xf>
    <xf numFmtId="173" fontId="111" fillId="0" borderId="0" xfId="0" applyNumberFormat="1" applyFont="1" applyFill="1" applyBorder="1" applyProtection="1">
      <protection locked="0"/>
    </xf>
    <xf numFmtId="0" fontId="110" fillId="0" borderId="40" xfId="0" applyFont="1" applyBorder="1" applyProtection="1">
      <protection locked="0"/>
    </xf>
    <xf numFmtId="0" fontId="110" fillId="0" borderId="14" xfId="0" applyFont="1" applyBorder="1" applyProtection="1">
      <protection locked="0"/>
    </xf>
    <xf numFmtId="0" fontId="120" fillId="0" borderId="14" xfId="0" applyFont="1" applyBorder="1" applyProtection="1">
      <protection locked="0"/>
    </xf>
    <xf numFmtId="173" fontId="110" fillId="52" borderId="14" xfId="613" applyNumberFormat="1" applyFont="1" applyFill="1" applyBorder="1" applyProtection="1">
      <protection locked="0"/>
    </xf>
    <xf numFmtId="43" fontId="110" fillId="0" borderId="0" xfId="0" applyNumberFormat="1" applyFont="1" applyBorder="1" applyProtection="1">
      <protection locked="0"/>
    </xf>
    <xf numFmtId="0" fontId="127" fillId="0" borderId="0" xfId="0" applyFont="1" applyBorder="1" applyProtection="1">
      <protection locked="0"/>
    </xf>
    <xf numFmtId="213" fontId="110" fillId="0" borderId="0" xfId="0" applyNumberFormat="1" applyFont="1" applyBorder="1" applyProtection="1">
      <protection locked="0"/>
    </xf>
    <xf numFmtId="1" fontId="110" fillId="0" borderId="0" xfId="0" applyNumberFormat="1" applyFont="1" applyBorder="1" applyProtection="1">
      <protection locked="0"/>
    </xf>
    <xf numFmtId="171" fontId="110" fillId="0" borderId="0" xfId="1" applyNumberFormat="1" applyFont="1" applyBorder="1" applyProtection="1">
      <protection locked="0"/>
    </xf>
    <xf numFmtId="170" fontId="110" fillId="0" borderId="0" xfId="0" applyNumberFormat="1" applyFont="1" applyBorder="1" applyProtection="1">
      <protection locked="0"/>
    </xf>
    <xf numFmtId="1" fontId="110" fillId="3" borderId="0" xfId="0" applyNumberFormat="1" applyFont="1" applyFill="1" applyBorder="1" applyProtection="1">
      <protection locked="0"/>
    </xf>
    <xf numFmtId="0" fontId="124" fillId="0" borderId="0" xfId="0" applyFont="1" applyBorder="1" applyProtection="1">
      <protection locked="0"/>
    </xf>
    <xf numFmtId="173" fontId="110" fillId="0" borderId="0" xfId="613" applyNumberFormat="1" applyFont="1" applyBorder="1" applyProtection="1">
      <protection locked="0"/>
    </xf>
    <xf numFmtId="173" fontId="127" fillId="0" borderId="0" xfId="0" applyNumberFormat="1" applyFont="1" applyBorder="1" applyProtection="1">
      <protection locked="0"/>
    </xf>
    <xf numFmtId="168" fontId="110" fillId="0" borderId="0" xfId="0" applyNumberFormat="1" applyFont="1" applyBorder="1" applyProtection="1">
      <protection locked="0"/>
    </xf>
    <xf numFmtId="0" fontId="114" fillId="0" borderId="0" xfId="0" applyFont="1" applyBorder="1" applyProtection="1">
      <protection hidden="1"/>
    </xf>
    <xf numFmtId="208" fontId="114" fillId="0" borderId="0" xfId="0" applyNumberFormat="1" applyFont="1" applyBorder="1" applyProtection="1">
      <protection hidden="1"/>
    </xf>
    <xf numFmtId="208" fontId="114" fillId="0" borderId="0" xfId="0" applyNumberFormat="1" applyFont="1" applyFill="1" applyBorder="1" applyProtection="1">
      <protection hidden="1"/>
    </xf>
    <xf numFmtId="0" fontId="114" fillId="0" borderId="0" xfId="0" applyFont="1" applyBorder="1" applyProtection="1">
      <protection locked="0"/>
    </xf>
    <xf numFmtId="0" fontId="114" fillId="0" borderId="0" xfId="966" applyFont="1"/>
    <xf numFmtId="0" fontId="114" fillId="0" borderId="0" xfId="966" applyFont="1" applyFill="1"/>
    <xf numFmtId="210" fontId="139" fillId="0" borderId="47" xfId="966" applyNumberFormat="1" applyFont="1" applyBorder="1" applyProtection="1"/>
    <xf numFmtId="0" fontId="114" fillId="0" borderId="48" xfId="966" applyFont="1" applyBorder="1"/>
    <xf numFmtId="0" fontId="113" fillId="0" borderId="48" xfId="966" applyFont="1" applyFill="1" applyBorder="1"/>
    <xf numFmtId="0" fontId="113" fillId="0" borderId="48" xfId="966" quotePrefix="1" applyFont="1" applyFill="1" applyBorder="1" applyAlignment="1">
      <alignment horizontal="left"/>
    </xf>
    <xf numFmtId="0" fontId="114" fillId="83" borderId="29" xfId="966" applyFont="1" applyFill="1" applyBorder="1"/>
    <xf numFmtId="0" fontId="114" fillId="83" borderId="10" xfId="966" applyFont="1" applyFill="1" applyBorder="1" applyAlignment="1">
      <alignment horizontal="center"/>
    </xf>
    <xf numFmtId="0" fontId="114" fillId="0" borderId="4" xfId="966" applyFont="1" applyBorder="1"/>
    <xf numFmtId="0" fontId="114" fillId="0" borderId="49" xfId="966" applyFont="1" applyBorder="1"/>
    <xf numFmtId="0" fontId="114" fillId="0" borderId="0" xfId="966" applyFont="1" applyBorder="1"/>
    <xf numFmtId="0" fontId="114" fillId="0" borderId="0" xfId="966" applyFont="1" applyFill="1" applyBorder="1"/>
    <xf numFmtId="0" fontId="114" fillId="0" borderId="5" xfId="966" applyFont="1" applyBorder="1"/>
    <xf numFmtId="210" fontId="139" fillId="0" borderId="4" xfId="966" applyNumberFormat="1" applyFont="1" applyBorder="1" applyAlignment="1" applyProtection="1">
      <alignment horizontal="center"/>
    </xf>
    <xf numFmtId="210" fontId="139" fillId="0" borderId="30" xfId="966" applyNumberFormat="1" applyFont="1" applyBorder="1" applyAlignment="1" applyProtection="1">
      <alignment horizontal="center"/>
    </xf>
    <xf numFmtId="210" fontId="139" fillId="0" borderId="33" xfId="966" applyNumberFormat="1" applyFont="1" applyBorder="1" applyAlignment="1" applyProtection="1">
      <alignment horizontal="center"/>
    </xf>
    <xf numFmtId="210" fontId="139" fillId="0" borderId="32" xfId="966" applyNumberFormat="1" applyFont="1" applyBorder="1" applyAlignment="1" applyProtection="1">
      <alignment horizontal="center"/>
    </xf>
    <xf numFmtId="210" fontId="139" fillId="0" borderId="32" xfId="966" applyNumberFormat="1" applyFont="1" applyFill="1" applyBorder="1" applyAlignment="1" applyProtection="1">
      <alignment horizontal="center"/>
    </xf>
    <xf numFmtId="210" fontId="139" fillId="0" borderId="13" xfId="966" applyNumberFormat="1" applyFont="1" applyBorder="1" applyAlignment="1" applyProtection="1">
      <alignment horizontal="center"/>
    </xf>
    <xf numFmtId="210" fontId="139" fillId="0" borderId="30" xfId="966" applyNumberFormat="1" applyFont="1" applyFill="1" applyBorder="1" applyAlignment="1" applyProtection="1">
      <alignment horizontal="center"/>
    </xf>
    <xf numFmtId="210" fontId="139" fillId="0" borderId="50" xfId="966" applyNumberFormat="1" applyFont="1" applyBorder="1" applyAlignment="1" applyProtection="1">
      <alignment horizontal="center"/>
    </xf>
    <xf numFmtId="210" fontId="139" fillId="0" borderId="51" xfId="966" applyNumberFormat="1" applyFont="1" applyBorder="1" applyAlignment="1" applyProtection="1">
      <alignment horizontal="center"/>
    </xf>
    <xf numFmtId="210" fontId="113" fillId="0" borderId="52" xfId="966" quotePrefix="1" applyNumberFormat="1" applyFont="1" applyFill="1" applyBorder="1" applyAlignment="1" applyProtection="1">
      <alignment horizontal="center"/>
    </xf>
    <xf numFmtId="210" fontId="139" fillId="0" borderId="51" xfId="966" applyNumberFormat="1" applyFont="1" applyFill="1" applyBorder="1" applyAlignment="1" applyProtection="1">
      <alignment horizontal="center"/>
    </xf>
    <xf numFmtId="210" fontId="113" fillId="0" borderId="51" xfId="966" quotePrefix="1" applyNumberFormat="1" applyFont="1" applyFill="1" applyBorder="1" applyAlignment="1" applyProtection="1">
      <alignment horizontal="center"/>
    </xf>
    <xf numFmtId="210" fontId="113" fillId="0" borderId="51" xfId="966" quotePrefix="1" applyNumberFormat="1" applyFont="1" applyBorder="1" applyAlignment="1" applyProtection="1">
      <alignment horizontal="center"/>
    </xf>
    <xf numFmtId="210" fontId="121" fillId="0" borderId="4" xfId="966" applyNumberFormat="1" applyFont="1" applyBorder="1" applyProtection="1"/>
    <xf numFmtId="210" fontId="121" fillId="0" borderId="49" xfId="966" applyNumberFormat="1" applyFont="1" applyBorder="1" applyProtection="1"/>
    <xf numFmtId="210" fontId="121" fillId="0" borderId="30" xfId="966" applyNumberFormat="1" applyFont="1" applyBorder="1" applyProtection="1"/>
    <xf numFmtId="210" fontId="121" fillId="0" borderId="30" xfId="966" applyNumberFormat="1" applyFont="1" applyFill="1" applyBorder="1" applyProtection="1"/>
    <xf numFmtId="210" fontId="139" fillId="0" borderId="4" xfId="966" applyNumberFormat="1" applyFont="1" applyBorder="1" applyProtection="1"/>
    <xf numFmtId="210" fontId="121" fillId="0" borderId="4" xfId="966" applyNumberFormat="1" applyFont="1" applyBorder="1" applyAlignment="1" applyProtection="1">
      <alignment horizontal="center"/>
    </xf>
    <xf numFmtId="10" fontId="121" fillId="0" borderId="30" xfId="966" applyNumberFormat="1" applyFont="1" applyBorder="1" applyProtection="1"/>
    <xf numFmtId="174" fontId="114" fillId="0" borderId="30" xfId="966" applyNumberFormat="1" applyFont="1" applyFill="1" applyBorder="1"/>
    <xf numFmtId="215" fontId="114" fillId="0" borderId="30" xfId="884" applyNumberFormat="1" applyFont="1" applyFill="1" applyBorder="1"/>
    <xf numFmtId="207" fontId="121" fillId="0" borderId="30" xfId="885" applyNumberFormat="1" applyFont="1" applyBorder="1" applyProtection="1"/>
    <xf numFmtId="207" fontId="121" fillId="0" borderId="30" xfId="885" applyNumberFormat="1" applyFont="1" applyBorder="1" applyAlignment="1" applyProtection="1"/>
    <xf numFmtId="174" fontId="121" fillId="0" borderId="30" xfId="885" applyNumberFormat="1" applyFont="1" applyBorder="1" applyProtection="1"/>
    <xf numFmtId="174" fontId="121" fillId="0" borderId="30" xfId="886" applyNumberFormat="1" applyFont="1" applyBorder="1"/>
    <xf numFmtId="39" fontId="114" fillId="0" borderId="0" xfId="800" applyFont="1"/>
    <xf numFmtId="215" fontId="114" fillId="0" borderId="0" xfId="301" applyNumberFormat="1" applyFont="1"/>
    <xf numFmtId="168" fontId="114" fillId="0" borderId="0" xfId="966" applyNumberFormat="1" applyFont="1"/>
    <xf numFmtId="174" fontId="121" fillId="0" borderId="30" xfId="885" applyNumberFormat="1" applyFont="1" applyFill="1" applyBorder="1" applyProtection="1"/>
    <xf numFmtId="174" fontId="121" fillId="0" borderId="30" xfId="886" applyNumberFormat="1" applyFont="1" applyFill="1" applyBorder="1" applyProtection="1"/>
    <xf numFmtId="10" fontId="121" fillId="0" borderId="53" xfId="966" applyNumberFormat="1" applyFont="1" applyBorder="1" applyProtection="1"/>
    <xf numFmtId="174" fontId="139" fillId="0" borderId="53" xfId="885" applyNumberFormat="1" applyFont="1" applyFill="1" applyBorder="1" applyProtection="1"/>
    <xf numFmtId="174" fontId="139" fillId="0" borderId="53" xfId="885" applyNumberFormat="1" applyFont="1" applyBorder="1" applyProtection="1"/>
    <xf numFmtId="174" fontId="114" fillId="0" borderId="0" xfId="966" applyNumberFormat="1" applyFont="1"/>
    <xf numFmtId="174" fontId="121" fillId="0" borderId="54" xfId="885" applyNumberFormat="1" applyFont="1" applyFill="1" applyBorder="1" applyProtection="1"/>
    <xf numFmtId="215" fontId="114" fillId="0" borderId="30" xfId="301" applyNumberFormat="1" applyFont="1" applyFill="1" applyBorder="1"/>
    <xf numFmtId="215" fontId="140" fillId="0" borderId="30" xfId="794" applyNumberFormat="1" applyFont="1" applyFill="1" applyBorder="1" applyProtection="1"/>
    <xf numFmtId="215" fontId="121" fillId="0" borderId="30" xfId="301" applyNumberFormat="1" applyFont="1" applyFill="1" applyBorder="1" applyProtection="1"/>
    <xf numFmtId="215" fontId="121" fillId="0" borderId="30" xfId="301" applyNumberFormat="1" applyFont="1" applyBorder="1" applyProtection="1"/>
    <xf numFmtId="215" fontId="114" fillId="0" borderId="30" xfId="301" applyNumberFormat="1" applyFont="1" applyBorder="1"/>
    <xf numFmtId="173" fontId="114" fillId="0" borderId="0" xfId="966" applyNumberFormat="1" applyFont="1"/>
    <xf numFmtId="215" fontId="114" fillId="0" borderId="30" xfId="301" applyNumberFormat="1" applyFont="1" applyFill="1" applyBorder="1" applyAlignment="1">
      <alignment horizontal="center" vertical="center"/>
    </xf>
    <xf numFmtId="215" fontId="121" fillId="0" borderId="30" xfId="798" applyNumberFormat="1" applyFont="1" applyFill="1" applyBorder="1" applyProtection="1"/>
    <xf numFmtId="215" fontId="121" fillId="0" borderId="30" xfId="798" applyNumberFormat="1" applyFont="1" applyBorder="1" applyProtection="1"/>
    <xf numFmtId="216" fontId="114" fillId="0" borderId="0" xfId="966" applyNumberFormat="1" applyFont="1"/>
    <xf numFmtId="215" fontId="114" fillId="0" borderId="30" xfId="794" applyNumberFormat="1" applyFont="1" applyFill="1" applyBorder="1"/>
    <xf numFmtId="10" fontId="114" fillId="0" borderId="30" xfId="966" applyNumberFormat="1" applyFont="1" applyBorder="1" applyProtection="1"/>
    <xf numFmtId="207" fontId="114" fillId="0" borderId="0" xfId="301" applyNumberFormat="1" applyFont="1"/>
    <xf numFmtId="215" fontId="139" fillId="0" borderId="53" xfId="301" applyNumberFormat="1" applyFont="1" applyFill="1" applyBorder="1" applyProtection="1"/>
    <xf numFmtId="215" fontId="139" fillId="0" borderId="53" xfId="301" applyNumberFormat="1" applyFont="1" applyBorder="1" applyProtection="1"/>
    <xf numFmtId="174" fontId="114" fillId="0" borderId="30" xfId="887" applyNumberFormat="1" applyFont="1" applyFill="1" applyBorder="1" applyProtection="1"/>
    <xf numFmtId="0" fontId="114" fillId="0" borderId="30" xfId="966" applyFont="1" applyFill="1" applyBorder="1"/>
    <xf numFmtId="174" fontId="114" fillId="0" borderId="30" xfId="885" applyNumberFormat="1" applyFont="1" applyFill="1" applyBorder="1" applyProtection="1"/>
    <xf numFmtId="174" fontId="121" fillId="0" borderId="30" xfId="888" applyNumberFormat="1" applyFont="1" applyFill="1" applyBorder="1" applyProtection="1"/>
    <xf numFmtId="174" fontId="114" fillId="0" borderId="30" xfId="885" applyNumberFormat="1" applyFont="1" applyBorder="1"/>
    <xf numFmtId="210" fontId="139" fillId="0" borderId="4" xfId="966" applyNumberFormat="1" applyFont="1" applyBorder="1" applyAlignment="1" applyProtection="1">
      <alignment horizontal="left"/>
    </xf>
    <xf numFmtId="174" fontId="121" fillId="0" borderId="30" xfId="889" applyNumberFormat="1" applyFont="1" applyFill="1" applyBorder="1" applyProtection="1"/>
    <xf numFmtId="174" fontId="141" fillId="0" borderId="30" xfId="885" applyNumberFormat="1" applyFont="1" applyFill="1" applyBorder="1" applyProtection="1"/>
    <xf numFmtId="10" fontId="121" fillId="0" borderId="54" xfId="966" applyNumberFormat="1" applyFont="1" applyBorder="1" applyProtection="1"/>
    <xf numFmtId="174" fontId="139" fillId="0" borderId="54" xfId="885" applyNumberFormat="1" applyFont="1" applyFill="1" applyBorder="1" applyProtection="1"/>
    <xf numFmtId="174" fontId="139" fillId="0" borderId="54" xfId="885" applyNumberFormat="1" applyFont="1" applyBorder="1" applyProtection="1"/>
    <xf numFmtId="174" fontId="139" fillId="0" borderId="30" xfId="885" applyNumberFormat="1" applyFont="1" applyBorder="1" applyProtection="1"/>
    <xf numFmtId="174" fontId="139" fillId="0" borderId="30" xfId="885" applyNumberFormat="1" applyFont="1" applyFill="1" applyBorder="1" applyProtection="1"/>
    <xf numFmtId="10" fontId="121" fillId="0" borderId="55" xfId="966" applyNumberFormat="1" applyFont="1" applyBorder="1" applyProtection="1"/>
    <xf numFmtId="174" fontId="139" fillId="0" borderId="55" xfId="885" applyNumberFormat="1" applyFont="1" applyFill="1" applyBorder="1" applyProtection="1"/>
    <xf numFmtId="174" fontId="139" fillId="0" borderId="55" xfId="885" applyNumberFormat="1" applyFont="1" applyBorder="1" applyProtection="1"/>
    <xf numFmtId="210" fontId="139" fillId="0" borderId="56" xfId="966" applyNumberFormat="1" applyFont="1" applyBorder="1" applyAlignment="1" applyProtection="1">
      <alignment horizontal="center"/>
    </xf>
    <xf numFmtId="210" fontId="139" fillId="0" borderId="53" xfId="966" applyNumberFormat="1" applyFont="1" applyBorder="1" applyProtection="1"/>
    <xf numFmtId="174" fontId="139" fillId="0" borderId="57" xfId="885" applyNumberFormat="1" applyFont="1" applyBorder="1" applyProtection="1"/>
    <xf numFmtId="174" fontId="139" fillId="55" borderId="57" xfId="885" applyNumberFormat="1" applyFont="1" applyFill="1" applyBorder="1" applyProtection="1"/>
    <xf numFmtId="210" fontId="139" fillId="0" borderId="0" xfId="966" applyNumberFormat="1" applyFont="1" applyBorder="1" applyAlignment="1" applyProtection="1">
      <alignment horizontal="left"/>
    </xf>
    <xf numFmtId="210" fontId="139" fillId="0" borderId="0" xfId="966" applyNumberFormat="1" applyFont="1" applyBorder="1" applyProtection="1"/>
    <xf numFmtId="174" fontId="139" fillId="0" borderId="0" xfId="885" applyNumberFormat="1" applyFont="1" applyBorder="1" applyProtection="1"/>
    <xf numFmtId="168" fontId="139" fillId="0" borderId="0" xfId="885" applyNumberFormat="1" applyFont="1" applyBorder="1" applyProtection="1"/>
    <xf numFmtId="207" fontId="114" fillId="0" borderId="0" xfId="966" applyNumberFormat="1" applyFont="1" applyBorder="1"/>
    <xf numFmtId="168" fontId="139" fillId="0" borderId="0" xfId="885" applyNumberFormat="1" applyFont="1" applyFill="1" applyBorder="1" applyProtection="1"/>
    <xf numFmtId="215" fontId="139" fillId="0" borderId="0" xfId="301" applyNumberFormat="1" applyFont="1" applyBorder="1" applyAlignment="1" applyProtection="1">
      <alignment horizontal="right"/>
    </xf>
    <xf numFmtId="174" fontId="139" fillId="0" borderId="0" xfId="885" applyNumberFormat="1" applyFont="1" applyFill="1" applyBorder="1" applyProtection="1"/>
    <xf numFmtId="168" fontId="139" fillId="0" borderId="0" xfId="890" applyNumberFormat="1" applyFont="1" applyFill="1" applyBorder="1" applyProtection="1"/>
    <xf numFmtId="174" fontId="139" fillId="0" borderId="0" xfId="891" applyNumberFormat="1" applyFont="1" applyFill="1" applyBorder="1" applyProtection="1"/>
    <xf numFmtId="215" fontId="139" fillId="0" borderId="0" xfId="301" applyNumberFormat="1" applyFont="1" applyFill="1" applyBorder="1" applyProtection="1"/>
    <xf numFmtId="174" fontId="114" fillId="47" borderId="0" xfId="966" applyNumberFormat="1" applyFont="1" applyFill="1"/>
    <xf numFmtId="210" fontId="139" fillId="0" borderId="0" xfId="966" applyNumberFormat="1" applyFont="1" applyBorder="1" applyAlignment="1" applyProtection="1">
      <alignment horizontal="center"/>
    </xf>
    <xf numFmtId="168" fontId="113" fillId="0" borderId="0" xfId="966" applyNumberFormat="1" applyFont="1" applyFill="1"/>
    <xf numFmtId="168" fontId="139" fillId="0" borderId="0" xfId="800" applyNumberFormat="1" applyFont="1" applyFill="1" applyBorder="1" applyProtection="1"/>
    <xf numFmtId="168" fontId="139" fillId="0" borderId="0" xfId="885" applyNumberFormat="1" applyFont="1" applyBorder="1" applyAlignment="1" applyProtection="1">
      <alignment horizontal="center"/>
    </xf>
    <xf numFmtId="174" fontId="139" fillId="0" borderId="0" xfId="885" applyNumberFormat="1" applyFont="1" applyBorder="1" applyAlignment="1" applyProtection="1">
      <alignment horizontal="center"/>
    </xf>
    <xf numFmtId="174" fontId="121" fillId="0" borderId="0" xfId="885" applyNumberFormat="1" applyFont="1" applyBorder="1" applyProtection="1"/>
    <xf numFmtId="168" fontId="121" fillId="0" borderId="0" xfId="885" applyNumberFormat="1" applyFont="1" applyFill="1" applyBorder="1" applyProtection="1"/>
    <xf numFmtId="9" fontId="139" fillId="0" borderId="0" xfId="966" applyNumberFormat="1" applyFont="1" applyBorder="1" applyProtection="1"/>
    <xf numFmtId="168" fontId="139" fillId="0" borderId="0" xfId="301" applyNumberFormat="1" applyFont="1" applyFill="1" applyBorder="1" applyAlignment="1" applyProtection="1">
      <alignment horizontal="center"/>
    </xf>
    <xf numFmtId="174" fontId="113" fillId="0" borderId="0" xfId="966" applyNumberFormat="1" applyFont="1" applyFill="1"/>
    <xf numFmtId="174" fontId="121" fillId="0" borderId="0" xfId="885" applyNumberFormat="1" applyFont="1" applyFill="1" applyBorder="1" applyProtection="1"/>
    <xf numFmtId="210" fontId="121" fillId="0" borderId="0" xfId="966" applyNumberFormat="1" applyFont="1" applyBorder="1" applyProtection="1"/>
    <xf numFmtId="9" fontId="121" fillId="0" borderId="0" xfId="966" applyNumberFormat="1" applyFont="1" applyBorder="1" applyProtection="1"/>
    <xf numFmtId="168" fontId="139" fillId="0" borderId="0" xfId="301" applyNumberFormat="1" applyFont="1" applyFill="1" applyBorder="1" applyProtection="1"/>
    <xf numFmtId="168" fontId="121" fillId="0" borderId="0" xfId="885" applyNumberFormat="1" applyFont="1" applyBorder="1" applyProtection="1"/>
    <xf numFmtId="174" fontId="121" fillId="0" borderId="0" xfId="885" applyNumberFormat="1" applyFont="1" applyBorder="1" applyAlignment="1" applyProtection="1">
      <alignment horizontal="center"/>
    </xf>
    <xf numFmtId="210" fontId="121" fillId="0" borderId="0" xfId="966" applyNumberFormat="1" applyFont="1" applyBorder="1" applyAlignment="1" applyProtection="1">
      <alignment horizontal="left"/>
    </xf>
    <xf numFmtId="168" fontId="121" fillId="0" borderId="0" xfId="301" applyNumberFormat="1" applyFont="1" applyFill="1" applyBorder="1" applyProtection="1"/>
    <xf numFmtId="174" fontId="114" fillId="0" borderId="0" xfId="885" applyNumberFormat="1" applyFont="1" applyBorder="1"/>
    <xf numFmtId="215" fontId="121" fillId="0" borderId="0" xfId="301" applyNumberFormat="1" applyFont="1" applyBorder="1" applyProtection="1"/>
    <xf numFmtId="210" fontId="121" fillId="0" borderId="0" xfId="966" applyNumberFormat="1" applyFont="1" applyBorder="1" applyAlignment="1" applyProtection="1">
      <alignment horizontal="center"/>
    </xf>
    <xf numFmtId="215" fontId="121" fillId="0" borderId="0" xfId="301" applyNumberFormat="1" applyFont="1" applyFill="1" applyBorder="1" applyProtection="1"/>
    <xf numFmtId="9" fontId="121" fillId="0" borderId="31" xfId="1" applyFont="1" applyBorder="1" applyAlignment="1" applyProtection="1">
      <alignment horizontal="center"/>
    </xf>
    <xf numFmtId="217" fontId="121" fillId="0" borderId="31" xfId="966" applyNumberFormat="1" applyFont="1" applyBorder="1" applyProtection="1"/>
    <xf numFmtId="215" fontId="139" fillId="0" borderId="0" xfId="301" applyNumberFormat="1" applyFont="1" applyBorder="1" applyProtection="1"/>
    <xf numFmtId="217" fontId="121" fillId="0" borderId="0" xfId="966" applyNumberFormat="1" applyFont="1" applyBorder="1" applyProtection="1"/>
    <xf numFmtId="39" fontId="121" fillId="0" borderId="0" xfId="885" applyNumberFormat="1" applyFont="1" applyBorder="1" applyProtection="1"/>
    <xf numFmtId="215" fontId="114" fillId="0" borderId="0" xfId="301" applyNumberFormat="1" applyFont="1" applyBorder="1"/>
    <xf numFmtId="0" fontId="111" fillId="0" borderId="0" xfId="895" applyFont="1" applyBorder="1"/>
    <xf numFmtId="0" fontId="114" fillId="0" borderId="0" xfId="895" applyFont="1" applyBorder="1"/>
    <xf numFmtId="4" fontId="111" fillId="0" borderId="0" xfId="895" applyNumberFormat="1" applyFont="1" applyBorder="1"/>
    <xf numFmtId="0" fontId="113" fillId="0" borderId="0" xfId="895" applyFont="1" applyBorder="1" applyAlignment="1">
      <alignment horizontal="center"/>
    </xf>
    <xf numFmtId="39" fontId="110" fillId="0" borderId="0" xfId="800" applyFont="1" applyBorder="1" applyAlignment="1">
      <alignment horizontal="right"/>
    </xf>
    <xf numFmtId="39" fontId="110" fillId="0" borderId="0" xfId="800" applyFont="1" applyBorder="1"/>
    <xf numFmtId="0" fontId="114" fillId="0" borderId="0" xfId="895" applyFont="1" applyFill="1" applyBorder="1"/>
    <xf numFmtId="0" fontId="114" fillId="0" borderId="0" xfId="895" applyFont="1"/>
    <xf numFmtId="0" fontId="114" fillId="0" borderId="10" xfId="895" applyFont="1" applyBorder="1"/>
    <xf numFmtId="4" fontId="114" fillId="0" borderId="0" xfId="895" applyNumberFormat="1" applyFont="1" applyFill="1" applyBorder="1"/>
    <xf numFmtId="4" fontId="111" fillId="0" borderId="0" xfId="895" applyNumberFormat="1" applyFont="1" applyFill="1" applyBorder="1"/>
    <xf numFmtId="0" fontId="114" fillId="0" borderId="0" xfId="895" quotePrefix="1" applyFont="1" applyFill="1" applyBorder="1"/>
    <xf numFmtId="39" fontId="110" fillId="0" borderId="0" xfId="800" applyFont="1" applyFill="1" applyBorder="1"/>
    <xf numFmtId="4" fontId="110" fillId="0" borderId="0" xfId="895" applyNumberFormat="1" applyFont="1" applyFill="1" applyBorder="1"/>
    <xf numFmtId="0" fontId="111" fillId="0" borderId="0" xfId="895" applyFont="1" applyFill="1" applyBorder="1"/>
    <xf numFmtId="0" fontId="111" fillId="3" borderId="10" xfId="895" applyFont="1" applyFill="1" applyBorder="1"/>
    <xf numFmtId="173" fontId="110" fillId="84" borderId="14" xfId="613" applyNumberFormat="1" applyFont="1" applyFill="1" applyBorder="1" applyProtection="1">
      <protection locked="0"/>
    </xf>
    <xf numFmtId="1" fontId="110" fillId="84" borderId="0" xfId="0" applyNumberFormat="1" applyFont="1" applyFill="1" applyBorder="1" applyProtection="1">
      <protection locked="0"/>
    </xf>
    <xf numFmtId="0" fontId="103" fillId="0" borderId="0" xfId="0" applyFont="1" applyAlignment="1">
      <alignment wrapText="1"/>
    </xf>
    <xf numFmtId="174" fontId="2" fillId="0" borderId="0" xfId="4" applyNumberFormat="1" applyFont="1"/>
    <xf numFmtId="174" fontId="2" fillId="2" borderId="0" xfId="4" applyNumberFormat="1" applyFont="1" applyFill="1"/>
    <xf numFmtId="0" fontId="104" fillId="5" borderId="0" xfId="0" applyFont="1" applyFill="1" applyAlignment="1">
      <alignment horizontal="center"/>
    </xf>
    <xf numFmtId="17" fontId="104" fillId="5" borderId="0" xfId="0" applyNumberFormat="1" applyFont="1" applyFill="1" applyAlignment="1">
      <alignment horizontal="center"/>
    </xf>
    <xf numFmtId="168" fontId="104" fillId="5" borderId="0" xfId="4" applyFont="1" applyFill="1" applyAlignment="1">
      <alignment horizontal="center"/>
    </xf>
    <xf numFmtId="0" fontId="2" fillId="0" borderId="4" xfId="0" applyFont="1" applyBorder="1" applyAlignment="1">
      <alignment wrapText="1"/>
    </xf>
    <xf numFmtId="174" fontId="0" fillId="0" borderId="0" xfId="4" applyNumberFormat="1" applyFont="1"/>
    <xf numFmtId="174" fontId="0" fillId="0" borderId="0" xfId="0" applyNumberFormat="1"/>
    <xf numFmtId="9" fontId="103" fillId="0" borderId="0" xfId="1" applyFont="1"/>
    <xf numFmtId="1" fontId="2" fillId="0" borderId="4" xfId="0" applyNumberFormat="1" applyFont="1" applyBorder="1" applyAlignment="1">
      <alignment wrapText="1"/>
    </xf>
    <xf numFmtId="1" fontId="3" fillId="0" borderId="4" xfId="0" applyNumberFormat="1" applyFont="1" applyFill="1" applyBorder="1" applyAlignment="1">
      <alignment wrapText="1"/>
    </xf>
    <xf numFmtId="1" fontId="2" fillId="0" borderId="4" xfId="0" applyNumberFormat="1" applyFont="1" applyFill="1" applyBorder="1" applyAlignment="1">
      <alignment wrapText="1"/>
    </xf>
    <xf numFmtId="0" fontId="2" fillId="0" borderId="4" xfId="0" applyFont="1" applyBorder="1" applyAlignment="1">
      <alignment horizontal="left" vertical="center" wrapText="1"/>
    </xf>
    <xf numFmtId="1" fontId="3" fillId="0" borderId="4" xfId="0" applyNumberFormat="1" applyFont="1" applyBorder="1" applyAlignment="1">
      <alignment wrapText="1"/>
    </xf>
    <xf numFmtId="1" fontId="3" fillId="0" borderId="6" xfId="0" applyNumberFormat="1" applyFont="1" applyBorder="1" applyAlignment="1">
      <alignment wrapText="1"/>
    </xf>
    <xf numFmtId="1" fontId="2" fillId="0" borderId="0" xfId="0" applyNumberFormat="1" applyFont="1" applyAlignment="1">
      <alignment wrapText="1"/>
    </xf>
    <xf numFmtId="1" fontId="3" fillId="2" borderId="1" xfId="0" applyNumberFormat="1" applyFont="1" applyFill="1" applyBorder="1" applyAlignment="1">
      <alignment wrapText="1"/>
    </xf>
    <xf numFmtId="1" fontId="2" fillId="0" borderId="0" xfId="0" applyNumberFormat="1" applyFont="1" applyBorder="1" applyAlignment="1">
      <alignment wrapText="1"/>
    </xf>
    <xf numFmtId="1" fontId="3" fillId="0" borderId="1" xfId="0" applyNumberFormat="1" applyFont="1" applyBorder="1" applyAlignment="1">
      <alignment wrapText="1"/>
    </xf>
    <xf numFmtId="0" fontId="2" fillId="0" borderId="4" xfId="0" applyFont="1" applyFill="1" applyBorder="1" applyAlignment="1">
      <alignment wrapText="1"/>
    </xf>
    <xf numFmtId="0" fontId="3" fillId="0" borderId="4" xfId="0" applyFont="1" applyBorder="1" applyAlignment="1">
      <alignment wrapText="1"/>
    </xf>
    <xf numFmtId="1" fontId="3" fillId="52" borderId="4" xfId="0" applyNumberFormat="1" applyFont="1" applyFill="1" applyBorder="1" applyAlignment="1">
      <alignment wrapText="1"/>
    </xf>
    <xf numFmtId="1" fontId="3" fillId="52" borderId="6" xfId="0" applyNumberFormat="1" applyFont="1" applyFill="1" applyBorder="1" applyAlignment="1">
      <alignment wrapText="1"/>
    </xf>
    <xf numFmtId="1" fontId="3" fillId="0" borderId="0" xfId="0" applyNumberFormat="1" applyFont="1" applyBorder="1" applyAlignment="1">
      <alignment wrapText="1"/>
    </xf>
    <xf numFmtId="1" fontId="2" fillId="0" borderId="0" xfId="0" applyNumberFormat="1" applyFont="1" applyFill="1" applyBorder="1" applyAlignment="1">
      <alignment wrapText="1"/>
    </xf>
    <xf numFmtId="1" fontId="2" fillId="0" borderId="0" xfId="0" applyNumberFormat="1" applyFont="1" applyFill="1" applyAlignment="1">
      <alignment wrapText="1"/>
    </xf>
    <xf numFmtId="1" fontId="3" fillId="6" borderId="9" xfId="0" applyNumberFormat="1" applyFont="1" applyFill="1" applyBorder="1" applyAlignment="1">
      <alignment wrapText="1"/>
    </xf>
    <xf numFmtId="1" fontId="3" fillId="0" borderId="9" xfId="0" applyNumberFormat="1" applyFont="1" applyFill="1" applyBorder="1" applyAlignment="1">
      <alignment wrapText="1"/>
    </xf>
    <xf numFmtId="1" fontId="2" fillId="0" borderId="9" xfId="0" applyNumberFormat="1" applyFont="1" applyFill="1" applyBorder="1" applyAlignment="1">
      <alignment wrapText="1"/>
    </xf>
    <xf numFmtId="1" fontId="12" fillId="0" borderId="9" xfId="0" applyNumberFormat="1" applyFont="1" applyFill="1" applyBorder="1" applyAlignment="1">
      <alignment horizontal="left" wrapText="1"/>
    </xf>
    <xf numFmtId="1" fontId="2" fillId="0" borderId="9" xfId="0" applyNumberFormat="1" applyFont="1" applyBorder="1" applyAlignment="1">
      <alignment wrapText="1"/>
    </xf>
    <xf numFmtId="1" fontId="3" fillId="0" borderId="9" xfId="0" applyNumberFormat="1" applyFont="1" applyBorder="1" applyAlignment="1">
      <alignment wrapText="1"/>
    </xf>
    <xf numFmtId="1" fontId="3" fillId="12" borderId="0" xfId="0" applyNumberFormat="1" applyFont="1" applyFill="1" applyBorder="1" applyAlignment="1">
      <alignment wrapText="1"/>
    </xf>
    <xf numFmtId="1" fontId="12" fillId="12" borderId="9" xfId="0" applyNumberFormat="1" applyFont="1" applyFill="1" applyBorder="1" applyAlignment="1">
      <alignment horizontal="left" wrapText="1"/>
    </xf>
    <xf numFmtId="1" fontId="12" fillId="11" borderId="9" xfId="0" applyNumberFormat="1" applyFont="1" applyFill="1" applyBorder="1" applyAlignment="1">
      <alignment horizontal="left" wrapText="1"/>
    </xf>
    <xf numFmtId="1" fontId="12" fillId="13" borderId="9" xfId="0" applyNumberFormat="1" applyFont="1" applyFill="1" applyBorder="1" applyAlignment="1">
      <alignment horizontal="left" wrapText="1"/>
    </xf>
    <xf numFmtId="1" fontId="12" fillId="0" borderId="9" xfId="0" applyNumberFormat="1" applyFont="1" applyBorder="1" applyAlignment="1">
      <alignment horizontal="left" wrapText="1"/>
    </xf>
    <xf numFmtId="9" fontId="103" fillId="0" borderId="0" xfId="0" applyNumberFormat="1" applyFont="1"/>
    <xf numFmtId="0" fontId="103" fillId="0" borderId="0" xfId="0" applyFont="1" applyAlignment="1">
      <alignment horizontal="left" indent="1"/>
    </xf>
    <xf numFmtId="0" fontId="103" fillId="0" borderId="0" xfId="0" applyFont="1" applyAlignment="1">
      <alignment horizontal="left" wrapText="1" indent="1"/>
    </xf>
    <xf numFmtId="10" fontId="0" fillId="0" borderId="0" xfId="0" applyNumberFormat="1"/>
    <xf numFmtId="8" fontId="0" fillId="0" borderId="0" xfId="0" applyNumberFormat="1"/>
    <xf numFmtId="1" fontId="2" fillId="3" borderId="9" xfId="0" applyNumberFormat="1" applyFont="1" applyFill="1" applyBorder="1" applyAlignment="1">
      <alignment horizontal="center" vertical="center"/>
    </xf>
    <xf numFmtId="1" fontId="2" fillId="52" borderId="0" xfId="0" applyNumberFormat="1" applyFont="1" applyFill="1" applyAlignment="1">
      <alignment wrapText="1"/>
    </xf>
    <xf numFmtId="1" fontId="2" fillId="52" borderId="0" xfId="0" applyNumberFormat="1" applyFont="1" applyFill="1" applyAlignment="1">
      <alignment horizontal="center" vertical="center"/>
    </xf>
    <xf numFmtId="1" fontId="2" fillId="52" borderId="0" xfId="0" applyNumberFormat="1" applyFont="1" applyFill="1" applyAlignment="1">
      <alignment horizontal="center"/>
    </xf>
    <xf numFmtId="0" fontId="94" fillId="5" borderId="0" xfId="0" applyFont="1" applyFill="1"/>
    <xf numFmtId="171" fontId="0" fillId="0" borderId="0" xfId="1" applyNumberFormat="1" applyFont="1"/>
    <xf numFmtId="0" fontId="94" fillId="85" borderId="0" xfId="0" applyFont="1" applyFill="1"/>
    <xf numFmtId="2" fontId="0" fillId="0" borderId="0" xfId="1" applyNumberFormat="1" applyFont="1"/>
    <xf numFmtId="2" fontId="0" fillId="0" borderId="0" xfId="0" applyNumberFormat="1"/>
    <xf numFmtId="0" fontId="0" fillId="85" borderId="0" xfId="0" applyFill="1"/>
    <xf numFmtId="2" fontId="0" fillId="85" borderId="0" xfId="0" applyNumberFormat="1" applyFill="1"/>
    <xf numFmtId="174" fontId="103" fillId="85" borderId="0" xfId="4" applyNumberFormat="1" applyFont="1" applyFill="1"/>
    <xf numFmtId="9" fontId="2" fillId="0" borderId="0" xfId="1" applyFont="1"/>
    <xf numFmtId="43" fontId="105" fillId="8" borderId="31" xfId="0" applyNumberFormat="1" applyFont="1" applyFill="1" applyBorder="1" applyAlignment="1">
      <alignment vertical="center"/>
    </xf>
    <xf numFmtId="43" fontId="142" fillId="55" borderId="31" xfId="0" applyNumberFormat="1" applyFont="1" applyFill="1" applyBorder="1" applyAlignment="1">
      <alignment horizontal="left" vertical="center" indent="2"/>
    </xf>
    <xf numFmtId="43" fontId="143" fillId="55" borderId="31" xfId="0" applyNumberFormat="1" applyFont="1" applyFill="1" applyBorder="1" applyAlignment="1">
      <alignment horizontal="left" vertical="center" indent="4"/>
    </xf>
    <xf numFmtId="43" fontId="143" fillId="55" borderId="31" xfId="0" applyNumberFormat="1" applyFont="1" applyFill="1" applyBorder="1" applyAlignment="1">
      <alignment horizontal="left" vertical="center" indent="2"/>
    </xf>
    <xf numFmtId="43" fontId="143" fillId="55" borderId="31" xfId="0" applyNumberFormat="1" applyFont="1" applyFill="1" applyBorder="1" applyAlignment="1">
      <alignment horizontal="left" vertical="center" wrapText="1" indent="4"/>
    </xf>
    <xf numFmtId="43" fontId="106" fillId="55" borderId="31" xfId="0" applyNumberFormat="1" applyFont="1" applyFill="1" applyBorder="1" applyAlignment="1">
      <alignment horizontal="left" vertical="center" indent="4"/>
    </xf>
    <xf numFmtId="43" fontId="3" fillId="0" borderId="0" xfId="0" applyNumberFormat="1" applyFont="1" applyAlignment="1" applyProtection="1">
      <alignment horizontal="center"/>
      <protection locked="0"/>
    </xf>
    <xf numFmtId="0" fontId="0" fillId="0" borderId="0" xfId="0" applyFill="1"/>
    <xf numFmtId="43" fontId="105" fillId="0" borderId="0" xfId="0" applyNumberFormat="1" applyFont="1" applyFill="1" applyBorder="1" applyAlignment="1">
      <alignment vertical="center"/>
    </xf>
    <xf numFmtId="43" fontId="142" fillId="0" borderId="0" xfId="0" applyNumberFormat="1" applyFont="1" applyFill="1" applyBorder="1" applyAlignment="1">
      <alignment horizontal="left" vertical="center" indent="2"/>
    </xf>
    <xf numFmtId="43" fontId="143" fillId="0" borderId="0" xfId="0" applyNumberFormat="1" applyFont="1" applyFill="1" applyBorder="1" applyAlignment="1">
      <alignment horizontal="left" vertical="center" indent="4"/>
    </xf>
    <xf numFmtId="43" fontId="143" fillId="0" borderId="0" xfId="0" applyNumberFormat="1" applyFont="1" applyFill="1" applyBorder="1" applyAlignment="1">
      <alignment horizontal="left" vertical="center" indent="2"/>
    </xf>
    <xf numFmtId="43" fontId="143" fillId="0" borderId="0" xfId="0" applyNumberFormat="1" applyFont="1" applyFill="1" applyBorder="1" applyAlignment="1">
      <alignment horizontal="left" vertical="center" wrapText="1" indent="4"/>
    </xf>
    <xf numFmtId="43" fontId="106" fillId="0" borderId="0" xfId="0" applyNumberFormat="1" applyFont="1" applyFill="1" applyBorder="1" applyAlignment="1">
      <alignment horizontal="left" vertical="center" indent="4"/>
    </xf>
    <xf numFmtId="171" fontId="0" fillId="0" borderId="0" xfId="0" applyNumberFormat="1"/>
    <xf numFmtId="175" fontId="106" fillId="0" borderId="0" xfId="4" applyNumberFormat="1" applyFont="1" applyFill="1" applyBorder="1" applyAlignment="1">
      <alignment horizontal="left" vertical="center" indent="2"/>
    </xf>
    <xf numFmtId="175" fontId="105" fillId="0" borderId="0" xfId="4" applyNumberFormat="1" applyFont="1" applyFill="1" applyBorder="1" applyAlignment="1">
      <alignment horizontal="left" vertical="center" indent="2"/>
    </xf>
    <xf numFmtId="175" fontId="106" fillId="0" borderId="0" xfId="4" applyNumberFormat="1" applyFont="1" applyFill="1" applyBorder="1" applyAlignment="1">
      <alignment horizontal="left" vertical="center" indent="4"/>
    </xf>
    <xf numFmtId="175" fontId="105" fillId="0" borderId="0" xfId="4" applyNumberFormat="1" applyFont="1" applyFill="1" applyBorder="1" applyAlignment="1">
      <alignment vertical="center"/>
    </xf>
    <xf numFmtId="175" fontId="1" fillId="0" borderId="0" xfId="4" applyNumberFormat="1" applyFont="1" applyFill="1"/>
    <xf numFmtId="175" fontId="1" fillId="0" borderId="0" xfId="4" applyNumberFormat="1" applyFont="1" applyFill="1" applyBorder="1"/>
    <xf numFmtId="175" fontId="1" fillId="0" borderId="0" xfId="4" applyNumberFormat="1" applyFont="1" applyFill="1" applyBorder="1" applyAlignment="1">
      <alignment horizontal="left" vertical="center"/>
    </xf>
    <xf numFmtId="175" fontId="94" fillId="0" borderId="0" xfId="4" applyNumberFormat="1" applyFont="1" applyFill="1"/>
    <xf numFmtId="43" fontId="105" fillId="55" borderId="0" xfId="0" applyNumberFormat="1" applyFont="1" applyFill="1" applyBorder="1" applyAlignment="1">
      <alignment horizontal="left" vertical="center" indent="4"/>
    </xf>
    <xf numFmtId="43" fontId="105" fillId="0" borderId="0" xfId="0" applyNumberFormat="1" applyFont="1" applyFill="1" applyBorder="1" applyAlignment="1">
      <alignment horizontal="left" vertical="center" indent="4"/>
    </xf>
    <xf numFmtId="0" fontId="144" fillId="0" borderId="58" xfId="0" applyFont="1" applyBorder="1" applyAlignment="1">
      <alignment horizontal="center"/>
    </xf>
    <xf numFmtId="0" fontId="144" fillId="86" borderId="59" xfId="0" applyFont="1" applyFill="1" applyBorder="1"/>
    <xf numFmtId="0" fontId="144" fillId="86" borderId="59" xfId="0" applyFont="1" applyFill="1" applyBorder="1" applyAlignment="1">
      <alignment horizontal="center"/>
    </xf>
    <xf numFmtId="0" fontId="144" fillId="0" borderId="59" xfId="0" applyFont="1" applyFill="1" applyBorder="1" applyAlignment="1">
      <alignment horizontal="center"/>
    </xf>
    <xf numFmtId="0" fontId="144" fillId="86" borderId="60" xfId="0" applyFont="1" applyFill="1" applyBorder="1" applyAlignment="1">
      <alignment horizontal="center"/>
    </xf>
    <xf numFmtId="0" fontId="144" fillId="0" borderId="59" xfId="0" applyFont="1" applyBorder="1" applyAlignment="1">
      <alignment horizontal="center"/>
    </xf>
    <xf numFmtId="0" fontId="145" fillId="0" borderId="60" xfId="0" applyFont="1" applyBorder="1"/>
    <xf numFmtId="0" fontId="145" fillId="0" borderId="59" xfId="0" applyFont="1" applyBorder="1"/>
    <xf numFmtId="173" fontId="145" fillId="0" borderId="59" xfId="4" applyNumberFormat="1" applyFont="1" applyBorder="1"/>
    <xf numFmtId="173" fontId="145" fillId="0" borderId="59" xfId="4" applyNumberFormat="1" applyFont="1" applyFill="1" applyBorder="1"/>
    <xf numFmtId="173" fontId="144" fillId="0" borderId="60" xfId="0" applyNumberFormat="1" applyFont="1" applyBorder="1"/>
    <xf numFmtId="0" fontId="144" fillId="0" borderId="59" xfId="0" applyFont="1" applyBorder="1"/>
    <xf numFmtId="173" fontId="144" fillId="0" borderId="59" xfId="4" applyNumberFormat="1" applyFont="1" applyBorder="1"/>
    <xf numFmtId="173" fontId="144" fillId="0" borderId="59" xfId="4" applyNumberFormat="1" applyFont="1" applyFill="1" applyBorder="1"/>
    <xf numFmtId="173" fontId="144" fillId="0" borderId="60" xfId="4" applyNumberFormat="1" applyFont="1" applyBorder="1"/>
    <xf numFmtId="0" fontId="144" fillId="0" borderId="61" xfId="0" applyFont="1" applyBorder="1" applyAlignment="1">
      <alignment horizontal="center"/>
    </xf>
    <xf numFmtId="0" fontId="144" fillId="86" borderId="62" xfId="0" applyFont="1" applyFill="1" applyBorder="1" applyAlignment="1">
      <alignment horizontal="center"/>
    </xf>
    <xf numFmtId="0" fontId="145" fillId="0" borderId="62" xfId="0" applyFont="1" applyBorder="1"/>
    <xf numFmtId="0" fontId="145" fillId="0" borderId="62" xfId="0" applyFont="1" applyFill="1" applyBorder="1"/>
    <xf numFmtId="0" fontId="145" fillId="0" borderId="63" xfId="0" applyFont="1" applyBorder="1"/>
    <xf numFmtId="0" fontId="145" fillId="0" borderId="59" xfId="0" applyFont="1" applyFill="1" applyBorder="1"/>
    <xf numFmtId="171" fontId="0" fillId="0" borderId="0" xfId="1" applyNumberFormat="1" applyFont="1" applyFill="1"/>
    <xf numFmtId="43" fontId="146" fillId="55" borderId="31" xfId="0" applyNumberFormat="1" applyFont="1" applyFill="1" applyBorder="1" applyAlignment="1">
      <alignment horizontal="left" vertical="center" indent="4"/>
    </xf>
    <xf numFmtId="43" fontId="146" fillId="0" borderId="0" xfId="0" applyNumberFormat="1" applyFont="1" applyFill="1" applyBorder="1" applyAlignment="1">
      <alignment horizontal="left" vertical="center" indent="4"/>
    </xf>
    <xf numFmtId="175" fontId="146" fillId="0" borderId="0" xfId="4" applyNumberFormat="1" applyFont="1" applyFill="1" applyBorder="1" applyAlignment="1">
      <alignment horizontal="left" vertical="center" indent="4"/>
    </xf>
    <xf numFmtId="175" fontId="146" fillId="0" borderId="0" xfId="4" applyNumberFormat="1" applyFont="1" applyFill="1" applyBorder="1"/>
    <xf numFmtId="175" fontId="146" fillId="0" borderId="0" xfId="4" applyNumberFormat="1" applyFont="1" applyFill="1"/>
    <xf numFmtId="0" fontId="145" fillId="0" borderId="64" xfId="0" applyFont="1" applyFill="1" applyBorder="1"/>
    <xf numFmtId="1" fontId="2" fillId="53" borderId="9" xfId="0" applyNumberFormat="1" applyFont="1" applyFill="1" applyBorder="1" applyAlignment="1">
      <alignment horizontal="center" vertical="center"/>
    </xf>
    <xf numFmtId="170" fontId="0" fillId="0" borderId="0" xfId="0" applyNumberFormat="1"/>
    <xf numFmtId="175" fontId="0" fillId="0" borderId="0" xfId="4" applyNumberFormat="1" applyFont="1"/>
    <xf numFmtId="1" fontId="0" fillId="0" borderId="0" xfId="0" applyNumberFormat="1" applyFill="1"/>
    <xf numFmtId="0" fontId="0" fillId="0" borderId="0" xfId="0" applyAlignment="1">
      <alignment horizontal="right"/>
    </xf>
    <xf numFmtId="0" fontId="2" fillId="16" borderId="0" xfId="0" applyFont="1" applyFill="1" applyAlignment="1">
      <alignment horizontal="center" vertical="center"/>
    </xf>
    <xf numFmtId="169" fontId="3" fillId="16" borderId="0" xfId="0" applyNumberFormat="1" applyFont="1" applyFill="1" applyAlignment="1">
      <alignment horizontal="center" vertical="center"/>
    </xf>
    <xf numFmtId="1" fontId="2" fillId="16" borderId="2" xfId="0" applyNumberFormat="1" applyFont="1" applyFill="1" applyBorder="1" applyAlignment="1">
      <alignment horizontal="center" vertical="center"/>
    </xf>
    <xf numFmtId="1" fontId="2" fillId="16" borderId="0" xfId="0" applyNumberFormat="1" applyFont="1" applyFill="1" applyBorder="1" applyAlignment="1">
      <alignment horizontal="center" vertical="center"/>
    </xf>
    <xf numFmtId="1" fontId="3" fillId="16" borderId="0" xfId="0" applyNumberFormat="1" applyFont="1" applyFill="1" applyBorder="1" applyAlignment="1">
      <alignment horizontal="center" vertical="center"/>
    </xf>
    <xf numFmtId="171" fontId="2" fillId="16" borderId="0" xfId="1" applyNumberFormat="1" applyFont="1" applyFill="1" applyBorder="1" applyAlignment="1">
      <alignment horizontal="center" vertical="center"/>
    </xf>
    <xf numFmtId="1" fontId="2" fillId="16" borderId="7" xfId="0" applyNumberFormat="1" applyFont="1" applyFill="1" applyBorder="1" applyAlignment="1">
      <alignment horizontal="center" vertical="center"/>
    </xf>
    <xf numFmtId="1" fontId="2" fillId="16" borderId="0" xfId="1" applyNumberFormat="1" applyFont="1" applyFill="1" applyBorder="1" applyAlignment="1">
      <alignment horizontal="center" vertical="center"/>
    </xf>
    <xf numFmtId="1" fontId="8" fillId="16" borderId="0" xfId="0" applyNumberFormat="1" applyFont="1" applyFill="1" applyBorder="1" applyAlignment="1" applyProtection="1">
      <alignment horizontal="center" vertical="center"/>
    </xf>
    <xf numFmtId="1" fontId="8" fillId="16" borderId="0" xfId="1" applyNumberFormat="1" applyFont="1" applyFill="1" applyBorder="1" applyAlignment="1" applyProtection="1">
      <alignment horizontal="center" vertical="center"/>
    </xf>
    <xf numFmtId="1" fontId="3" fillId="16" borderId="7" xfId="0" applyNumberFormat="1" applyFont="1" applyFill="1" applyBorder="1" applyAlignment="1">
      <alignment horizontal="center" vertical="center"/>
    </xf>
    <xf numFmtId="171" fontId="2" fillId="16" borderId="0" xfId="1" applyNumberFormat="1" applyFont="1" applyFill="1" applyAlignment="1">
      <alignment horizontal="center" vertical="center"/>
    </xf>
    <xf numFmtId="169" fontId="3" fillId="16" borderId="2" xfId="0" applyNumberFormat="1" applyFont="1" applyFill="1" applyBorder="1" applyAlignment="1">
      <alignment horizontal="center" vertical="center"/>
    </xf>
    <xf numFmtId="1" fontId="14" fillId="16" borderId="0" xfId="0" applyNumberFormat="1" applyFont="1" applyFill="1" applyBorder="1" applyAlignment="1">
      <alignment horizontal="center" vertical="center"/>
    </xf>
    <xf numFmtId="1" fontId="6" fillId="16" borderId="0" xfId="0" applyNumberFormat="1" applyFont="1" applyFill="1" applyBorder="1" applyAlignment="1">
      <alignment horizontal="center" vertical="center"/>
    </xf>
    <xf numFmtId="169" fontId="3" fillId="16" borderId="0" xfId="4" applyNumberFormat="1" applyFont="1" applyFill="1" applyAlignment="1">
      <alignment horizontal="center" vertical="center"/>
    </xf>
    <xf numFmtId="1" fontId="3" fillId="16" borderId="2" xfId="0" applyNumberFormat="1" applyFont="1" applyFill="1" applyBorder="1" applyAlignment="1">
      <alignment horizontal="center" vertical="center"/>
    </xf>
    <xf numFmtId="1" fontId="3" fillId="16" borderId="0" xfId="4" applyNumberFormat="1" applyFont="1" applyFill="1" applyAlignment="1">
      <alignment horizontal="center" vertical="center"/>
    </xf>
    <xf numFmtId="1" fontId="3" fillId="16" borderId="0" xfId="4" applyNumberFormat="1" applyFont="1" applyFill="1" applyBorder="1" applyAlignment="1">
      <alignment horizontal="center" vertical="center"/>
    </xf>
    <xf numFmtId="1" fontId="2" fillId="16" borderId="0" xfId="4" applyNumberFormat="1" applyFont="1" applyFill="1" applyBorder="1" applyAlignment="1">
      <alignment horizontal="center" vertical="center"/>
    </xf>
    <xf numFmtId="2" fontId="3" fillId="16" borderId="0" xfId="4" applyNumberFormat="1" applyFont="1" applyFill="1" applyBorder="1" applyAlignment="1">
      <alignment horizontal="center" vertical="center"/>
    </xf>
    <xf numFmtId="1" fontId="3" fillId="16" borderId="7" xfId="4" applyNumberFormat="1" applyFont="1" applyFill="1" applyBorder="1" applyAlignment="1">
      <alignment horizontal="center" vertical="center"/>
    </xf>
    <xf numFmtId="9" fontId="2" fillId="16" borderId="9" xfId="1" applyFont="1" applyFill="1" applyBorder="1" applyAlignment="1">
      <alignment horizontal="center" vertical="center"/>
    </xf>
    <xf numFmtId="1" fontId="2" fillId="16" borderId="9" xfId="0" applyNumberFormat="1" applyFont="1" applyFill="1" applyBorder="1" applyAlignment="1">
      <alignment horizontal="center" vertical="center"/>
    </xf>
    <xf numFmtId="1" fontId="12" fillId="16" borderId="9" xfId="0" applyNumberFormat="1" applyFont="1" applyFill="1" applyBorder="1" applyAlignment="1">
      <alignment horizontal="center" vertical="center"/>
    </xf>
    <xf numFmtId="1" fontId="3" fillId="16" borderId="9" xfId="0" applyNumberFormat="1" applyFont="1" applyFill="1" applyBorder="1" applyAlignment="1">
      <alignment horizontal="center" vertical="center"/>
    </xf>
    <xf numFmtId="9" fontId="2" fillId="16" borderId="0" xfId="1" applyFont="1" applyFill="1"/>
    <xf numFmtId="1" fontId="2" fillId="0" borderId="4" xfId="0" applyNumberFormat="1" applyFont="1" applyBorder="1" applyAlignment="1">
      <alignment vertical="center" wrapText="1"/>
    </xf>
    <xf numFmtId="169" fontId="3" fillId="14" borderId="2" xfId="0" applyNumberFormat="1" applyFont="1" applyFill="1" applyBorder="1" applyAlignment="1">
      <alignment horizontal="center" vertical="center"/>
    </xf>
    <xf numFmtId="1" fontId="2" fillId="14" borderId="0" xfId="0" applyNumberFormat="1" applyFont="1" applyFill="1" applyBorder="1" applyAlignment="1">
      <alignment horizontal="center" vertical="center"/>
    </xf>
    <xf numFmtId="1" fontId="14" fillId="14" borderId="0" xfId="0" applyNumberFormat="1" applyFont="1" applyFill="1" applyBorder="1" applyAlignment="1">
      <alignment horizontal="center" vertical="center"/>
    </xf>
    <xf numFmtId="1" fontId="6" fillId="14" borderId="0" xfId="0" applyNumberFormat="1" applyFont="1" applyFill="1" applyBorder="1" applyAlignment="1">
      <alignment horizontal="center" vertical="center"/>
    </xf>
    <xf numFmtId="1" fontId="3" fillId="14" borderId="7" xfId="0" applyNumberFormat="1" applyFont="1" applyFill="1" applyBorder="1" applyAlignment="1">
      <alignment horizontal="center" vertical="center"/>
    </xf>
    <xf numFmtId="169" fontId="3" fillId="14" borderId="0" xfId="4" applyNumberFormat="1" applyFont="1" applyFill="1" applyAlignment="1">
      <alignment horizontal="center" vertical="center"/>
    </xf>
    <xf numFmtId="1" fontId="3" fillId="14" borderId="2" xfId="0" applyNumberFormat="1" applyFont="1" applyFill="1" applyBorder="1" applyAlignment="1">
      <alignment horizontal="center" vertical="center"/>
    </xf>
    <xf numFmtId="1" fontId="3" fillId="14" borderId="0" xfId="4" applyNumberFormat="1" applyFont="1" applyFill="1" applyAlignment="1">
      <alignment horizontal="center" vertical="center"/>
    </xf>
    <xf numFmtId="1" fontId="3" fillId="14" borderId="0" xfId="4" applyNumberFormat="1" applyFont="1" applyFill="1" applyBorder="1" applyAlignment="1">
      <alignment horizontal="center" vertical="center"/>
    </xf>
    <xf numFmtId="1" fontId="2" fillId="14" borderId="0" xfId="4" applyNumberFormat="1" applyFont="1" applyFill="1" applyBorder="1" applyAlignment="1">
      <alignment horizontal="center" vertical="center"/>
    </xf>
    <xf numFmtId="2" fontId="3" fillId="14" borderId="0" xfId="4" applyNumberFormat="1" applyFont="1" applyFill="1" applyBorder="1" applyAlignment="1">
      <alignment horizontal="center" vertical="center"/>
    </xf>
    <xf numFmtId="1" fontId="3" fillId="14" borderId="7" xfId="4" applyNumberFormat="1" applyFont="1" applyFill="1" applyBorder="1" applyAlignment="1">
      <alignment horizontal="center" vertical="center"/>
    </xf>
    <xf numFmtId="9" fontId="2" fillId="14" borderId="9" xfId="1" applyFont="1" applyFill="1" applyBorder="1" applyAlignment="1">
      <alignment horizontal="center" vertical="center"/>
    </xf>
    <xf numFmtId="1" fontId="12" fillId="14" borderId="9" xfId="0" applyNumberFormat="1" applyFont="1" applyFill="1" applyBorder="1" applyAlignment="1">
      <alignment horizontal="center" vertical="center"/>
    </xf>
    <xf numFmtId="1" fontId="3" fillId="14" borderId="9" xfId="0" applyNumberFormat="1" applyFont="1" applyFill="1" applyBorder="1" applyAlignment="1">
      <alignment horizontal="center" vertical="center"/>
    </xf>
    <xf numFmtId="9" fontId="2" fillId="14" borderId="0" xfId="1" applyFont="1" applyFill="1"/>
    <xf numFmtId="0" fontId="2" fillId="14" borderId="0" xfId="0" applyFont="1" applyFill="1" applyAlignment="1">
      <alignment horizontal="center" vertical="center"/>
    </xf>
    <xf numFmtId="169" fontId="3" fillId="14" borderId="0" xfId="0" applyNumberFormat="1" applyFont="1" applyFill="1" applyAlignment="1">
      <alignment horizontal="center" vertical="center"/>
    </xf>
    <xf numFmtId="1" fontId="2" fillId="14" borderId="2" xfId="0" applyNumberFormat="1" applyFont="1" applyFill="1" applyBorder="1" applyAlignment="1">
      <alignment horizontal="center" vertical="center"/>
    </xf>
    <xf numFmtId="171" fontId="2" fillId="14" borderId="0" xfId="1" applyNumberFormat="1" applyFont="1" applyFill="1" applyBorder="1" applyAlignment="1">
      <alignment horizontal="center" vertical="center"/>
    </xf>
    <xf numFmtId="1" fontId="2" fillId="14" borderId="7" xfId="0" applyNumberFormat="1" applyFont="1" applyFill="1" applyBorder="1" applyAlignment="1">
      <alignment horizontal="center" vertical="center"/>
    </xf>
    <xf numFmtId="1" fontId="2" fillId="14" borderId="0" xfId="1" applyNumberFormat="1" applyFont="1" applyFill="1" applyBorder="1" applyAlignment="1">
      <alignment horizontal="center" vertical="center"/>
    </xf>
    <xf numFmtId="1" fontId="8" fillId="14" borderId="0" xfId="0" applyNumberFormat="1" applyFont="1" applyFill="1" applyBorder="1" applyAlignment="1" applyProtection="1">
      <alignment horizontal="center" vertical="center"/>
    </xf>
    <xf numFmtId="1" fontId="8" fillId="14" borderId="0" xfId="1" applyNumberFormat="1" applyFont="1" applyFill="1" applyBorder="1" applyAlignment="1" applyProtection="1">
      <alignment horizontal="center" vertical="center"/>
    </xf>
    <xf numFmtId="171" fontId="2" fillId="14" borderId="0" xfId="1" applyNumberFormat="1" applyFont="1" applyFill="1" applyAlignment="1">
      <alignment horizontal="center" vertical="center"/>
    </xf>
    <xf numFmtId="168" fontId="3" fillId="0" borderId="0" xfId="4" applyFont="1" applyAlignment="1" applyProtection="1">
      <alignment horizontal="center"/>
      <protection locked="0"/>
    </xf>
    <xf numFmtId="168" fontId="3" fillId="0" borderId="0" xfId="4" applyFont="1" applyProtection="1">
      <protection locked="0"/>
    </xf>
    <xf numFmtId="168" fontId="94" fillId="0" borderId="0" xfId="4" applyFont="1"/>
    <xf numFmtId="174" fontId="94" fillId="0" borderId="0" xfId="4" applyNumberFormat="1" applyFont="1"/>
    <xf numFmtId="2" fontId="14" fillId="0" borderId="0" xfId="0" applyNumberFormat="1" applyFont="1" applyAlignment="1">
      <alignment horizontal="center" vertical="center"/>
    </xf>
    <xf numFmtId="173" fontId="14" fillId="0" borderId="0" xfId="3" applyNumberFormat="1" applyFont="1" applyFill="1" applyAlignment="1" applyProtection="1">
      <protection locked="0"/>
    </xf>
    <xf numFmtId="43" fontId="96" fillId="0" borderId="0" xfId="3" applyFont="1" applyAlignment="1" applyProtection="1">
      <alignment horizontal="center"/>
      <protection locked="0"/>
    </xf>
    <xf numFmtId="173" fontId="96" fillId="0" borderId="0" xfId="0" applyNumberFormat="1" applyFont="1" applyProtection="1">
      <protection locked="0"/>
    </xf>
    <xf numFmtId="0" fontId="148" fillId="0" borderId="0" xfId="0" applyFont="1"/>
    <xf numFmtId="0" fontId="149" fillId="0" borderId="0" xfId="0" applyFont="1"/>
    <xf numFmtId="43" fontId="148" fillId="0" borderId="0" xfId="0" applyNumberFormat="1" applyFont="1"/>
    <xf numFmtId="0" fontId="6" fillId="0" borderId="0" xfId="0" applyFont="1" applyProtection="1">
      <protection locked="0"/>
    </xf>
    <xf numFmtId="173" fontId="6" fillId="0" borderId="0" xfId="3" applyNumberFormat="1" applyFont="1" applyProtection="1">
      <protection locked="0"/>
    </xf>
    <xf numFmtId="43" fontId="6" fillId="3" borderId="0" xfId="3" applyFont="1" applyFill="1" applyProtection="1">
      <protection locked="0"/>
    </xf>
    <xf numFmtId="173" fontId="4" fillId="0" borderId="0" xfId="3" applyNumberFormat="1" applyFont="1" applyProtection="1">
      <protection locked="0"/>
    </xf>
    <xf numFmtId="43" fontId="6" fillId="0" borderId="0" xfId="3" applyFont="1" applyProtection="1">
      <protection locked="0"/>
    </xf>
    <xf numFmtId="43" fontId="114" fillId="0" borderId="0" xfId="613" applyNumberFormat="1" applyFont="1" applyFill="1" applyBorder="1" applyAlignment="1" applyProtection="1">
      <alignment horizontal="right" vertical="center"/>
      <protection locked="0"/>
    </xf>
    <xf numFmtId="174" fontId="114" fillId="0" borderId="0" xfId="4" applyNumberFormat="1" applyFont="1" applyFill="1" applyBorder="1" applyAlignment="1" applyProtection="1">
      <alignment horizontal="right" vertical="center"/>
      <protection locked="0"/>
    </xf>
    <xf numFmtId="174" fontId="110" fillId="0" borderId="0" xfId="4" applyNumberFormat="1" applyFont="1" applyBorder="1" applyProtection="1">
      <protection locked="0"/>
    </xf>
    <xf numFmtId="168" fontId="103" fillId="0" borderId="0" xfId="4" applyNumberFormat="1" applyFont="1"/>
    <xf numFmtId="9" fontId="103" fillId="0" borderId="0" xfId="1" applyFont="1" applyAlignment="1">
      <alignment horizontal="right"/>
    </xf>
    <xf numFmtId="6" fontId="103" fillId="0" borderId="0" xfId="0" applyNumberFormat="1" applyFont="1"/>
    <xf numFmtId="0" fontId="89" fillId="0" borderId="0" xfId="966" applyFont="1"/>
    <xf numFmtId="210" fontId="132" fillId="0" borderId="47" xfId="966" applyNumberFormat="1" applyFont="1" applyBorder="1"/>
    <xf numFmtId="0" fontId="89" fillId="0" borderId="48" xfId="966" applyFont="1" applyBorder="1"/>
    <xf numFmtId="0" fontId="60" fillId="0" borderId="48" xfId="966" applyFont="1" applyBorder="1"/>
    <xf numFmtId="0" fontId="60" fillId="0" borderId="48" xfId="966" quotePrefix="1" applyFont="1" applyBorder="1" applyAlignment="1">
      <alignment horizontal="left"/>
    </xf>
    <xf numFmtId="0" fontId="89" fillId="83" borderId="66" xfId="966" applyFont="1" applyFill="1" applyBorder="1"/>
    <xf numFmtId="0" fontId="89" fillId="83" borderId="67" xfId="966" applyFont="1" applyFill="1" applyBorder="1" applyAlignment="1">
      <alignment horizontal="center"/>
    </xf>
    <xf numFmtId="0" fontId="89" fillId="0" borderId="4" xfId="966" applyFont="1" applyBorder="1"/>
    <xf numFmtId="0" fontId="89" fillId="0" borderId="49" xfId="966" applyFont="1" applyBorder="1"/>
    <xf numFmtId="0" fontId="89" fillId="0" borderId="5" xfId="966" applyFont="1" applyBorder="1"/>
    <xf numFmtId="210" fontId="132" fillId="0" borderId="4" xfId="966" applyNumberFormat="1" applyFont="1" applyBorder="1" applyAlignment="1">
      <alignment horizontal="center"/>
    </xf>
    <xf numFmtId="210" fontId="132" fillId="0" borderId="30" xfId="966" applyNumberFormat="1" applyFont="1" applyBorder="1" applyAlignment="1">
      <alignment horizontal="center"/>
    </xf>
    <xf numFmtId="210" fontId="132" fillId="0" borderId="68" xfId="966" applyNumberFormat="1" applyFont="1" applyBorder="1" applyAlignment="1">
      <alignment horizontal="center"/>
    </xf>
    <xf numFmtId="210" fontId="132" fillId="0" borderId="70" xfId="966" applyNumberFormat="1" applyFont="1" applyBorder="1" applyAlignment="1">
      <alignment horizontal="center"/>
    </xf>
    <xf numFmtId="210" fontId="132" fillId="0" borderId="13" xfId="966" applyNumberFormat="1" applyFont="1" applyBorder="1" applyAlignment="1">
      <alignment horizontal="center"/>
    </xf>
    <xf numFmtId="210" fontId="132" fillId="0" borderId="50" xfId="966" applyNumberFormat="1" applyFont="1" applyBorder="1" applyAlignment="1">
      <alignment horizontal="center"/>
    </xf>
    <xf numFmtId="210" fontId="132" fillId="0" borderId="51" xfId="966" applyNumberFormat="1" applyFont="1" applyBorder="1" applyAlignment="1">
      <alignment horizontal="center"/>
    </xf>
    <xf numFmtId="210" fontId="151" fillId="0" borderId="52" xfId="966" quotePrefix="1" applyNumberFormat="1" applyFont="1" applyBorder="1" applyAlignment="1">
      <alignment horizontal="center"/>
    </xf>
    <xf numFmtId="210" fontId="151" fillId="0" borderId="51" xfId="966" quotePrefix="1" applyNumberFormat="1" applyFont="1" applyBorder="1" applyAlignment="1">
      <alignment horizontal="center"/>
    </xf>
    <xf numFmtId="210" fontId="152" fillId="0" borderId="4" xfId="966" applyNumberFormat="1" applyFont="1" applyBorder="1"/>
    <xf numFmtId="210" fontId="152" fillId="0" borderId="49" xfId="966" applyNumberFormat="1" applyFont="1" applyBorder="1"/>
    <xf numFmtId="210" fontId="152" fillId="0" borderId="30" xfId="966" applyNumberFormat="1" applyFont="1" applyBorder="1"/>
    <xf numFmtId="210" fontId="132" fillId="0" borderId="4" xfId="966" applyNumberFormat="1" applyFont="1" applyBorder="1"/>
    <xf numFmtId="210" fontId="152" fillId="0" borderId="4" xfId="966" applyNumberFormat="1" applyFont="1" applyBorder="1" applyAlignment="1">
      <alignment horizontal="center"/>
    </xf>
    <xf numFmtId="10" fontId="152" fillId="0" borderId="30" xfId="966" applyNumberFormat="1" applyFont="1" applyBorder="1"/>
    <xf numFmtId="174" fontId="89" fillId="0" borderId="30" xfId="966" applyNumberFormat="1" applyFont="1" applyBorder="1"/>
    <xf numFmtId="215" fontId="89" fillId="0" borderId="30" xfId="884" applyNumberFormat="1" applyFont="1" applyFill="1" applyBorder="1"/>
    <xf numFmtId="207" fontId="152" fillId="0" borderId="30" xfId="885" applyNumberFormat="1" applyFont="1" applyBorder="1" applyProtection="1"/>
    <xf numFmtId="207" fontId="152" fillId="0" borderId="30" xfId="885" applyNumberFormat="1" applyFont="1" applyBorder="1" applyAlignment="1" applyProtection="1"/>
    <xf numFmtId="174" fontId="152" fillId="0" borderId="30" xfId="885" applyNumberFormat="1" applyFont="1" applyBorder="1" applyProtection="1"/>
    <xf numFmtId="174" fontId="152" fillId="0" borderId="30" xfId="886" applyNumberFormat="1" applyFont="1" applyBorder="1"/>
    <xf numFmtId="39" fontId="89" fillId="0" borderId="0" xfId="800" applyFont="1"/>
    <xf numFmtId="215" fontId="89" fillId="0" borderId="0" xfId="301" applyNumberFormat="1" applyFont="1"/>
    <xf numFmtId="168" fontId="89" fillId="0" borderId="0" xfId="966" applyNumberFormat="1" applyFont="1"/>
    <xf numFmtId="174" fontId="152" fillId="0" borderId="30" xfId="885" applyNumberFormat="1" applyFont="1" applyFill="1" applyBorder="1" applyProtection="1"/>
    <xf numFmtId="174" fontId="152" fillId="0" borderId="30" xfId="886" applyNumberFormat="1" applyFont="1" applyFill="1" applyBorder="1" applyProtection="1"/>
    <xf numFmtId="10" fontId="152" fillId="0" borderId="53" xfId="966" applyNumberFormat="1" applyFont="1" applyBorder="1"/>
    <xf numFmtId="174" fontId="132" fillId="0" borderId="53" xfId="885" applyNumberFormat="1" applyFont="1" applyFill="1" applyBorder="1" applyProtection="1"/>
    <xf numFmtId="174" fontId="132" fillId="0" borderId="53" xfId="885" applyNumberFormat="1" applyFont="1" applyBorder="1" applyProtection="1"/>
    <xf numFmtId="174" fontId="89" fillId="0" borderId="0" xfId="966" applyNumberFormat="1" applyFont="1"/>
    <xf numFmtId="174" fontId="152" fillId="0" borderId="54" xfId="885" applyNumberFormat="1" applyFont="1" applyFill="1" applyBorder="1" applyProtection="1"/>
    <xf numFmtId="215" fontId="89" fillId="0" borderId="30" xfId="301" applyNumberFormat="1" applyFont="1" applyFill="1" applyBorder="1"/>
    <xf numFmtId="215" fontId="153" fillId="0" borderId="30" xfId="794" applyNumberFormat="1" applyFont="1" applyFill="1" applyBorder="1" applyProtection="1"/>
    <xf numFmtId="215" fontId="152" fillId="3" borderId="30" xfId="301" applyNumberFormat="1" applyFont="1" applyFill="1" applyBorder="1" applyProtection="1"/>
    <xf numFmtId="215" fontId="152" fillId="0" borderId="30" xfId="301" applyNumberFormat="1" applyFont="1" applyBorder="1" applyProtection="1"/>
    <xf numFmtId="215" fontId="89" fillId="0" borderId="30" xfId="301" applyNumberFormat="1" applyFont="1" applyBorder="1"/>
    <xf numFmtId="173" fontId="89" fillId="0" borderId="0" xfId="966" applyNumberFormat="1" applyFont="1"/>
    <xf numFmtId="215" fontId="89" fillId="3" borderId="30" xfId="301" applyNumberFormat="1" applyFont="1" applyFill="1" applyBorder="1" applyAlignment="1">
      <alignment horizontal="center" vertical="center"/>
    </xf>
    <xf numFmtId="215" fontId="152" fillId="0" borderId="30" xfId="798" applyNumberFormat="1" applyFont="1" applyFill="1" applyBorder="1" applyProtection="1"/>
    <xf numFmtId="215" fontId="152" fillId="0" borderId="30" xfId="798" applyNumberFormat="1" applyFont="1" applyBorder="1" applyProtection="1"/>
    <xf numFmtId="216" fontId="89" fillId="0" borderId="0" xfId="966" applyNumberFormat="1" applyFont="1"/>
    <xf numFmtId="215" fontId="89" fillId="0" borderId="30" xfId="794" applyNumberFormat="1" applyFont="1" applyFill="1" applyBorder="1"/>
    <xf numFmtId="10" fontId="89" fillId="0" borderId="30" xfId="966" applyNumberFormat="1" applyFont="1" applyBorder="1"/>
    <xf numFmtId="207" fontId="89" fillId="0" borderId="0" xfId="301" applyNumberFormat="1" applyFont="1"/>
    <xf numFmtId="215" fontId="132" fillId="0" borderId="53" xfId="301" applyNumberFormat="1" applyFont="1" applyFill="1" applyBorder="1" applyProtection="1"/>
    <xf numFmtId="215" fontId="132" fillId="0" borderId="53" xfId="301" applyNumberFormat="1" applyFont="1" applyBorder="1" applyProtection="1"/>
    <xf numFmtId="174" fontId="89" fillId="3" borderId="30" xfId="887" applyNumberFormat="1" applyFont="1" applyFill="1" applyBorder="1" applyProtection="1"/>
    <xf numFmtId="174" fontId="89" fillId="0" borderId="30" xfId="887" applyNumberFormat="1" applyFont="1" applyFill="1" applyBorder="1" applyProtection="1"/>
    <xf numFmtId="0" fontId="89" fillId="0" borderId="30" xfId="966" applyFont="1" applyBorder="1"/>
    <xf numFmtId="174" fontId="89" fillId="0" borderId="30" xfId="885" applyNumberFormat="1" applyFont="1" applyFill="1" applyBorder="1" applyProtection="1"/>
    <xf numFmtId="174" fontId="152" fillId="0" borderId="30" xfId="888" applyNumberFormat="1" applyFont="1" applyFill="1" applyBorder="1" applyProtection="1"/>
    <xf numFmtId="174" fontId="89" fillId="0" borderId="30" xfId="885" applyNumberFormat="1" applyFont="1" applyBorder="1"/>
    <xf numFmtId="210" fontId="132" fillId="0" borderId="4" xfId="966" applyNumberFormat="1" applyFont="1" applyBorder="1" applyAlignment="1">
      <alignment horizontal="left"/>
    </xf>
    <xf numFmtId="174" fontId="152" fillId="0" borderId="30" xfId="889" applyNumberFormat="1" applyFont="1" applyFill="1" applyBorder="1" applyProtection="1"/>
    <xf numFmtId="174" fontId="154" fillId="0" borderId="30" xfId="885" applyNumberFormat="1" applyFont="1" applyFill="1" applyBorder="1" applyProtection="1"/>
    <xf numFmtId="10" fontId="152" fillId="0" borderId="54" xfId="966" applyNumberFormat="1" applyFont="1" applyBorder="1"/>
    <xf numFmtId="174" fontId="132" fillId="0" borderId="54" xfId="885" applyNumberFormat="1" applyFont="1" applyFill="1" applyBorder="1" applyProtection="1"/>
    <xf numFmtId="174" fontId="132" fillId="0" borderId="54" xfId="885" applyNumberFormat="1" applyFont="1" applyBorder="1" applyProtection="1"/>
    <xf numFmtId="174" fontId="132" fillId="0" borderId="30" xfId="885" applyNumberFormat="1" applyFont="1" applyBorder="1" applyProtection="1"/>
    <xf numFmtId="174" fontId="132" fillId="0" borderId="30" xfId="885" applyNumberFormat="1" applyFont="1" applyFill="1" applyBorder="1" applyProtection="1"/>
    <xf numFmtId="10" fontId="152" fillId="0" borderId="55" xfId="966" applyNumberFormat="1" applyFont="1" applyBorder="1"/>
    <xf numFmtId="174" fontId="132" fillId="0" borderId="55" xfId="885" applyNumberFormat="1" applyFont="1" applyFill="1" applyBorder="1" applyProtection="1"/>
    <xf numFmtId="174" fontId="132" fillId="0" borderId="55" xfId="885" applyNumberFormat="1" applyFont="1" applyBorder="1" applyProtection="1"/>
    <xf numFmtId="210" fontId="132" fillId="0" borderId="56" xfId="966" applyNumberFormat="1" applyFont="1" applyBorder="1" applyAlignment="1">
      <alignment horizontal="center"/>
    </xf>
    <xf numFmtId="210" fontId="132" fillId="0" borderId="53" xfId="966" applyNumberFormat="1" applyFont="1" applyBorder="1"/>
    <xf numFmtId="174" fontId="132" fillId="0" borderId="57" xfId="885" applyNumberFormat="1" applyFont="1" applyBorder="1" applyProtection="1"/>
    <xf numFmtId="174" fontId="132" fillId="55" borderId="57" xfId="885" applyNumberFormat="1" applyFont="1" applyFill="1" applyBorder="1" applyProtection="1"/>
    <xf numFmtId="210" fontId="132" fillId="0" borderId="0" xfId="966" applyNumberFormat="1" applyFont="1" applyAlignment="1">
      <alignment horizontal="left"/>
    </xf>
    <xf numFmtId="210" fontId="132" fillId="0" borderId="0" xfId="966" applyNumberFormat="1" applyFont="1"/>
    <xf numFmtId="174" fontId="132" fillId="0" borderId="0" xfId="885" applyNumberFormat="1" applyFont="1" applyBorder="1" applyProtection="1"/>
    <xf numFmtId="168" fontId="132" fillId="0" borderId="0" xfId="885" applyFont="1" applyBorder="1" applyProtection="1"/>
    <xf numFmtId="207" fontId="89" fillId="0" borderId="0" xfId="966" applyNumberFormat="1" applyFont="1"/>
    <xf numFmtId="168" fontId="132" fillId="0" borderId="0" xfId="885" applyFont="1" applyFill="1" applyBorder="1" applyProtection="1"/>
    <xf numFmtId="215" fontId="132" fillId="0" borderId="0" xfId="301" applyNumberFormat="1" applyFont="1" applyBorder="1" applyAlignment="1" applyProtection="1">
      <alignment horizontal="right"/>
    </xf>
    <xf numFmtId="174" fontId="132" fillId="0" borderId="0" xfId="885" applyNumberFormat="1" applyFont="1" applyFill="1" applyBorder="1" applyProtection="1"/>
    <xf numFmtId="168" fontId="132" fillId="0" borderId="0" xfId="890" applyNumberFormat="1" applyFont="1" applyFill="1" applyBorder="1" applyProtection="1"/>
    <xf numFmtId="174" fontId="132" fillId="0" borderId="0" xfId="891" applyNumberFormat="1" applyFont="1" applyFill="1" applyBorder="1" applyProtection="1"/>
    <xf numFmtId="215" fontId="132" fillId="0" borderId="0" xfId="301" applyNumberFormat="1" applyFont="1" applyFill="1" applyBorder="1" applyProtection="1"/>
    <xf numFmtId="174" fontId="155" fillId="47" borderId="0" xfId="966" applyNumberFormat="1" applyFont="1" applyFill="1"/>
    <xf numFmtId="210" fontId="132" fillId="0" borderId="0" xfId="966" applyNumberFormat="1" applyFont="1" applyAlignment="1">
      <alignment horizontal="center"/>
    </xf>
    <xf numFmtId="168" fontId="60" fillId="0" borderId="0" xfId="966" applyNumberFormat="1" applyFont="1"/>
    <xf numFmtId="168" fontId="132" fillId="0" borderId="0" xfId="800" applyNumberFormat="1" applyFont="1" applyFill="1" applyBorder="1" applyProtection="1"/>
    <xf numFmtId="168" fontId="132" fillId="0" borderId="0" xfId="885" applyFont="1" applyBorder="1" applyAlignment="1" applyProtection="1">
      <alignment horizontal="center"/>
    </xf>
    <xf numFmtId="174" fontId="132" fillId="0" borderId="0" xfId="885" applyNumberFormat="1" applyFont="1" applyBorder="1" applyAlignment="1" applyProtection="1">
      <alignment horizontal="center"/>
    </xf>
    <xf numFmtId="174" fontId="152" fillId="0" borderId="0" xfId="885" applyNumberFormat="1" applyFont="1" applyBorder="1" applyProtection="1"/>
    <xf numFmtId="168" fontId="152" fillId="0" borderId="0" xfId="885" applyFont="1" applyFill="1" applyBorder="1" applyProtection="1"/>
    <xf numFmtId="9" fontId="132" fillId="0" borderId="0" xfId="966" applyNumberFormat="1" applyFont="1"/>
    <xf numFmtId="168" fontId="132" fillId="0" borderId="0" xfId="301" applyFont="1" applyFill="1" applyBorder="1" applyAlignment="1" applyProtection="1">
      <alignment horizontal="center"/>
    </xf>
    <xf numFmtId="174" fontId="60" fillId="0" borderId="0" xfId="966" applyNumberFormat="1" applyFont="1"/>
    <xf numFmtId="174" fontId="152" fillId="0" borderId="0" xfId="885" applyNumberFormat="1" applyFont="1" applyFill="1" applyBorder="1" applyProtection="1"/>
    <xf numFmtId="210" fontId="152" fillId="0" borderId="0" xfId="966" applyNumberFormat="1" applyFont="1"/>
    <xf numFmtId="9" fontId="152" fillId="0" borderId="0" xfId="966" applyNumberFormat="1" applyFont="1"/>
    <xf numFmtId="168" fontId="132" fillId="0" borderId="0" xfId="301" applyFont="1" applyFill="1" applyBorder="1" applyProtection="1"/>
    <xf numFmtId="168" fontId="152" fillId="0" borderId="0" xfId="885" applyFont="1" applyBorder="1" applyProtection="1"/>
    <xf numFmtId="174" fontId="152" fillId="0" borderId="0" xfId="885" applyNumberFormat="1" applyFont="1" applyBorder="1" applyAlignment="1" applyProtection="1">
      <alignment horizontal="center"/>
    </xf>
    <xf numFmtId="210" fontId="152" fillId="0" borderId="0" xfId="966" applyNumberFormat="1" applyFont="1" applyAlignment="1">
      <alignment horizontal="left"/>
    </xf>
    <xf numFmtId="168" fontId="152" fillId="0" borderId="0" xfId="301" applyFont="1" applyFill="1" applyBorder="1" applyProtection="1"/>
    <xf numFmtId="174" fontId="89" fillId="0" borderId="0" xfId="885" applyNumberFormat="1" applyFont="1" applyBorder="1"/>
    <xf numFmtId="215" fontId="152" fillId="0" borderId="0" xfId="301" applyNumberFormat="1" applyFont="1" applyBorder="1" applyProtection="1"/>
    <xf numFmtId="210" fontId="152" fillId="0" borderId="0" xfId="966" applyNumberFormat="1" applyFont="1" applyAlignment="1">
      <alignment horizontal="center"/>
    </xf>
    <xf numFmtId="215" fontId="152" fillId="0" borderId="0" xfId="301" applyNumberFormat="1" applyFont="1" applyFill="1" applyBorder="1" applyProtection="1"/>
    <xf numFmtId="210" fontId="132" fillId="0" borderId="31" xfId="966" applyNumberFormat="1" applyFont="1" applyBorder="1" applyAlignment="1">
      <alignment horizontal="center"/>
    </xf>
    <xf numFmtId="210" fontId="152" fillId="0" borderId="31" xfId="966" applyNumberFormat="1" applyFont="1" applyBorder="1" applyAlignment="1">
      <alignment horizontal="center"/>
    </xf>
    <xf numFmtId="210" fontId="152" fillId="0" borderId="31" xfId="966" applyNumberFormat="1" applyFont="1" applyBorder="1" applyAlignment="1">
      <alignment horizontal="right"/>
    </xf>
    <xf numFmtId="217" fontId="152" fillId="0" borderId="31" xfId="966" applyNumberFormat="1" applyFont="1" applyBorder="1"/>
    <xf numFmtId="217" fontId="152" fillId="0" borderId="0" xfId="966" applyNumberFormat="1" applyFont="1"/>
    <xf numFmtId="39" fontId="152" fillId="0" borderId="0" xfId="885" applyNumberFormat="1" applyFont="1" applyBorder="1" applyProtection="1"/>
    <xf numFmtId="215" fontId="132" fillId="0" borderId="0" xfId="301" applyNumberFormat="1" applyFont="1" applyBorder="1" applyProtection="1"/>
    <xf numFmtId="215" fontId="89" fillId="0" borderId="0" xfId="301" applyNumberFormat="1" applyFont="1" applyBorder="1"/>
    <xf numFmtId="0" fontId="104" fillId="0" borderId="0" xfId="1500" applyFont="1"/>
    <xf numFmtId="0" fontId="156" fillId="0" borderId="0" xfId="1500"/>
    <xf numFmtId="4" fontId="104" fillId="0" borderId="0" xfId="1500" applyNumberFormat="1" applyFont="1"/>
    <xf numFmtId="0" fontId="17" fillId="0" borderId="0" xfId="1500" applyFont="1" applyAlignment="1">
      <alignment horizontal="center"/>
    </xf>
    <xf numFmtId="39" fontId="0" fillId="0" borderId="0" xfId="800" applyFont="1" applyBorder="1" applyAlignment="1">
      <alignment horizontal="right"/>
    </xf>
    <xf numFmtId="39" fontId="0" fillId="0" borderId="0" xfId="800" applyFont="1" applyBorder="1"/>
    <xf numFmtId="0" fontId="5" fillId="0" borderId="0" xfId="1500" applyFont="1"/>
    <xf numFmtId="0" fontId="156" fillId="0" borderId="67" xfId="1500" applyBorder="1"/>
    <xf numFmtId="4" fontId="156" fillId="0" borderId="0" xfId="1500" applyNumberFormat="1"/>
    <xf numFmtId="4" fontId="94" fillId="0" borderId="0" xfId="1500" applyNumberFormat="1" applyFont="1"/>
    <xf numFmtId="0" fontId="156" fillId="0" borderId="0" xfId="1500" quotePrefix="1"/>
    <xf numFmtId="39" fontId="0" fillId="0" borderId="0" xfId="800" applyFont="1" applyFill="1" applyBorder="1"/>
    <xf numFmtId="4" fontId="1" fillId="0" borderId="0" xfId="1500" applyNumberFormat="1" applyFont="1"/>
    <xf numFmtId="0" fontId="94" fillId="0" borderId="0" xfId="1500" applyFont="1"/>
    <xf numFmtId="0" fontId="94" fillId="3" borderId="67" xfId="1500" applyFont="1" applyFill="1" applyBorder="1"/>
    <xf numFmtId="10" fontId="2" fillId="0" borderId="0" xfId="1" applyNumberFormat="1" applyFont="1" applyAlignment="1">
      <alignment horizontal="center"/>
    </xf>
    <xf numFmtId="10" fontId="2" fillId="14" borderId="0" xfId="1" applyNumberFormat="1" applyFont="1" applyFill="1" applyAlignment="1">
      <alignment horizontal="center" vertical="center"/>
    </xf>
    <xf numFmtId="4" fontId="0" fillId="0" borderId="0" xfId="0" applyNumberFormat="1"/>
    <xf numFmtId="0" fontId="0" fillId="0" borderId="71" xfId="0" applyBorder="1"/>
    <xf numFmtId="0" fontId="2" fillId="0" borderId="71" xfId="0" applyFont="1" applyBorder="1" applyAlignment="1">
      <alignment horizontal="right"/>
    </xf>
    <xf numFmtId="0" fontId="2" fillId="0" borderId="71" xfId="0" applyFont="1" applyBorder="1"/>
    <xf numFmtId="43" fontId="0" fillId="0" borderId="0" xfId="613" applyFont="1"/>
    <xf numFmtId="174" fontId="2" fillId="0" borderId="71" xfId="4" applyNumberFormat="1" applyFont="1" applyBorder="1"/>
    <xf numFmtId="174" fontId="3" fillId="0" borderId="71" xfId="4" applyNumberFormat="1" applyFont="1" applyBorder="1"/>
    <xf numFmtId="1" fontId="14" fillId="0" borderId="0" xfId="0" applyNumberFormat="1" applyFont="1" applyAlignment="1">
      <alignment vertical="center"/>
    </xf>
    <xf numFmtId="169" fontId="14" fillId="2" borderId="0" xfId="0" applyNumberFormat="1" applyFont="1" applyFill="1" applyAlignment="1">
      <alignment horizontal="center" vertical="center"/>
    </xf>
    <xf numFmtId="168" fontId="2" fillId="0" borderId="0" xfId="4" applyFont="1" applyProtection="1">
      <protection locked="0"/>
    </xf>
    <xf numFmtId="168" fontId="96" fillId="0" borderId="0" xfId="4" applyFont="1" applyProtection="1">
      <protection locked="0"/>
    </xf>
    <xf numFmtId="174" fontId="104" fillId="0" borderId="0" xfId="0" applyNumberFormat="1" applyFont="1" applyAlignment="1">
      <alignment horizontal="center"/>
    </xf>
    <xf numFmtId="0" fontId="97" fillId="0" borderId="32" xfId="610" applyBorder="1" applyAlignment="1">
      <alignment wrapText="1"/>
    </xf>
    <xf numFmtId="0" fontId="97" fillId="0" borderId="30" xfId="610" applyBorder="1" applyAlignment="1">
      <alignment wrapText="1"/>
    </xf>
    <xf numFmtId="0" fontId="97" fillId="0" borderId="0" xfId="610" applyAlignment="1">
      <alignment horizontal="left" wrapText="1"/>
    </xf>
    <xf numFmtId="0" fontId="102" fillId="55" borderId="0" xfId="610" applyFont="1" applyFill="1" applyAlignment="1">
      <alignment vertical="top" wrapText="1"/>
    </xf>
    <xf numFmtId="0" fontId="14" fillId="0" borderId="0" xfId="0" applyFont="1" applyAlignment="1">
      <alignment horizontal="center" wrapText="1"/>
    </xf>
    <xf numFmtId="0" fontId="2" fillId="0" borderId="0" xfId="0" applyFont="1" applyAlignment="1">
      <alignment horizontal="center" wrapText="1"/>
    </xf>
    <xf numFmtId="173" fontId="2" fillId="0" borderId="0" xfId="0" applyNumberFormat="1" applyFont="1" applyAlignment="1">
      <alignment horizontal="center" wrapText="1"/>
    </xf>
    <xf numFmtId="1" fontId="4" fillId="5" borderId="0" xfId="0" applyNumberFormat="1" applyFont="1" applyFill="1" applyAlignment="1">
      <alignment horizontal="center" vertical="center"/>
    </xf>
    <xf numFmtId="1" fontId="4" fillId="5" borderId="0" xfId="0" applyNumberFormat="1" applyFont="1" applyFill="1" applyBorder="1" applyAlignment="1">
      <alignment horizontal="center" vertical="center"/>
    </xf>
    <xf numFmtId="194" fontId="115" fillId="56" borderId="37" xfId="421" applyNumberFormat="1" applyFont="1" applyFill="1" applyBorder="1" applyAlignment="1" applyProtection="1">
      <alignment horizontal="center" vertical="center"/>
      <protection locked="0"/>
    </xf>
    <xf numFmtId="194" fontId="115" fillId="56" borderId="31" xfId="421" applyNumberFormat="1" applyFont="1" applyFill="1" applyBorder="1" applyAlignment="1" applyProtection="1">
      <alignment horizontal="center" vertical="center"/>
      <protection locked="0"/>
    </xf>
    <xf numFmtId="0" fontId="94" fillId="8" borderId="0" xfId="0" applyFont="1" applyFill="1" applyBorder="1" applyAlignment="1">
      <alignment horizontal="center" vertical="center"/>
    </xf>
    <xf numFmtId="0" fontId="94" fillId="8" borderId="13" xfId="0" applyFont="1" applyFill="1" applyBorder="1" applyAlignment="1">
      <alignment horizontal="center" vertical="center"/>
    </xf>
    <xf numFmtId="0" fontId="94" fillId="0" borderId="9" xfId="0" applyFont="1" applyBorder="1" applyAlignment="1">
      <alignment horizontal="center" vertical="center" wrapText="1"/>
    </xf>
    <xf numFmtId="0" fontId="94" fillId="0" borderId="29" xfId="0" applyFont="1" applyBorder="1" applyAlignment="1">
      <alignment horizontal="center" vertical="center"/>
    </xf>
    <xf numFmtId="0" fontId="94" fillId="0" borderId="11" xfId="0" applyFont="1" applyBorder="1" applyAlignment="1">
      <alignment horizontal="center" vertical="center"/>
    </xf>
    <xf numFmtId="0" fontId="94" fillId="0" borderId="10" xfId="0" applyFont="1" applyBorder="1" applyAlignment="1">
      <alignment horizontal="center" vertical="center"/>
    </xf>
    <xf numFmtId="2" fontId="94" fillId="0" borderId="9" xfId="0" applyNumberFormat="1" applyFont="1" applyBorder="1" applyAlignment="1">
      <alignment horizontal="center" vertical="center" wrapText="1"/>
    </xf>
    <xf numFmtId="0" fontId="94" fillId="9" borderId="9" xfId="0" applyFont="1" applyFill="1" applyBorder="1" applyAlignment="1">
      <alignment horizontal="center" vertical="center" wrapText="1"/>
    </xf>
    <xf numFmtId="0" fontId="94" fillId="11" borderId="9" xfId="0" applyFont="1" applyFill="1" applyBorder="1" applyAlignment="1">
      <alignment horizontal="center" vertical="center"/>
    </xf>
    <xf numFmtId="0" fontId="94" fillId="0" borderId="0" xfId="0" applyFont="1" applyBorder="1" applyAlignment="1">
      <alignment horizontal="center" vertical="center"/>
    </xf>
    <xf numFmtId="0" fontId="94" fillId="0" borderId="13" xfId="0" applyFont="1" applyBorder="1" applyAlignment="1">
      <alignment horizontal="center" vertical="center"/>
    </xf>
    <xf numFmtId="0" fontId="3" fillId="5" borderId="1" xfId="0" applyFont="1" applyFill="1" applyBorder="1" applyAlignment="1">
      <alignment horizontal="left"/>
    </xf>
    <xf numFmtId="0" fontId="3" fillId="5" borderId="2" xfId="0" applyFont="1" applyFill="1" applyBorder="1" applyAlignment="1">
      <alignment horizontal="left"/>
    </xf>
    <xf numFmtId="0" fontId="3" fillId="5" borderId="3" xfId="0" applyFont="1" applyFill="1" applyBorder="1" applyAlignment="1">
      <alignment horizontal="left"/>
    </xf>
    <xf numFmtId="0" fontId="3" fillId="6" borderId="0" xfId="0" applyFont="1" applyFill="1" applyAlignment="1">
      <alignment horizontal="center"/>
    </xf>
    <xf numFmtId="0" fontId="3" fillId="6" borderId="5" xfId="0" applyFont="1" applyFill="1" applyBorder="1" applyAlignment="1">
      <alignment horizontal="center"/>
    </xf>
    <xf numFmtId="210" fontId="132" fillId="0" borderId="69" xfId="966" applyNumberFormat="1" applyFont="1" applyBorder="1" applyAlignment="1">
      <alignment horizontal="center"/>
    </xf>
    <xf numFmtId="210" fontId="132" fillId="0" borderId="68" xfId="966" applyNumberFormat="1" applyFont="1" applyBorder="1" applyAlignment="1">
      <alignment horizontal="center"/>
    </xf>
    <xf numFmtId="210" fontId="139" fillId="0" borderId="37" xfId="966" applyNumberFormat="1" applyFont="1" applyFill="1" applyBorder="1" applyAlignment="1" applyProtection="1">
      <alignment horizontal="center"/>
    </xf>
    <xf numFmtId="210" fontId="139" fillId="0" borderId="33" xfId="966" applyNumberFormat="1" applyFont="1" applyFill="1" applyBorder="1" applyAlignment="1" applyProtection="1">
      <alignment horizontal="center"/>
    </xf>
  </cellXfs>
  <cellStyles count="1501">
    <cellStyle name="          _x000d__x000a_shell=progman.exe_x000d__x000a_m" xfId="614" xr:uid="{00000000-0005-0000-0000-000000000000}"/>
    <cellStyle name="_10155 AMEX" xfId="5" xr:uid="{00000000-0005-0000-0000-000001000000}"/>
    <cellStyle name="_10164 EUR DUBLIN" xfId="6" xr:uid="{00000000-0005-0000-0000-000002000000}"/>
    <cellStyle name="_10165 EUR LONDON" xfId="7" xr:uid="{00000000-0005-0000-0000-000003000000}"/>
    <cellStyle name="_10166 GBP" xfId="8" xr:uid="{00000000-0005-0000-0000-000004000000}"/>
    <cellStyle name="_10167 CHF " xfId="9" xr:uid="{00000000-0005-0000-0000-000005000000}"/>
    <cellStyle name="_10168 DKK " xfId="10" xr:uid="{00000000-0005-0000-0000-000006000000}"/>
    <cellStyle name="_10169 SEK" xfId="11" xr:uid="{00000000-0005-0000-0000-000007000000}"/>
    <cellStyle name="_10170 NOK" xfId="12" xr:uid="{00000000-0005-0000-0000-000008000000}"/>
    <cellStyle name="_10171 USD" xfId="13" xr:uid="{00000000-0005-0000-0000-000009000000}"/>
    <cellStyle name="_10172 AUD" xfId="14" xr:uid="{00000000-0005-0000-0000-00000A000000}"/>
    <cellStyle name="_10173 JPY" xfId="15" xr:uid="{00000000-0005-0000-0000-00000B000000}"/>
    <cellStyle name="_10174 CAD London" xfId="16" xr:uid="{00000000-0005-0000-0000-00000C000000}"/>
    <cellStyle name="_10175 HKD" xfId="17" xr:uid="{00000000-0005-0000-0000-00000D000000}"/>
    <cellStyle name="_10176 SGD " xfId="18" xr:uid="{00000000-0005-0000-0000-00000E000000}"/>
    <cellStyle name="_10177 NZD" xfId="19" xr:uid="{00000000-0005-0000-0000-00000F000000}"/>
    <cellStyle name="_10178 ZAR" xfId="20" xr:uid="{00000000-0005-0000-0000-000010000000}"/>
    <cellStyle name="_10179 CAD Toronto" xfId="21" xr:uid="{00000000-0005-0000-0000-000011000000}"/>
    <cellStyle name="_10186 CILS" xfId="22" xr:uid="{00000000-0005-0000-0000-000012000000}"/>
    <cellStyle name="_10186 CPLN" xfId="23" xr:uid="{00000000-0005-0000-0000-000013000000}"/>
    <cellStyle name="_10186 CTRY" xfId="24" xr:uid="{00000000-0005-0000-0000-000014000000}"/>
    <cellStyle name="_10193 AMEX Reconciled by BFS" xfId="25" xr:uid="{00000000-0005-0000-0000-000015000000}"/>
    <cellStyle name="_11110" xfId="26" xr:uid="{00000000-0005-0000-0000-000016000000}"/>
    <cellStyle name="_11112" xfId="27" xr:uid="{00000000-0005-0000-0000-000017000000}"/>
    <cellStyle name="_11120" xfId="28" xr:uid="{00000000-0005-0000-0000-000018000000}"/>
    <cellStyle name="_11150" xfId="29" xr:uid="{00000000-0005-0000-0000-000019000000}"/>
    <cellStyle name="_11159" xfId="30" xr:uid="{00000000-0005-0000-0000-00001A000000}"/>
    <cellStyle name="_11160" xfId="31" xr:uid="{00000000-0005-0000-0000-00001B000000}"/>
    <cellStyle name="_11230" xfId="32" xr:uid="{00000000-0005-0000-0000-00001C000000}"/>
    <cellStyle name="_22118" xfId="33" xr:uid="{00000000-0005-0000-0000-00001D000000}"/>
    <cellStyle name="_22299-iGAAP-Sep'07" xfId="34" xr:uid="{00000000-0005-0000-0000-00001E000000}"/>
    <cellStyle name="_22299-India-Witholding Tax-May'07" xfId="35" xr:uid="{00000000-0005-0000-0000-00001F000000}"/>
    <cellStyle name="_4s Financials March Ver3 (2) with Adj" xfId="36" xr:uid="{00000000-0005-0000-0000-000020000000}"/>
    <cellStyle name="_Accounts payable and Prov expenses1" xfId="37" xr:uid="{00000000-0005-0000-0000-000021000000}"/>
    <cellStyle name="_AMEX" xfId="38" xr:uid="{00000000-0005-0000-0000-000022000000}"/>
    <cellStyle name="_AMEX Reconciled by BFS" xfId="39" xr:uid="{00000000-0005-0000-0000-000023000000}"/>
    <cellStyle name="_Anx 8" xfId="40" xr:uid="{00000000-0005-0000-0000-000024000000}"/>
    <cellStyle name="_Anx-5" xfId="41" xr:uid="{00000000-0005-0000-0000-000025000000}"/>
    <cellStyle name="_AP Report - Nov'07" xfId="42" xr:uid="{00000000-0005-0000-0000-000026000000}"/>
    <cellStyle name="_AUD" xfId="43" xr:uid="{00000000-0005-0000-0000-000027000000}"/>
    <cellStyle name="_Bank Rec IE 10139" xfId="44" xr:uid="{00000000-0005-0000-0000-000028000000}"/>
    <cellStyle name="_Book1" xfId="45" xr:uid="{00000000-0005-0000-0000-000029000000}"/>
    <cellStyle name="_Book2" xfId="46" xr:uid="{00000000-0005-0000-0000-00002A000000}"/>
    <cellStyle name="_Book5" xfId="47" xr:uid="{00000000-0005-0000-0000-00002B000000}"/>
    <cellStyle name="_CAD London" xfId="48" xr:uid="{00000000-0005-0000-0000-00002C000000}"/>
    <cellStyle name="_CAD Toronto" xfId="49" xr:uid="{00000000-0005-0000-0000-00002D000000}"/>
    <cellStyle name="_Cash flows 2006" xfId="50" xr:uid="{00000000-0005-0000-0000-00002E000000}"/>
    <cellStyle name="_CFS March 31 2008 v 3.15April 29" xfId="51" xr:uid="{00000000-0005-0000-0000-00002F000000}"/>
    <cellStyle name="_CFS March 31 2008 v 3.15April 29_CFS FY 0910 V100512" xfId="52" xr:uid="{00000000-0005-0000-0000-000030000000}"/>
    <cellStyle name="_CFS March 31 2008 v 3.15April 29_CFS FY 0910 V100522" xfId="53" xr:uid="{00000000-0005-0000-0000-000031000000}"/>
    <cellStyle name="_CHF " xfId="54" xr:uid="{00000000-0005-0000-0000-000032000000}"/>
    <cellStyle name="_CILS" xfId="55" xr:uid="{00000000-0005-0000-0000-000033000000}"/>
    <cellStyle name="_Citibank 10130" xfId="56" xr:uid="{00000000-0005-0000-0000-000034000000}"/>
    <cellStyle name="_Citibank 30 June" xfId="57" xr:uid="{00000000-0005-0000-0000-000035000000}"/>
    <cellStyle name="_Citibank 30 Sep" xfId="58" xr:uid="{00000000-0005-0000-0000-000036000000}"/>
    <cellStyle name="_Citibank 31 Aug" xfId="59" xr:uid="{00000000-0005-0000-0000-000037000000}"/>
    <cellStyle name="_Citibank 31 Dec" xfId="60" xr:uid="{00000000-0005-0000-0000-000038000000}"/>
    <cellStyle name="_Citibank 31 Oct" xfId="61" xr:uid="{00000000-0005-0000-0000-000039000000}"/>
    <cellStyle name="_Citibank UPDATED " xfId="62" xr:uid="{00000000-0005-0000-0000-00003A000000}"/>
    <cellStyle name="_Column1" xfId="63" xr:uid="{00000000-0005-0000-0000-00003B000000}"/>
    <cellStyle name="_Column2" xfId="64" xr:uid="{00000000-0005-0000-0000-00003C000000}"/>
    <cellStyle name="_Column3" xfId="65" xr:uid="{00000000-0005-0000-0000-00003D000000}"/>
    <cellStyle name="_Column4" xfId="66" xr:uid="{00000000-0005-0000-0000-00003E000000}"/>
    <cellStyle name="_Column5" xfId="67" xr:uid="{00000000-0005-0000-0000-00003F000000}"/>
    <cellStyle name="_Column6" xfId="68" xr:uid="{00000000-0005-0000-0000-000040000000}"/>
    <cellStyle name="_Column7" xfId="69" xr:uid="{00000000-0005-0000-0000-000041000000}"/>
    <cellStyle name="_Copy of FBT Details (2) updated 21(1).04.09" xfId="70" xr:uid="{00000000-0005-0000-0000-000042000000}"/>
    <cellStyle name="_Copy of Forex working" xfId="71" xr:uid="{00000000-0005-0000-0000-000043000000}"/>
    <cellStyle name="_Copy of G. Loans &amp; Advances" xfId="72" xr:uid="{00000000-0005-0000-0000-000044000000}"/>
    <cellStyle name="_Copy of G. Loans &amp; Advances.tmp (2)" xfId="73" xr:uid="{00000000-0005-0000-0000-000045000000}"/>
    <cellStyle name="_CPLN" xfId="74" xr:uid="{00000000-0005-0000-0000-000046000000}"/>
    <cellStyle name="_CTRY" xfId="75" xr:uid="{00000000-0005-0000-0000-000047000000}"/>
    <cellStyle name="_Data" xfId="76" xr:uid="{00000000-0005-0000-0000-000048000000}"/>
    <cellStyle name="_DKK " xfId="77" xr:uid="{00000000-0005-0000-0000-000049000000}"/>
    <cellStyle name="_EUR DUBLIN" xfId="78" xr:uid="{00000000-0005-0000-0000-00004A000000}"/>
    <cellStyle name="_EUR LONDON" xfId="79" xr:uid="{00000000-0005-0000-0000-00004B000000}"/>
    <cellStyle name="_Final 09 COLLECTIONS BAN..." xfId="80" xr:uid="{00000000-0005-0000-0000-00004C000000}"/>
    <cellStyle name="_GBP" xfId="81" xr:uid="{00000000-0005-0000-0000-00004D000000}"/>
    <cellStyle name="_google etds q4 270706 Anusha v2" xfId="82" xr:uid="{00000000-0005-0000-0000-00004E000000}"/>
    <cellStyle name="_Header" xfId="83" xr:uid="{00000000-0005-0000-0000-00004F000000}"/>
    <cellStyle name="_HKD" xfId="84" xr:uid="{00000000-0005-0000-0000-000050000000}"/>
    <cellStyle name="_IE GBP PARTNER PAYMENTS BANK REC Sep 06" xfId="85" xr:uid="{00000000-0005-0000-0000-000051000000}"/>
    <cellStyle name="_IE OPEX  Reporting Pack Aug 2006 V2" xfId="86" xr:uid="{00000000-0005-0000-0000-000052000000}"/>
    <cellStyle name="_IE OPEX  Reporting Pack Sep 2006" xfId="87" xr:uid="{00000000-0005-0000-0000-000053000000}"/>
    <cellStyle name="_IE REV  Reporting Pack Aug 2006" xfId="88" xr:uid="{00000000-0005-0000-0000-000054000000}"/>
    <cellStyle name="_IE USD Bank Rec Sep 06" xfId="89" xr:uid="{00000000-0005-0000-0000-000055000000}"/>
    <cellStyle name="_IRL chargeback % Dec05" xfId="90" xr:uid="{00000000-0005-0000-0000-000056000000}"/>
    <cellStyle name="_JPY" xfId="91" xr:uid="{00000000-0005-0000-0000-000057000000}"/>
    <cellStyle name="_JV" xfId="92" xr:uid="{00000000-0005-0000-0000-000058000000}"/>
    <cellStyle name="_Micro soft Licence Annexure to PO No 016 (2) 31 Mar 2008" xfId="93" xr:uid="{00000000-0005-0000-0000-000059000000}"/>
    <cellStyle name="_N. Accounts Payable" xfId="94" xr:uid="{00000000-0005-0000-0000-00005A000000}"/>
    <cellStyle name="_NOK" xfId="95" xr:uid="{00000000-0005-0000-0000-00005B000000}"/>
    <cellStyle name="_NZD" xfId="96" xr:uid="{00000000-0005-0000-0000-00005C000000}"/>
    <cellStyle name="_Oct-06 IRL" xfId="97" xr:uid="{00000000-0005-0000-0000-00005D000000}"/>
    <cellStyle name="_Row1" xfId="98" xr:uid="{00000000-0005-0000-0000-00005E000000}"/>
    <cellStyle name="_Row2" xfId="99" xr:uid="{00000000-0005-0000-0000-00005F000000}"/>
    <cellStyle name="_Row3" xfId="100" xr:uid="{00000000-0005-0000-0000-000060000000}"/>
    <cellStyle name="_Row4" xfId="101" xr:uid="{00000000-0005-0000-0000-000061000000}"/>
    <cellStyle name="_Row5" xfId="102" xr:uid="{00000000-0005-0000-0000-000062000000}"/>
    <cellStyle name="_Row6" xfId="103" xr:uid="{00000000-0005-0000-0000-000063000000}"/>
    <cellStyle name="_Row7" xfId="104" xr:uid="{00000000-0005-0000-0000-000064000000}"/>
    <cellStyle name="_SEK" xfId="105" xr:uid="{00000000-0005-0000-0000-000065000000}"/>
    <cellStyle name="_SGD " xfId="106" xr:uid="{00000000-0005-0000-0000-000066000000}"/>
    <cellStyle name="_Sheet1" xfId="107" xr:uid="{00000000-0005-0000-0000-000067000000}"/>
    <cellStyle name="_TDS-22299 - May'07" xfId="108" xr:uid="{00000000-0005-0000-0000-000068000000}"/>
    <cellStyle name="_USD" xfId="109" xr:uid="{00000000-0005-0000-0000-000069000000}"/>
    <cellStyle name="_VAT reconciliation" xfId="110" xr:uid="{00000000-0005-0000-0000-00006A000000}"/>
    <cellStyle name="_ZAR" xfId="111" xr:uid="{00000000-0005-0000-0000-00006B000000}"/>
    <cellStyle name="=C:\WINNT\SYSTEM32\COMMAND.COM" xfId="112" xr:uid="{00000000-0005-0000-0000-00006C000000}"/>
    <cellStyle name="0,0_x000a__x000a_NA_x000a__x000a_" xfId="113" xr:uid="{00000000-0005-0000-0000-00006D000000}"/>
    <cellStyle name="20% - Accent1 2" xfId="114" xr:uid="{00000000-0005-0000-0000-00006E000000}"/>
    <cellStyle name="20% - Accent1 3" xfId="115" xr:uid="{00000000-0005-0000-0000-00006F000000}"/>
    <cellStyle name="20% - Accent1 4" xfId="116" xr:uid="{00000000-0005-0000-0000-000070000000}"/>
    <cellStyle name="20% - Accent1 5" xfId="117" xr:uid="{00000000-0005-0000-0000-000071000000}"/>
    <cellStyle name="20% - Accent1 6" xfId="118" xr:uid="{00000000-0005-0000-0000-000072000000}"/>
    <cellStyle name="20% - Accent2 2" xfId="119" xr:uid="{00000000-0005-0000-0000-000073000000}"/>
    <cellStyle name="20% - Accent2 3" xfId="120" xr:uid="{00000000-0005-0000-0000-000074000000}"/>
    <cellStyle name="20% - Accent2 4" xfId="121" xr:uid="{00000000-0005-0000-0000-000075000000}"/>
    <cellStyle name="20% - Accent2 5" xfId="122" xr:uid="{00000000-0005-0000-0000-000076000000}"/>
    <cellStyle name="20% - Accent2 6" xfId="123" xr:uid="{00000000-0005-0000-0000-000077000000}"/>
    <cellStyle name="20% - Accent3 2" xfId="124" xr:uid="{00000000-0005-0000-0000-000078000000}"/>
    <cellStyle name="20% - Accent3 3" xfId="125" xr:uid="{00000000-0005-0000-0000-000079000000}"/>
    <cellStyle name="20% - Accent3 4" xfId="126" xr:uid="{00000000-0005-0000-0000-00007A000000}"/>
    <cellStyle name="20% - Accent3 5" xfId="127" xr:uid="{00000000-0005-0000-0000-00007B000000}"/>
    <cellStyle name="20% - Accent3 6" xfId="128" xr:uid="{00000000-0005-0000-0000-00007C000000}"/>
    <cellStyle name="20% - Accent4 2" xfId="129" xr:uid="{00000000-0005-0000-0000-00007D000000}"/>
    <cellStyle name="20% - Accent4 3" xfId="130" xr:uid="{00000000-0005-0000-0000-00007E000000}"/>
    <cellStyle name="20% - Accent4 4" xfId="131" xr:uid="{00000000-0005-0000-0000-00007F000000}"/>
    <cellStyle name="20% - Accent4 5" xfId="132" xr:uid="{00000000-0005-0000-0000-000080000000}"/>
    <cellStyle name="20% - Accent4 6" xfId="133" xr:uid="{00000000-0005-0000-0000-000081000000}"/>
    <cellStyle name="20% - Accent5 2" xfId="134" xr:uid="{00000000-0005-0000-0000-000082000000}"/>
    <cellStyle name="20% - Accent5 3" xfId="135" xr:uid="{00000000-0005-0000-0000-000083000000}"/>
    <cellStyle name="20% - Accent5 4" xfId="136" xr:uid="{00000000-0005-0000-0000-000084000000}"/>
    <cellStyle name="20% - Accent5 5" xfId="137" xr:uid="{00000000-0005-0000-0000-000085000000}"/>
    <cellStyle name="20% - Accent5 6" xfId="138" xr:uid="{00000000-0005-0000-0000-000086000000}"/>
    <cellStyle name="20% - Accent6 2" xfId="139" xr:uid="{00000000-0005-0000-0000-000087000000}"/>
    <cellStyle name="20% - Accent6 3" xfId="140" xr:uid="{00000000-0005-0000-0000-000088000000}"/>
    <cellStyle name="20% - Accent6 4" xfId="141" xr:uid="{00000000-0005-0000-0000-000089000000}"/>
    <cellStyle name="20% - Accent6 5" xfId="142" xr:uid="{00000000-0005-0000-0000-00008A000000}"/>
    <cellStyle name="20% - Accent6 6" xfId="143" xr:uid="{00000000-0005-0000-0000-00008B000000}"/>
    <cellStyle name="40% - Accent1 2" xfId="144" xr:uid="{00000000-0005-0000-0000-00008C000000}"/>
    <cellStyle name="40% - Accent1 3" xfId="145" xr:uid="{00000000-0005-0000-0000-00008D000000}"/>
    <cellStyle name="40% - Accent1 4" xfId="146" xr:uid="{00000000-0005-0000-0000-00008E000000}"/>
    <cellStyle name="40% - Accent1 5" xfId="147" xr:uid="{00000000-0005-0000-0000-00008F000000}"/>
    <cellStyle name="40% - Accent1 6" xfId="148" xr:uid="{00000000-0005-0000-0000-000090000000}"/>
    <cellStyle name="40% - Accent2 2" xfId="149" xr:uid="{00000000-0005-0000-0000-000091000000}"/>
    <cellStyle name="40% - Accent2 3" xfId="150" xr:uid="{00000000-0005-0000-0000-000092000000}"/>
    <cellStyle name="40% - Accent2 4" xfId="151" xr:uid="{00000000-0005-0000-0000-000093000000}"/>
    <cellStyle name="40% - Accent2 5" xfId="152" xr:uid="{00000000-0005-0000-0000-000094000000}"/>
    <cellStyle name="40% - Accent2 6" xfId="153" xr:uid="{00000000-0005-0000-0000-000095000000}"/>
    <cellStyle name="40% - Accent3 2" xfId="154" xr:uid="{00000000-0005-0000-0000-000096000000}"/>
    <cellStyle name="40% - Accent3 3" xfId="155" xr:uid="{00000000-0005-0000-0000-000097000000}"/>
    <cellStyle name="40% - Accent3 4" xfId="156" xr:uid="{00000000-0005-0000-0000-000098000000}"/>
    <cellStyle name="40% - Accent3 5" xfId="157" xr:uid="{00000000-0005-0000-0000-000099000000}"/>
    <cellStyle name="40% - Accent3 6" xfId="158" xr:uid="{00000000-0005-0000-0000-00009A000000}"/>
    <cellStyle name="40% - Accent4 2" xfId="159" xr:uid="{00000000-0005-0000-0000-00009B000000}"/>
    <cellStyle name="40% - Accent4 3" xfId="160" xr:uid="{00000000-0005-0000-0000-00009C000000}"/>
    <cellStyle name="40% - Accent4 4" xfId="161" xr:uid="{00000000-0005-0000-0000-00009D000000}"/>
    <cellStyle name="40% - Accent4 5" xfId="162" xr:uid="{00000000-0005-0000-0000-00009E000000}"/>
    <cellStyle name="40% - Accent4 6" xfId="163" xr:uid="{00000000-0005-0000-0000-00009F000000}"/>
    <cellStyle name="40% - Accent5 2" xfId="164" xr:uid="{00000000-0005-0000-0000-0000A0000000}"/>
    <cellStyle name="40% - Accent5 3" xfId="165" xr:uid="{00000000-0005-0000-0000-0000A1000000}"/>
    <cellStyle name="40% - Accent5 4" xfId="166" xr:uid="{00000000-0005-0000-0000-0000A2000000}"/>
    <cellStyle name="40% - Accent5 5" xfId="167" xr:uid="{00000000-0005-0000-0000-0000A3000000}"/>
    <cellStyle name="40% - Accent5 6" xfId="168" xr:uid="{00000000-0005-0000-0000-0000A4000000}"/>
    <cellStyle name="40% - Accent6 2" xfId="169" xr:uid="{00000000-0005-0000-0000-0000A5000000}"/>
    <cellStyle name="40% - Accent6 3" xfId="170" xr:uid="{00000000-0005-0000-0000-0000A6000000}"/>
    <cellStyle name="40% - Accent6 4" xfId="171" xr:uid="{00000000-0005-0000-0000-0000A7000000}"/>
    <cellStyle name="40% - Accent6 5" xfId="172" xr:uid="{00000000-0005-0000-0000-0000A8000000}"/>
    <cellStyle name="40% - Accent6 6" xfId="173" xr:uid="{00000000-0005-0000-0000-0000A9000000}"/>
    <cellStyle name="60% - Accent1 2" xfId="174" xr:uid="{00000000-0005-0000-0000-0000AA000000}"/>
    <cellStyle name="60% - Accent1 3" xfId="175" xr:uid="{00000000-0005-0000-0000-0000AB000000}"/>
    <cellStyle name="60% - Accent1 4" xfId="176" xr:uid="{00000000-0005-0000-0000-0000AC000000}"/>
    <cellStyle name="60% - Accent1 5" xfId="177" xr:uid="{00000000-0005-0000-0000-0000AD000000}"/>
    <cellStyle name="60% - Accent1 6" xfId="178" xr:uid="{00000000-0005-0000-0000-0000AE000000}"/>
    <cellStyle name="60% - Accent2 2" xfId="179" xr:uid="{00000000-0005-0000-0000-0000AF000000}"/>
    <cellStyle name="60% - Accent2 3" xfId="180" xr:uid="{00000000-0005-0000-0000-0000B0000000}"/>
    <cellStyle name="60% - Accent2 4" xfId="181" xr:uid="{00000000-0005-0000-0000-0000B1000000}"/>
    <cellStyle name="60% - Accent2 5" xfId="182" xr:uid="{00000000-0005-0000-0000-0000B2000000}"/>
    <cellStyle name="60% - Accent2 6" xfId="183" xr:uid="{00000000-0005-0000-0000-0000B3000000}"/>
    <cellStyle name="60% - Accent3 2" xfId="184" xr:uid="{00000000-0005-0000-0000-0000B4000000}"/>
    <cellStyle name="60% - Accent3 3" xfId="185" xr:uid="{00000000-0005-0000-0000-0000B5000000}"/>
    <cellStyle name="60% - Accent3 4" xfId="186" xr:uid="{00000000-0005-0000-0000-0000B6000000}"/>
    <cellStyle name="60% - Accent3 5" xfId="187" xr:uid="{00000000-0005-0000-0000-0000B7000000}"/>
    <cellStyle name="60% - Accent3 6" xfId="188" xr:uid="{00000000-0005-0000-0000-0000B8000000}"/>
    <cellStyle name="60% - Accent4 2" xfId="189" xr:uid="{00000000-0005-0000-0000-0000B9000000}"/>
    <cellStyle name="60% - Accent4 3" xfId="190" xr:uid="{00000000-0005-0000-0000-0000BA000000}"/>
    <cellStyle name="60% - Accent4 4" xfId="191" xr:uid="{00000000-0005-0000-0000-0000BB000000}"/>
    <cellStyle name="60% - Accent4 5" xfId="192" xr:uid="{00000000-0005-0000-0000-0000BC000000}"/>
    <cellStyle name="60% - Accent4 6" xfId="193" xr:uid="{00000000-0005-0000-0000-0000BD000000}"/>
    <cellStyle name="60% - Accent5 2" xfId="194" xr:uid="{00000000-0005-0000-0000-0000BE000000}"/>
    <cellStyle name="60% - Accent5 3" xfId="195" xr:uid="{00000000-0005-0000-0000-0000BF000000}"/>
    <cellStyle name="60% - Accent5 4" xfId="196" xr:uid="{00000000-0005-0000-0000-0000C0000000}"/>
    <cellStyle name="60% - Accent5 5" xfId="197" xr:uid="{00000000-0005-0000-0000-0000C1000000}"/>
    <cellStyle name="60% - Accent5 6" xfId="198" xr:uid="{00000000-0005-0000-0000-0000C2000000}"/>
    <cellStyle name="60% - Accent6 2" xfId="199" xr:uid="{00000000-0005-0000-0000-0000C3000000}"/>
    <cellStyle name="60% - Accent6 3" xfId="200" xr:uid="{00000000-0005-0000-0000-0000C4000000}"/>
    <cellStyle name="60% - Accent6 4" xfId="201" xr:uid="{00000000-0005-0000-0000-0000C5000000}"/>
    <cellStyle name="60% - Accent6 5" xfId="202" xr:uid="{00000000-0005-0000-0000-0000C6000000}"/>
    <cellStyle name="60% - Accent6 6" xfId="203" xr:uid="{00000000-0005-0000-0000-0000C7000000}"/>
    <cellStyle name="Accent1 - 20%" xfId="615" xr:uid="{00000000-0005-0000-0000-0000C8000000}"/>
    <cellStyle name="Accent1 - 20% 10" xfId="616" xr:uid="{00000000-0005-0000-0000-0000C9000000}"/>
    <cellStyle name="Accent1 - 20% 11" xfId="617" xr:uid="{00000000-0005-0000-0000-0000CA000000}"/>
    <cellStyle name="Accent1 - 20% 12" xfId="618" xr:uid="{00000000-0005-0000-0000-0000CB000000}"/>
    <cellStyle name="Accent1 - 20% 13" xfId="619" xr:uid="{00000000-0005-0000-0000-0000CC000000}"/>
    <cellStyle name="Accent1 - 20% 14" xfId="620" xr:uid="{00000000-0005-0000-0000-0000CD000000}"/>
    <cellStyle name="Accent1 - 20% 2" xfId="621" xr:uid="{00000000-0005-0000-0000-0000CE000000}"/>
    <cellStyle name="Accent1 - 20% 3" xfId="622" xr:uid="{00000000-0005-0000-0000-0000CF000000}"/>
    <cellStyle name="Accent1 - 20% 4" xfId="623" xr:uid="{00000000-0005-0000-0000-0000D0000000}"/>
    <cellStyle name="Accent1 - 20% 5" xfId="624" xr:uid="{00000000-0005-0000-0000-0000D1000000}"/>
    <cellStyle name="Accent1 - 20% 6" xfId="625" xr:uid="{00000000-0005-0000-0000-0000D2000000}"/>
    <cellStyle name="Accent1 - 20% 7" xfId="626" xr:uid="{00000000-0005-0000-0000-0000D3000000}"/>
    <cellStyle name="Accent1 - 20% 8" xfId="627" xr:uid="{00000000-0005-0000-0000-0000D4000000}"/>
    <cellStyle name="Accent1 - 20% 9" xfId="628" xr:uid="{00000000-0005-0000-0000-0000D5000000}"/>
    <cellStyle name="Accent1 - 40%" xfId="629" xr:uid="{00000000-0005-0000-0000-0000D6000000}"/>
    <cellStyle name="Accent1 - 40% 10" xfId="630" xr:uid="{00000000-0005-0000-0000-0000D7000000}"/>
    <cellStyle name="Accent1 - 40% 11" xfId="631" xr:uid="{00000000-0005-0000-0000-0000D8000000}"/>
    <cellStyle name="Accent1 - 40% 12" xfId="632" xr:uid="{00000000-0005-0000-0000-0000D9000000}"/>
    <cellStyle name="Accent1 - 40% 13" xfId="633" xr:uid="{00000000-0005-0000-0000-0000DA000000}"/>
    <cellStyle name="Accent1 - 40% 14" xfId="634" xr:uid="{00000000-0005-0000-0000-0000DB000000}"/>
    <cellStyle name="Accent1 - 40% 2" xfId="635" xr:uid="{00000000-0005-0000-0000-0000DC000000}"/>
    <cellStyle name="Accent1 - 40% 3" xfId="636" xr:uid="{00000000-0005-0000-0000-0000DD000000}"/>
    <cellStyle name="Accent1 - 40% 4" xfId="637" xr:uid="{00000000-0005-0000-0000-0000DE000000}"/>
    <cellStyle name="Accent1 - 40% 5" xfId="638" xr:uid="{00000000-0005-0000-0000-0000DF000000}"/>
    <cellStyle name="Accent1 - 40% 6" xfId="639" xr:uid="{00000000-0005-0000-0000-0000E0000000}"/>
    <cellStyle name="Accent1 - 40% 7" xfId="640" xr:uid="{00000000-0005-0000-0000-0000E1000000}"/>
    <cellStyle name="Accent1 - 40% 8" xfId="641" xr:uid="{00000000-0005-0000-0000-0000E2000000}"/>
    <cellStyle name="Accent1 - 40% 9" xfId="642" xr:uid="{00000000-0005-0000-0000-0000E3000000}"/>
    <cellStyle name="Accent1 - 60%" xfId="643" xr:uid="{00000000-0005-0000-0000-0000E4000000}"/>
    <cellStyle name="Accent1 2" xfId="204" xr:uid="{00000000-0005-0000-0000-0000E5000000}"/>
    <cellStyle name="Accent1 3" xfId="205" xr:uid="{00000000-0005-0000-0000-0000E6000000}"/>
    <cellStyle name="Accent1 4" xfId="206" xr:uid="{00000000-0005-0000-0000-0000E7000000}"/>
    <cellStyle name="Accent1 5" xfId="207" xr:uid="{00000000-0005-0000-0000-0000E8000000}"/>
    <cellStyle name="Accent1 6" xfId="208" xr:uid="{00000000-0005-0000-0000-0000E9000000}"/>
    <cellStyle name="Accent2 - 20%" xfId="644" xr:uid="{00000000-0005-0000-0000-0000EA000000}"/>
    <cellStyle name="Accent2 - 20% 10" xfId="645" xr:uid="{00000000-0005-0000-0000-0000EB000000}"/>
    <cellStyle name="Accent2 - 20% 11" xfId="646" xr:uid="{00000000-0005-0000-0000-0000EC000000}"/>
    <cellStyle name="Accent2 - 20% 12" xfId="647" xr:uid="{00000000-0005-0000-0000-0000ED000000}"/>
    <cellStyle name="Accent2 - 20% 13" xfId="648" xr:uid="{00000000-0005-0000-0000-0000EE000000}"/>
    <cellStyle name="Accent2 - 20% 14" xfId="649" xr:uid="{00000000-0005-0000-0000-0000EF000000}"/>
    <cellStyle name="Accent2 - 20% 2" xfId="650" xr:uid="{00000000-0005-0000-0000-0000F0000000}"/>
    <cellStyle name="Accent2 - 20% 3" xfId="651" xr:uid="{00000000-0005-0000-0000-0000F1000000}"/>
    <cellStyle name="Accent2 - 20% 4" xfId="652" xr:uid="{00000000-0005-0000-0000-0000F2000000}"/>
    <cellStyle name="Accent2 - 20% 5" xfId="653" xr:uid="{00000000-0005-0000-0000-0000F3000000}"/>
    <cellStyle name="Accent2 - 20% 6" xfId="654" xr:uid="{00000000-0005-0000-0000-0000F4000000}"/>
    <cellStyle name="Accent2 - 20% 7" xfId="655" xr:uid="{00000000-0005-0000-0000-0000F5000000}"/>
    <cellStyle name="Accent2 - 20% 8" xfId="656" xr:uid="{00000000-0005-0000-0000-0000F6000000}"/>
    <cellStyle name="Accent2 - 20% 9" xfId="657" xr:uid="{00000000-0005-0000-0000-0000F7000000}"/>
    <cellStyle name="Accent2 - 40%" xfId="658" xr:uid="{00000000-0005-0000-0000-0000F8000000}"/>
    <cellStyle name="Accent2 - 40% 10" xfId="659" xr:uid="{00000000-0005-0000-0000-0000F9000000}"/>
    <cellStyle name="Accent2 - 40% 11" xfId="660" xr:uid="{00000000-0005-0000-0000-0000FA000000}"/>
    <cellStyle name="Accent2 - 40% 12" xfId="661" xr:uid="{00000000-0005-0000-0000-0000FB000000}"/>
    <cellStyle name="Accent2 - 40% 13" xfId="662" xr:uid="{00000000-0005-0000-0000-0000FC000000}"/>
    <cellStyle name="Accent2 - 40% 14" xfId="663" xr:uid="{00000000-0005-0000-0000-0000FD000000}"/>
    <cellStyle name="Accent2 - 40% 2" xfId="664" xr:uid="{00000000-0005-0000-0000-0000FE000000}"/>
    <cellStyle name="Accent2 - 40% 3" xfId="665" xr:uid="{00000000-0005-0000-0000-0000FF000000}"/>
    <cellStyle name="Accent2 - 40% 4" xfId="666" xr:uid="{00000000-0005-0000-0000-000000010000}"/>
    <cellStyle name="Accent2 - 40% 5" xfId="667" xr:uid="{00000000-0005-0000-0000-000001010000}"/>
    <cellStyle name="Accent2 - 40% 6" xfId="668" xr:uid="{00000000-0005-0000-0000-000002010000}"/>
    <cellStyle name="Accent2 - 40% 7" xfId="669" xr:uid="{00000000-0005-0000-0000-000003010000}"/>
    <cellStyle name="Accent2 - 40% 8" xfId="670" xr:uid="{00000000-0005-0000-0000-000004010000}"/>
    <cellStyle name="Accent2 - 40% 9" xfId="671" xr:uid="{00000000-0005-0000-0000-000005010000}"/>
    <cellStyle name="Accent2 - 60%" xfId="672" xr:uid="{00000000-0005-0000-0000-000006010000}"/>
    <cellStyle name="Accent2 2" xfId="209" xr:uid="{00000000-0005-0000-0000-000007010000}"/>
    <cellStyle name="Accent2 3" xfId="210" xr:uid="{00000000-0005-0000-0000-000008010000}"/>
    <cellStyle name="Accent2 4" xfId="211" xr:uid="{00000000-0005-0000-0000-000009010000}"/>
    <cellStyle name="Accent2 5" xfId="212" xr:uid="{00000000-0005-0000-0000-00000A010000}"/>
    <cellStyle name="Accent2 6" xfId="213" xr:uid="{00000000-0005-0000-0000-00000B010000}"/>
    <cellStyle name="Accent3 - 20%" xfId="673" xr:uid="{00000000-0005-0000-0000-00000C010000}"/>
    <cellStyle name="Accent3 - 20% 10" xfId="674" xr:uid="{00000000-0005-0000-0000-00000D010000}"/>
    <cellStyle name="Accent3 - 20% 11" xfId="675" xr:uid="{00000000-0005-0000-0000-00000E010000}"/>
    <cellStyle name="Accent3 - 20% 12" xfId="676" xr:uid="{00000000-0005-0000-0000-00000F010000}"/>
    <cellStyle name="Accent3 - 20% 13" xfId="677" xr:uid="{00000000-0005-0000-0000-000010010000}"/>
    <cellStyle name="Accent3 - 20% 14" xfId="678" xr:uid="{00000000-0005-0000-0000-000011010000}"/>
    <cellStyle name="Accent3 - 20% 2" xfId="679" xr:uid="{00000000-0005-0000-0000-000012010000}"/>
    <cellStyle name="Accent3 - 20% 3" xfId="680" xr:uid="{00000000-0005-0000-0000-000013010000}"/>
    <cellStyle name="Accent3 - 20% 4" xfId="681" xr:uid="{00000000-0005-0000-0000-000014010000}"/>
    <cellStyle name="Accent3 - 20% 5" xfId="682" xr:uid="{00000000-0005-0000-0000-000015010000}"/>
    <cellStyle name="Accent3 - 20% 6" xfId="683" xr:uid="{00000000-0005-0000-0000-000016010000}"/>
    <cellStyle name="Accent3 - 20% 7" xfId="684" xr:uid="{00000000-0005-0000-0000-000017010000}"/>
    <cellStyle name="Accent3 - 20% 8" xfId="685" xr:uid="{00000000-0005-0000-0000-000018010000}"/>
    <cellStyle name="Accent3 - 20% 9" xfId="686" xr:uid="{00000000-0005-0000-0000-000019010000}"/>
    <cellStyle name="Accent3 - 40%" xfId="687" xr:uid="{00000000-0005-0000-0000-00001A010000}"/>
    <cellStyle name="Accent3 - 40% 10" xfId="688" xr:uid="{00000000-0005-0000-0000-00001B010000}"/>
    <cellStyle name="Accent3 - 40% 11" xfId="689" xr:uid="{00000000-0005-0000-0000-00001C010000}"/>
    <cellStyle name="Accent3 - 40% 12" xfId="690" xr:uid="{00000000-0005-0000-0000-00001D010000}"/>
    <cellStyle name="Accent3 - 40% 13" xfId="691" xr:uid="{00000000-0005-0000-0000-00001E010000}"/>
    <cellStyle name="Accent3 - 40% 14" xfId="692" xr:uid="{00000000-0005-0000-0000-00001F010000}"/>
    <cellStyle name="Accent3 - 40% 2" xfId="693" xr:uid="{00000000-0005-0000-0000-000020010000}"/>
    <cellStyle name="Accent3 - 40% 3" xfId="694" xr:uid="{00000000-0005-0000-0000-000021010000}"/>
    <cellStyle name="Accent3 - 40% 4" xfId="695" xr:uid="{00000000-0005-0000-0000-000022010000}"/>
    <cellStyle name="Accent3 - 40% 5" xfId="696" xr:uid="{00000000-0005-0000-0000-000023010000}"/>
    <cellStyle name="Accent3 - 40% 6" xfId="697" xr:uid="{00000000-0005-0000-0000-000024010000}"/>
    <cellStyle name="Accent3 - 40% 7" xfId="698" xr:uid="{00000000-0005-0000-0000-000025010000}"/>
    <cellStyle name="Accent3 - 40% 8" xfId="699" xr:uid="{00000000-0005-0000-0000-000026010000}"/>
    <cellStyle name="Accent3 - 40% 9" xfId="700" xr:uid="{00000000-0005-0000-0000-000027010000}"/>
    <cellStyle name="Accent3 - 60%" xfId="701" xr:uid="{00000000-0005-0000-0000-000028010000}"/>
    <cellStyle name="Accent3 2" xfId="214" xr:uid="{00000000-0005-0000-0000-000029010000}"/>
    <cellStyle name="Accent3 3" xfId="215" xr:uid="{00000000-0005-0000-0000-00002A010000}"/>
    <cellStyle name="Accent3 4" xfId="216" xr:uid="{00000000-0005-0000-0000-00002B010000}"/>
    <cellStyle name="Accent3 5" xfId="217" xr:uid="{00000000-0005-0000-0000-00002C010000}"/>
    <cellStyle name="Accent3 6" xfId="218" xr:uid="{00000000-0005-0000-0000-00002D010000}"/>
    <cellStyle name="Accent4 - 20%" xfId="702" xr:uid="{00000000-0005-0000-0000-00002E010000}"/>
    <cellStyle name="Accent4 - 20% 10" xfId="703" xr:uid="{00000000-0005-0000-0000-00002F010000}"/>
    <cellStyle name="Accent4 - 20% 11" xfId="704" xr:uid="{00000000-0005-0000-0000-000030010000}"/>
    <cellStyle name="Accent4 - 20% 12" xfId="705" xr:uid="{00000000-0005-0000-0000-000031010000}"/>
    <cellStyle name="Accent4 - 20% 13" xfId="706" xr:uid="{00000000-0005-0000-0000-000032010000}"/>
    <cellStyle name="Accent4 - 20% 14" xfId="707" xr:uid="{00000000-0005-0000-0000-000033010000}"/>
    <cellStyle name="Accent4 - 20% 2" xfId="708" xr:uid="{00000000-0005-0000-0000-000034010000}"/>
    <cellStyle name="Accent4 - 20% 3" xfId="709" xr:uid="{00000000-0005-0000-0000-000035010000}"/>
    <cellStyle name="Accent4 - 20% 4" xfId="710" xr:uid="{00000000-0005-0000-0000-000036010000}"/>
    <cellStyle name="Accent4 - 20% 5" xfId="711" xr:uid="{00000000-0005-0000-0000-000037010000}"/>
    <cellStyle name="Accent4 - 20% 6" xfId="712" xr:uid="{00000000-0005-0000-0000-000038010000}"/>
    <cellStyle name="Accent4 - 20% 7" xfId="713" xr:uid="{00000000-0005-0000-0000-000039010000}"/>
    <cellStyle name="Accent4 - 20% 8" xfId="714" xr:uid="{00000000-0005-0000-0000-00003A010000}"/>
    <cellStyle name="Accent4 - 20% 9" xfId="715" xr:uid="{00000000-0005-0000-0000-00003B010000}"/>
    <cellStyle name="Accent4 - 40%" xfId="716" xr:uid="{00000000-0005-0000-0000-00003C010000}"/>
    <cellStyle name="Accent4 - 40% 10" xfId="717" xr:uid="{00000000-0005-0000-0000-00003D010000}"/>
    <cellStyle name="Accent4 - 40% 11" xfId="718" xr:uid="{00000000-0005-0000-0000-00003E010000}"/>
    <cellStyle name="Accent4 - 40% 12" xfId="719" xr:uid="{00000000-0005-0000-0000-00003F010000}"/>
    <cellStyle name="Accent4 - 40% 13" xfId="720" xr:uid="{00000000-0005-0000-0000-000040010000}"/>
    <cellStyle name="Accent4 - 40% 14" xfId="721" xr:uid="{00000000-0005-0000-0000-000041010000}"/>
    <cellStyle name="Accent4 - 40% 2" xfId="722" xr:uid="{00000000-0005-0000-0000-000042010000}"/>
    <cellStyle name="Accent4 - 40% 3" xfId="723" xr:uid="{00000000-0005-0000-0000-000043010000}"/>
    <cellStyle name="Accent4 - 40% 4" xfId="724" xr:uid="{00000000-0005-0000-0000-000044010000}"/>
    <cellStyle name="Accent4 - 40% 5" xfId="725" xr:uid="{00000000-0005-0000-0000-000045010000}"/>
    <cellStyle name="Accent4 - 40% 6" xfId="726" xr:uid="{00000000-0005-0000-0000-000046010000}"/>
    <cellStyle name="Accent4 - 40% 7" xfId="727" xr:uid="{00000000-0005-0000-0000-000047010000}"/>
    <cellStyle name="Accent4 - 40% 8" xfId="728" xr:uid="{00000000-0005-0000-0000-000048010000}"/>
    <cellStyle name="Accent4 - 40% 9" xfId="729" xr:uid="{00000000-0005-0000-0000-000049010000}"/>
    <cellStyle name="Accent4 - 60%" xfId="730" xr:uid="{00000000-0005-0000-0000-00004A010000}"/>
    <cellStyle name="Accent4 2" xfId="219" xr:uid="{00000000-0005-0000-0000-00004B010000}"/>
    <cellStyle name="Accent4 3" xfId="220" xr:uid="{00000000-0005-0000-0000-00004C010000}"/>
    <cellStyle name="Accent4 4" xfId="221" xr:uid="{00000000-0005-0000-0000-00004D010000}"/>
    <cellStyle name="Accent4 5" xfId="222" xr:uid="{00000000-0005-0000-0000-00004E010000}"/>
    <cellStyle name="Accent4 6" xfId="223" xr:uid="{00000000-0005-0000-0000-00004F010000}"/>
    <cellStyle name="Accent5 - 20%" xfId="731" xr:uid="{00000000-0005-0000-0000-000050010000}"/>
    <cellStyle name="Accent5 - 20% 10" xfId="732" xr:uid="{00000000-0005-0000-0000-000051010000}"/>
    <cellStyle name="Accent5 - 20% 11" xfId="733" xr:uid="{00000000-0005-0000-0000-000052010000}"/>
    <cellStyle name="Accent5 - 20% 12" xfId="734" xr:uid="{00000000-0005-0000-0000-000053010000}"/>
    <cellStyle name="Accent5 - 20% 13" xfId="735" xr:uid="{00000000-0005-0000-0000-000054010000}"/>
    <cellStyle name="Accent5 - 20% 14" xfId="736" xr:uid="{00000000-0005-0000-0000-000055010000}"/>
    <cellStyle name="Accent5 - 20% 2" xfId="737" xr:uid="{00000000-0005-0000-0000-000056010000}"/>
    <cellStyle name="Accent5 - 20% 3" xfId="738" xr:uid="{00000000-0005-0000-0000-000057010000}"/>
    <cellStyle name="Accent5 - 20% 4" xfId="739" xr:uid="{00000000-0005-0000-0000-000058010000}"/>
    <cellStyle name="Accent5 - 20% 5" xfId="740" xr:uid="{00000000-0005-0000-0000-000059010000}"/>
    <cellStyle name="Accent5 - 20% 6" xfId="741" xr:uid="{00000000-0005-0000-0000-00005A010000}"/>
    <cellStyle name="Accent5 - 20% 7" xfId="742" xr:uid="{00000000-0005-0000-0000-00005B010000}"/>
    <cellStyle name="Accent5 - 20% 8" xfId="743" xr:uid="{00000000-0005-0000-0000-00005C010000}"/>
    <cellStyle name="Accent5 - 20% 9" xfId="744" xr:uid="{00000000-0005-0000-0000-00005D010000}"/>
    <cellStyle name="Accent5 - 40%" xfId="745" xr:uid="{00000000-0005-0000-0000-00005E010000}"/>
    <cellStyle name="Accent5 - 40% 10" xfId="746" xr:uid="{00000000-0005-0000-0000-00005F010000}"/>
    <cellStyle name="Accent5 - 40% 11" xfId="747" xr:uid="{00000000-0005-0000-0000-000060010000}"/>
    <cellStyle name="Accent5 - 40% 12" xfId="748" xr:uid="{00000000-0005-0000-0000-000061010000}"/>
    <cellStyle name="Accent5 - 40% 13" xfId="749" xr:uid="{00000000-0005-0000-0000-000062010000}"/>
    <cellStyle name="Accent5 - 40% 14" xfId="750" xr:uid="{00000000-0005-0000-0000-000063010000}"/>
    <cellStyle name="Accent5 - 40% 2" xfId="751" xr:uid="{00000000-0005-0000-0000-000064010000}"/>
    <cellStyle name="Accent5 - 40% 3" xfId="752" xr:uid="{00000000-0005-0000-0000-000065010000}"/>
    <cellStyle name="Accent5 - 40% 4" xfId="753" xr:uid="{00000000-0005-0000-0000-000066010000}"/>
    <cellStyle name="Accent5 - 40% 5" xfId="754" xr:uid="{00000000-0005-0000-0000-000067010000}"/>
    <cellStyle name="Accent5 - 40% 6" xfId="755" xr:uid="{00000000-0005-0000-0000-000068010000}"/>
    <cellStyle name="Accent5 - 40% 7" xfId="756" xr:uid="{00000000-0005-0000-0000-000069010000}"/>
    <cellStyle name="Accent5 - 40% 8" xfId="757" xr:uid="{00000000-0005-0000-0000-00006A010000}"/>
    <cellStyle name="Accent5 - 40% 9" xfId="758" xr:uid="{00000000-0005-0000-0000-00006B010000}"/>
    <cellStyle name="Accent5 - 60%" xfId="759" xr:uid="{00000000-0005-0000-0000-00006C010000}"/>
    <cellStyle name="Accent5 2" xfId="224" xr:uid="{00000000-0005-0000-0000-00006D010000}"/>
    <cellStyle name="Accent5 3" xfId="225" xr:uid="{00000000-0005-0000-0000-00006E010000}"/>
    <cellStyle name="Accent5 4" xfId="226" xr:uid="{00000000-0005-0000-0000-00006F010000}"/>
    <cellStyle name="Accent5 5" xfId="227" xr:uid="{00000000-0005-0000-0000-000070010000}"/>
    <cellStyle name="Accent5 6" xfId="228" xr:uid="{00000000-0005-0000-0000-000071010000}"/>
    <cellStyle name="Accent6 - 20%" xfId="760" xr:uid="{00000000-0005-0000-0000-000072010000}"/>
    <cellStyle name="Accent6 - 20% 10" xfId="761" xr:uid="{00000000-0005-0000-0000-000073010000}"/>
    <cellStyle name="Accent6 - 20% 11" xfId="762" xr:uid="{00000000-0005-0000-0000-000074010000}"/>
    <cellStyle name="Accent6 - 20% 12" xfId="763" xr:uid="{00000000-0005-0000-0000-000075010000}"/>
    <cellStyle name="Accent6 - 20% 13" xfId="764" xr:uid="{00000000-0005-0000-0000-000076010000}"/>
    <cellStyle name="Accent6 - 20% 14" xfId="765" xr:uid="{00000000-0005-0000-0000-000077010000}"/>
    <cellStyle name="Accent6 - 20% 2" xfId="766" xr:uid="{00000000-0005-0000-0000-000078010000}"/>
    <cellStyle name="Accent6 - 20% 3" xfId="767" xr:uid="{00000000-0005-0000-0000-000079010000}"/>
    <cellStyle name="Accent6 - 20% 4" xfId="768" xr:uid="{00000000-0005-0000-0000-00007A010000}"/>
    <cellStyle name="Accent6 - 20% 5" xfId="769" xr:uid="{00000000-0005-0000-0000-00007B010000}"/>
    <cellStyle name="Accent6 - 20% 6" xfId="770" xr:uid="{00000000-0005-0000-0000-00007C010000}"/>
    <cellStyle name="Accent6 - 20% 7" xfId="771" xr:uid="{00000000-0005-0000-0000-00007D010000}"/>
    <cellStyle name="Accent6 - 20% 8" xfId="772" xr:uid="{00000000-0005-0000-0000-00007E010000}"/>
    <cellStyle name="Accent6 - 20% 9" xfId="773" xr:uid="{00000000-0005-0000-0000-00007F010000}"/>
    <cellStyle name="Accent6 - 40%" xfId="774" xr:uid="{00000000-0005-0000-0000-000080010000}"/>
    <cellStyle name="Accent6 - 40% 10" xfId="775" xr:uid="{00000000-0005-0000-0000-000081010000}"/>
    <cellStyle name="Accent6 - 40% 11" xfId="776" xr:uid="{00000000-0005-0000-0000-000082010000}"/>
    <cellStyle name="Accent6 - 40% 12" xfId="777" xr:uid="{00000000-0005-0000-0000-000083010000}"/>
    <cellStyle name="Accent6 - 40% 13" xfId="778" xr:uid="{00000000-0005-0000-0000-000084010000}"/>
    <cellStyle name="Accent6 - 40% 14" xfId="779" xr:uid="{00000000-0005-0000-0000-000085010000}"/>
    <cellStyle name="Accent6 - 40% 2" xfId="780" xr:uid="{00000000-0005-0000-0000-000086010000}"/>
    <cellStyle name="Accent6 - 40% 3" xfId="781" xr:uid="{00000000-0005-0000-0000-000087010000}"/>
    <cellStyle name="Accent6 - 40% 4" xfId="782" xr:uid="{00000000-0005-0000-0000-000088010000}"/>
    <cellStyle name="Accent6 - 40% 5" xfId="783" xr:uid="{00000000-0005-0000-0000-000089010000}"/>
    <cellStyle name="Accent6 - 40% 6" xfId="784" xr:uid="{00000000-0005-0000-0000-00008A010000}"/>
    <cellStyle name="Accent6 - 40% 7" xfId="785" xr:uid="{00000000-0005-0000-0000-00008B010000}"/>
    <cellStyle name="Accent6 - 40% 8" xfId="786" xr:uid="{00000000-0005-0000-0000-00008C010000}"/>
    <cellStyle name="Accent6 - 40% 9" xfId="787" xr:uid="{00000000-0005-0000-0000-00008D010000}"/>
    <cellStyle name="Accent6 - 60%" xfId="788" xr:uid="{00000000-0005-0000-0000-00008E010000}"/>
    <cellStyle name="Accent6 2" xfId="229" xr:uid="{00000000-0005-0000-0000-00008F010000}"/>
    <cellStyle name="Accent6 3" xfId="230" xr:uid="{00000000-0005-0000-0000-000090010000}"/>
    <cellStyle name="Accent6 4" xfId="231" xr:uid="{00000000-0005-0000-0000-000091010000}"/>
    <cellStyle name="Accent6 5" xfId="232" xr:uid="{00000000-0005-0000-0000-000092010000}"/>
    <cellStyle name="Accent6 6" xfId="233" xr:uid="{00000000-0005-0000-0000-000093010000}"/>
    <cellStyle name="Actual Date" xfId="234" xr:uid="{00000000-0005-0000-0000-000094010000}"/>
    <cellStyle name="args.style" xfId="235" xr:uid="{00000000-0005-0000-0000-000095010000}"/>
    <cellStyle name="Bad 2" xfId="236" xr:uid="{00000000-0005-0000-0000-000096010000}"/>
    <cellStyle name="Bad 3" xfId="237" xr:uid="{00000000-0005-0000-0000-000097010000}"/>
    <cellStyle name="Bad 4" xfId="238" xr:uid="{00000000-0005-0000-0000-000098010000}"/>
    <cellStyle name="Bad 5" xfId="239" xr:uid="{00000000-0005-0000-0000-000099010000}"/>
    <cellStyle name="Bad 6" xfId="240" xr:uid="{00000000-0005-0000-0000-00009A010000}"/>
    <cellStyle name="Body" xfId="241" xr:uid="{00000000-0005-0000-0000-00009B010000}"/>
    <cellStyle name="Calc Currency (0)" xfId="242" xr:uid="{00000000-0005-0000-0000-00009C010000}"/>
    <cellStyle name="Calc Percent (0)" xfId="243" xr:uid="{00000000-0005-0000-0000-00009D010000}"/>
    <cellStyle name="Calc Percent (1)" xfId="244" xr:uid="{00000000-0005-0000-0000-00009E010000}"/>
    <cellStyle name="Calculation 2" xfId="245" xr:uid="{00000000-0005-0000-0000-00009F010000}"/>
    <cellStyle name="Calculation 3" xfId="246" xr:uid="{00000000-0005-0000-0000-0000A0010000}"/>
    <cellStyle name="Calculation 4" xfId="247" xr:uid="{00000000-0005-0000-0000-0000A1010000}"/>
    <cellStyle name="Calculation 5" xfId="248" xr:uid="{00000000-0005-0000-0000-0000A2010000}"/>
    <cellStyle name="Calculation 6" xfId="249" xr:uid="{00000000-0005-0000-0000-0000A3010000}"/>
    <cellStyle name="category" xfId="250" xr:uid="{00000000-0005-0000-0000-0000A4010000}"/>
    <cellStyle name="Check Cell 2" xfId="251" xr:uid="{00000000-0005-0000-0000-0000A5010000}"/>
    <cellStyle name="Check Cell 3" xfId="252" xr:uid="{00000000-0005-0000-0000-0000A6010000}"/>
    <cellStyle name="Check Cell 4" xfId="253" xr:uid="{00000000-0005-0000-0000-0000A7010000}"/>
    <cellStyle name="Check Cell 5" xfId="254" xr:uid="{00000000-0005-0000-0000-0000A8010000}"/>
    <cellStyle name="Check Cell 6" xfId="255" xr:uid="{00000000-0005-0000-0000-0000A9010000}"/>
    <cellStyle name="Comma" xfId="4" builtinId="3"/>
    <cellStyle name="Comma  - Style1" xfId="257" xr:uid="{00000000-0005-0000-0000-0000AB010000}"/>
    <cellStyle name="Comma  - Style2" xfId="258" xr:uid="{00000000-0005-0000-0000-0000AC010000}"/>
    <cellStyle name="Comma  - Style3" xfId="259" xr:uid="{00000000-0005-0000-0000-0000AD010000}"/>
    <cellStyle name="Comma  - Style4" xfId="260" xr:uid="{00000000-0005-0000-0000-0000AE010000}"/>
    <cellStyle name="Comma  - Style5" xfId="261" xr:uid="{00000000-0005-0000-0000-0000AF010000}"/>
    <cellStyle name="Comma  - Style6" xfId="262" xr:uid="{00000000-0005-0000-0000-0000B0010000}"/>
    <cellStyle name="Comma  - Style7" xfId="263" xr:uid="{00000000-0005-0000-0000-0000B1010000}"/>
    <cellStyle name="Comma  - Style8" xfId="264" xr:uid="{00000000-0005-0000-0000-0000B2010000}"/>
    <cellStyle name="Comma (0.0)" xfId="265" xr:uid="{00000000-0005-0000-0000-0000B3010000}"/>
    <cellStyle name="Comma (0.0) 2" xfId="266" xr:uid="{00000000-0005-0000-0000-0000B4010000}"/>
    <cellStyle name="Comma (0.00)" xfId="267" xr:uid="{00000000-0005-0000-0000-0000B5010000}"/>
    <cellStyle name="Comma (0.00) 2" xfId="268" xr:uid="{00000000-0005-0000-0000-0000B6010000}"/>
    <cellStyle name="Comma (hidden)" xfId="269" xr:uid="{00000000-0005-0000-0000-0000B7010000}"/>
    <cellStyle name="Comma (hidden) 2" xfId="270" xr:uid="{00000000-0005-0000-0000-0000B8010000}"/>
    <cellStyle name="Comma (index)" xfId="271" xr:uid="{00000000-0005-0000-0000-0000B9010000}"/>
    <cellStyle name="Comma (index) 2" xfId="272" xr:uid="{00000000-0005-0000-0000-0000BA010000}"/>
    <cellStyle name="Comma [0] 2" xfId="273" xr:uid="{00000000-0005-0000-0000-0000BB010000}"/>
    <cellStyle name="Comma [0] 2 2" xfId="789" xr:uid="{00000000-0005-0000-0000-0000BC010000}"/>
    <cellStyle name="Comma [0] 2 3" xfId="790" xr:uid="{00000000-0005-0000-0000-0000BD010000}"/>
    <cellStyle name="Comma [0] 2 3 2" xfId="791" xr:uid="{00000000-0005-0000-0000-0000BE010000}"/>
    <cellStyle name="Comma [0] 2 4" xfId="792" xr:uid="{00000000-0005-0000-0000-0000BF010000}"/>
    <cellStyle name="Comma [0] 3" xfId="793" xr:uid="{00000000-0005-0000-0000-0000C0010000}"/>
    <cellStyle name="Comma 10" xfId="274" xr:uid="{00000000-0005-0000-0000-0000C1010000}"/>
    <cellStyle name="Comma 10 2" xfId="794" xr:uid="{00000000-0005-0000-0000-0000C2010000}"/>
    <cellStyle name="Comma 10 5" xfId="795" xr:uid="{00000000-0005-0000-0000-0000C3010000}"/>
    <cellStyle name="Comma 11" xfId="275" xr:uid="{00000000-0005-0000-0000-0000C4010000}"/>
    <cellStyle name="Comma 11 5" xfId="796" xr:uid="{00000000-0005-0000-0000-0000C5010000}"/>
    <cellStyle name="Comma 12" xfId="276" xr:uid="{00000000-0005-0000-0000-0000C6010000}"/>
    <cellStyle name="Comma 12 2" xfId="613" xr:uid="{00000000-0005-0000-0000-0000C7010000}"/>
    <cellStyle name="Comma 13" xfId="277" xr:uid="{00000000-0005-0000-0000-0000C8010000}"/>
    <cellStyle name="Comma 13 2" xfId="797" xr:uid="{00000000-0005-0000-0000-0000C9010000}"/>
    <cellStyle name="Comma 14" xfId="278" xr:uid="{00000000-0005-0000-0000-0000CA010000}"/>
    <cellStyle name="Comma 15" xfId="256" xr:uid="{00000000-0005-0000-0000-0000CB010000}"/>
    <cellStyle name="Comma 16" xfId="563" xr:uid="{00000000-0005-0000-0000-0000CC010000}"/>
    <cellStyle name="Comma 17" xfId="569" xr:uid="{00000000-0005-0000-0000-0000CD010000}"/>
    <cellStyle name="Comma 17 2" xfId="798" xr:uid="{00000000-0005-0000-0000-0000CE010000}"/>
    <cellStyle name="Comma 18" xfId="562" xr:uid="{00000000-0005-0000-0000-0000CF010000}"/>
    <cellStyle name="Comma 18 2" xfId="799" xr:uid="{00000000-0005-0000-0000-0000D0010000}"/>
    <cellStyle name="Comma 19" xfId="570" xr:uid="{00000000-0005-0000-0000-0000D1010000}"/>
    <cellStyle name="Comma 2" xfId="3" xr:uid="{00000000-0005-0000-0000-0000D2010000}"/>
    <cellStyle name="Comma 2 10" xfId="800" xr:uid="{00000000-0005-0000-0000-0000D3010000}"/>
    <cellStyle name="Comma 2 11" xfId="801" xr:uid="{00000000-0005-0000-0000-0000D4010000}"/>
    <cellStyle name="Comma 2 12" xfId="802" xr:uid="{00000000-0005-0000-0000-0000D5010000}"/>
    <cellStyle name="Comma 2 13" xfId="803" xr:uid="{00000000-0005-0000-0000-0000D6010000}"/>
    <cellStyle name="Comma 2 14" xfId="804" xr:uid="{00000000-0005-0000-0000-0000D7010000}"/>
    <cellStyle name="Comma 2 15" xfId="805" xr:uid="{00000000-0005-0000-0000-0000D8010000}"/>
    <cellStyle name="Comma 2 16" xfId="806" xr:uid="{00000000-0005-0000-0000-0000D9010000}"/>
    <cellStyle name="Comma 2 2" xfId="280" xr:uid="{00000000-0005-0000-0000-0000DA010000}"/>
    <cellStyle name="Comma 2 2 2" xfId="281" xr:uid="{00000000-0005-0000-0000-0000DB010000}"/>
    <cellStyle name="Comma 2 2 3" xfId="282" xr:uid="{00000000-0005-0000-0000-0000DC010000}"/>
    <cellStyle name="Comma 2 2 4" xfId="283" xr:uid="{00000000-0005-0000-0000-0000DD010000}"/>
    <cellStyle name="Comma 2 2 5" xfId="284" xr:uid="{00000000-0005-0000-0000-0000DE010000}"/>
    <cellStyle name="Comma 2 2 6" xfId="285" xr:uid="{00000000-0005-0000-0000-0000DF010000}"/>
    <cellStyle name="Comma 2 3" xfId="286" xr:uid="{00000000-0005-0000-0000-0000E0010000}"/>
    <cellStyle name="Comma 2 4" xfId="287" xr:uid="{00000000-0005-0000-0000-0000E1010000}"/>
    <cellStyle name="Comma 2 5" xfId="288" xr:uid="{00000000-0005-0000-0000-0000E2010000}"/>
    <cellStyle name="Comma 2 6" xfId="289" xr:uid="{00000000-0005-0000-0000-0000E3010000}"/>
    <cellStyle name="Comma 2 7" xfId="279" xr:uid="{00000000-0005-0000-0000-0000E4010000}"/>
    <cellStyle name="Comma 2 8" xfId="807" xr:uid="{00000000-0005-0000-0000-0000E5010000}"/>
    <cellStyle name="Comma 2 9" xfId="808" xr:uid="{00000000-0005-0000-0000-0000E6010000}"/>
    <cellStyle name="Comma 20" xfId="561" xr:uid="{00000000-0005-0000-0000-0000E7010000}"/>
    <cellStyle name="Comma 20 2" xfId="809" xr:uid="{00000000-0005-0000-0000-0000E8010000}"/>
    <cellStyle name="Comma 20 2 2" xfId="810" xr:uid="{00000000-0005-0000-0000-0000E9010000}"/>
    <cellStyle name="Comma 20 2 2 2" xfId="811" xr:uid="{00000000-0005-0000-0000-0000EA010000}"/>
    <cellStyle name="Comma 21" xfId="566" xr:uid="{00000000-0005-0000-0000-0000EB010000}"/>
    <cellStyle name="Comma 22" xfId="559" xr:uid="{00000000-0005-0000-0000-0000EC010000}"/>
    <cellStyle name="Comma 23" xfId="567" xr:uid="{00000000-0005-0000-0000-0000ED010000}"/>
    <cellStyle name="Comma 24" xfId="560" xr:uid="{00000000-0005-0000-0000-0000EE010000}"/>
    <cellStyle name="Comma 25" xfId="565" xr:uid="{00000000-0005-0000-0000-0000EF010000}"/>
    <cellStyle name="Comma 26" xfId="558" xr:uid="{00000000-0005-0000-0000-0000F0010000}"/>
    <cellStyle name="Comma 27" xfId="568" xr:uid="{00000000-0005-0000-0000-0000F1010000}"/>
    <cellStyle name="Comma 28" xfId="564" xr:uid="{00000000-0005-0000-0000-0000F2010000}"/>
    <cellStyle name="Comma 29" xfId="571" xr:uid="{00000000-0005-0000-0000-0000F3010000}"/>
    <cellStyle name="Comma 3" xfId="290" xr:uid="{00000000-0005-0000-0000-0000F4010000}"/>
    <cellStyle name="Comma 3 10" xfId="812" xr:uid="{00000000-0005-0000-0000-0000F5010000}"/>
    <cellStyle name="Comma 3 11" xfId="813" xr:uid="{00000000-0005-0000-0000-0000F6010000}"/>
    <cellStyle name="Comma 3 12" xfId="814" xr:uid="{00000000-0005-0000-0000-0000F7010000}"/>
    <cellStyle name="Comma 3 13" xfId="815" xr:uid="{00000000-0005-0000-0000-0000F8010000}"/>
    <cellStyle name="Comma 3 14" xfId="816" xr:uid="{00000000-0005-0000-0000-0000F9010000}"/>
    <cellStyle name="Comma 3 2" xfId="291" xr:uid="{00000000-0005-0000-0000-0000FA010000}"/>
    <cellStyle name="Comma 3 2 2" xfId="292" xr:uid="{00000000-0005-0000-0000-0000FB010000}"/>
    <cellStyle name="Comma 3 3" xfId="293" xr:uid="{00000000-0005-0000-0000-0000FC010000}"/>
    <cellStyle name="Comma 3 4" xfId="817" xr:uid="{00000000-0005-0000-0000-0000FD010000}"/>
    <cellStyle name="Comma 3 5" xfId="818" xr:uid="{00000000-0005-0000-0000-0000FE010000}"/>
    <cellStyle name="Comma 3 6" xfId="819" xr:uid="{00000000-0005-0000-0000-0000FF010000}"/>
    <cellStyle name="Comma 3 7" xfId="820" xr:uid="{00000000-0005-0000-0000-000000020000}"/>
    <cellStyle name="Comma 3 8" xfId="821" xr:uid="{00000000-0005-0000-0000-000001020000}"/>
    <cellStyle name="Comma 3 9" xfId="822" xr:uid="{00000000-0005-0000-0000-000002020000}"/>
    <cellStyle name="Comma 30" xfId="573" xr:uid="{00000000-0005-0000-0000-000003020000}"/>
    <cellStyle name="Comma 31" xfId="574" xr:uid="{00000000-0005-0000-0000-000004020000}"/>
    <cellStyle name="Comma 32" xfId="576" xr:uid="{00000000-0005-0000-0000-000005020000}"/>
    <cellStyle name="Comma 33" xfId="578" xr:uid="{00000000-0005-0000-0000-000006020000}"/>
    <cellStyle name="Comma 34" xfId="582" xr:uid="{00000000-0005-0000-0000-000007020000}"/>
    <cellStyle name="Comma 35" xfId="585" xr:uid="{00000000-0005-0000-0000-000008020000}"/>
    <cellStyle name="Comma 36" xfId="584" xr:uid="{00000000-0005-0000-0000-000009020000}"/>
    <cellStyle name="Comma 37" xfId="586" xr:uid="{00000000-0005-0000-0000-00000A020000}"/>
    <cellStyle name="Comma 38" xfId="587" xr:uid="{00000000-0005-0000-0000-00000B020000}"/>
    <cellStyle name="Comma 39" xfId="600" xr:uid="{00000000-0005-0000-0000-00000C020000}"/>
    <cellStyle name="Comma 4" xfId="294" xr:uid="{00000000-0005-0000-0000-00000D020000}"/>
    <cellStyle name="Comma 4 10" xfId="823" xr:uid="{00000000-0005-0000-0000-00000E020000}"/>
    <cellStyle name="Comma 4 11" xfId="824" xr:uid="{00000000-0005-0000-0000-00000F020000}"/>
    <cellStyle name="Comma 4 12" xfId="825" xr:uid="{00000000-0005-0000-0000-000010020000}"/>
    <cellStyle name="Comma 4 13" xfId="826" xr:uid="{00000000-0005-0000-0000-000011020000}"/>
    <cellStyle name="Comma 4 14" xfId="827" xr:uid="{00000000-0005-0000-0000-000012020000}"/>
    <cellStyle name="Comma 4 2" xfId="295" xr:uid="{00000000-0005-0000-0000-000013020000}"/>
    <cellStyle name="Comma 4 2 3" xfId="588" xr:uid="{00000000-0005-0000-0000-000014020000}"/>
    <cellStyle name="Comma 4 3" xfId="828" xr:uid="{00000000-0005-0000-0000-000015020000}"/>
    <cellStyle name="Comma 4 4" xfId="829" xr:uid="{00000000-0005-0000-0000-000016020000}"/>
    <cellStyle name="Comma 4 5" xfId="830" xr:uid="{00000000-0005-0000-0000-000017020000}"/>
    <cellStyle name="Comma 4 6" xfId="831" xr:uid="{00000000-0005-0000-0000-000018020000}"/>
    <cellStyle name="Comma 4 7" xfId="832" xr:uid="{00000000-0005-0000-0000-000019020000}"/>
    <cellStyle name="Comma 4 8" xfId="833" xr:uid="{00000000-0005-0000-0000-00001A020000}"/>
    <cellStyle name="Comma 4 9" xfId="834" xr:uid="{00000000-0005-0000-0000-00001B020000}"/>
    <cellStyle name="Comma 40" xfId="609" xr:uid="{00000000-0005-0000-0000-00001C020000}"/>
    <cellStyle name="Comma 41" xfId="602" xr:uid="{00000000-0005-0000-0000-00001D020000}"/>
    <cellStyle name="Comma 42" xfId="607" xr:uid="{00000000-0005-0000-0000-00001E020000}"/>
    <cellStyle name="Comma 43" xfId="604" xr:uid="{00000000-0005-0000-0000-00001F020000}"/>
    <cellStyle name="Comma 44" xfId="608" xr:uid="{00000000-0005-0000-0000-000020020000}"/>
    <cellStyle name="Comma 45" xfId="601" xr:uid="{00000000-0005-0000-0000-000021020000}"/>
    <cellStyle name="Comma 46" xfId="606" xr:uid="{00000000-0005-0000-0000-000022020000}"/>
    <cellStyle name="Comma 47" xfId="603" xr:uid="{00000000-0005-0000-0000-000023020000}"/>
    <cellStyle name="Comma 48" xfId="605" xr:uid="{00000000-0005-0000-0000-000024020000}"/>
    <cellStyle name="Comma 49" xfId="611" xr:uid="{00000000-0005-0000-0000-000025020000}"/>
    <cellStyle name="Comma 5" xfId="296" xr:uid="{00000000-0005-0000-0000-000026020000}"/>
    <cellStyle name="Comma 5 10" xfId="835" xr:uid="{00000000-0005-0000-0000-000027020000}"/>
    <cellStyle name="Comma 5 11" xfId="836" xr:uid="{00000000-0005-0000-0000-000028020000}"/>
    <cellStyle name="Comma 5 12" xfId="837" xr:uid="{00000000-0005-0000-0000-000029020000}"/>
    <cellStyle name="Comma 5 13" xfId="838" xr:uid="{00000000-0005-0000-0000-00002A020000}"/>
    <cellStyle name="Comma 5 14" xfId="839" xr:uid="{00000000-0005-0000-0000-00002B020000}"/>
    <cellStyle name="Comma 5 2" xfId="297" xr:uid="{00000000-0005-0000-0000-00002C020000}"/>
    <cellStyle name="Comma 5 2 2" xfId="298" xr:uid="{00000000-0005-0000-0000-00002D020000}"/>
    <cellStyle name="Comma 5 3" xfId="840" xr:uid="{00000000-0005-0000-0000-00002E020000}"/>
    <cellStyle name="Comma 5 4" xfId="841" xr:uid="{00000000-0005-0000-0000-00002F020000}"/>
    <cellStyle name="Comma 5 5" xfId="842" xr:uid="{00000000-0005-0000-0000-000030020000}"/>
    <cellStyle name="Comma 5 6" xfId="843" xr:uid="{00000000-0005-0000-0000-000031020000}"/>
    <cellStyle name="Comma 5 7" xfId="844" xr:uid="{00000000-0005-0000-0000-000032020000}"/>
    <cellStyle name="Comma 5 8" xfId="845" xr:uid="{00000000-0005-0000-0000-000033020000}"/>
    <cellStyle name="Comma 5 9" xfId="846" xr:uid="{00000000-0005-0000-0000-000034020000}"/>
    <cellStyle name="Comma 50" xfId="1483" xr:uid="{00C56458-FA1A-443E-A1BF-A051AC270283}"/>
    <cellStyle name="Comma 51" xfId="1499" xr:uid="{7686E205-566A-4256-994C-A10A02E1755B}"/>
    <cellStyle name="Comma 6" xfId="299" xr:uid="{00000000-0005-0000-0000-000035020000}"/>
    <cellStyle name="Comma 6 10" xfId="847" xr:uid="{00000000-0005-0000-0000-000036020000}"/>
    <cellStyle name="Comma 6 11" xfId="848" xr:uid="{00000000-0005-0000-0000-000037020000}"/>
    <cellStyle name="Comma 6 12" xfId="849" xr:uid="{00000000-0005-0000-0000-000038020000}"/>
    <cellStyle name="Comma 6 13" xfId="850" xr:uid="{00000000-0005-0000-0000-000039020000}"/>
    <cellStyle name="Comma 6 14" xfId="851" xr:uid="{00000000-0005-0000-0000-00003A020000}"/>
    <cellStyle name="Comma 6 2" xfId="595" xr:uid="{00000000-0005-0000-0000-00003B020000}"/>
    <cellStyle name="Comma 6 3" xfId="852" xr:uid="{00000000-0005-0000-0000-00003C020000}"/>
    <cellStyle name="Comma 6 4" xfId="853" xr:uid="{00000000-0005-0000-0000-00003D020000}"/>
    <cellStyle name="Comma 6 5" xfId="854" xr:uid="{00000000-0005-0000-0000-00003E020000}"/>
    <cellStyle name="Comma 6 6" xfId="855" xr:uid="{00000000-0005-0000-0000-00003F020000}"/>
    <cellStyle name="Comma 6 7" xfId="856" xr:uid="{00000000-0005-0000-0000-000040020000}"/>
    <cellStyle name="Comma 6 8" xfId="857" xr:uid="{00000000-0005-0000-0000-000041020000}"/>
    <cellStyle name="Comma 6 9" xfId="858" xr:uid="{00000000-0005-0000-0000-000042020000}"/>
    <cellStyle name="Comma 7" xfId="300" xr:uid="{00000000-0005-0000-0000-000043020000}"/>
    <cellStyle name="Comma 7 10" xfId="859" xr:uid="{00000000-0005-0000-0000-000044020000}"/>
    <cellStyle name="Comma 7 11" xfId="860" xr:uid="{00000000-0005-0000-0000-000045020000}"/>
    <cellStyle name="Comma 7 12" xfId="861" xr:uid="{00000000-0005-0000-0000-000046020000}"/>
    <cellStyle name="Comma 7 13" xfId="862" xr:uid="{00000000-0005-0000-0000-000047020000}"/>
    <cellStyle name="Comma 7 14" xfId="863" xr:uid="{00000000-0005-0000-0000-000048020000}"/>
    <cellStyle name="Comma 7 2" xfId="864" xr:uid="{00000000-0005-0000-0000-000049020000}"/>
    <cellStyle name="Comma 7 3" xfId="865" xr:uid="{00000000-0005-0000-0000-00004A020000}"/>
    <cellStyle name="Comma 7 4" xfId="866" xr:uid="{00000000-0005-0000-0000-00004B020000}"/>
    <cellStyle name="Comma 7 5" xfId="867" xr:uid="{00000000-0005-0000-0000-00004C020000}"/>
    <cellStyle name="Comma 7 6" xfId="868" xr:uid="{00000000-0005-0000-0000-00004D020000}"/>
    <cellStyle name="Comma 7 7" xfId="869" xr:uid="{00000000-0005-0000-0000-00004E020000}"/>
    <cellStyle name="Comma 7 8" xfId="870" xr:uid="{00000000-0005-0000-0000-00004F020000}"/>
    <cellStyle name="Comma 7 9" xfId="871" xr:uid="{00000000-0005-0000-0000-000050020000}"/>
    <cellStyle name="Comma 8" xfId="301" xr:uid="{00000000-0005-0000-0000-000051020000}"/>
    <cellStyle name="Comma 8 10" xfId="872" xr:uid="{00000000-0005-0000-0000-000052020000}"/>
    <cellStyle name="Comma 8 11" xfId="873" xr:uid="{00000000-0005-0000-0000-000053020000}"/>
    <cellStyle name="Comma 8 12" xfId="874" xr:uid="{00000000-0005-0000-0000-000054020000}"/>
    <cellStyle name="Comma 8 13" xfId="875" xr:uid="{00000000-0005-0000-0000-000055020000}"/>
    <cellStyle name="Comma 8 2" xfId="876" xr:uid="{00000000-0005-0000-0000-000056020000}"/>
    <cellStyle name="Comma 8 3" xfId="877" xr:uid="{00000000-0005-0000-0000-000057020000}"/>
    <cellStyle name="Comma 8 4" xfId="878" xr:uid="{00000000-0005-0000-0000-000058020000}"/>
    <cellStyle name="Comma 8 5" xfId="879" xr:uid="{00000000-0005-0000-0000-000059020000}"/>
    <cellStyle name="Comma 8 6" xfId="880" xr:uid="{00000000-0005-0000-0000-00005A020000}"/>
    <cellStyle name="Comma 8 7" xfId="881" xr:uid="{00000000-0005-0000-0000-00005B020000}"/>
    <cellStyle name="Comma 8 8" xfId="882" xr:uid="{00000000-0005-0000-0000-00005C020000}"/>
    <cellStyle name="Comma 8 9" xfId="883" xr:uid="{00000000-0005-0000-0000-00005D020000}"/>
    <cellStyle name="Comma 9" xfId="302" xr:uid="{00000000-0005-0000-0000-00005E020000}"/>
    <cellStyle name="Comma 9 2" xfId="884" xr:uid="{00000000-0005-0000-0000-00005F020000}"/>
    <cellStyle name="comma zerodec" xfId="303" xr:uid="{00000000-0005-0000-0000-000060020000}"/>
    <cellStyle name="Comma_Adv. Tax on 15-03-2009" xfId="885" xr:uid="{00000000-0005-0000-0000-000061020000}"/>
    <cellStyle name="Comma_Adv. Tax on 15-03-2009 2" xfId="886" xr:uid="{00000000-0005-0000-0000-000062020000}"/>
    <cellStyle name="Comma_Adv. Tax on 15-03-2009 4" xfId="887" xr:uid="{00000000-0005-0000-0000-000063020000}"/>
    <cellStyle name="Comma_Adv. Tax on 15-03-2009 5" xfId="888" xr:uid="{00000000-0005-0000-0000-000064020000}"/>
    <cellStyle name="Comma_Adv. Tax on 15-03-2009 6" xfId="889" xr:uid="{00000000-0005-0000-0000-000065020000}"/>
    <cellStyle name="Comma_Adv. Tax on 15-03-2009 8" xfId="890" xr:uid="{00000000-0005-0000-0000-000066020000}"/>
    <cellStyle name="Comma_Adv. Tax on 15-03-2009 9" xfId="891" xr:uid="{00000000-0005-0000-0000-000067020000}"/>
    <cellStyle name="Comma0" xfId="304" xr:uid="{00000000-0005-0000-0000-000068020000}"/>
    <cellStyle name="Comma0 2" xfId="1484" xr:uid="{C94BE707-2F17-4F09-A4FE-32E809D4B9C1}"/>
    <cellStyle name="Copied" xfId="305" xr:uid="{00000000-0005-0000-0000-000069020000}"/>
    <cellStyle name="Currency (hidden)" xfId="306" xr:uid="{00000000-0005-0000-0000-00006A020000}"/>
    <cellStyle name="Currency (hidden) 2" xfId="307" xr:uid="{00000000-0005-0000-0000-00006B020000}"/>
    <cellStyle name="Currency0" xfId="308" xr:uid="{00000000-0005-0000-0000-00006C020000}"/>
    <cellStyle name="Currency0 2" xfId="1485" xr:uid="{1A8F37AF-12D4-4FB9-A75B-F5F9BAE5C9D3}"/>
    <cellStyle name="Currency1" xfId="309" xr:uid="{00000000-0005-0000-0000-00006D020000}"/>
    <cellStyle name="Date" xfId="310" xr:uid="{00000000-0005-0000-0000-00006E020000}"/>
    <cellStyle name="Date 2" xfId="1486" xr:uid="{D35665F4-E20C-42FC-BDFA-DDBFA9364049}"/>
    <cellStyle name="Detail Amount" xfId="311" xr:uid="{00000000-0005-0000-0000-00006F020000}"/>
    <cellStyle name="Detail Amount Subtotal" xfId="312" xr:uid="{00000000-0005-0000-0000-000070020000}"/>
    <cellStyle name="Detail Amount Subtotal 2" xfId="591" xr:uid="{00000000-0005-0000-0000-000071020000}"/>
    <cellStyle name="Detail Bold Heading" xfId="313" xr:uid="{00000000-0005-0000-0000-000072020000}"/>
    <cellStyle name="Detail Bold Heading Right" xfId="314" xr:uid="{00000000-0005-0000-0000-000073020000}"/>
    <cellStyle name="Detail Bold Heading Underlined" xfId="315" xr:uid="{00000000-0005-0000-0000-000074020000}"/>
    <cellStyle name="Detail Bold Underline Heading" xfId="316" xr:uid="{00000000-0005-0000-0000-000075020000}"/>
    <cellStyle name="Detail Heading" xfId="317" xr:uid="{00000000-0005-0000-0000-000076020000}"/>
    <cellStyle name="Detail Rate" xfId="318" xr:uid="{00000000-0005-0000-0000-000077020000}"/>
    <cellStyle name="Detail Subtotal Amount" xfId="319" xr:uid="{00000000-0005-0000-0000-000078020000}"/>
    <cellStyle name="Detail Subtotal Units" xfId="320" xr:uid="{00000000-0005-0000-0000-000079020000}"/>
    <cellStyle name="Detail Units" xfId="321" xr:uid="{00000000-0005-0000-0000-00007A020000}"/>
    <cellStyle name="Detail Units Subtotal" xfId="322" xr:uid="{00000000-0005-0000-0000-00007B020000}"/>
    <cellStyle name="Detail Units Subtotal 2" xfId="592" xr:uid="{00000000-0005-0000-0000-00007C020000}"/>
    <cellStyle name="Dezimal [0]_`99 total" xfId="323" xr:uid="{00000000-0005-0000-0000-00007D020000}"/>
    <cellStyle name="Dezimal_`99 total" xfId="324" xr:uid="{00000000-0005-0000-0000-00007E020000}"/>
    <cellStyle name="Disclaimer" xfId="325" xr:uid="{00000000-0005-0000-0000-00007F020000}"/>
    <cellStyle name="Dollar (zero dec)" xfId="326" xr:uid="{00000000-0005-0000-0000-000080020000}"/>
    <cellStyle name="E&amp;Y House" xfId="327" xr:uid="{00000000-0005-0000-0000-000081020000}"/>
    <cellStyle name="E&amp;Y House 2" xfId="328" xr:uid="{00000000-0005-0000-0000-000082020000}"/>
    <cellStyle name="Emphasis 1" xfId="892" xr:uid="{00000000-0005-0000-0000-000083020000}"/>
    <cellStyle name="Emphasis 2" xfId="893" xr:uid="{00000000-0005-0000-0000-000084020000}"/>
    <cellStyle name="Emphasis 3" xfId="894" xr:uid="{00000000-0005-0000-0000-000085020000}"/>
    <cellStyle name="Entered" xfId="329" xr:uid="{00000000-0005-0000-0000-000086020000}"/>
    <cellStyle name="Euro" xfId="330" xr:uid="{00000000-0005-0000-0000-000087020000}"/>
    <cellStyle name="Excel Built-in Comma" xfId="331" xr:uid="{00000000-0005-0000-0000-000088020000}"/>
    <cellStyle name="Excel Built-in Hyperlink" xfId="332" xr:uid="{00000000-0005-0000-0000-000089020000}"/>
    <cellStyle name="Excel Built-in Normal" xfId="333" xr:uid="{00000000-0005-0000-0000-00008A020000}"/>
    <cellStyle name="Explanatory Text 2" xfId="334" xr:uid="{00000000-0005-0000-0000-00008B020000}"/>
    <cellStyle name="Explanatory Text 3" xfId="335" xr:uid="{00000000-0005-0000-0000-00008C020000}"/>
    <cellStyle name="Explanatory Text 4" xfId="336" xr:uid="{00000000-0005-0000-0000-00008D020000}"/>
    <cellStyle name="Explanatory Text 5" xfId="337" xr:uid="{00000000-0005-0000-0000-00008E020000}"/>
    <cellStyle name="Explanatory Text 6" xfId="338" xr:uid="{00000000-0005-0000-0000-00008F020000}"/>
    <cellStyle name="F2" xfId="1487" xr:uid="{3AAC083C-371C-4D88-80B3-D99EA2650FB2}"/>
    <cellStyle name="F3" xfId="1488" xr:uid="{1263DE95-E29D-4D72-B15A-AF89C1D58AC0}"/>
    <cellStyle name="F4" xfId="1489" xr:uid="{7A38B580-499A-4DA3-A59A-1825BEE007E7}"/>
    <cellStyle name="F5" xfId="1490" xr:uid="{8F4672C9-7952-4998-8FD6-739A415C90B1}"/>
    <cellStyle name="F6" xfId="1491" xr:uid="{CA4B71F5-6249-4277-A6A0-1092B7763ACE}"/>
    <cellStyle name="F7" xfId="1492" xr:uid="{2DB48734-9F5D-494B-8E3A-75FDC07EE964}"/>
    <cellStyle name="F8" xfId="1493" xr:uid="{E5C9876B-F4AB-408C-8EBC-57F2912893BB}"/>
    <cellStyle name="Fixed" xfId="339" xr:uid="{00000000-0005-0000-0000-000090020000}"/>
    <cellStyle name="Fixed 2" xfId="1494" xr:uid="{9F5ABD2C-3034-42CD-A5BB-D0468BF89755}"/>
    <cellStyle name="Good 2" xfId="340" xr:uid="{00000000-0005-0000-0000-000091020000}"/>
    <cellStyle name="Good 3" xfId="341" xr:uid="{00000000-0005-0000-0000-000092020000}"/>
    <cellStyle name="Good 4" xfId="342" xr:uid="{00000000-0005-0000-0000-000093020000}"/>
    <cellStyle name="Good 5" xfId="343" xr:uid="{00000000-0005-0000-0000-000094020000}"/>
    <cellStyle name="Good 6" xfId="344" xr:uid="{00000000-0005-0000-0000-000095020000}"/>
    <cellStyle name="Grey" xfId="345" xr:uid="{00000000-0005-0000-0000-000096020000}"/>
    <cellStyle name="HEADER" xfId="346" xr:uid="{00000000-0005-0000-0000-000097020000}"/>
    <cellStyle name="Header1" xfId="347" xr:uid="{00000000-0005-0000-0000-000098020000}"/>
    <cellStyle name="Header2" xfId="348" xr:uid="{00000000-0005-0000-0000-000099020000}"/>
    <cellStyle name="HeaderBoldWrapRight" xfId="349" xr:uid="{00000000-0005-0000-0000-00009A020000}"/>
    <cellStyle name="Heading 1 2" xfId="350" xr:uid="{00000000-0005-0000-0000-00009B020000}"/>
    <cellStyle name="Heading 1 3" xfId="351" xr:uid="{00000000-0005-0000-0000-00009C020000}"/>
    <cellStyle name="Heading 1 4" xfId="352" xr:uid="{00000000-0005-0000-0000-00009D020000}"/>
    <cellStyle name="Heading 1 5" xfId="353" xr:uid="{00000000-0005-0000-0000-00009E020000}"/>
    <cellStyle name="Heading 1 6" xfId="354" xr:uid="{00000000-0005-0000-0000-00009F020000}"/>
    <cellStyle name="Heading 1 7" xfId="1495" xr:uid="{6E8424DA-9529-440B-8030-D666148B872E}"/>
    <cellStyle name="Heading 2 2" xfId="355" xr:uid="{00000000-0005-0000-0000-0000A0020000}"/>
    <cellStyle name="Heading 2 3" xfId="356" xr:uid="{00000000-0005-0000-0000-0000A1020000}"/>
    <cellStyle name="Heading 2 4" xfId="357" xr:uid="{00000000-0005-0000-0000-0000A2020000}"/>
    <cellStyle name="Heading 2 5" xfId="358" xr:uid="{00000000-0005-0000-0000-0000A3020000}"/>
    <cellStyle name="Heading 2 6" xfId="359" xr:uid="{00000000-0005-0000-0000-0000A4020000}"/>
    <cellStyle name="Heading 2 7" xfId="1496" xr:uid="{16A28B65-EAB3-4FBB-B45D-214F45C6AD05}"/>
    <cellStyle name="Heading 3 2" xfId="360" xr:uid="{00000000-0005-0000-0000-0000A5020000}"/>
    <cellStyle name="Heading 3 3" xfId="361" xr:uid="{00000000-0005-0000-0000-0000A6020000}"/>
    <cellStyle name="Heading 3 4" xfId="362" xr:uid="{00000000-0005-0000-0000-0000A7020000}"/>
    <cellStyle name="Heading 3 5" xfId="363" xr:uid="{00000000-0005-0000-0000-0000A8020000}"/>
    <cellStyle name="Heading 3 6" xfId="364" xr:uid="{00000000-0005-0000-0000-0000A9020000}"/>
    <cellStyle name="Heading 4 2" xfId="365" xr:uid="{00000000-0005-0000-0000-0000AA020000}"/>
    <cellStyle name="Heading 4 3" xfId="366" xr:uid="{00000000-0005-0000-0000-0000AB020000}"/>
    <cellStyle name="Heading 4 4" xfId="367" xr:uid="{00000000-0005-0000-0000-0000AC020000}"/>
    <cellStyle name="Heading 4 5" xfId="368" xr:uid="{00000000-0005-0000-0000-0000AD020000}"/>
    <cellStyle name="Heading 4 6" xfId="369" xr:uid="{00000000-0005-0000-0000-0000AE020000}"/>
    <cellStyle name="Heading1" xfId="370" xr:uid="{00000000-0005-0000-0000-0000AF020000}"/>
    <cellStyle name="Heading2" xfId="371" xr:uid="{00000000-0005-0000-0000-0000B0020000}"/>
    <cellStyle name="HEADINGS" xfId="372" xr:uid="{00000000-0005-0000-0000-0000B1020000}"/>
    <cellStyle name="HEADINGSTOP" xfId="373" xr:uid="{00000000-0005-0000-0000-0000B2020000}"/>
    <cellStyle name="Hidden" xfId="374" xr:uid="{00000000-0005-0000-0000-0000B3020000}"/>
    <cellStyle name="Hidden 2" xfId="375" xr:uid="{00000000-0005-0000-0000-0000B4020000}"/>
    <cellStyle name="HIGHLIGHT" xfId="376" xr:uid="{00000000-0005-0000-0000-0000B5020000}"/>
    <cellStyle name="Hyperlink 2" xfId="377" xr:uid="{00000000-0005-0000-0000-0000B6020000}"/>
    <cellStyle name="HŹperlink" xfId="378" xr:uid="{00000000-0005-0000-0000-0000B7020000}"/>
    <cellStyle name="Input [yellow]" xfId="379" xr:uid="{00000000-0005-0000-0000-0000B8020000}"/>
    <cellStyle name="Input 2" xfId="380" xr:uid="{00000000-0005-0000-0000-0000B9020000}"/>
    <cellStyle name="Input 3" xfId="381" xr:uid="{00000000-0005-0000-0000-0000BA020000}"/>
    <cellStyle name="Input 4" xfId="382" xr:uid="{00000000-0005-0000-0000-0000BB020000}"/>
    <cellStyle name="Input 5" xfId="383" xr:uid="{00000000-0005-0000-0000-0000BC020000}"/>
    <cellStyle name="Input 6" xfId="384" xr:uid="{00000000-0005-0000-0000-0000BD020000}"/>
    <cellStyle name="Linked Cell 2" xfId="385" xr:uid="{00000000-0005-0000-0000-0000BE020000}"/>
    <cellStyle name="Linked Cell 3" xfId="386" xr:uid="{00000000-0005-0000-0000-0000BF020000}"/>
    <cellStyle name="Linked Cell 4" xfId="387" xr:uid="{00000000-0005-0000-0000-0000C0020000}"/>
    <cellStyle name="Linked Cell 5" xfId="388" xr:uid="{00000000-0005-0000-0000-0000C1020000}"/>
    <cellStyle name="Linked Cell 6" xfId="389" xr:uid="{00000000-0005-0000-0000-0000C2020000}"/>
    <cellStyle name="Migliaia (0)_Foglio1" xfId="390" xr:uid="{00000000-0005-0000-0000-0000C3020000}"/>
    <cellStyle name="Migliaia_Foglio1" xfId="391" xr:uid="{00000000-0005-0000-0000-0000C4020000}"/>
    <cellStyle name="Neutral 2" xfId="392" xr:uid="{00000000-0005-0000-0000-0000C5020000}"/>
    <cellStyle name="Neutral 3" xfId="393" xr:uid="{00000000-0005-0000-0000-0000C6020000}"/>
    <cellStyle name="Neutral 4" xfId="394" xr:uid="{00000000-0005-0000-0000-0000C7020000}"/>
    <cellStyle name="Neutral 5" xfId="395" xr:uid="{00000000-0005-0000-0000-0000C8020000}"/>
    <cellStyle name="Neutral 6" xfId="396" xr:uid="{00000000-0005-0000-0000-0000C9020000}"/>
    <cellStyle name="no dec" xfId="397" xr:uid="{00000000-0005-0000-0000-0000CA020000}"/>
    <cellStyle name="Nor}al" xfId="398" xr:uid="{00000000-0005-0000-0000-0000CB020000}"/>
    <cellStyle name="Norm੎੎" xfId="399" xr:uid="{00000000-0005-0000-0000-0000CC020000}"/>
    <cellStyle name="Normal" xfId="0" builtinId="0"/>
    <cellStyle name="Normal - Style1" xfId="400" xr:uid="{00000000-0005-0000-0000-0000CE020000}"/>
    <cellStyle name="Normal - Style1 10" xfId="895" xr:uid="{00000000-0005-0000-0000-0000CF020000}"/>
    <cellStyle name="Normal 10" xfId="401" xr:uid="{00000000-0005-0000-0000-0000D0020000}"/>
    <cellStyle name="Normal 10 2" xfId="402" xr:uid="{00000000-0005-0000-0000-0000D1020000}"/>
    <cellStyle name="Normal 10 3" xfId="403" xr:uid="{00000000-0005-0000-0000-0000D2020000}"/>
    <cellStyle name="Normal 10 3 2" xfId="404" xr:uid="{00000000-0005-0000-0000-0000D3020000}"/>
    <cellStyle name="Normal 10 4" xfId="405" xr:uid="{00000000-0005-0000-0000-0000D4020000}"/>
    <cellStyle name="Normal 10 5" xfId="406" xr:uid="{00000000-0005-0000-0000-0000D5020000}"/>
    <cellStyle name="Normal 10 6" xfId="407" xr:uid="{00000000-0005-0000-0000-0000D6020000}"/>
    <cellStyle name="Normal 10 7" xfId="408" xr:uid="{00000000-0005-0000-0000-0000D7020000}"/>
    <cellStyle name="Normal 10 8" xfId="409" xr:uid="{00000000-0005-0000-0000-0000D8020000}"/>
    <cellStyle name="Normal 10 9" xfId="410" xr:uid="{00000000-0005-0000-0000-0000D9020000}"/>
    <cellStyle name="Normal 11" xfId="411" xr:uid="{00000000-0005-0000-0000-0000DA020000}"/>
    <cellStyle name="Normal 12" xfId="412" xr:uid="{00000000-0005-0000-0000-0000DB020000}"/>
    <cellStyle name="Normal 12 10" xfId="896" xr:uid="{00000000-0005-0000-0000-0000DC020000}"/>
    <cellStyle name="Normal 12 11" xfId="897" xr:uid="{00000000-0005-0000-0000-0000DD020000}"/>
    <cellStyle name="Normal 12 12" xfId="898" xr:uid="{00000000-0005-0000-0000-0000DE020000}"/>
    <cellStyle name="Normal 12 13" xfId="899" xr:uid="{00000000-0005-0000-0000-0000DF020000}"/>
    <cellStyle name="Normal 12 2" xfId="900" xr:uid="{00000000-0005-0000-0000-0000E0020000}"/>
    <cellStyle name="Normal 12 3" xfId="901" xr:uid="{00000000-0005-0000-0000-0000E1020000}"/>
    <cellStyle name="Normal 12 4" xfId="902" xr:uid="{00000000-0005-0000-0000-0000E2020000}"/>
    <cellStyle name="Normal 12 5" xfId="903" xr:uid="{00000000-0005-0000-0000-0000E3020000}"/>
    <cellStyle name="Normal 12 6" xfId="904" xr:uid="{00000000-0005-0000-0000-0000E4020000}"/>
    <cellStyle name="Normal 12 7" xfId="905" xr:uid="{00000000-0005-0000-0000-0000E5020000}"/>
    <cellStyle name="Normal 12 8" xfId="906" xr:uid="{00000000-0005-0000-0000-0000E6020000}"/>
    <cellStyle name="Normal 12 9" xfId="907" xr:uid="{00000000-0005-0000-0000-0000E7020000}"/>
    <cellStyle name="Normal 13" xfId="413" xr:uid="{00000000-0005-0000-0000-0000E8020000}"/>
    <cellStyle name="Normal 13 10" xfId="908" xr:uid="{00000000-0005-0000-0000-0000E9020000}"/>
    <cellStyle name="Normal 13 11" xfId="909" xr:uid="{00000000-0005-0000-0000-0000EA020000}"/>
    <cellStyle name="Normal 13 12" xfId="910" xr:uid="{00000000-0005-0000-0000-0000EB020000}"/>
    <cellStyle name="Normal 13 13" xfId="911" xr:uid="{00000000-0005-0000-0000-0000EC020000}"/>
    <cellStyle name="Normal 13 2" xfId="414" xr:uid="{00000000-0005-0000-0000-0000ED020000}"/>
    <cellStyle name="Normal 13 3" xfId="912" xr:uid="{00000000-0005-0000-0000-0000EE020000}"/>
    <cellStyle name="Normal 13 4" xfId="913" xr:uid="{00000000-0005-0000-0000-0000EF020000}"/>
    <cellStyle name="Normal 13 5" xfId="914" xr:uid="{00000000-0005-0000-0000-0000F0020000}"/>
    <cellStyle name="Normal 13 6" xfId="915" xr:uid="{00000000-0005-0000-0000-0000F1020000}"/>
    <cellStyle name="Normal 13 7" xfId="916" xr:uid="{00000000-0005-0000-0000-0000F2020000}"/>
    <cellStyle name="Normal 13 8" xfId="917" xr:uid="{00000000-0005-0000-0000-0000F3020000}"/>
    <cellStyle name="Normal 13 9" xfId="918" xr:uid="{00000000-0005-0000-0000-0000F4020000}"/>
    <cellStyle name="Normal 136 2" xfId="919" xr:uid="{00000000-0005-0000-0000-0000F5020000}"/>
    <cellStyle name="Normal 14" xfId="415" xr:uid="{00000000-0005-0000-0000-0000F6020000}"/>
    <cellStyle name="Normal 14 10" xfId="920" xr:uid="{00000000-0005-0000-0000-0000F7020000}"/>
    <cellStyle name="Normal 14 11" xfId="921" xr:uid="{00000000-0005-0000-0000-0000F8020000}"/>
    <cellStyle name="Normal 14 12" xfId="922" xr:uid="{00000000-0005-0000-0000-0000F9020000}"/>
    <cellStyle name="Normal 14 13" xfId="923" xr:uid="{00000000-0005-0000-0000-0000FA020000}"/>
    <cellStyle name="Normal 14 2" xfId="924" xr:uid="{00000000-0005-0000-0000-0000FB020000}"/>
    <cellStyle name="Normal 14 3" xfId="925" xr:uid="{00000000-0005-0000-0000-0000FC020000}"/>
    <cellStyle name="Normal 14 4" xfId="926" xr:uid="{00000000-0005-0000-0000-0000FD020000}"/>
    <cellStyle name="Normal 14 5" xfId="927" xr:uid="{00000000-0005-0000-0000-0000FE020000}"/>
    <cellStyle name="Normal 14 6" xfId="928" xr:uid="{00000000-0005-0000-0000-0000FF020000}"/>
    <cellStyle name="Normal 14 7" xfId="929" xr:uid="{00000000-0005-0000-0000-000000030000}"/>
    <cellStyle name="Normal 14 8" xfId="930" xr:uid="{00000000-0005-0000-0000-000001030000}"/>
    <cellStyle name="Normal 14 9" xfId="931" xr:uid="{00000000-0005-0000-0000-000002030000}"/>
    <cellStyle name="Normal 15" xfId="416" xr:uid="{00000000-0005-0000-0000-000003030000}"/>
    <cellStyle name="Normal 15 2" xfId="417" xr:uid="{00000000-0005-0000-0000-000004030000}"/>
    <cellStyle name="Normal 16" xfId="418" xr:uid="{00000000-0005-0000-0000-000005030000}"/>
    <cellStyle name="Normal 17" xfId="419" xr:uid="{00000000-0005-0000-0000-000006030000}"/>
    <cellStyle name="Normal 18" xfId="420" xr:uid="{00000000-0005-0000-0000-000007030000}"/>
    <cellStyle name="Normal 18 2" xfId="932" xr:uid="{00000000-0005-0000-0000-000008030000}"/>
    <cellStyle name="Normal 18 2 2" xfId="933" xr:uid="{00000000-0005-0000-0000-000009030000}"/>
    <cellStyle name="Normal 19" xfId="421" xr:uid="{00000000-0005-0000-0000-00000A030000}"/>
    <cellStyle name="Normal 2" xfId="2" xr:uid="{00000000-0005-0000-0000-00000B030000}"/>
    <cellStyle name="Normal 2 10" xfId="596" xr:uid="{00000000-0005-0000-0000-00000C030000}"/>
    <cellStyle name="Normal 2 10 2" xfId="934" xr:uid="{00000000-0005-0000-0000-00000D030000}"/>
    <cellStyle name="Normal 2 11" xfId="935" xr:uid="{00000000-0005-0000-0000-00000E030000}"/>
    <cellStyle name="Normal 2 12" xfId="936" xr:uid="{00000000-0005-0000-0000-00000F030000}"/>
    <cellStyle name="Normal 2 13" xfId="937" xr:uid="{00000000-0005-0000-0000-000010030000}"/>
    <cellStyle name="Normal 2 14" xfId="938" xr:uid="{00000000-0005-0000-0000-000011030000}"/>
    <cellStyle name="Normal 2 16" xfId="597" xr:uid="{00000000-0005-0000-0000-000012030000}"/>
    <cellStyle name="Normal 2 2" xfId="422" xr:uid="{00000000-0005-0000-0000-000013030000}"/>
    <cellStyle name="Normal 2 2 2" xfId="423" xr:uid="{00000000-0005-0000-0000-000014030000}"/>
    <cellStyle name="Normal 2 2 2 2" xfId="424" xr:uid="{00000000-0005-0000-0000-000015030000}"/>
    <cellStyle name="Normal 2 2 3" xfId="425" xr:uid="{00000000-0005-0000-0000-000016030000}"/>
    <cellStyle name="Normal 2 2 4" xfId="572" xr:uid="{00000000-0005-0000-0000-000017030000}"/>
    <cellStyle name="Normal 2 2 6" xfId="939" xr:uid="{00000000-0005-0000-0000-000018030000}"/>
    <cellStyle name="Normal 2 2 6 2" xfId="940" xr:uid="{00000000-0005-0000-0000-000019030000}"/>
    <cellStyle name="Normal 2 3" xfId="426" xr:uid="{00000000-0005-0000-0000-00001A030000}"/>
    <cellStyle name="Normal 2 4" xfId="427" xr:uid="{00000000-0005-0000-0000-00001B030000}"/>
    <cellStyle name="Normal 2 5" xfId="428" xr:uid="{00000000-0005-0000-0000-00001C030000}"/>
    <cellStyle name="Normal 2 6" xfId="429" xr:uid="{00000000-0005-0000-0000-00001D030000}"/>
    <cellStyle name="Normal 2 7" xfId="579" xr:uid="{00000000-0005-0000-0000-00001E030000}"/>
    <cellStyle name="Normal 2 8" xfId="941" xr:uid="{00000000-0005-0000-0000-00001F030000}"/>
    <cellStyle name="Normal 2 9" xfId="942" xr:uid="{00000000-0005-0000-0000-000020030000}"/>
    <cellStyle name="Normal 2_BS" xfId="430" xr:uid="{00000000-0005-0000-0000-000021030000}"/>
    <cellStyle name="Normal 20" xfId="431" xr:uid="{00000000-0005-0000-0000-000022030000}"/>
    <cellStyle name="Normal 20 2" xfId="943" xr:uid="{00000000-0005-0000-0000-000023030000}"/>
    <cellStyle name="Normal 20 3" xfId="944" xr:uid="{00000000-0005-0000-0000-000024030000}"/>
    <cellStyle name="Normal 20 3 2" xfId="945" xr:uid="{00000000-0005-0000-0000-000025030000}"/>
    <cellStyle name="Normal 204" xfId="946" xr:uid="{00000000-0005-0000-0000-000026030000}"/>
    <cellStyle name="Normal 21" xfId="432" xr:uid="{00000000-0005-0000-0000-000027030000}"/>
    <cellStyle name="Normal 21 2" xfId="947" xr:uid="{00000000-0005-0000-0000-000028030000}"/>
    <cellStyle name="Normal 22" xfId="433" xr:uid="{00000000-0005-0000-0000-000029030000}"/>
    <cellStyle name="Normal 23" xfId="434" xr:uid="{00000000-0005-0000-0000-00002A030000}"/>
    <cellStyle name="Normal 24" xfId="435" xr:uid="{00000000-0005-0000-0000-00002B030000}"/>
    <cellStyle name="Normal 245" xfId="436" xr:uid="{00000000-0005-0000-0000-00002C030000}"/>
    <cellStyle name="Normal 247" xfId="437" xr:uid="{00000000-0005-0000-0000-00002D030000}"/>
    <cellStyle name="Normal 249" xfId="438" xr:uid="{00000000-0005-0000-0000-00002E030000}"/>
    <cellStyle name="Normal 25" xfId="439" xr:uid="{00000000-0005-0000-0000-00002F030000}"/>
    <cellStyle name="Normal 251" xfId="440" xr:uid="{00000000-0005-0000-0000-000030030000}"/>
    <cellStyle name="Normal 253" xfId="441" xr:uid="{00000000-0005-0000-0000-000031030000}"/>
    <cellStyle name="Normal 26" xfId="442" xr:uid="{00000000-0005-0000-0000-000032030000}"/>
    <cellStyle name="Normal 26 2" xfId="948" xr:uid="{00000000-0005-0000-0000-000033030000}"/>
    <cellStyle name="Normal 26 2 2" xfId="949" xr:uid="{00000000-0005-0000-0000-000034030000}"/>
    <cellStyle name="Normal 26 2 2 2" xfId="950" xr:uid="{00000000-0005-0000-0000-000035030000}"/>
    <cellStyle name="Normal 27" xfId="577" xr:uid="{00000000-0005-0000-0000-000036030000}"/>
    <cellStyle name="Normal 27 2" xfId="583" xr:uid="{00000000-0005-0000-0000-000037030000}"/>
    <cellStyle name="Normal 27 3" xfId="590" xr:uid="{00000000-0005-0000-0000-000038030000}"/>
    <cellStyle name="Normal 28" xfId="589" xr:uid="{00000000-0005-0000-0000-000039030000}"/>
    <cellStyle name="Normal 29" xfId="610" xr:uid="{00000000-0005-0000-0000-00003A030000}"/>
    <cellStyle name="Normal 3" xfId="443" xr:uid="{00000000-0005-0000-0000-00003B030000}"/>
    <cellStyle name="Normal 3 10" xfId="951" xr:uid="{00000000-0005-0000-0000-00003C030000}"/>
    <cellStyle name="Normal 3 11" xfId="952" xr:uid="{00000000-0005-0000-0000-00003D030000}"/>
    <cellStyle name="Normal 3 12" xfId="953" xr:uid="{00000000-0005-0000-0000-00003E030000}"/>
    <cellStyle name="Normal 3 13" xfId="954" xr:uid="{00000000-0005-0000-0000-00003F030000}"/>
    <cellStyle name="Normal 3 14" xfId="955" xr:uid="{00000000-0005-0000-0000-000040030000}"/>
    <cellStyle name="Normal 3 2" xfId="444" xr:uid="{00000000-0005-0000-0000-000041030000}"/>
    <cellStyle name="Normal 3 2 2" xfId="445" xr:uid="{00000000-0005-0000-0000-000042030000}"/>
    <cellStyle name="Normal 3 3" xfId="446" xr:uid="{00000000-0005-0000-0000-000043030000}"/>
    <cellStyle name="Normal 3 3 2" xfId="447" xr:uid="{00000000-0005-0000-0000-000044030000}"/>
    <cellStyle name="Normal 3 4" xfId="448" xr:uid="{00000000-0005-0000-0000-000045030000}"/>
    <cellStyle name="Normal 3 5" xfId="956" xr:uid="{00000000-0005-0000-0000-000046030000}"/>
    <cellStyle name="Normal 3 6" xfId="957" xr:uid="{00000000-0005-0000-0000-000047030000}"/>
    <cellStyle name="Normal 3 7" xfId="958" xr:uid="{00000000-0005-0000-0000-000048030000}"/>
    <cellStyle name="Normal 3 8" xfId="959" xr:uid="{00000000-0005-0000-0000-000049030000}"/>
    <cellStyle name="Normal 3 9" xfId="960" xr:uid="{00000000-0005-0000-0000-00004A030000}"/>
    <cellStyle name="Normal 3_Casale Super Revamp - Data for Economics Evaluation - 06.05.13" xfId="961" xr:uid="{00000000-0005-0000-0000-00004B030000}"/>
    <cellStyle name="Normal 30" xfId="1482" xr:uid="{EA4DE665-E900-4B2E-8BF6-46A9C865E761}"/>
    <cellStyle name="Normal 31" xfId="1498" xr:uid="{035F26AE-D6CF-41F3-BE25-BCF4B451C503}"/>
    <cellStyle name="Normal 32" xfId="1500" xr:uid="{6927E256-008A-411F-B308-35D2D1E4DC4F}"/>
    <cellStyle name="Normal 34" xfId="449" xr:uid="{00000000-0005-0000-0000-00004C030000}"/>
    <cellStyle name="Normal 35" xfId="450" xr:uid="{00000000-0005-0000-0000-00004D030000}"/>
    <cellStyle name="Normal 36" xfId="451" xr:uid="{00000000-0005-0000-0000-00004E030000}"/>
    <cellStyle name="Normal 37" xfId="452" xr:uid="{00000000-0005-0000-0000-00004F030000}"/>
    <cellStyle name="Normal 38" xfId="453" xr:uid="{00000000-0005-0000-0000-000050030000}"/>
    <cellStyle name="Normal 39" xfId="454" xr:uid="{00000000-0005-0000-0000-000051030000}"/>
    <cellStyle name="Normal 4" xfId="455" xr:uid="{00000000-0005-0000-0000-000052030000}"/>
    <cellStyle name="Normal 4 10" xfId="962" xr:uid="{00000000-0005-0000-0000-000053030000}"/>
    <cellStyle name="Normal 4 11" xfId="963" xr:uid="{00000000-0005-0000-0000-000054030000}"/>
    <cellStyle name="Normal 4 12" xfId="964" xr:uid="{00000000-0005-0000-0000-000055030000}"/>
    <cellStyle name="Normal 4 13" xfId="965" xr:uid="{00000000-0005-0000-0000-000056030000}"/>
    <cellStyle name="Normal 4 2" xfId="456" xr:uid="{00000000-0005-0000-0000-000057030000}"/>
    <cellStyle name="Normal 4 3" xfId="966" xr:uid="{00000000-0005-0000-0000-000058030000}"/>
    <cellStyle name="Normal 4 4" xfId="967" xr:uid="{00000000-0005-0000-0000-000059030000}"/>
    <cellStyle name="Normal 4 5" xfId="968" xr:uid="{00000000-0005-0000-0000-00005A030000}"/>
    <cellStyle name="Normal 4 6" xfId="969" xr:uid="{00000000-0005-0000-0000-00005B030000}"/>
    <cellStyle name="Normal 4 7" xfId="970" xr:uid="{00000000-0005-0000-0000-00005C030000}"/>
    <cellStyle name="Normal 4 8" xfId="971" xr:uid="{00000000-0005-0000-0000-00005D030000}"/>
    <cellStyle name="Normal 4 9" xfId="972" xr:uid="{00000000-0005-0000-0000-00005E030000}"/>
    <cellStyle name="Normal 40" xfId="457" xr:uid="{00000000-0005-0000-0000-00005F030000}"/>
    <cellStyle name="Normal 41" xfId="598" xr:uid="{00000000-0005-0000-0000-000060030000}"/>
    <cellStyle name="Normal 43" xfId="599" xr:uid="{00000000-0005-0000-0000-000061030000}"/>
    <cellStyle name="Normal 5" xfId="458" xr:uid="{00000000-0005-0000-0000-000062030000}"/>
    <cellStyle name="Normal 5 10" xfId="973" xr:uid="{00000000-0005-0000-0000-000063030000}"/>
    <cellStyle name="Normal 5 11" xfId="974" xr:uid="{00000000-0005-0000-0000-000064030000}"/>
    <cellStyle name="Normal 5 12" xfId="975" xr:uid="{00000000-0005-0000-0000-000065030000}"/>
    <cellStyle name="Normal 5 13" xfId="976" xr:uid="{00000000-0005-0000-0000-000066030000}"/>
    <cellStyle name="Normal 5 14" xfId="977" xr:uid="{00000000-0005-0000-0000-000067030000}"/>
    <cellStyle name="Normal 5 2" xfId="459" xr:uid="{00000000-0005-0000-0000-000068030000}"/>
    <cellStyle name="Normal 5 3" xfId="978" xr:uid="{00000000-0005-0000-0000-000069030000}"/>
    <cellStyle name="Normal 5 4" xfId="979" xr:uid="{00000000-0005-0000-0000-00006A030000}"/>
    <cellStyle name="Normal 5 5" xfId="980" xr:uid="{00000000-0005-0000-0000-00006B030000}"/>
    <cellStyle name="Normal 5 6" xfId="981" xr:uid="{00000000-0005-0000-0000-00006C030000}"/>
    <cellStyle name="Normal 5 7" xfId="982" xr:uid="{00000000-0005-0000-0000-00006D030000}"/>
    <cellStyle name="Normal 5 8" xfId="983" xr:uid="{00000000-0005-0000-0000-00006E030000}"/>
    <cellStyle name="Normal 5 9" xfId="984" xr:uid="{00000000-0005-0000-0000-00006F030000}"/>
    <cellStyle name="Normal 6" xfId="460" xr:uid="{00000000-0005-0000-0000-000070030000}"/>
    <cellStyle name="Normal 6 2" xfId="461" xr:uid="{00000000-0005-0000-0000-000071030000}"/>
    <cellStyle name="Normal 6 3" xfId="462" xr:uid="{00000000-0005-0000-0000-000072030000}"/>
    <cellStyle name="Normal 61" xfId="463" xr:uid="{00000000-0005-0000-0000-000073030000}"/>
    <cellStyle name="Normal 62" xfId="464" xr:uid="{00000000-0005-0000-0000-000074030000}"/>
    <cellStyle name="Normal 7" xfId="465" xr:uid="{00000000-0005-0000-0000-000075030000}"/>
    <cellStyle name="Normal 7 3" xfId="985" xr:uid="{00000000-0005-0000-0000-000076030000}"/>
    <cellStyle name="Normal 75" xfId="466" xr:uid="{00000000-0005-0000-0000-000077030000}"/>
    <cellStyle name="Normal 8" xfId="467" xr:uid="{00000000-0005-0000-0000-000078030000}"/>
    <cellStyle name="Normal 84" xfId="986" xr:uid="{00000000-0005-0000-0000-000079030000}"/>
    <cellStyle name="Normal 9" xfId="468" xr:uid="{00000000-0005-0000-0000-00007A030000}"/>
    <cellStyle name="Normal 9 2" xfId="469" xr:uid="{00000000-0005-0000-0000-00007B030000}"/>
    <cellStyle name="Normal 9 2 2" xfId="470" xr:uid="{00000000-0005-0000-0000-00007C030000}"/>
    <cellStyle name="Normal_Financial Model-Thermal Power 5" xfId="612" xr:uid="{00000000-0005-0000-0000-00007D030000}"/>
    <cellStyle name="Normale_Foglio1" xfId="471" xr:uid="{00000000-0005-0000-0000-00007E030000}"/>
    <cellStyle name="Nornal" xfId="472" xr:uid="{00000000-0005-0000-0000-00007F030000}"/>
    <cellStyle name="Note 2" xfId="473" xr:uid="{00000000-0005-0000-0000-000080030000}"/>
    <cellStyle name="Note 2 2" xfId="474" xr:uid="{00000000-0005-0000-0000-000081030000}"/>
    <cellStyle name="Note 2 3" xfId="475" xr:uid="{00000000-0005-0000-0000-000082030000}"/>
    <cellStyle name="Note 2 4" xfId="476" xr:uid="{00000000-0005-0000-0000-000083030000}"/>
    <cellStyle name="Note 2 5" xfId="477" xr:uid="{00000000-0005-0000-0000-000084030000}"/>
    <cellStyle name="Note 2 6" xfId="478" xr:uid="{00000000-0005-0000-0000-000085030000}"/>
    <cellStyle name="Note 3" xfId="479" xr:uid="{00000000-0005-0000-0000-000086030000}"/>
    <cellStyle name="Note 4" xfId="480" xr:uid="{00000000-0005-0000-0000-000087030000}"/>
    <cellStyle name="Note 5" xfId="481" xr:uid="{00000000-0005-0000-0000-000088030000}"/>
    <cellStyle name="Note 6" xfId="482" xr:uid="{00000000-0005-0000-0000-000089030000}"/>
    <cellStyle name="Output 2" xfId="483" xr:uid="{00000000-0005-0000-0000-00008A030000}"/>
    <cellStyle name="Output 3" xfId="484" xr:uid="{00000000-0005-0000-0000-00008B030000}"/>
    <cellStyle name="Output 4" xfId="485" xr:uid="{00000000-0005-0000-0000-00008C030000}"/>
    <cellStyle name="Output 5" xfId="486" xr:uid="{00000000-0005-0000-0000-00008D030000}"/>
    <cellStyle name="Output 6" xfId="487" xr:uid="{00000000-0005-0000-0000-00008E030000}"/>
    <cellStyle name="Output Amounts" xfId="488" xr:uid="{00000000-0005-0000-0000-00008F030000}"/>
    <cellStyle name="Output Column Headings" xfId="489" xr:uid="{00000000-0005-0000-0000-000090030000}"/>
    <cellStyle name="Output Line Items" xfId="490" xr:uid="{00000000-0005-0000-0000-000091030000}"/>
    <cellStyle name="Output Report Heading" xfId="491" xr:uid="{00000000-0005-0000-0000-000092030000}"/>
    <cellStyle name="Output Report Title" xfId="492" xr:uid="{00000000-0005-0000-0000-000093030000}"/>
    <cellStyle name="Overline" xfId="493" xr:uid="{00000000-0005-0000-0000-000094030000}"/>
    <cellStyle name="Overline 2" xfId="593" xr:uid="{00000000-0005-0000-0000-000095030000}"/>
    <cellStyle name="Percent" xfId="1" builtinId="5"/>
    <cellStyle name="Percent (0%)" xfId="494" xr:uid="{00000000-0005-0000-0000-000097030000}"/>
    <cellStyle name="Percent (0%) 2" xfId="495" xr:uid="{00000000-0005-0000-0000-000098030000}"/>
    <cellStyle name="Percent (0.0%)" xfId="496" xr:uid="{00000000-0005-0000-0000-000099030000}"/>
    <cellStyle name="Percent (0.0%) 2" xfId="497" xr:uid="{00000000-0005-0000-0000-00009A030000}"/>
    <cellStyle name="Percent (0.00%)" xfId="498" xr:uid="{00000000-0005-0000-0000-00009B030000}"/>
    <cellStyle name="Percent (0.00%) 2" xfId="499" xr:uid="{00000000-0005-0000-0000-00009C030000}"/>
    <cellStyle name="Percent [2]" xfId="500" xr:uid="{00000000-0005-0000-0000-00009D030000}"/>
    <cellStyle name="Percent 2" xfId="501" xr:uid="{00000000-0005-0000-0000-00009E030000}"/>
    <cellStyle name="Percent 2 10" xfId="987" xr:uid="{00000000-0005-0000-0000-00009F030000}"/>
    <cellStyle name="Percent 2 11" xfId="988" xr:uid="{00000000-0005-0000-0000-0000A0030000}"/>
    <cellStyle name="Percent 2 12" xfId="989" xr:uid="{00000000-0005-0000-0000-0000A1030000}"/>
    <cellStyle name="Percent 2 13" xfId="990" xr:uid="{00000000-0005-0000-0000-0000A2030000}"/>
    <cellStyle name="Percent 2 14" xfId="991" xr:uid="{00000000-0005-0000-0000-0000A3030000}"/>
    <cellStyle name="Percent 2 2" xfId="502" xr:uid="{00000000-0005-0000-0000-0000A4030000}"/>
    <cellStyle name="Percent 2 3" xfId="992" xr:uid="{00000000-0005-0000-0000-0000A5030000}"/>
    <cellStyle name="Percent 2 4" xfId="993" xr:uid="{00000000-0005-0000-0000-0000A6030000}"/>
    <cellStyle name="Percent 2 5" xfId="994" xr:uid="{00000000-0005-0000-0000-0000A7030000}"/>
    <cellStyle name="Percent 2 6" xfId="995" xr:uid="{00000000-0005-0000-0000-0000A8030000}"/>
    <cellStyle name="Percent 2 7" xfId="996" xr:uid="{00000000-0005-0000-0000-0000A9030000}"/>
    <cellStyle name="Percent 2 8" xfId="997" xr:uid="{00000000-0005-0000-0000-0000AA030000}"/>
    <cellStyle name="Percent 2 9" xfId="998" xr:uid="{00000000-0005-0000-0000-0000AB030000}"/>
    <cellStyle name="Percent 3" xfId="503" xr:uid="{00000000-0005-0000-0000-0000AC030000}"/>
    <cellStyle name="Percent 3 10" xfId="999" xr:uid="{00000000-0005-0000-0000-0000AD030000}"/>
    <cellStyle name="Percent 3 11" xfId="1000" xr:uid="{00000000-0005-0000-0000-0000AE030000}"/>
    <cellStyle name="Percent 3 12" xfId="1001" xr:uid="{00000000-0005-0000-0000-0000AF030000}"/>
    <cellStyle name="Percent 3 13" xfId="1002" xr:uid="{00000000-0005-0000-0000-0000B0030000}"/>
    <cellStyle name="Percent 3 14" xfId="1003" xr:uid="{00000000-0005-0000-0000-0000B1030000}"/>
    <cellStyle name="Percent 3 2" xfId="1004" xr:uid="{00000000-0005-0000-0000-0000B2030000}"/>
    <cellStyle name="Percent 3 3" xfId="1005" xr:uid="{00000000-0005-0000-0000-0000B3030000}"/>
    <cellStyle name="Percent 3 4" xfId="1006" xr:uid="{00000000-0005-0000-0000-0000B4030000}"/>
    <cellStyle name="Percent 3 5" xfId="1007" xr:uid="{00000000-0005-0000-0000-0000B5030000}"/>
    <cellStyle name="Percent 3 6" xfId="1008" xr:uid="{00000000-0005-0000-0000-0000B6030000}"/>
    <cellStyle name="Percent 3 7" xfId="1009" xr:uid="{00000000-0005-0000-0000-0000B7030000}"/>
    <cellStyle name="Percent 3 8" xfId="1010" xr:uid="{00000000-0005-0000-0000-0000B8030000}"/>
    <cellStyle name="Percent 3 9" xfId="1011" xr:uid="{00000000-0005-0000-0000-0000B9030000}"/>
    <cellStyle name="Percent 4" xfId="580" xr:uid="{00000000-0005-0000-0000-0000BA030000}"/>
    <cellStyle name="Percent 5" xfId="581" xr:uid="{00000000-0005-0000-0000-0000BB030000}"/>
    <cellStyle name="PSChar" xfId="504" xr:uid="{00000000-0005-0000-0000-0000BC030000}"/>
    <cellStyle name="PSDate" xfId="505" xr:uid="{00000000-0005-0000-0000-0000BD030000}"/>
    <cellStyle name="PSDec" xfId="506" xr:uid="{00000000-0005-0000-0000-0000BE030000}"/>
    <cellStyle name="PSHeading" xfId="507" xr:uid="{00000000-0005-0000-0000-0000BF030000}"/>
    <cellStyle name="RevList" xfId="508" xr:uid="{00000000-0005-0000-0000-0000C0030000}"/>
    <cellStyle name="SAPBEXaggData" xfId="1012" xr:uid="{00000000-0005-0000-0000-0000C1030000}"/>
    <cellStyle name="SAPBEXaggData 10" xfId="1013" xr:uid="{00000000-0005-0000-0000-0000C2030000}"/>
    <cellStyle name="SAPBEXaggData 11" xfId="1014" xr:uid="{00000000-0005-0000-0000-0000C3030000}"/>
    <cellStyle name="SAPBEXaggData 12" xfId="1015" xr:uid="{00000000-0005-0000-0000-0000C4030000}"/>
    <cellStyle name="SAPBEXaggData 13" xfId="1016" xr:uid="{00000000-0005-0000-0000-0000C5030000}"/>
    <cellStyle name="SAPBEXaggData 14" xfId="1017" xr:uid="{00000000-0005-0000-0000-0000C6030000}"/>
    <cellStyle name="SAPBEXaggData 2" xfId="1018" xr:uid="{00000000-0005-0000-0000-0000C7030000}"/>
    <cellStyle name="SAPBEXaggData 3" xfId="1019" xr:uid="{00000000-0005-0000-0000-0000C8030000}"/>
    <cellStyle name="SAPBEXaggData 4" xfId="1020" xr:uid="{00000000-0005-0000-0000-0000C9030000}"/>
    <cellStyle name="SAPBEXaggData 5" xfId="1021" xr:uid="{00000000-0005-0000-0000-0000CA030000}"/>
    <cellStyle name="SAPBEXaggData 6" xfId="1022" xr:uid="{00000000-0005-0000-0000-0000CB030000}"/>
    <cellStyle name="SAPBEXaggData 7" xfId="1023" xr:uid="{00000000-0005-0000-0000-0000CC030000}"/>
    <cellStyle name="SAPBEXaggData 8" xfId="1024" xr:uid="{00000000-0005-0000-0000-0000CD030000}"/>
    <cellStyle name="SAPBEXaggData 9" xfId="1025" xr:uid="{00000000-0005-0000-0000-0000CE030000}"/>
    <cellStyle name="SAPBEXaggDataEmph" xfId="1026" xr:uid="{00000000-0005-0000-0000-0000CF030000}"/>
    <cellStyle name="SAPBEXaggDataEmph 10" xfId="1027" xr:uid="{00000000-0005-0000-0000-0000D0030000}"/>
    <cellStyle name="SAPBEXaggDataEmph 11" xfId="1028" xr:uid="{00000000-0005-0000-0000-0000D1030000}"/>
    <cellStyle name="SAPBEXaggDataEmph 12" xfId="1029" xr:uid="{00000000-0005-0000-0000-0000D2030000}"/>
    <cellStyle name="SAPBEXaggDataEmph 13" xfId="1030" xr:uid="{00000000-0005-0000-0000-0000D3030000}"/>
    <cellStyle name="SAPBEXaggDataEmph 14" xfId="1031" xr:uid="{00000000-0005-0000-0000-0000D4030000}"/>
    <cellStyle name="SAPBEXaggDataEmph 2" xfId="1032" xr:uid="{00000000-0005-0000-0000-0000D5030000}"/>
    <cellStyle name="SAPBEXaggDataEmph 3" xfId="1033" xr:uid="{00000000-0005-0000-0000-0000D6030000}"/>
    <cellStyle name="SAPBEXaggDataEmph 4" xfId="1034" xr:uid="{00000000-0005-0000-0000-0000D7030000}"/>
    <cellStyle name="SAPBEXaggDataEmph 5" xfId="1035" xr:uid="{00000000-0005-0000-0000-0000D8030000}"/>
    <cellStyle name="SAPBEXaggDataEmph 6" xfId="1036" xr:uid="{00000000-0005-0000-0000-0000D9030000}"/>
    <cellStyle name="SAPBEXaggDataEmph 7" xfId="1037" xr:uid="{00000000-0005-0000-0000-0000DA030000}"/>
    <cellStyle name="SAPBEXaggDataEmph 8" xfId="1038" xr:uid="{00000000-0005-0000-0000-0000DB030000}"/>
    <cellStyle name="SAPBEXaggDataEmph 9" xfId="1039" xr:uid="{00000000-0005-0000-0000-0000DC030000}"/>
    <cellStyle name="SAPBEXaggItem" xfId="1040" xr:uid="{00000000-0005-0000-0000-0000DD030000}"/>
    <cellStyle name="SAPBEXaggItem 10" xfId="1041" xr:uid="{00000000-0005-0000-0000-0000DE030000}"/>
    <cellStyle name="SAPBEXaggItem 11" xfId="1042" xr:uid="{00000000-0005-0000-0000-0000DF030000}"/>
    <cellStyle name="SAPBEXaggItem 12" xfId="1043" xr:uid="{00000000-0005-0000-0000-0000E0030000}"/>
    <cellStyle name="SAPBEXaggItem 13" xfId="1044" xr:uid="{00000000-0005-0000-0000-0000E1030000}"/>
    <cellStyle name="SAPBEXaggItem 14" xfId="1045" xr:uid="{00000000-0005-0000-0000-0000E2030000}"/>
    <cellStyle name="SAPBEXaggItem 2" xfId="1046" xr:uid="{00000000-0005-0000-0000-0000E3030000}"/>
    <cellStyle name="SAPBEXaggItem 3" xfId="1047" xr:uid="{00000000-0005-0000-0000-0000E4030000}"/>
    <cellStyle name="SAPBEXaggItem 4" xfId="1048" xr:uid="{00000000-0005-0000-0000-0000E5030000}"/>
    <cellStyle name="SAPBEXaggItem 5" xfId="1049" xr:uid="{00000000-0005-0000-0000-0000E6030000}"/>
    <cellStyle name="SAPBEXaggItem 6" xfId="1050" xr:uid="{00000000-0005-0000-0000-0000E7030000}"/>
    <cellStyle name="SAPBEXaggItem 7" xfId="1051" xr:uid="{00000000-0005-0000-0000-0000E8030000}"/>
    <cellStyle name="SAPBEXaggItem 8" xfId="1052" xr:uid="{00000000-0005-0000-0000-0000E9030000}"/>
    <cellStyle name="SAPBEXaggItem 9" xfId="1053" xr:uid="{00000000-0005-0000-0000-0000EA030000}"/>
    <cellStyle name="SAPBEXaggItemX" xfId="1054" xr:uid="{00000000-0005-0000-0000-0000EB030000}"/>
    <cellStyle name="SAPBEXaggItemX 10" xfId="1055" xr:uid="{00000000-0005-0000-0000-0000EC030000}"/>
    <cellStyle name="SAPBEXaggItemX 11" xfId="1056" xr:uid="{00000000-0005-0000-0000-0000ED030000}"/>
    <cellStyle name="SAPBEXaggItemX 12" xfId="1057" xr:uid="{00000000-0005-0000-0000-0000EE030000}"/>
    <cellStyle name="SAPBEXaggItemX 13" xfId="1058" xr:uid="{00000000-0005-0000-0000-0000EF030000}"/>
    <cellStyle name="SAPBEXaggItemX 14" xfId="1059" xr:uid="{00000000-0005-0000-0000-0000F0030000}"/>
    <cellStyle name="SAPBEXaggItemX 2" xfId="1060" xr:uid="{00000000-0005-0000-0000-0000F1030000}"/>
    <cellStyle name="SAPBEXaggItemX 3" xfId="1061" xr:uid="{00000000-0005-0000-0000-0000F2030000}"/>
    <cellStyle name="SAPBEXaggItemX 4" xfId="1062" xr:uid="{00000000-0005-0000-0000-0000F3030000}"/>
    <cellStyle name="SAPBEXaggItemX 5" xfId="1063" xr:uid="{00000000-0005-0000-0000-0000F4030000}"/>
    <cellStyle name="SAPBEXaggItemX 6" xfId="1064" xr:uid="{00000000-0005-0000-0000-0000F5030000}"/>
    <cellStyle name="SAPBEXaggItemX 7" xfId="1065" xr:uid="{00000000-0005-0000-0000-0000F6030000}"/>
    <cellStyle name="SAPBEXaggItemX 8" xfId="1066" xr:uid="{00000000-0005-0000-0000-0000F7030000}"/>
    <cellStyle name="SAPBEXaggItemX 9" xfId="1067" xr:uid="{00000000-0005-0000-0000-0000F8030000}"/>
    <cellStyle name="SAPBEXchaText" xfId="1068" xr:uid="{00000000-0005-0000-0000-0000F9030000}"/>
    <cellStyle name="SAPBEXchaText 2" xfId="1069" xr:uid="{00000000-0005-0000-0000-0000FA030000}"/>
    <cellStyle name="SAPBEXchaText 3" xfId="1070" xr:uid="{00000000-0005-0000-0000-0000FB030000}"/>
    <cellStyle name="SAPBEXexcBad7" xfId="1071" xr:uid="{00000000-0005-0000-0000-0000FC030000}"/>
    <cellStyle name="SAPBEXexcBad7 10" xfId="1072" xr:uid="{00000000-0005-0000-0000-0000FD030000}"/>
    <cellStyle name="SAPBEXexcBad7 11" xfId="1073" xr:uid="{00000000-0005-0000-0000-0000FE030000}"/>
    <cellStyle name="SAPBEXexcBad7 12" xfId="1074" xr:uid="{00000000-0005-0000-0000-0000FF030000}"/>
    <cellStyle name="SAPBEXexcBad7 13" xfId="1075" xr:uid="{00000000-0005-0000-0000-000000040000}"/>
    <cellStyle name="SAPBEXexcBad7 14" xfId="1076" xr:uid="{00000000-0005-0000-0000-000001040000}"/>
    <cellStyle name="SAPBEXexcBad7 2" xfId="1077" xr:uid="{00000000-0005-0000-0000-000002040000}"/>
    <cellStyle name="SAPBEXexcBad7 3" xfId="1078" xr:uid="{00000000-0005-0000-0000-000003040000}"/>
    <cellStyle name="SAPBEXexcBad7 4" xfId="1079" xr:uid="{00000000-0005-0000-0000-000004040000}"/>
    <cellStyle name="SAPBEXexcBad7 5" xfId="1080" xr:uid="{00000000-0005-0000-0000-000005040000}"/>
    <cellStyle name="SAPBEXexcBad7 6" xfId="1081" xr:uid="{00000000-0005-0000-0000-000006040000}"/>
    <cellStyle name="SAPBEXexcBad7 7" xfId="1082" xr:uid="{00000000-0005-0000-0000-000007040000}"/>
    <cellStyle name="SAPBEXexcBad7 8" xfId="1083" xr:uid="{00000000-0005-0000-0000-000008040000}"/>
    <cellStyle name="SAPBEXexcBad7 9" xfId="1084" xr:uid="{00000000-0005-0000-0000-000009040000}"/>
    <cellStyle name="SAPBEXexcBad8" xfId="1085" xr:uid="{00000000-0005-0000-0000-00000A040000}"/>
    <cellStyle name="SAPBEXexcBad8 10" xfId="1086" xr:uid="{00000000-0005-0000-0000-00000B040000}"/>
    <cellStyle name="SAPBEXexcBad8 11" xfId="1087" xr:uid="{00000000-0005-0000-0000-00000C040000}"/>
    <cellStyle name="SAPBEXexcBad8 12" xfId="1088" xr:uid="{00000000-0005-0000-0000-00000D040000}"/>
    <cellStyle name="SAPBEXexcBad8 13" xfId="1089" xr:uid="{00000000-0005-0000-0000-00000E040000}"/>
    <cellStyle name="SAPBEXexcBad8 14" xfId="1090" xr:uid="{00000000-0005-0000-0000-00000F040000}"/>
    <cellStyle name="SAPBEXexcBad8 2" xfId="1091" xr:uid="{00000000-0005-0000-0000-000010040000}"/>
    <cellStyle name="SAPBEXexcBad8 3" xfId="1092" xr:uid="{00000000-0005-0000-0000-000011040000}"/>
    <cellStyle name="SAPBEXexcBad8 4" xfId="1093" xr:uid="{00000000-0005-0000-0000-000012040000}"/>
    <cellStyle name="SAPBEXexcBad8 5" xfId="1094" xr:uid="{00000000-0005-0000-0000-000013040000}"/>
    <cellStyle name="SAPBEXexcBad8 6" xfId="1095" xr:uid="{00000000-0005-0000-0000-000014040000}"/>
    <cellStyle name="SAPBEXexcBad8 7" xfId="1096" xr:uid="{00000000-0005-0000-0000-000015040000}"/>
    <cellStyle name="SAPBEXexcBad8 8" xfId="1097" xr:uid="{00000000-0005-0000-0000-000016040000}"/>
    <cellStyle name="SAPBEXexcBad8 9" xfId="1098" xr:uid="{00000000-0005-0000-0000-000017040000}"/>
    <cellStyle name="SAPBEXexcBad9" xfId="1099" xr:uid="{00000000-0005-0000-0000-000018040000}"/>
    <cellStyle name="SAPBEXexcBad9 10" xfId="1100" xr:uid="{00000000-0005-0000-0000-000019040000}"/>
    <cellStyle name="SAPBEXexcBad9 11" xfId="1101" xr:uid="{00000000-0005-0000-0000-00001A040000}"/>
    <cellStyle name="SAPBEXexcBad9 12" xfId="1102" xr:uid="{00000000-0005-0000-0000-00001B040000}"/>
    <cellStyle name="SAPBEXexcBad9 13" xfId="1103" xr:uid="{00000000-0005-0000-0000-00001C040000}"/>
    <cellStyle name="SAPBEXexcBad9 14" xfId="1104" xr:uid="{00000000-0005-0000-0000-00001D040000}"/>
    <cellStyle name="SAPBEXexcBad9 2" xfId="1105" xr:uid="{00000000-0005-0000-0000-00001E040000}"/>
    <cellStyle name="SAPBEXexcBad9 3" xfId="1106" xr:uid="{00000000-0005-0000-0000-00001F040000}"/>
    <cellStyle name="SAPBEXexcBad9 4" xfId="1107" xr:uid="{00000000-0005-0000-0000-000020040000}"/>
    <cellStyle name="SAPBEXexcBad9 5" xfId="1108" xr:uid="{00000000-0005-0000-0000-000021040000}"/>
    <cellStyle name="SAPBEXexcBad9 6" xfId="1109" xr:uid="{00000000-0005-0000-0000-000022040000}"/>
    <cellStyle name="SAPBEXexcBad9 7" xfId="1110" xr:uid="{00000000-0005-0000-0000-000023040000}"/>
    <cellStyle name="SAPBEXexcBad9 8" xfId="1111" xr:uid="{00000000-0005-0000-0000-000024040000}"/>
    <cellStyle name="SAPBEXexcBad9 9" xfId="1112" xr:uid="{00000000-0005-0000-0000-000025040000}"/>
    <cellStyle name="SAPBEXexcCritical4" xfId="1113" xr:uid="{00000000-0005-0000-0000-000026040000}"/>
    <cellStyle name="SAPBEXexcCritical4 10" xfId="1114" xr:uid="{00000000-0005-0000-0000-000027040000}"/>
    <cellStyle name="SAPBEXexcCritical4 11" xfId="1115" xr:uid="{00000000-0005-0000-0000-000028040000}"/>
    <cellStyle name="SAPBEXexcCritical4 12" xfId="1116" xr:uid="{00000000-0005-0000-0000-000029040000}"/>
    <cellStyle name="SAPBEXexcCritical4 13" xfId="1117" xr:uid="{00000000-0005-0000-0000-00002A040000}"/>
    <cellStyle name="SAPBEXexcCritical4 14" xfId="1118" xr:uid="{00000000-0005-0000-0000-00002B040000}"/>
    <cellStyle name="SAPBEXexcCritical4 2" xfId="1119" xr:uid="{00000000-0005-0000-0000-00002C040000}"/>
    <cellStyle name="SAPBEXexcCritical4 3" xfId="1120" xr:uid="{00000000-0005-0000-0000-00002D040000}"/>
    <cellStyle name="SAPBEXexcCritical4 4" xfId="1121" xr:uid="{00000000-0005-0000-0000-00002E040000}"/>
    <cellStyle name="SAPBEXexcCritical4 5" xfId="1122" xr:uid="{00000000-0005-0000-0000-00002F040000}"/>
    <cellStyle name="SAPBEXexcCritical4 6" xfId="1123" xr:uid="{00000000-0005-0000-0000-000030040000}"/>
    <cellStyle name="SAPBEXexcCritical4 7" xfId="1124" xr:uid="{00000000-0005-0000-0000-000031040000}"/>
    <cellStyle name="SAPBEXexcCritical4 8" xfId="1125" xr:uid="{00000000-0005-0000-0000-000032040000}"/>
    <cellStyle name="SAPBEXexcCritical4 9" xfId="1126" xr:uid="{00000000-0005-0000-0000-000033040000}"/>
    <cellStyle name="SAPBEXexcCritical5" xfId="1127" xr:uid="{00000000-0005-0000-0000-000034040000}"/>
    <cellStyle name="SAPBEXexcCritical5 10" xfId="1128" xr:uid="{00000000-0005-0000-0000-000035040000}"/>
    <cellStyle name="SAPBEXexcCritical5 11" xfId="1129" xr:uid="{00000000-0005-0000-0000-000036040000}"/>
    <cellStyle name="SAPBEXexcCritical5 12" xfId="1130" xr:uid="{00000000-0005-0000-0000-000037040000}"/>
    <cellStyle name="SAPBEXexcCritical5 13" xfId="1131" xr:uid="{00000000-0005-0000-0000-000038040000}"/>
    <cellStyle name="SAPBEXexcCritical5 14" xfId="1132" xr:uid="{00000000-0005-0000-0000-000039040000}"/>
    <cellStyle name="SAPBEXexcCritical5 2" xfId="1133" xr:uid="{00000000-0005-0000-0000-00003A040000}"/>
    <cellStyle name="SAPBEXexcCritical5 3" xfId="1134" xr:uid="{00000000-0005-0000-0000-00003B040000}"/>
    <cellStyle name="SAPBEXexcCritical5 4" xfId="1135" xr:uid="{00000000-0005-0000-0000-00003C040000}"/>
    <cellStyle name="SAPBEXexcCritical5 5" xfId="1136" xr:uid="{00000000-0005-0000-0000-00003D040000}"/>
    <cellStyle name="SAPBEXexcCritical5 6" xfId="1137" xr:uid="{00000000-0005-0000-0000-00003E040000}"/>
    <cellStyle name="SAPBEXexcCritical5 7" xfId="1138" xr:uid="{00000000-0005-0000-0000-00003F040000}"/>
    <cellStyle name="SAPBEXexcCritical5 8" xfId="1139" xr:uid="{00000000-0005-0000-0000-000040040000}"/>
    <cellStyle name="SAPBEXexcCritical5 9" xfId="1140" xr:uid="{00000000-0005-0000-0000-000041040000}"/>
    <cellStyle name="SAPBEXexcCritical6" xfId="1141" xr:uid="{00000000-0005-0000-0000-000042040000}"/>
    <cellStyle name="SAPBEXexcCritical6 10" xfId="1142" xr:uid="{00000000-0005-0000-0000-000043040000}"/>
    <cellStyle name="SAPBEXexcCritical6 11" xfId="1143" xr:uid="{00000000-0005-0000-0000-000044040000}"/>
    <cellStyle name="SAPBEXexcCritical6 12" xfId="1144" xr:uid="{00000000-0005-0000-0000-000045040000}"/>
    <cellStyle name="SAPBEXexcCritical6 13" xfId="1145" xr:uid="{00000000-0005-0000-0000-000046040000}"/>
    <cellStyle name="SAPBEXexcCritical6 14" xfId="1146" xr:uid="{00000000-0005-0000-0000-000047040000}"/>
    <cellStyle name="SAPBEXexcCritical6 2" xfId="1147" xr:uid="{00000000-0005-0000-0000-000048040000}"/>
    <cellStyle name="SAPBEXexcCritical6 3" xfId="1148" xr:uid="{00000000-0005-0000-0000-000049040000}"/>
    <cellStyle name="SAPBEXexcCritical6 4" xfId="1149" xr:uid="{00000000-0005-0000-0000-00004A040000}"/>
    <cellStyle name="SAPBEXexcCritical6 5" xfId="1150" xr:uid="{00000000-0005-0000-0000-00004B040000}"/>
    <cellStyle name="SAPBEXexcCritical6 6" xfId="1151" xr:uid="{00000000-0005-0000-0000-00004C040000}"/>
    <cellStyle name="SAPBEXexcCritical6 7" xfId="1152" xr:uid="{00000000-0005-0000-0000-00004D040000}"/>
    <cellStyle name="SAPBEXexcCritical6 8" xfId="1153" xr:uid="{00000000-0005-0000-0000-00004E040000}"/>
    <cellStyle name="SAPBEXexcCritical6 9" xfId="1154" xr:uid="{00000000-0005-0000-0000-00004F040000}"/>
    <cellStyle name="SAPBEXexcGood1" xfId="1155" xr:uid="{00000000-0005-0000-0000-000050040000}"/>
    <cellStyle name="SAPBEXexcGood1 10" xfId="1156" xr:uid="{00000000-0005-0000-0000-000051040000}"/>
    <cellStyle name="SAPBEXexcGood1 11" xfId="1157" xr:uid="{00000000-0005-0000-0000-000052040000}"/>
    <cellStyle name="SAPBEXexcGood1 12" xfId="1158" xr:uid="{00000000-0005-0000-0000-000053040000}"/>
    <cellStyle name="SAPBEXexcGood1 13" xfId="1159" xr:uid="{00000000-0005-0000-0000-000054040000}"/>
    <cellStyle name="SAPBEXexcGood1 14" xfId="1160" xr:uid="{00000000-0005-0000-0000-000055040000}"/>
    <cellStyle name="SAPBEXexcGood1 2" xfId="1161" xr:uid="{00000000-0005-0000-0000-000056040000}"/>
    <cellStyle name="SAPBEXexcGood1 3" xfId="1162" xr:uid="{00000000-0005-0000-0000-000057040000}"/>
    <cellStyle name="SAPBEXexcGood1 4" xfId="1163" xr:uid="{00000000-0005-0000-0000-000058040000}"/>
    <cellStyle name="SAPBEXexcGood1 5" xfId="1164" xr:uid="{00000000-0005-0000-0000-000059040000}"/>
    <cellStyle name="SAPBEXexcGood1 6" xfId="1165" xr:uid="{00000000-0005-0000-0000-00005A040000}"/>
    <cellStyle name="SAPBEXexcGood1 7" xfId="1166" xr:uid="{00000000-0005-0000-0000-00005B040000}"/>
    <cellStyle name="SAPBEXexcGood1 8" xfId="1167" xr:uid="{00000000-0005-0000-0000-00005C040000}"/>
    <cellStyle name="SAPBEXexcGood1 9" xfId="1168" xr:uid="{00000000-0005-0000-0000-00005D040000}"/>
    <cellStyle name="SAPBEXexcGood2" xfId="1169" xr:uid="{00000000-0005-0000-0000-00005E040000}"/>
    <cellStyle name="SAPBEXexcGood2 10" xfId="1170" xr:uid="{00000000-0005-0000-0000-00005F040000}"/>
    <cellStyle name="SAPBEXexcGood2 11" xfId="1171" xr:uid="{00000000-0005-0000-0000-000060040000}"/>
    <cellStyle name="SAPBEXexcGood2 12" xfId="1172" xr:uid="{00000000-0005-0000-0000-000061040000}"/>
    <cellStyle name="SAPBEXexcGood2 13" xfId="1173" xr:uid="{00000000-0005-0000-0000-000062040000}"/>
    <cellStyle name="SAPBEXexcGood2 14" xfId="1174" xr:uid="{00000000-0005-0000-0000-000063040000}"/>
    <cellStyle name="SAPBEXexcGood2 2" xfId="1175" xr:uid="{00000000-0005-0000-0000-000064040000}"/>
    <cellStyle name="SAPBEXexcGood2 3" xfId="1176" xr:uid="{00000000-0005-0000-0000-000065040000}"/>
    <cellStyle name="SAPBEXexcGood2 4" xfId="1177" xr:uid="{00000000-0005-0000-0000-000066040000}"/>
    <cellStyle name="SAPBEXexcGood2 5" xfId="1178" xr:uid="{00000000-0005-0000-0000-000067040000}"/>
    <cellStyle name="SAPBEXexcGood2 6" xfId="1179" xr:uid="{00000000-0005-0000-0000-000068040000}"/>
    <cellStyle name="SAPBEXexcGood2 7" xfId="1180" xr:uid="{00000000-0005-0000-0000-000069040000}"/>
    <cellStyle name="SAPBEXexcGood2 8" xfId="1181" xr:uid="{00000000-0005-0000-0000-00006A040000}"/>
    <cellStyle name="SAPBEXexcGood2 9" xfId="1182" xr:uid="{00000000-0005-0000-0000-00006B040000}"/>
    <cellStyle name="SAPBEXexcGood3" xfId="1183" xr:uid="{00000000-0005-0000-0000-00006C040000}"/>
    <cellStyle name="SAPBEXexcGood3 10" xfId="1184" xr:uid="{00000000-0005-0000-0000-00006D040000}"/>
    <cellStyle name="SAPBEXexcGood3 11" xfId="1185" xr:uid="{00000000-0005-0000-0000-00006E040000}"/>
    <cellStyle name="SAPBEXexcGood3 12" xfId="1186" xr:uid="{00000000-0005-0000-0000-00006F040000}"/>
    <cellStyle name="SAPBEXexcGood3 13" xfId="1187" xr:uid="{00000000-0005-0000-0000-000070040000}"/>
    <cellStyle name="SAPBEXexcGood3 14" xfId="1188" xr:uid="{00000000-0005-0000-0000-000071040000}"/>
    <cellStyle name="SAPBEXexcGood3 2" xfId="1189" xr:uid="{00000000-0005-0000-0000-000072040000}"/>
    <cellStyle name="SAPBEXexcGood3 3" xfId="1190" xr:uid="{00000000-0005-0000-0000-000073040000}"/>
    <cellStyle name="SAPBEXexcGood3 4" xfId="1191" xr:uid="{00000000-0005-0000-0000-000074040000}"/>
    <cellStyle name="SAPBEXexcGood3 5" xfId="1192" xr:uid="{00000000-0005-0000-0000-000075040000}"/>
    <cellStyle name="SAPBEXexcGood3 6" xfId="1193" xr:uid="{00000000-0005-0000-0000-000076040000}"/>
    <cellStyle name="SAPBEXexcGood3 7" xfId="1194" xr:uid="{00000000-0005-0000-0000-000077040000}"/>
    <cellStyle name="SAPBEXexcGood3 8" xfId="1195" xr:uid="{00000000-0005-0000-0000-000078040000}"/>
    <cellStyle name="SAPBEXexcGood3 9" xfId="1196" xr:uid="{00000000-0005-0000-0000-000079040000}"/>
    <cellStyle name="SAPBEXfilterDrill" xfId="1197" xr:uid="{00000000-0005-0000-0000-00007A040000}"/>
    <cellStyle name="SAPBEXfilterDrill 2" xfId="1198" xr:uid="{00000000-0005-0000-0000-00007B040000}"/>
    <cellStyle name="SAPBEXfilterDrill 3" xfId="1199" xr:uid="{00000000-0005-0000-0000-00007C040000}"/>
    <cellStyle name="SAPBEXfilterItem" xfId="1200" xr:uid="{00000000-0005-0000-0000-00007D040000}"/>
    <cellStyle name="SAPBEXfilterText" xfId="1201" xr:uid="{00000000-0005-0000-0000-00007E040000}"/>
    <cellStyle name="SAPBEXformats" xfId="1202" xr:uid="{00000000-0005-0000-0000-00007F040000}"/>
    <cellStyle name="SAPBEXformats 10" xfId="1203" xr:uid="{00000000-0005-0000-0000-000080040000}"/>
    <cellStyle name="SAPBEXformats 11" xfId="1204" xr:uid="{00000000-0005-0000-0000-000081040000}"/>
    <cellStyle name="SAPBEXformats 12" xfId="1205" xr:uid="{00000000-0005-0000-0000-000082040000}"/>
    <cellStyle name="SAPBEXformats 13" xfId="1206" xr:uid="{00000000-0005-0000-0000-000083040000}"/>
    <cellStyle name="SAPBEXformats 14" xfId="1207" xr:uid="{00000000-0005-0000-0000-000084040000}"/>
    <cellStyle name="SAPBEXformats 2" xfId="1208" xr:uid="{00000000-0005-0000-0000-000085040000}"/>
    <cellStyle name="SAPBEXformats 3" xfId="1209" xr:uid="{00000000-0005-0000-0000-000086040000}"/>
    <cellStyle name="SAPBEXformats 4" xfId="1210" xr:uid="{00000000-0005-0000-0000-000087040000}"/>
    <cellStyle name="SAPBEXformats 5" xfId="1211" xr:uid="{00000000-0005-0000-0000-000088040000}"/>
    <cellStyle name="SAPBEXformats 6" xfId="1212" xr:uid="{00000000-0005-0000-0000-000089040000}"/>
    <cellStyle name="SAPBEXformats 7" xfId="1213" xr:uid="{00000000-0005-0000-0000-00008A040000}"/>
    <cellStyle name="SAPBEXformats 8" xfId="1214" xr:uid="{00000000-0005-0000-0000-00008B040000}"/>
    <cellStyle name="SAPBEXformats 9" xfId="1215" xr:uid="{00000000-0005-0000-0000-00008C040000}"/>
    <cellStyle name="SAPBEXheaderItem" xfId="1216" xr:uid="{00000000-0005-0000-0000-00008D040000}"/>
    <cellStyle name="SAPBEXheaderItem 2" xfId="1217" xr:uid="{00000000-0005-0000-0000-00008E040000}"/>
    <cellStyle name="SAPBEXheaderItem 3" xfId="1218" xr:uid="{00000000-0005-0000-0000-00008F040000}"/>
    <cellStyle name="SAPBEXheaderText" xfId="1219" xr:uid="{00000000-0005-0000-0000-000090040000}"/>
    <cellStyle name="SAPBEXheaderText 2" xfId="1220" xr:uid="{00000000-0005-0000-0000-000091040000}"/>
    <cellStyle name="SAPBEXheaderText 3" xfId="1221" xr:uid="{00000000-0005-0000-0000-000092040000}"/>
    <cellStyle name="SAPBEXHLevel0" xfId="1222" xr:uid="{00000000-0005-0000-0000-000093040000}"/>
    <cellStyle name="SAPBEXHLevel0 10" xfId="1223" xr:uid="{00000000-0005-0000-0000-000094040000}"/>
    <cellStyle name="SAPBEXHLevel0 11" xfId="1224" xr:uid="{00000000-0005-0000-0000-000095040000}"/>
    <cellStyle name="SAPBEXHLevel0 12" xfId="1225" xr:uid="{00000000-0005-0000-0000-000096040000}"/>
    <cellStyle name="SAPBEXHLevel0 13" xfId="1226" xr:uid="{00000000-0005-0000-0000-000097040000}"/>
    <cellStyle name="SAPBEXHLevel0 14" xfId="1227" xr:uid="{00000000-0005-0000-0000-000098040000}"/>
    <cellStyle name="SAPBEXHLevel0 2" xfId="1228" xr:uid="{00000000-0005-0000-0000-000099040000}"/>
    <cellStyle name="SAPBEXHLevel0 3" xfId="1229" xr:uid="{00000000-0005-0000-0000-00009A040000}"/>
    <cellStyle name="SAPBEXHLevel0 4" xfId="1230" xr:uid="{00000000-0005-0000-0000-00009B040000}"/>
    <cellStyle name="SAPBEXHLevel0 5" xfId="1231" xr:uid="{00000000-0005-0000-0000-00009C040000}"/>
    <cellStyle name="SAPBEXHLevel0 6" xfId="1232" xr:uid="{00000000-0005-0000-0000-00009D040000}"/>
    <cellStyle name="SAPBEXHLevel0 7" xfId="1233" xr:uid="{00000000-0005-0000-0000-00009E040000}"/>
    <cellStyle name="SAPBEXHLevel0 8" xfId="1234" xr:uid="{00000000-0005-0000-0000-00009F040000}"/>
    <cellStyle name="SAPBEXHLevel0 9" xfId="1235" xr:uid="{00000000-0005-0000-0000-0000A0040000}"/>
    <cellStyle name="SAPBEXHLevel0X" xfId="1236" xr:uid="{00000000-0005-0000-0000-0000A1040000}"/>
    <cellStyle name="SAPBEXHLevel0X 10" xfId="1237" xr:uid="{00000000-0005-0000-0000-0000A2040000}"/>
    <cellStyle name="SAPBEXHLevel0X 11" xfId="1238" xr:uid="{00000000-0005-0000-0000-0000A3040000}"/>
    <cellStyle name="SAPBEXHLevel0X 12" xfId="1239" xr:uid="{00000000-0005-0000-0000-0000A4040000}"/>
    <cellStyle name="SAPBEXHLevel0X 13" xfId="1240" xr:uid="{00000000-0005-0000-0000-0000A5040000}"/>
    <cellStyle name="SAPBEXHLevel0X 14" xfId="1241" xr:uid="{00000000-0005-0000-0000-0000A6040000}"/>
    <cellStyle name="SAPBEXHLevel0X 2" xfId="1242" xr:uid="{00000000-0005-0000-0000-0000A7040000}"/>
    <cellStyle name="SAPBEXHLevel0X 3" xfId="1243" xr:uid="{00000000-0005-0000-0000-0000A8040000}"/>
    <cellStyle name="SAPBEXHLevel0X 4" xfId="1244" xr:uid="{00000000-0005-0000-0000-0000A9040000}"/>
    <cellStyle name="SAPBEXHLevel0X 5" xfId="1245" xr:uid="{00000000-0005-0000-0000-0000AA040000}"/>
    <cellStyle name="SAPBEXHLevel0X 6" xfId="1246" xr:uid="{00000000-0005-0000-0000-0000AB040000}"/>
    <cellStyle name="SAPBEXHLevel0X 7" xfId="1247" xr:uid="{00000000-0005-0000-0000-0000AC040000}"/>
    <cellStyle name="SAPBEXHLevel0X 8" xfId="1248" xr:uid="{00000000-0005-0000-0000-0000AD040000}"/>
    <cellStyle name="SAPBEXHLevel0X 9" xfId="1249" xr:uid="{00000000-0005-0000-0000-0000AE040000}"/>
    <cellStyle name="SAPBEXHLevel1" xfId="1250" xr:uid="{00000000-0005-0000-0000-0000AF040000}"/>
    <cellStyle name="SAPBEXHLevel1 10" xfId="1251" xr:uid="{00000000-0005-0000-0000-0000B0040000}"/>
    <cellStyle name="SAPBEXHLevel1 11" xfId="1252" xr:uid="{00000000-0005-0000-0000-0000B1040000}"/>
    <cellStyle name="SAPBEXHLevel1 12" xfId="1253" xr:uid="{00000000-0005-0000-0000-0000B2040000}"/>
    <cellStyle name="SAPBEXHLevel1 13" xfId="1254" xr:uid="{00000000-0005-0000-0000-0000B3040000}"/>
    <cellStyle name="SAPBEXHLevel1 14" xfId="1255" xr:uid="{00000000-0005-0000-0000-0000B4040000}"/>
    <cellStyle name="SAPBEXHLevel1 2" xfId="1256" xr:uid="{00000000-0005-0000-0000-0000B5040000}"/>
    <cellStyle name="SAPBEXHLevel1 3" xfId="1257" xr:uid="{00000000-0005-0000-0000-0000B6040000}"/>
    <cellStyle name="SAPBEXHLevel1 4" xfId="1258" xr:uid="{00000000-0005-0000-0000-0000B7040000}"/>
    <cellStyle name="SAPBEXHLevel1 5" xfId="1259" xr:uid="{00000000-0005-0000-0000-0000B8040000}"/>
    <cellStyle name="SAPBEXHLevel1 6" xfId="1260" xr:uid="{00000000-0005-0000-0000-0000B9040000}"/>
    <cellStyle name="SAPBEXHLevel1 7" xfId="1261" xr:uid="{00000000-0005-0000-0000-0000BA040000}"/>
    <cellStyle name="SAPBEXHLevel1 8" xfId="1262" xr:uid="{00000000-0005-0000-0000-0000BB040000}"/>
    <cellStyle name="SAPBEXHLevel1 9" xfId="1263" xr:uid="{00000000-0005-0000-0000-0000BC040000}"/>
    <cellStyle name="SAPBEXHLevel1X" xfId="1264" xr:uid="{00000000-0005-0000-0000-0000BD040000}"/>
    <cellStyle name="SAPBEXHLevel1X 10" xfId="1265" xr:uid="{00000000-0005-0000-0000-0000BE040000}"/>
    <cellStyle name="SAPBEXHLevel1X 11" xfId="1266" xr:uid="{00000000-0005-0000-0000-0000BF040000}"/>
    <cellStyle name="SAPBEXHLevel1X 12" xfId="1267" xr:uid="{00000000-0005-0000-0000-0000C0040000}"/>
    <cellStyle name="SAPBEXHLevel1X 13" xfId="1268" xr:uid="{00000000-0005-0000-0000-0000C1040000}"/>
    <cellStyle name="SAPBEXHLevel1X 14" xfId="1269" xr:uid="{00000000-0005-0000-0000-0000C2040000}"/>
    <cellStyle name="SAPBEXHLevel1X 2" xfId="1270" xr:uid="{00000000-0005-0000-0000-0000C3040000}"/>
    <cellStyle name="SAPBEXHLevel1X 3" xfId="1271" xr:uid="{00000000-0005-0000-0000-0000C4040000}"/>
    <cellStyle name="SAPBEXHLevel1X 4" xfId="1272" xr:uid="{00000000-0005-0000-0000-0000C5040000}"/>
    <cellStyle name="SAPBEXHLevel1X 5" xfId="1273" xr:uid="{00000000-0005-0000-0000-0000C6040000}"/>
    <cellStyle name="SAPBEXHLevel1X 6" xfId="1274" xr:uid="{00000000-0005-0000-0000-0000C7040000}"/>
    <cellStyle name="SAPBEXHLevel1X 7" xfId="1275" xr:uid="{00000000-0005-0000-0000-0000C8040000}"/>
    <cellStyle name="SAPBEXHLevel1X 8" xfId="1276" xr:uid="{00000000-0005-0000-0000-0000C9040000}"/>
    <cellStyle name="SAPBEXHLevel1X 9" xfId="1277" xr:uid="{00000000-0005-0000-0000-0000CA040000}"/>
    <cellStyle name="SAPBEXHLevel2" xfId="1278" xr:uid="{00000000-0005-0000-0000-0000CB040000}"/>
    <cellStyle name="SAPBEXHLevel2 10" xfId="1279" xr:uid="{00000000-0005-0000-0000-0000CC040000}"/>
    <cellStyle name="SAPBEXHLevel2 11" xfId="1280" xr:uid="{00000000-0005-0000-0000-0000CD040000}"/>
    <cellStyle name="SAPBEXHLevel2 12" xfId="1281" xr:uid="{00000000-0005-0000-0000-0000CE040000}"/>
    <cellStyle name="SAPBEXHLevel2 13" xfId="1282" xr:uid="{00000000-0005-0000-0000-0000CF040000}"/>
    <cellStyle name="SAPBEXHLevel2 14" xfId="1283" xr:uid="{00000000-0005-0000-0000-0000D0040000}"/>
    <cellStyle name="SAPBEXHLevel2 2" xfId="1284" xr:uid="{00000000-0005-0000-0000-0000D1040000}"/>
    <cellStyle name="SAPBEXHLevel2 3" xfId="1285" xr:uid="{00000000-0005-0000-0000-0000D2040000}"/>
    <cellStyle name="SAPBEXHLevel2 4" xfId="1286" xr:uid="{00000000-0005-0000-0000-0000D3040000}"/>
    <cellStyle name="SAPBEXHLevel2 5" xfId="1287" xr:uid="{00000000-0005-0000-0000-0000D4040000}"/>
    <cellStyle name="SAPBEXHLevel2 6" xfId="1288" xr:uid="{00000000-0005-0000-0000-0000D5040000}"/>
    <cellStyle name="SAPBEXHLevel2 7" xfId="1289" xr:uid="{00000000-0005-0000-0000-0000D6040000}"/>
    <cellStyle name="SAPBEXHLevel2 8" xfId="1290" xr:uid="{00000000-0005-0000-0000-0000D7040000}"/>
    <cellStyle name="SAPBEXHLevel2 9" xfId="1291" xr:uid="{00000000-0005-0000-0000-0000D8040000}"/>
    <cellStyle name="SAPBEXHLevel2X" xfId="1292" xr:uid="{00000000-0005-0000-0000-0000D9040000}"/>
    <cellStyle name="SAPBEXHLevel2X 10" xfId="1293" xr:uid="{00000000-0005-0000-0000-0000DA040000}"/>
    <cellStyle name="SAPBEXHLevel2X 11" xfId="1294" xr:uid="{00000000-0005-0000-0000-0000DB040000}"/>
    <cellStyle name="SAPBEXHLevel2X 12" xfId="1295" xr:uid="{00000000-0005-0000-0000-0000DC040000}"/>
    <cellStyle name="SAPBEXHLevel2X 13" xfId="1296" xr:uid="{00000000-0005-0000-0000-0000DD040000}"/>
    <cellStyle name="SAPBEXHLevel2X 14" xfId="1297" xr:uid="{00000000-0005-0000-0000-0000DE040000}"/>
    <cellStyle name="SAPBEXHLevel2X 2" xfId="1298" xr:uid="{00000000-0005-0000-0000-0000DF040000}"/>
    <cellStyle name="SAPBEXHLevel2X 3" xfId="1299" xr:uid="{00000000-0005-0000-0000-0000E0040000}"/>
    <cellStyle name="SAPBEXHLevel2X 4" xfId="1300" xr:uid="{00000000-0005-0000-0000-0000E1040000}"/>
    <cellStyle name="SAPBEXHLevel2X 5" xfId="1301" xr:uid="{00000000-0005-0000-0000-0000E2040000}"/>
    <cellStyle name="SAPBEXHLevel2X 6" xfId="1302" xr:uid="{00000000-0005-0000-0000-0000E3040000}"/>
    <cellStyle name="SAPBEXHLevel2X 7" xfId="1303" xr:uid="{00000000-0005-0000-0000-0000E4040000}"/>
    <cellStyle name="SAPBEXHLevel2X 8" xfId="1304" xr:uid="{00000000-0005-0000-0000-0000E5040000}"/>
    <cellStyle name="SAPBEXHLevel2X 9" xfId="1305" xr:uid="{00000000-0005-0000-0000-0000E6040000}"/>
    <cellStyle name="SAPBEXHLevel3" xfId="1306" xr:uid="{00000000-0005-0000-0000-0000E7040000}"/>
    <cellStyle name="SAPBEXHLevel3 10" xfId="1307" xr:uid="{00000000-0005-0000-0000-0000E8040000}"/>
    <cellStyle name="SAPBEXHLevel3 11" xfId="1308" xr:uid="{00000000-0005-0000-0000-0000E9040000}"/>
    <cellStyle name="SAPBEXHLevel3 12" xfId="1309" xr:uid="{00000000-0005-0000-0000-0000EA040000}"/>
    <cellStyle name="SAPBEXHLevel3 13" xfId="1310" xr:uid="{00000000-0005-0000-0000-0000EB040000}"/>
    <cellStyle name="SAPBEXHLevel3 14" xfId="1311" xr:uid="{00000000-0005-0000-0000-0000EC040000}"/>
    <cellStyle name="SAPBEXHLevel3 2" xfId="1312" xr:uid="{00000000-0005-0000-0000-0000ED040000}"/>
    <cellStyle name="SAPBEXHLevel3 3" xfId="1313" xr:uid="{00000000-0005-0000-0000-0000EE040000}"/>
    <cellStyle name="SAPBEXHLevel3 4" xfId="1314" xr:uid="{00000000-0005-0000-0000-0000EF040000}"/>
    <cellStyle name="SAPBEXHLevel3 5" xfId="1315" xr:uid="{00000000-0005-0000-0000-0000F0040000}"/>
    <cellStyle name="SAPBEXHLevel3 6" xfId="1316" xr:uid="{00000000-0005-0000-0000-0000F1040000}"/>
    <cellStyle name="SAPBEXHLevel3 7" xfId="1317" xr:uid="{00000000-0005-0000-0000-0000F2040000}"/>
    <cellStyle name="SAPBEXHLevel3 8" xfId="1318" xr:uid="{00000000-0005-0000-0000-0000F3040000}"/>
    <cellStyle name="SAPBEXHLevel3 9" xfId="1319" xr:uid="{00000000-0005-0000-0000-0000F4040000}"/>
    <cellStyle name="SAPBEXHLevel3X" xfId="1320" xr:uid="{00000000-0005-0000-0000-0000F5040000}"/>
    <cellStyle name="SAPBEXHLevel3X 10" xfId="1321" xr:uid="{00000000-0005-0000-0000-0000F6040000}"/>
    <cellStyle name="SAPBEXHLevel3X 11" xfId="1322" xr:uid="{00000000-0005-0000-0000-0000F7040000}"/>
    <cellStyle name="SAPBEXHLevel3X 12" xfId="1323" xr:uid="{00000000-0005-0000-0000-0000F8040000}"/>
    <cellStyle name="SAPBEXHLevel3X 13" xfId="1324" xr:uid="{00000000-0005-0000-0000-0000F9040000}"/>
    <cellStyle name="SAPBEXHLevel3X 14" xfId="1325" xr:uid="{00000000-0005-0000-0000-0000FA040000}"/>
    <cellStyle name="SAPBEXHLevel3X 2" xfId="1326" xr:uid="{00000000-0005-0000-0000-0000FB040000}"/>
    <cellStyle name="SAPBEXHLevel3X 3" xfId="1327" xr:uid="{00000000-0005-0000-0000-0000FC040000}"/>
    <cellStyle name="SAPBEXHLevel3X 4" xfId="1328" xr:uid="{00000000-0005-0000-0000-0000FD040000}"/>
    <cellStyle name="SAPBEXHLevel3X 5" xfId="1329" xr:uid="{00000000-0005-0000-0000-0000FE040000}"/>
    <cellStyle name="SAPBEXHLevel3X 6" xfId="1330" xr:uid="{00000000-0005-0000-0000-0000FF040000}"/>
    <cellStyle name="SAPBEXHLevel3X 7" xfId="1331" xr:uid="{00000000-0005-0000-0000-000000050000}"/>
    <cellStyle name="SAPBEXHLevel3X 8" xfId="1332" xr:uid="{00000000-0005-0000-0000-000001050000}"/>
    <cellStyle name="SAPBEXHLevel3X 9" xfId="1333" xr:uid="{00000000-0005-0000-0000-000002050000}"/>
    <cellStyle name="SAPBEXinputData" xfId="1334" xr:uid="{00000000-0005-0000-0000-000003050000}"/>
    <cellStyle name="SAPBEXinputData 10" xfId="1335" xr:uid="{00000000-0005-0000-0000-000004050000}"/>
    <cellStyle name="SAPBEXinputData 11" xfId="1336" xr:uid="{00000000-0005-0000-0000-000005050000}"/>
    <cellStyle name="SAPBEXinputData 12" xfId="1337" xr:uid="{00000000-0005-0000-0000-000006050000}"/>
    <cellStyle name="SAPBEXinputData 13" xfId="1338" xr:uid="{00000000-0005-0000-0000-000007050000}"/>
    <cellStyle name="SAPBEXinputData 14" xfId="1339" xr:uid="{00000000-0005-0000-0000-000008050000}"/>
    <cellStyle name="SAPBEXinputData 2" xfId="1340" xr:uid="{00000000-0005-0000-0000-000009050000}"/>
    <cellStyle name="SAPBEXinputData 3" xfId="1341" xr:uid="{00000000-0005-0000-0000-00000A050000}"/>
    <cellStyle name="SAPBEXinputData 4" xfId="1342" xr:uid="{00000000-0005-0000-0000-00000B050000}"/>
    <cellStyle name="SAPBEXinputData 5" xfId="1343" xr:uid="{00000000-0005-0000-0000-00000C050000}"/>
    <cellStyle name="SAPBEXinputData 6" xfId="1344" xr:uid="{00000000-0005-0000-0000-00000D050000}"/>
    <cellStyle name="SAPBEXinputData 7" xfId="1345" xr:uid="{00000000-0005-0000-0000-00000E050000}"/>
    <cellStyle name="SAPBEXinputData 8" xfId="1346" xr:uid="{00000000-0005-0000-0000-00000F050000}"/>
    <cellStyle name="SAPBEXinputData 9" xfId="1347" xr:uid="{00000000-0005-0000-0000-000010050000}"/>
    <cellStyle name="SAPBEXItemHeader" xfId="1348" xr:uid="{00000000-0005-0000-0000-000011050000}"/>
    <cellStyle name="SAPBEXresData" xfId="1349" xr:uid="{00000000-0005-0000-0000-000012050000}"/>
    <cellStyle name="SAPBEXresData 10" xfId="1350" xr:uid="{00000000-0005-0000-0000-000013050000}"/>
    <cellStyle name="SAPBEXresData 11" xfId="1351" xr:uid="{00000000-0005-0000-0000-000014050000}"/>
    <cellStyle name="SAPBEXresData 12" xfId="1352" xr:uid="{00000000-0005-0000-0000-000015050000}"/>
    <cellStyle name="SAPBEXresData 13" xfId="1353" xr:uid="{00000000-0005-0000-0000-000016050000}"/>
    <cellStyle name="SAPBEXresData 14" xfId="1354" xr:uid="{00000000-0005-0000-0000-000017050000}"/>
    <cellStyle name="SAPBEXresData 2" xfId="1355" xr:uid="{00000000-0005-0000-0000-000018050000}"/>
    <cellStyle name="SAPBEXresData 3" xfId="1356" xr:uid="{00000000-0005-0000-0000-000019050000}"/>
    <cellStyle name="SAPBEXresData 4" xfId="1357" xr:uid="{00000000-0005-0000-0000-00001A050000}"/>
    <cellStyle name="SAPBEXresData 5" xfId="1358" xr:uid="{00000000-0005-0000-0000-00001B050000}"/>
    <cellStyle name="SAPBEXresData 6" xfId="1359" xr:uid="{00000000-0005-0000-0000-00001C050000}"/>
    <cellStyle name="SAPBEXresData 7" xfId="1360" xr:uid="{00000000-0005-0000-0000-00001D050000}"/>
    <cellStyle name="SAPBEXresData 8" xfId="1361" xr:uid="{00000000-0005-0000-0000-00001E050000}"/>
    <cellStyle name="SAPBEXresData 9" xfId="1362" xr:uid="{00000000-0005-0000-0000-00001F050000}"/>
    <cellStyle name="SAPBEXresDataEmph" xfId="1363" xr:uid="{00000000-0005-0000-0000-000020050000}"/>
    <cellStyle name="SAPBEXresDataEmph 10" xfId="1364" xr:uid="{00000000-0005-0000-0000-000021050000}"/>
    <cellStyle name="SAPBEXresDataEmph 11" xfId="1365" xr:uid="{00000000-0005-0000-0000-000022050000}"/>
    <cellStyle name="SAPBEXresDataEmph 12" xfId="1366" xr:uid="{00000000-0005-0000-0000-000023050000}"/>
    <cellStyle name="SAPBEXresDataEmph 13" xfId="1367" xr:uid="{00000000-0005-0000-0000-000024050000}"/>
    <cellStyle name="SAPBEXresDataEmph 14" xfId="1368" xr:uid="{00000000-0005-0000-0000-000025050000}"/>
    <cellStyle name="SAPBEXresDataEmph 2" xfId="1369" xr:uid="{00000000-0005-0000-0000-000026050000}"/>
    <cellStyle name="SAPBEXresDataEmph 3" xfId="1370" xr:uid="{00000000-0005-0000-0000-000027050000}"/>
    <cellStyle name="SAPBEXresDataEmph 4" xfId="1371" xr:uid="{00000000-0005-0000-0000-000028050000}"/>
    <cellStyle name="SAPBEXresDataEmph 5" xfId="1372" xr:uid="{00000000-0005-0000-0000-000029050000}"/>
    <cellStyle name="SAPBEXresDataEmph 6" xfId="1373" xr:uid="{00000000-0005-0000-0000-00002A050000}"/>
    <cellStyle name="SAPBEXresDataEmph 7" xfId="1374" xr:uid="{00000000-0005-0000-0000-00002B050000}"/>
    <cellStyle name="SAPBEXresDataEmph 8" xfId="1375" xr:uid="{00000000-0005-0000-0000-00002C050000}"/>
    <cellStyle name="SAPBEXresDataEmph 9" xfId="1376" xr:uid="{00000000-0005-0000-0000-00002D050000}"/>
    <cellStyle name="SAPBEXresItem" xfId="1377" xr:uid="{00000000-0005-0000-0000-00002E050000}"/>
    <cellStyle name="SAPBEXresItem 10" xfId="1378" xr:uid="{00000000-0005-0000-0000-00002F050000}"/>
    <cellStyle name="SAPBEXresItem 11" xfId="1379" xr:uid="{00000000-0005-0000-0000-000030050000}"/>
    <cellStyle name="SAPBEXresItem 12" xfId="1380" xr:uid="{00000000-0005-0000-0000-000031050000}"/>
    <cellStyle name="SAPBEXresItem 13" xfId="1381" xr:uid="{00000000-0005-0000-0000-000032050000}"/>
    <cellStyle name="SAPBEXresItem 14" xfId="1382" xr:uid="{00000000-0005-0000-0000-000033050000}"/>
    <cellStyle name="SAPBEXresItem 2" xfId="1383" xr:uid="{00000000-0005-0000-0000-000034050000}"/>
    <cellStyle name="SAPBEXresItem 3" xfId="1384" xr:uid="{00000000-0005-0000-0000-000035050000}"/>
    <cellStyle name="SAPBEXresItem 4" xfId="1385" xr:uid="{00000000-0005-0000-0000-000036050000}"/>
    <cellStyle name="SAPBEXresItem 5" xfId="1386" xr:uid="{00000000-0005-0000-0000-000037050000}"/>
    <cellStyle name="SAPBEXresItem 6" xfId="1387" xr:uid="{00000000-0005-0000-0000-000038050000}"/>
    <cellStyle name="SAPBEXresItem 7" xfId="1388" xr:uid="{00000000-0005-0000-0000-000039050000}"/>
    <cellStyle name="SAPBEXresItem 8" xfId="1389" xr:uid="{00000000-0005-0000-0000-00003A050000}"/>
    <cellStyle name="SAPBEXresItem 9" xfId="1390" xr:uid="{00000000-0005-0000-0000-00003B050000}"/>
    <cellStyle name="SAPBEXresItemX" xfId="1391" xr:uid="{00000000-0005-0000-0000-00003C050000}"/>
    <cellStyle name="SAPBEXresItemX 10" xfId="1392" xr:uid="{00000000-0005-0000-0000-00003D050000}"/>
    <cellStyle name="SAPBEXresItemX 11" xfId="1393" xr:uid="{00000000-0005-0000-0000-00003E050000}"/>
    <cellStyle name="SAPBEXresItemX 12" xfId="1394" xr:uid="{00000000-0005-0000-0000-00003F050000}"/>
    <cellStyle name="SAPBEXresItemX 13" xfId="1395" xr:uid="{00000000-0005-0000-0000-000040050000}"/>
    <cellStyle name="SAPBEXresItemX 14" xfId="1396" xr:uid="{00000000-0005-0000-0000-000041050000}"/>
    <cellStyle name="SAPBEXresItemX 2" xfId="1397" xr:uid="{00000000-0005-0000-0000-000042050000}"/>
    <cellStyle name="SAPBEXresItemX 3" xfId="1398" xr:uid="{00000000-0005-0000-0000-000043050000}"/>
    <cellStyle name="SAPBEXresItemX 4" xfId="1399" xr:uid="{00000000-0005-0000-0000-000044050000}"/>
    <cellStyle name="SAPBEXresItemX 5" xfId="1400" xr:uid="{00000000-0005-0000-0000-000045050000}"/>
    <cellStyle name="SAPBEXresItemX 6" xfId="1401" xr:uid="{00000000-0005-0000-0000-000046050000}"/>
    <cellStyle name="SAPBEXresItemX 7" xfId="1402" xr:uid="{00000000-0005-0000-0000-000047050000}"/>
    <cellStyle name="SAPBEXresItemX 8" xfId="1403" xr:uid="{00000000-0005-0000-0000-000048050000}"/>
    <cellStyle name="SAPBEXresItemX 9" xfId="1404" xr:uid="{00000000-0005-0000-0000-000049050000}"/>
    <cellStyle name="SAPBEXstdData" xfId="1405" xr:uid="{00000000-0005-0000-0000-00004A050000}"/>
    <cellStyle name="SAPBEXstdData 10" xfId="1406" xr:uid="{00000000-0005-0000-0000-00004B050000}"/>
    <cellStyle name="SAPBEXstdData 11" xfId="1407" xr:uid="{00000000-0005-0000-0000-00004C050000}"/>
    <cellStyle name="SAPBEXstdData 12" xfId="1408" xr:uid="{00000000-0005-0000-0000-00004D050000}"/>
    <cellStyle name="SAPBEXstdData 13" xfId="1409" xr:uid="{00000000-0005-0000-0000-00004E050000}"/>
    <cellStyle name="SAPBEXstdData 14" xfId="1410" xr:uid="{00000000-0005-0000-0000-00004F050000}"/>
    <cellStyle name="SAPBEXstdData 2" xfId="1411" xr:uid="{00000000-0005-0000-0000-000050050000}"/>
    <cellStyle name="SAPBEXstdData 3" xfId="1412" xr:uid="{00000000-0005-0000-0000-000051050000}"/>
    <cellStyle name="SAPBEXstdData 4" xfId="1413" xr:uid="{00000000-0005-0000-0000-000052050000}"/>
    <cellStyle name="SAPBEXstdData 5" xfId="1414" xr:uid="{00000000-0005-0000-0000-000053050000}"/>
    <cellStyle name="SAPBEXstdData 6" xfId="1415" xr:uid="{00000000-0005-0000-0000-000054050000}"/>
    <cellStyle name="SAPBEXstdData 7" xfId="1416" xr:uid="{00000000-0005-0000-0000-000055050000}"/>
    <cellStyle name="SAPBEXstdData 8" xfId="1417" xr:uid="{00000000-0005-0000-0000-000056050000}"/>
    <cellStyle name="SAPBEXstdData 9" xfId="1418" xr:uid="{00000000-0005-0000-0000-000057050000}"/>
    <cellStyle name="SAPBEXstdDataEmph" xfId="1419" xr:uid="{00000000-0005-0000-0000-000058050000}"/>
    <cellStyle name="SAPBEXstdDataEmph 10" xfId="1420" xr:uid="{00000000-0005-0000-0000-000059050000}"/>
    <cellStyle name="SAPBEXstdDataEmph 11" xfId="1421" xr:uid="{00000000-0005-0000-0000-00005A050000}"/>
    <cellStyle name="SAPBEXstdDataEmph 12" xfId="1422" xr:uid="{00000000-0005-0000-0000-00005B050000}"/>
    <cellStyle name="SAPBEXstdDataEmph 13" xfId="1423" xr:uid="{00000000-0005-0000-0000-00005C050000}"/>
    <cellStyle name="SAPBEXstdDataEmph 14" xfId="1424" xr:uid="{00000000-0005-0000-0000-00005D050000}"/>
    <cellStyle name="SAPBEXstdDataEmph 2" xfId="1425" xr:uid="{00000000-0005-0000-0000-00005E050000}"/>
    <cellStyle name="SAPBEXstdDataEmph 3" xfId="1426" xr:uid="{00000000-0005-0000-0000-00005F050000}"/>
    <cellStyle name="SAPBEXstdDataEmph 4" xfId="1427" xr:uid="{00000000-0005-0000-0000-000060050000}"/>
    <cellStyle name="SAPBEXstdDataEmph 5" xfId="1428" xr:uid="{00000000-0005-0000-0000-000061050000}"/>
    <cellStyle name="SAPBEXstdDataEmph 6" xfId="1429" xr:uid="{00000000-0005-0000-0000-000062050000}"/>
    <cellStyle name="SAPBEXstdDataEmph 7" xfId="1430" xr:uid="{00000000-0005-0000-0000-000063050000}"/>
    <cellStyle name="SAPBEXstdDataEmph 8" xfId="1431" xr:uid="{00000000-0005-0000-0000-000064050000}"/>
    <cellStyle name="SAPBEXstdDataEmph 9" xfId="1432" xr:uid="{00000000-0005-0000-0000-000065050000}"/>
    <cellStyle name="SAPBEXstdItem" xfId="1433" xr:uid="{00000000-0005-0000-0000-000066050000}"/>
    <cellStyle name="SAPBEXstdItem 10" xfId="1434" xr:uid="{00000000-0005-0000-0000-000067050000}"/>
    <cellStyle name="SAPBEXstdItem 11" xfId="1435" xr:uid="{00000000-0005-0000-0000-000068050000}"/>
    <cellStyle name="SAPBEXstdItem 12" xfId="1436" xr:uid="{00000000-0005-0000-0000-000069050000}"/>
    <cellStyle name="SAPBEXstdItem 13" xfId="1437" xr:uid="{00000000-0005-0000-0000-00006A050000}"/>
    <cellStyle name="SAPBEXstdItem 14" xfId="1438" xr:uid="{00000000-0005-0000-0000-00006B050000}"/>
    <cellStyle name="SAPBEXstdItem 2" xfId="1439" xr:uid="{00000000-0005-0000-0000-00006C050000}"/>
    <cellStyle name="SAPBEXstdItem 3" xfId="1440" xr:uid="{00000000-0005-0000-0000-00006D050000}"/>
    <cellStyle name="SAPBEXstdItem 4" xfId="1441" xr:uid="{00000000-0005-0000-0000-00006E050000}"/>
    <cellStyle name="SAPBEXstdItem 5" xfId="1442" xr:uid="{00000000-0005-0000-0000-00006F050000}"/>
    <cellStyle name="SAPBEXstdItem 6" xfId="1443" xr:uid="{00000000-0005-0000-0000-000070050000}"/>
    <cellStyle name="SAPBEXstdItem 7" xfId="1444" xr:uid="{00000000-0005-0000-0000-000071050000}"/>
    <cellStyle name="SAPBEXstdItem 8" xfId="1445" xr:uid="{00000000-0005-0000-0000-000072050000}"/>
    <cellStyle name="SAPBEXstdItem 9" xfId="1446" xr:uid="{00000000-0005-0000-0000-000073050000}"/>
    <cellStyle name="SAPBEXstdItemX" xfId="1447" xr:uid="{00000000-0005-0000-0000-000074050000}"/>
    <cellStyle name="SAPBEXstdItemX 10" xfId="1448" xr:uid="{00000000-0005-0000-0000-000075050000}"/>
    <cellStyle name="SAPBEXstdItemX 11" xfId="1449" xr:uid="{00000000-0005-0000-0000-000076050000}"/>
    <cellStyle name="SAPBEXstdItemX 12" xfId="1450" xr:uid="{00000000-0005-0000-0000-000077050000}"/>
    <cellStyle name="SAPBEXstdItemX 13" xfId="1451" xr:uid="{00000000-0005-0000-0000-000078050000}"/>
    <cellStyle name="SAPBEXstdItemX 14" xfId="1452" xr:uid="{00000000-0005-0000-0000-000079050000}"/>
    <cellStyle name="SAPBEXstdItemX 2" xfId="1453" xr:uid="{00000000-0005-0000-0000-00007A050000}"/>
    <cellStyle name="SAPBEXstdItemX 3" xfId="1454" xr:uid="{00000000-0005-0000-0000-00007B050000}"/>
    <cellStyle name="SAPBEXstdItemX 4" xfId="1455" xr:uid="{00000000-0005-0000-0000-00007C050000}"/>
    <cellStyle name="SAPBEXstdItemX 5" xfId="1456" xr:uid="{00000000-0005-0000-0000-00007D050000}"/>
    <cellStyle name="SAPBEXstdItemX 6" xfId="1457" xr:uid="{00000000-0005-0000-0000-00007E050000}"/>
    <cellStyle name="SAPBEXstdItemX 7" xfId="1458" xr:uid="{00000000-0005-0000-0000-00007F050000}"/>
    <cellStyle name="SAPBEXstdItemX 8" xfId="1459" xr:uid="{00000000-0005-0000-0000-000080050000}"/>
    <cellStyle name="SAPBEXstdItemX 9" xfId="1460" xr:uid="{00000000-0005-0000-0000-000081050000}"/>
    <cellStyle name="SAPBEXtitle" xfId="1461" xr:uid="{00000000-0005-0000-0000-000082050000}"/>
    <cellStyle name="SAPBEXunassignedItem" xfId="1462" xr:uid="{00000000-0005-0000-0000-000083050000}"/>
    <cellStyle name="SAPBEXunassignedItem 2" xfId="1463" xr:uid="{00000000-0005-0000-0000-000084050000}"/>
    <cellStyle name="SAPBEXunassignedItem 3" xfId="1464" xr:uid="{00000000-0005-0000-0000-000085050000}"/>
    <cellStyle name="SAPBEXundefined" xfId="1465" xr:uid="{00000000-0005-0000-0000-000086050000}"/>
    <cellStyle name="SAPBEXundefined 10" xfId="1466" xr:uid="{00000000-0005-0000-0000-000087050000}"/>
    <cellStyle name="SAPBEXundefined 11" xfId="1467" xr:uid="{00000000-0005-0000-0000-000088050000}"/>
    <cellStyle name="SAPBEXundefined 12" xfId="1468" xr:uid="{00000000-0005-0000-0000-000089050000}"/>
    <cellStyle name="SAPBEXundefined 13" xfId="1469" xr:uid="{00000000-0005-0000-0000-00008A050000}"/>
    <cellStyle name="SAPBEXundefined 14" xfId="1470" xr:uid="{00000000-0005-0000-0000-00008B050000}"/>
    <cellStyle name="SAPBEXundefined 2" xfId="1471" xr:uid="{00000000-0005-0000-0000-00008C050000}"/>
    <cellStyle name="SAPBEXundefined 3" xfId="1472" xr:uid="{00000000-0005-0000-0000-00008D050000}"/>
    <cellStyle name="SAPBEXundefined 4" xfId="1473" xr:uid="{00000000-0005-0000-0000-00008E050000}"/>
    <cellStyle name="SAPBEXundefined 5" xfId="1474" xr:uid="{00000000-0005-0000-0000-00008F050000}"/>
    <cellStyle name="SAPBEXundefined 6" xfId="1475" xr:uid="{00000000-0005-0000-0000-000090050000}"/>
    <cellStyle name="SAPBEXundefined 7" xfId="1476" xr:uid="{00000000-0005-0000-0000-000091050000}"/>
    <cellStyle name="SAPBEXundefined 8" xfId="1477" xr:uid="{00000000-0005-0000-0000-000092050000}"/>
    <cellStyle name="SAPBEXundefined 9" xfId="1478" xr:uid="{00000000-0005-0000-0000-000093050000}"/>
    <cellStyle name="Sheet Title" xfId="1479" xr:uid="{00000000-0005-0000-0000-000094050000}"/>
    <cellStyle name="Standard_Gesamt" xfId="509" xr:uid="{00000000-0005-0000-0000-000095050000}"/>
    <cellStyle name="Statement Header" xfId="510" xr:uid="{00000000-0005-0000-0000-000096050000}"/>
    <cellStyle name="Style 1" xfId="511" xr:uid="{00000000-0005-0000-0000-000097050000}"/>
    <cellStyle name="Style 1 2" xfId="575" xr:uid="{00000000-0005-0000-0000-000098050000}"/>
    <cellStyle name="Subtotal" xfId="512" xr:uid="{00000000-0005-0000-0000-000099050000}"/>
    <cellStyle name="Summary Bold Heading" xfId="513" xr:uid="{00000000-0005-0000-0000-00009A050000}"/>
    <cellStyle name="Summary Bold Heading Right" xfId="514" xr:uid="{00000000-0005-0000-0000-00009B050000}"/>
    <cellStyle name="Summary Deduction Amount" xfId="515" xr:uid="{00000000-0005-0000-0000-00009C050000}"/>
    <cellStyle name="Summary Final Total" xfId="516" xr:uid="{00000000-0005-0000-0000-00009D050000}"/>
    <cellStyle name="Summary Subtotal" xfId="517" xr:uid="{00000000-0005-0000-0000-00009E050000}"/>
    <cellStyle name="Text" xfId="518" xr:uid="{00000000-0005-0000-0000-00009F050000}"/>
    <cellStyle name="Text 2" xfId="519" xr:uid="{00000000-0005-0000-0000-0000A0050000}"/>
    <cellStyle name="Title 2" xfId="520" xr:uid="{00000000-0005-0000-0000-0000A1050000}"/>
    <cellStyle name="Title 2 2" xfId="521" xr:uid="{00000000-0005-0000-0000-0000A2050000}"/>
    <cellStyle name="Title 2 3" xfId="522" xr:uid="{00000000-0005-0000-0000-0000A3050000}"/>
    <cellStyle name="Title 2 4" xfId="523" xr:uid="{00000000-0005-0000-0000-0000A4050000}"/>
    <cellStyle name="Title 2 5" xfId="524" xr:uid="{00000000-0005-0000-0000-0000A5050000}"/>
    <cellStyle name="Title 2 6" xfId="525" xr:uid="{00000000-0005-0000-0000-0000A6050000}"/>
    <cellStyle name="Title 3" xfId="526" xr:uid="{00000000-0005-0000-0000-0000A7050000}"/>
    <cellStyle name="Title 4" xfId="527" xr:uid="{00000000-0005-0000-0000-0000A8050000}"/>
    <cellStyle name="Title 5" xfId="528" xr:uid="{00000000-0005-0000-0000-0000A9050000}"/>
    <cellStyle name="Title 6" xfId="529" xr:uid="{00000000-0005-0000-0000-0000AA050000}"/>
    <cellStyle name="Total 2" xfId="530" xr:uid="{00000000-0005-0000-0000-0000AB050000}"/>
    <cellStyle name="Total 3" xfId="531" xr:uid="{00000000-0005-0000-0000-0000AC050000}"/>
    <cellStyle name="Total 4" xfId="532" xr:uid="{00000000-0005-0000-0000-0000AD050000}"/>
    <cellStyle name="Total 5" xfId="533" xr:uid="{00000000-0005-0000-0000-0000AE050000}"/>
    <cellStyle name="Total 6" xfId="534" xr:uid="{00000000-0005-0000-0000-0000AF050000}"/>
    <cellStyle name="Total 7" xfId="1497" xr:uid="{CA9F6680-115E-4E79-B889-4A9FF7BF8FD1}"/>
    <cellStyle name="Underlined Date" xfId="535" xr:uid="{00000000-0005-0000-0000-0000B0050000}"/>
    <cellStyle name="Underlined Signature" xfId="536" xr:uid="{00000000-0005-0000-0000-0000B1050000}"/>
    <cellStyle name="UNIDAGSCode" xfId="537" xr:uid="{00000000-0005-0000-0000-0000B2050000}"/>
    <cellStyle name="UNIDAGSCode 2" xfId="538" xr:uid="{00000000-0005-0000-0000-0000B3050000}"/>
    <cellStyle name="UNIDAGSCode2" xfId="539" xr:uid="{00000000-0005-0000-0000-0000B4050000}"/>
    <cellStyle name="UNIDAGSCode2 2" xfId="594" xr:uid="{00000000-0005-0000-0000-0000B5050000}"/>
    <cellStyle name="UNIDAGSCurrency" xfId="540" xr:uid="{00000000-0005-0000-0000-0000B6050000}"/>
    <cellStyle name="UNIDAGSCurrency 2" xfId="541" xr:uid="{00000000-0005-0000-0000-0000B7050000}"/>
    <cellStyle name="UNIDAGSDate" xfId="542" xr:uid="{00000000-0005-0000-0000-0000B8050000}"/>
    <cellStyle name="UNIDAGSDate 2" xfId="543" xr:uid="{00000000-0005-0000-0000-0000B9050000}"/>
    <cellStyle name="UNIDAGSPercent" xfId="544" xr:uid="{00000000-0005-0000-0000-0000BA050000}"/>
    <cellStyle name="UNIDAGSPercent 2" xfId="545" xr:uid="{00000000-0005-0000-0000-0000BB050000}"/>
    <cellStyle name="UNIDAGSPercent2" xfId="546" xr:uid="{00000000-0005-0000-0000-0000BC050000}"/>
    <cellStyle name="UNIDAGSPercent2 2" xfId="547" xr:uid="{00000000-0005-0000-0000-0000BD050000}"/>
    <cellStyle name="Valuta (0)_Foglio1" xfId="548" xr:uid="{00000000-0005-0000-0000-0000BE050000}"/>
    <cellStyle name="Valuta_Foglio1" xfId="549" xr:uid="{00000000-0005-0000-0000-0000BF050000}"/>
    <cellStyle name="Währung [0]_`99 total" xfId="550" xr:uid="{00000000-0005-0000-0000-0000C0050000}"/>
    <cellStyle name="Währung_`99 total" xfId="551" xr:uid="{00000000-0005-0000-0000-0000C1050000}"/>
    <cellStyle name="Warning Text 2" xfId="552" xr:uid="{00000000-0005-0000-0000-0000C2050000}"/>
    <cellStyle name="Warning Text 3" xfId="553" xr:uid="{00000000-0005-0000-0000-0000C3050000}"/>
    <cellStyle name="Warning Text 4" xfId="554" xr:uid="{00000000-0005-0000-0000-0000C4050000}"/>
    <cellStyle name="Warning Text 5" xfId="555" xr:uid="{00000000-0005-0000-0000-0000C5050000}"/>
    <cellStyle name="Warning Text 6" xfId="556" xr:uid="{00000000-0005-0000-0000-0000C6050000}"/>
    <cellStyle name="常规_05 2010 Report List UAT China Terms_mandarinChinese text-Draft" xfId="557" xr:uid="{00000000-0005-0000-0000-0000C7050000}"/>
    <cellStyle name="桁区切り 2" xfId="1480" xr:uid="{00000000-0005-0000-0000-0000C8050000}"/>
    <cellStyle name="標準_★JT Skeleton" xfId="1481" xr:uid="{00000000-0005-0000-0000-0000C905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0.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63" Type="http://schemas.openxmlformats.org/officeDocument/2006/relationships/externalLink" Target="externalLinks/externalLink40.xml"/><Relationship Id="rId68" Type="http://schemas.openxmlformats.org/officeDocument/2006/relationships/externalLink" Target="externalLinks/externalLink45.xml"/><Relationship Id="rId76" Type="http://schemas.openxmlformats.org/officeDocument/2006/relationships/theme" Target="theme/theme1.xml"/><Relationship Id="rId7" Type="http://schemas.openxmlformats.org/officeDocument/2006/relationships/worksheet" Target="worksheets/sheet6.xml"/><Relationship Id="rId71" Type="http://schemas.openxmlformats.org/officeDocument/2006/relationships/externalLink" Target="externalLinks/externalLink48.xml"/><Relationship Id="rId2" Type="http://schemas.openxmlformats.org/officeDocument/2006/relationships/worksheet" Target="worksheets/sheet2.xml"/><Relationship Id="rId16" Type="http://schemas.openxmlformats.org/officeDocument/2006/relationships/worksheet" Target="worksheets/sheet15.xml"/><Relationship Id="rId29" Type="http://schemas.openxmlformats.org/officeDocument/2006/relationships/externalLink" Target="externalLinks/externalLink6.xml"/><Relationship Id="rId11" Type="http://schemas.openxmlformats.org/officeDocument/2006/relationships/worksheet" Target="worksheets/sheet10.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66" Type="http://schemas.openxmlformats.org/officeDocument/2006/relationships/externalLink" Target="externalLinks/externalLink43.xml"/><Relationship Id="rId74" Type="http://schemas.openxmlformats.org/officeDocument/2006/relationships/externalLink" Target="externalLinks/externalLink51.xml"/><Relationship Id="rId79" Type="http://schemas.microsoft.com/office/2017/10/relationships/person" Target="persons/person.xml"/><Relationship Id="rId5" Type="http://schemas.openxmlformats.org/officeDocument/2006/relationships/worksheet" Target="worksheets/sheet5.xml"/><Relationship Id="rId61" Type="http://schemas.openxmlformats.org/officeDocument/2006/relationships/externalLink" Target="externalLinks/externalLink38.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externalLink" Target="externalLinks/externalLink37.xml"/><Relationship Id="rId65" Type="http://schemas.openxmlformats.org/officeDocument/2006/relationships/externalLink" Target="externalLinks/externalLink42.xml"/><Relationship Id="rId73" Type="http://schemas.openxmlformats.org/officeDocument/2006/relationships/externalLink" Target="externalLinks/externalLink50.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64" Type="http://schemas.openxmlformats.org/officeDocument/2006/relationships/externalLink" Target="externalLinks/externalLink41.xml"/><Relationship Id="rId69" Type="http://schemas.openxmlformats.org/officeDocument/2006/relationships/externalLink" Target="externalLinks/externalLink46.xml"/><Relationship Id="rId77" Type="http://schemas.openxmlformats.org/officeDocument/2006/relationships/styles" Target="styles.xml"/><Relationship Id="rId8" Type="http://schemas.openxmlformats.org/officeDocument/2006/relationships/worksheet" Target="worksheets/sheet7.xml"/><Relationship Id="rId51" Type="http://schemas.openxmlformats.org/officeDocument/2006/relationships/externalLink" Target="externalLinks/externalLink28.xml"/><Relationship Id="rId72" Type="http://schemas.openxmlformats.org/officeDocument/2006/relationships/externalLink" Target="externalLinks/externalLink49.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externalLink" Target="externalLinks/externalLink36.xml"/><Relationship Id="rId67" Type="http://schemas.openxmlformats.org/officeDocument/2006/relationships/externalLink" Target="externalLinks/externalLink44.xml"/><Relationship Id="rId20" Type="http://schemas.openxmlformats.org/officeDocument/2006/relationships/worksheet" Target="worksheets/sheet19.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externalLink" Target="externalLinks/externalLink39.xml"/><Relationship Id="rId70" Type="http://schemas.openxmlformats.org/officeDocument/2006/relationships/externalLink" Target="externalLinks/externalLink47.xml"/><Relationship Id="rId75" Type="http://schemas.openxmlformats.org/officeDocument/2006/relationships/externalLink" Target="externalLinks/externalLink52.xml"/><Relationship Id="rId1" Type="http://schemas.openxmlformats.org/officeDocument/2006/relationships/worksheet" Target="worksheets/sheet1.xml"/><Relationship Id="rId6" Type="http://schemas.openxmlformats.org/officeDocument/2006/relationships/chartsheet" Target="chartsheets/sheet1.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'P&amp;L'!$D$89:$X$89</c:f>
              <c:numCache>
                <c:formatCode>0</c:formatCode>
                <c:ptCount val="21"/>
                <c:pt idx="0">
                  <c:v>-94.855400000000373</c:v>
                </c:pt>
                <c:pt idx="1">
                  <c:v>-82.309678100000156</c:v>
                </c:pt>
                <c:pt idx="2">
                  <c:v>-159.19205733299941</c:v>
                </c:pt>
                <c:pt idx="3">
                  <c:v>-415.7386704382252</c:v>
                </c:pt>
                <c:pt idx="4">
                  <c:v>-477.14901828711936</c:v>
                </c:pt>
                <c:pt idx="5">
                  <c:v>-97.471063384715308</c:v>
                </c:pt>
                <c:pt idx="6">
                  <c:v>159.20928850829569</c:v>
                </c:pt>
                <c:pt idx="7">
                  <c:v>141.15860087324381</c:v>
                </c:pt>
                <c:pt idx="8">
                  <c:v>113.6567559943278</c:v>
                </c:pt>
                <c:pt idx="9">
                  <c:v>88.914003203610264</c:v>
                </c:pt>
                <c:pt idx="10">
                  <c:v>60.503346700898874</c:v>
                </c:pt>
                <c:pt idx="11">
                  <c:v>22.826527400105078</c:v>
                </c:pt>
                <c:pt idx="12">
                  <c:v>-17.525617357852752</c:v>
                </c:pt>
                <c:pt idx="13">
                  <c:v>-41.023956462936439</c:v>
                </c:pt>
                <c:pt idx="14">
                  <c:v>-82.801926835498307</c:v>
                </c:pt>
                <c:pt idx="15">
                  <c:v>-125.35645872902023</c:v>
                </c:pt>
                <c:pt idx="16">
                  <c:v>-165.14896921958734</c:v>
                </c:pt>
                <c:pt idx="17">
                  <c:v>-220.1064289113292</c:v>
                </c:pt>
                <c:pt idx="18">
                  <c:v>-266.02250725834074</c:v>
                </c:pt>
                <c:pt idx="19">
                  <c:v>-321.85880230225484</c:v>
                </c:pt>
                <c:pt idx="20">
                  <c:v>-381.39616105279856</c:v>
                </c:pt>
              </c:numCache>
            </c:numRef>
          </c:val>
          <c:extLst>
            <c:ext xmlns:c16="http://schemas.microsoft.com/office/drawing/2014/chart" uri="{C3380CC4-5D6E-409C-BE32-E72D297353CC}">
              <c16:uniqueId val="{00000000-342E-4815-85A4-7E55D7F5493E}"/>
            </c:ext>
          </c:extLst>
        </c:ser>
        <c:ser>
          <c:idx val="1"/>
          <c:order val="1"/>
          <c:spPr>
            <a:solidFill>
              <a:schemeClr val="accent2"/>
            </a:solidFill>
            <a:ln>
              <a:noFill/>
            </a:ln>
            <a:effectLst/>
          </c:spPr>
          <c:invertIfNegative val="0"/>
          <c:val>
            <c:numRef>
              <c:f>'P&amp;L'!$D$90:$X$90</c:f>
              <c:numCache>
                <c:formatCode>0</c:formatCode>
                <c:ptCount val="21"/>
                <c:pt idx="0">
                  <c:v>82.1</c:v>
                </c:pt>
                <c:pt idx="1">
                  <c:v>82.238299999999995</c:v>
                </c:pt>
                <c:pt idx="2">
                  <c:v>82.085099999999997</c:v>
                </c:pt>
                <c:pt idx="3">
                  <c:v>82.933301178000093</c:v>
                </c:pt>
                <c:pt idx="4">
                  <c:v>84.276973689999863</c:v>
                </c:pt>
                <c:pt idx="5">
                  <c:v>87.350333456000087</c:v>
                </c:pt>
                <c:pt idx="6">
                  <c:v>88.305537384000061</c:v>
                </c:pt>
                <c:pt idx="7">
                  <c:v>89.219408989000016</c:v>
                </c:pt>
                <c:pt idx="8">
                  <c:v>89.941341595000011</c:v>
                </c:pt>
                <c:pt idx="9">
                  <c:v>90.013246444999965</c:v>
                </c:pt>
                <c:pt idx="10">
                  <c:v>84.275668942999999</c:v>
                </c:pt>
                <c:pt idx="11">
                  <c:v>66.568704859999997</c:v>
                </c:pt>
                <c:pt idx="12">
                  <c:v>66.869487808000002</c:v>
                </c:pt>
                <c:pt idx="13">
                  <c:v>67.440682204999916</c:v>
                </c:pt>
                <c:pt idx="14">
                  <c:v>61.153804808000054</c:v>
                </c:pt>
                <c:pt idx="15">
                  <c:v>35.152293851999886</c:v>
                </c:pt>
                <c:pt idx="16">
                  <c:v>33.734887232000212</c:v>
                </c:pt>
                <c:pt idx="17">
                  <c:v>33.567127543999888</c:v>
                </c:pt>
                <c:pt idx="18">
                  <c:v>34.472994086999904</c:v>
                </c:pt>
                <c:pt idx="19">
                  <c:v>35.120107088000104</c:v>
                </c:pt>
                <c:pt idx="20">
                  <c:v>35.605998172999861</c:v>
                </c:pt>
              </c:numCache>
            </c:numRef>
          </c:val>
          <c:extLst>
            <c:ext xmlns:c16="http://schemas.microsoft.com/office/drawing/2014/chart" uri="{C3380CC4-5D6E-409C-BE32-E72D297353CC}">
              <c16:uniqueId val="{00000001-342E-4815-85A4-7E55D7F5493E}"/>
            </c:ext>
          </c:extLst>
        </c:ser>
        <c:ser>
          <c:idx val="2"/>
          <c:order val="2"/>
          <c:spPr>
            <a:solidFill>
              <a:schemeClr val="accent3"/>
            </a:solidFill>
            <a:ln>
              <a:noFill/>
            </a:ln>
            <a:effectLst/>
          </c:spPr>
          <c:invertIfNegative val="0"/>
          <c:val>
            <c:numRef>
              <c:f>'P&amp;L'!$D$91:$X$91</c:f>
              <c:numCache>
                <c:formatCode>0</c:formatCode>
                <c:ptCount val="21"/>
                <c:pt idx="0">
                  <c:v>328.8</c:v>
                </c:pt>
                <c:pt idx="1">
                  <c:v>347.79250000000002</c:v>
                </c:pt>
                <c:pt idx="2">
                  <c:v>368.92779999999999</c:v>
                </c:pt>
                <c:pt idx="3">
                  <c:v>371.02581251006842</c:v>
                </c:pt>
                <c:pt idx="4">
                  <c:v>400.83515139566168</c:v>
                </c:pt>
                <c:pt idx="5">
                  <c:v>450.00570694977529</c:v>
                </c:pt>
                <c:pt idx="6">
                  <c:v>461.94273381403809</c:v>
                </c:pt>
                <c:pt idx="7">
                  <c:v>444.09343175439653</c:v>
                </c:pt>
                <c:pt idx="8">
                  <c:v>422.66712969475498</c:v>
                </c:pt>
                <c:pt idx="9">
                  <c:v>401.20512969475499</c:v>
                </c:pt>
                <c:pt idx="10">
                  <c:v>379.743129694755</c:v>
                </c:pt>
                <c:pt idx="11">
                  <c:v>358.28112969475501</c:v>
                </c:pt>
                <c:pt idx="12">
                  <c:v>336.81912969475502</c:v>
                </c:pt>
                <c:pt idx="13">
                  <c:v>326.08812969475503</c:v>
                </c:pt>
                <c:pt idx="14">
                  <c:v>326.08812969475503</c:v>
                </c:pt>
                <c:pt idx="15">
                  <c:v>326.08812969475503</c:v>
                </c:pt>
                <c:pt idx="16">
                  <c:v>326.08812969475503</c:v>
                </c:pt>
                <c:pt idx="17">
                  <c:v>326.08812969475503</c:v>
                </c:pt>
                <c:pt idx="18">
                  <c:v>326.08812969475503</c:v>
                </c:pt>
                <c:pt idx="19">
                  <c:v>326.08812969475503</c:v>
                </c:pt>
                <c:pt idx="20">
                  <c:v>326.08812969475503</c:v>
                </c:pt>
              </c:numCache>
            </c:numRef>
          </c:val>
          <c:extLst>
            <c:ext xmlns:c16="http://schemas.microsoft.com/office/drawing/2014/chart" uri="{C3380CC4-5D6E-409C-BE32-E72D297353CC}">
              <c16:uniqueId val="{00000002-342E-4815-85A4-7E55D7F5493E}"/>
            </c:ext>
          </c:extLst>
        </c:ser>
        <c:ser>
          <c:idx val="3"/>
          <c:order val="3"/>
          <c:spPr>
            <a:solidFill>
              <a:schemeClr val="accent4"/>
            </a:solidFill>
            <a:ln>
              <a:noFill/>
            </a:ln>
            <a:effectLst/>
          </c:spPr>
          <c:invertIfNegative val="0"/>
          <c:val>
            <c:numRef>
              <c:f>'P&amp;L'!$D$92:$X$92</c:f>
              <c:numCache>
                <c:formatCode>0</c:formatCode>
                <c:ptCount val="21"/>
                <c:pt idx="0">
                  <c:v>-505.75540000000035</c:v>
                </c:pt>
                <c:pt idx="1">
                  <c:v>-512.34047810000015</c:v>
                </c:pt>
                <c:pt idx="2">
                  <c:v>-610.20495733299936</c:v>
                </c:pt>
                <c:pt idx="3">
                  <c:v>-869.69778412629375</c:v>
                </c:pt>
                <c:pt idx="4">
                  <c:v>-962.26114337278091</c:v>
                </c:pt>
                <c:pt idx="5">
                  <c:v>-634.8271037904907</c:v>
                </c:pt>
                <c:pt idx="6">
                  <c:v>-391.03898268974251</c:v>
                </c:pt>
                <c:pt idx="7">
                  <c:v>-392.15423987015276</c:v>
                </c:pt>
                <c:pt idx="8">
                  <c:v>-398.95171529542722</c:v>
                </c:pt>
                <c:pt idx="9">
                  <c:v>-402.30437293614466</c:v>
                </c:pt>
                <c:pt idx="10">
                  <c:v>-403.51545193685615</c:v>
                </c:pt>
                <c:pt idx="11">
                  <c:v>-402.02330715464996</c:v>
                </c:pt>
                <c:pt idx="12">
                  <c:v>-421.2142348606078</c:v>
                </c:pt>
                <c:pt idx="13">
                  <c:v>-434.55276836269138</c:v>
                </c:pt>
                <c:pt idx="14">
                  <c:v>-470.04386133825341</c:v>
                </c:pt>
                <c:pt idx="15">
                  <c:v>-486.59688227577516</c:v>
                </c:pt>
                <c:pt idx="16">
                  <c:v>-524.9719861463426</c:v>
                </c:pt>
                <c:pt idx="17">
                  <c:v>-579.76168615008419</c:v>
                </c:pt>
                <c:pt idx="18">
                  <c:v>-626.58363104009572</c:v>
                </c:pt>
                <c:pt idx="19">
                  <c:v>-683.06703908501004</c:v>
                </c:pt>
                <c:pt idx="20">
                  <c:v>-743.09028892055346</c:v>
                </c:pt>
              </c:numCache>
            </c:numRef>
          </c:val>
          <c:extLst>
            <c:ext xmlns:c16="http://schemas.microsoft.com/office/drawing/2014/chart" uri="{C3380CC4-5D6E-409C-BE32-E72D297353CC}">
              <c16:uniqueId val="{00000003-342E-4815-85A4-7E55D7F5493E}"/>
            </c:ext>
          </c:extLst>
        </c:ser>
        <c:ser>
          <c:idx val="4"/>
          <c:order val="4"/>
          <c:spPr>
            <a:solidFill>
              <a:schemeClr val="accent5"/>
            </a:solidFill>
            <a:ln>
              <a:noFill/>
            </a:ln>
            <a:effectLst/>
          </c:spPr>
          <c:invertIfNegative val="0"/>
          <c:val>
            <c:numRef>
              <c:f>'P&amp;L'!$D$93:$X$93</c:f>
              <c:numCache>
                <c:formatCode>0</c:formatCode>
                <c:ptCount val="21"/>
                <c:pt idx="0">
                  <c:v>-33.46</c:v>
                </c:pt>
                <c:pt idx="1">
                  <c:v>103.06</c:v>
                </c:pt>
                <c:pt idx="2">
                  <c:v>101.2964231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342E-4815-85A4-7E55D7F5493E}"/>
            </c:ext>
          </c:extLst>
        </c:ser>
        <c:ser>
          <c:idx val="5"/>
          <c:order val="5"/>
          <c:spPr>
            <a:solidFill>
              <a:schemeClr val="accent6"/>
            </a:solidFill>
            <a:ln>
              <a:noFill/>
            </a:ln>
            <a:effectLst/>
          </c:spPr>
          <c:invertIfNegative val="0"/>
          <c:val>
            <c:numRef>
              <c:f>'P&amp;L'!$D$94:$X$94</c:f>
              <c:numCache>
                <c:formatCode>0</c:formatCode>
                <c:ptCount val="21"/>
                <c:pt idx="0">
                  <c:v>-472.29540000000037</c:v>
                </c:pt>
                <c:pt idx="1">
                  <c:v>-615.4004781000001</c:v>
                </c:pt>
                <c:pt idx="2">
                  <c:v>-711.50138043299933</c:v>
                </c:pt>
                <c:pt idx="3">
                  <c:v>-869.69778412629375</c:v>
                </c:pt>
                <c:pt idx="4">
                  <c:v>-962.26114337278091</c:v>
                </c:pt>
                <c:pt idx="5">
                  <c:v>-634.8271037904907</c:v>
                </c:pt>
                <c:pt idx="6">
                  <c:v>-391.03898268974251</c:v>
                </c:pt>
                <c:pt idx="7">
                  <c:v>-392.15423987015276</c:v>
                </c:pt>
                <c:pt idx="8">
                  <c:v>-398.95171529542722</c:v>
                </c:pt>
                <c:pt idx="9">
                  <c:v>-402.30437293614466</c:v>
                </c:pt>
                <c:pt idx="10">
                  <c:v>-403.51545193685615</c:v>
                </c:pt>
                <c:pt idx="11">
                  <c:v>-402.02330715464996</c:v>
                </c:pt>
                <c:pt idx="12">
                  <c:v>-421.2142348606078</c:v>
                </c:pt>
                <c:pt idx="13">
                  <c:v>-434.55276836269138</c:v>
                </c:pt>
                <c:pt idx="14">
                  <c:v>-470.04386133825341</c:v>
                </c:pt>
                <c:pt idx="15">
                  <c:v>-486.59688227577516</c:v>
                </c:pt>
                <c:pt idx="16">
                  <c:v>-524.9719861463426</c:v>
                </c:pt>
                <c:pt idx="17">
                  <c:v>-579.76168615008419</c:v>
                </c:pt>
                <c:pt idx="18">
                  <c:v>-626.58363104009572</c:v>
                </c:pt>
                <c:pt idx="19">
                  <c:v>-683.06703908501004</c:v>
                </c:pt>
                <c:pt idx="20">
                  <c:v>-743.09028892055346</c:v>
                </c:pt>
              </c:numCache>
            </c:numRef>
          </c:val>
          <c:extLst>
            <c:ext xmlns:c16="http://schemas.microsoft.com/office/drawing/2014/chart" uri="{C3380CC4-5D6E-409C-BE32-E72D297353CC}">
              <c16:uniqueId val="{00000005-342E-4815-85A4-7E55D7F5493E}"/>
            </c:ext>
          </c:extLst>
        </c:ser>
        <c:dLbls>
          <c:showLegendKey val="0"/>
          <c:showVal val="0"/>
          <c:showCatName val="0"/>
          <c:showSerName val="0"/>
          <c:showPercent val="0"/>
          <c:showBubbleSize val="0"/>
        </c:dLbls>
        <c:gapWidth val="219"/>
        <c:overlap val="-27"/>
        <c:axId val="632826512"/>
        <c:axId val="632820936"/>
      </c:barChart>
      <c:catAx>
        <c:axId val="6328265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820936"/>
        <c:crosses val="autoZero"/>
        <c:auto val="1"/>
        <c:lblAlgn val="ctr"/>
        <c:lblOffset val="100"/>
        <c:noMultiLvlLbl val="0"/>
      </c:catAx>
      <c:valAx>
        <c:axId val="63282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826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0189463-F42B-4AFD-A920-AE7CB2A1138D}">
  <sheetPr/>
  <sheetViews>
    <sheetView zoomScale="7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0137" cy="6067295"/>
    <xdr:graphicFrame macro="">
      <xdr:nvGraphicFramePr>
        <xdr:cNvPr id="2" name="Chart 1">
          <a:extLst>
            <a:ext uri="{FF2B5EF4-FFF2-40B4-BE49-F238E27FC236}">
              <a16:creationId xmlns:a16="http://schemas.microsoft.com/office/drawing/2014/main" id="{8F667710-AA01-37DF-211F-3CFA0D487D8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kkdpspl102\e$\Revenue%20Budget\2005-06\Final%20Revenu%20Budget%202005-06\Actuals\2005-06\cc%20LINES%2001-Apr-05%20to%2031-Jul-05%20dt%203108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1/VABA70~1.029/LOCALS~1/Temp/notesD05DB4/Anita-d/schedules/Schedules%200708/sep'07/Copy%20of%20General%20accounts/KAKINADA-S-FORMAT-fixed%20asset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dkkdfipl111\data%20to%20be%20shared\DOCUME~1\PMBE60~1.028\LOCALS~1\Temp\notesD05DB4\KKD-Budget-2007-08-Final-02-03-07%20Released%20by%20L1%20Modified%20on%2003.04.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1/PMBE60~1.028/LOCALS~1/Temp/notesD05DB4/KKD-Budget-2007-08-Final-02-03-07%20Released%20by%20L1%20Modified%20on%2003.04.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CTS%20-%20SHCPL\Sushee%20Financials%202015-16\Excel\Sushee%20P%20Accounts%20FY%202015-16%20Feb'16%20_18031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ds.00512/Desktop/TB_Jun_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hakti\il&amp;fs\BHAKTI%20'C'\Bhakti\VALUATION\IL&amp;FS\NMR%20Valuation\Final%20Valuation%20&amp;%20Report\AMTRL%20stand%20alone%20040703%20NM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dkkdfipl111\data%20to%20be%20shared\cost\Cost%20audit%20SAP%202008-09\Cost%20audit%20SAP%202008-09%2009.06.2009\Cost%20audit%202008-09\Cost%20audit%20reports\Primary%20Secondary%20Distribution%20of%20Cos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dkkdfipl111\data%20to%20be%20shared\Anita-d\2008-09\budget-Revenue\Revenue%20Budget%20%20Workings%202008-09%2015.05.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nita-d/2008-09/budget-Revenue/Revenue%20Budget%20%20Workings%202008-09%2015.05.2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0.7\Users\harshavardhan\AppData\Local\Microsoft\Windows\INetCache\Content.Outlook\JX7A554Q\cfpl%20data\0095\New%20folder\5%2025%20Restructur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r.02390/Desktop/Budget%202010-11/Budget%202010-11%20%20-%20From%20Ramaraju%20-%20Final%20-%2012.03.2010/Revenue%20Budget%20(incl%20Variable%20Cost)%202010-11%20with%20revised%20NG%20Price%2012.03.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ublic-Uma/Nhai%20-%2015%20packages/NHAI-16-08-(fine%20tuning)/TN2-Toll%20Based%20-%20F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08-09/schedules/sep'08/general%20accounts/19021-22nd%20%20Sep'08.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Basis%20(1)"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20Suresh%20data/Suresh/Enterprise%20Valuation/25%20Oct%2021/Santanu/Meeting-3rdMar20/Base%20RP%20FM%20Co_08%2002%202020_16%2007%202020_under%20OM_COD%201st%20Oct_v3-final.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Aarti/NFCL%2004%2002%2013/Investors/RP/Capital%20Fortune/Capital%20Fortune-%20OTS/OTS%20disc.%20Jul%2020/Base%20RP%20FM%20Co_08%2002%202020_16%2007%202020_under%20OM_COD%201st%20Oct_v3-final%20audited%20nos.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PAccounts\2016-17\Users\Mallik\AppData\Roaming\Microsoft\Excel\Excel\Sushee%20P%20Accounts%20FY%202015-16%20Sept'15_Dep.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axman\c\ceo-bsn\BUDGET%202000-2001\SS%202000%20SUMMARY%20MASTER.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MIS%20-2010-11/July'10/Final%20Accounts%20-%20JULY'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dkkdpspl102\e$\DOCUME~1\bssraju\LOCALS~1\Temp\INTERNAL%20BUDGET-FY%202004-05%20-%201701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udhakar\mis%202006-07\DOCUME~1\bssraju\LOCALS~1\Temp\INTERNAL%20BUDGET-FY%202004-05%20-%201701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DOCUME~1\SS648C~1.021\LOCALS~1\Temp\notesD05DB4\Projects\NFCL%20Corporate%20Projects\Coal%20Gasification%20Project%20at%20Kakinada\Financial%20Workings\Budget%202010-11\Budget%202010-11%20%20-%20From%20Ramaraju%20-%20"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664EEF2D\age%20aug'04%20-%20inv%20Dt%20-%20Repor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7A2A4332\age%20aug'04%20-%20inv%20Dt%20-%20Report.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Asudhakar\mar%2005\sudhakar\mis%202004-05\Mar%2005\sudhakar\mis%202004-05\Feb%2005\sudhakar\mis%202004-05\Jan%2005\sudhakar\mis%202004-05\Dec%2004\sudhakar\mis%202004-05\Nov%2004\sudhakar\mis%202004-05\Oct%2004\sudhakar\merger\age%20aug'04%20-%20inv%20Dt%20-%20Report.xls?664EEF2D" TargetMode="External"/><Relationship Id="rId1" Type="http://schemas.openxmlformats.org/officeDocument/2006/relationships/externalLinkPath" Target="file:///\\664EEF2D\age%20aug'04%20-%20inv%20Dt%20-%20Repor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mayank/NH%206%20Restructring%202017/Financial%20model/Financial%20Model%202May2017_Original.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Ndhydmfco108\bss\MIS\Nov'06\Fincl.Highlights-Sep'%20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DOCUME~1/US485C~1.001/LOCALS~1/Temp/notesD05DB4/SCH_MAR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Z:\ASR%20Backup\asr\ASRao%202013\Projections\Business%20Projections%2013-14.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PAccounts\2016-17\Users\Mallik\AppData\Roaming\Microsoft\Excel\Excel\Sushee%20P%20Accounts%20FY%202015-16%20Feb'16%20_18031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adhusudan\d%20on%20madhu\BUD-01-02-TR.COPY\Subsidy%20schedules%20Dec-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ACTS%20-%20SHCPL\Sushee%20Financials%202016-17\Sushee%20%2016-17_V3_160617_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dkkdfipl111\data%20to%20be%20shared\dell%20data\d\sudhakar\Budget%202005-06\sudhakar\mis%202004-05\Budget%202004-05\flex%20budget%202004-05\deptt%20budget%202004-05\admin%20budge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PAccounts\2016-17\Users\Mallik\AppData\Roaming\Microsoft\Excel\Sushee%20P%20Accounts%20FY%202015-16%20Sept'15%20Final_041215.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Z:\WINDOWS\TEMP\cdr-nfcl-cor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Mbrco1\auditing%20backup\auditing%20backup\DOCUME~1\ASC840~1.510\LOCALS~1\Temp\notes6030C8\old%20pc%20data%20backup\MIS%20-2010-11\March'11\Final%20Accounts%202010-11%2026.04.2011%20Revise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mayankg001/Documents/MayankGoel/Cube%20Ghaziabad_Aligarh/Financial%20Model/Old_SBICap.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MIS%20-%202011-12/Aug'11/MKTG/FOREX%20PREMIUM%20AUG-11%20-%20Purchase%20Price.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Mar%2018/NFCL/Users/ASCAE0~1.095/AppData/Local/Temp/notesAF3A78/NFCL-Standalone%20Financials%20-FY%2016-17.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Mar%2018\NFCL\Users\ASCAE0~1.095\AppData\Local\Temp\notesAF3A78\NFCL-Standalone%20Financials%20-FY%2016-17.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Users\vraut\AppData\Local\Microsoft\Windows\Temporary%20Internet%20Files\Content.Outlook\R2YVJKU2\Copy%20of%20NFCL%20-%20Revised%20FM%20-%2028122017%20(New%20RBI%20Guidelines).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PAccounts\2016-17\Users\Mallik\AppData\Roaming\Microsoft\Excel\PAccounts\Sushee%20Prov%2015-16%20Mar16-230516%2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PAccounts\2016-17\Users\Mallik\AppData\Roaming\Microsoft\Excel\VVR\Sushee%20Docs\PAccounts\Sushee%20Prov%2015-16%20Mar16-230516%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Documents%20and%20Settings\dr.02390\Desktop\Budget%202010-11\Budget%202010-11%20%20-%20From%20Ramaraju%20-%20Final%20-%2012.03.2010\Revenue%20Budget%20(incl%20Variable%20Cost)%202010-11%20with%20revised%20NG%20Price%2012.03.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Pawoolkar\finance\Sanjay_Hatkar\sundar\acct_server\CORPORAT\FA9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Aarti/NFCL%2004%2002%2013/Investors/RP/IDBI%20Caps%20RP/Equity%20Mandate/Carval/Equity%20Workings.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R%20Suresh%20data/Suresh/Valuation%202022/Enterprise%20Valuation%202022/NFCL%20-%20Standalone%20Financials%20New%20file%20-%20MARCH%202022%2012.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dkkdpspl102\e$\dell%20data\d\sudhakar\Budget%202005-06\sudhakar\mis%202004-05\Budget%202004-05\flex%20budget%202004-05\deptt%20budget%202004-05\admin%20budg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sudhakar\mis%202006-07\dell%20data\d\sudhakar\Budget%202005-06\sudhakar\mis%202004-05\Budget%202004-05\flex%20budget%202004-05\deptt%20budget%202004-05\admin%20budge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dkkdfipl111\data%20to%20be%20shared\Revenue%20Budget\2005-06\Final%20Revenu%20Budget%202005-06\Actuals\2005-06\cc%20LINES%2001-Apr-05%20to%2031-Jul-05%20dt%203108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venue%20Budget/2005-06/Final%20Revenu%20Budget%202005-06/Actuals/2005-06/cc%20LINES%2001-Apr-05%20to%2031-Jul-05%20dt%203108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al RM 05-06 upto Jul05"/>
      <sheetName val="PIVOT IO+CC"/>
      <sheetName val="VALUED PIVOT IO+CC"/>
      <sheetName val="VALUED PIVOT ACC CC 05-06"/>
      <sheetName val="for Aug"/>
      <sheetName val="CC LINESAPR-05 TO JUL- 05"/>
      <sheetName val="05-06 - IO+CC 300805"/>
      <sheetName val="PIVOT ACC CC 05-06"/>
      <sheetName val="PIVOT CC ACC 05-06"/>
      <sheetName val="RAW"/>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chases"/>
      <sheetName val="transfers"/>
      <sheetName val="retirements"/>
      <sheetName val="ADJUSTMENTS"/>
      <sheetName val="Asset MAIN SHEET"/>
    </sheetNames>
    <sheetDataSet>
      <sheetData sheetId="0"/>
      <sheetData sheetId="1"/>
      <sheetData sheetId="2"/>
      <sheetData sheetId="3"/>
      <sheetData sheetId="4">
        <row r="4">
          <cell r="B4" t="str">
            <v>Schedule for Fixed Assets as on 30.09.2007</v>
          </cell>
        </row>
        <row r="6">
          <cell r="B6" t="str">
            <v>A/C CODE</v>
          </cell>
        </row>
        <row r="10">
          <cell r="B10">
            <v>61011</v>
          </cell>
        </row>
        <row r="11">
          <cell r="B11">
            <v>61015</v>
          </cell>
        </row>
        <row r="12">
          <cell r="B12">
            <v>61021</v>
          </cell>
        </row>
        <row r="13">
          <cell r="B13">
            <v>61025</v>
          </cell>
        </row>
        <row r="14">
          <cell r="B14">
            <v>61031</v>
          </cell>
        </row>
        <row r="15">
          <cell r="B15">
            <v>61035</v>
          </cell>
        </row>
        <row r="16">
          <cell r="B16">
            <v>61041</v>
          </cell>
        </row>
        <row r="17">
          <cell r="B17">
            <v>61051</v>
          </cell>
        </row>
        <row r="18">
          <cell r="B18">
            <v>61055</v>
          </cell>
        </row>
        <row r="19">
          <cell r="B19">
            <v>61061</v>
          </cell>
        </row>
        <row r="20">
          <cell r="B20">
            <v>61065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summary"/>
      <sheetName val="Modifications"/>
      <sheetName val="Account code-wise"/>
      <sheetName val="Main 2007-08"/>
      <sheetName val="Admn."/>
      <sheetName val="MM"/>
      <sheetName val="Civil"/>
      <sheetName val="VP-W"/>
      <sheetName val="Materials"/>
      <sheetName val="Elec"/>
      <sheetName val="INST"/>
      <sheetName val="Mech. serv"/>
      <sheetName val="Cond."/>
      <sheetName val="Geneng"/>
      <sheetName val="Lab&amp; Env"/>
      <sheetName val="F&amp;S"/>
      <sheetName val="P-II"/>
      <sheetName val="Process"/>
      <sheetName val="P-I"/>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summary"/>
      <sheetName val="Modifications"/>
      <sheetName val="Account code-wise"/>
      <sheetName val="Main 2007-08"/>
      <sheetName val="Admn."/>
      <sheetName val="MM"/>
      <sheetName val="Civil"/>
      <sheetName val="VP-W"/>
      <sheetName val="Materials"/>
      <sheetName val="Elec"/>
      <sheetName val="INST"/>
      <sheetName val="Mech. serv"/>
      <sheetName val="Cond."/>
      <sheetName val="Geneng"/>
      <sheetName val="Lab&amp; Env"/>
      <sheetName val="F&amp;S"/>
      <sheetName val="P-II"/>
      <sheetName val="Process"/>
      <sheetName val="P-I"/>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XPL"/>
      <sheetName val="XBL"/>
      <sheetName val="Balance Sheet"/>
      <sheetName val="Schedule to BS"/>
      <sheetName val="SUB SHED BAL"/>
      <sheetName val="Profit And Loss"/>
      <sheetName val="Schedules to P &amp; L"/>
      <sheetName val="Share Capital"/>
      <sheetName val="Reserves &amp; Surplus"/>
      <sheetName val="Long-Term Borrowings"/>
      <sheetName val="Other Long Term Liabilities"/>
      <sheetName val="Long Term Provisions"/>
      <sheetName val="Short-Term Borrowings "/>
      <sheetName val="Other Current Liabilities"/>
      <sheetName val="Short Term Provisions"/>
      <sheetName val="SUB SHD P&amp;L"/>
      <sheetName val="NCA-Non Current Investments"/>
      <sheetName val="NCA-Lng trm loans &amp; adv "/>
      <sheetName val="NCA-Other nca"/>
      <sheetName val="Current Investments"/>
      <sheetName val="Inventories"/>
      <sheetName val="Trade Receivables"/>
      <sheetName val="Cash and cash equivalents"/>
      <sheetName val="Short term loans and adv"/>
      <sheetName val="Other Curr Assets"/>
      <sheetName val="Cont liabilities and commitment"/>
      <sheetName val="Revenue From operation"/>
      <sheetName val="Other Income"/>
      <sheetName val="Finance Cost"/>
      <sheetName val="Dep Note11"/>
      <sheetName val="Dep _2013Act (2)"/>
      <sheetName val="IT-Depa"/>
      <sheetName val="St. Total Income"/>
      <sheetName val="Cash flow"/>
      <sheetName val="Wealth Tax"/>
      <sheetName val="14-15 SL&amp;UL"/>
      <sheetName val="Mob.Adv"/>
      <sheetName val="Secured Loans"/>
      <sheetName val="Sheet1"/>
      <sheetName val="Sheet2"/>
    </sheetNames>
    <sheetDataSet>
      <sheetData sheetId="0"/>
      <sheetData sheetId="1"/>
      <sheetData sheetId="2"/>
      <sheetData sheetId="3"/>
      <sheetData sheetId="4"/>
      <sheetData sheetId="5"/>
      <sheetData sheetId="6"/>
      <sheetData sheetId="7"/>
      <sheetData sheetId="8"/>
      <sheetData sheetId="9"/>
      <sheetData sheetId="10">
        <row r="2">
          <cell r="K2" t="str">
            <v>Yes</v>
          </cell>
        </row>
        <row r="3">
          <cell r="K3" t="str">
            <v>No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s>
    <sheetDataSet>
      <sheetData sheetId="0">
        <row r="4">
          <cell r="A4" t="str">
            <v>NGAC/3013       Sale of Scrap</v>
          </cell>
        </row>
        <row r="5">
          <cell r="A5" t="str">
            <v>NGAC/3043       Interest on Bank dep</v>
          </cell>
        </row>
        <row r="6">
          <cell r="A6" t="str">
            <v>NGAC/3051       Intt-Loans/Adv Staff</v>
          </cell>
        </row>
        <row r="7">
          <cell r="A7" t="str">
            <v>NGAC/3101       Claims-Insurance</v>
          </cell>
        </row>
        <row r="8">
          <cell r="A8" t="str">
            <v>NGAC/3155       Canteen Recovery</v>
          </cell>
        </row>
        <row r="9">
          <cell r="A9" t="str">
            <v>NGAC/3157       Transport Recoveries</v>
          </cell>
        </row>
        <row r="10">
          <cell r="A10" t="str">
            <v>NGAC/3159       Miscellaneous Income</v>
          </cell>
        </row>
        <row r="11">
          <cell r="A11" t="str">
            <v>NGAC/3163       LIB NO LONG W/BACK</v>
          </cell>
        </row>
        <row r="12">
          <cell r="A12" t="str">
            <v>NGAC/10024      Freight Inward</v>
          </cell>
        </row>
        <row r="13">
          <cell r="A13" t="str">
            <v>NGAC/11001      Cost of Sales a/c</v>
          </cell>
        </row>
        <row r="14">
          <cell r="A14" t="str">
            <v>NGAC/11011      Gas consum. feedstk</v>
          </cell>
        </row>
        <row r="15">
          <cell r="A15" t="str">
            <v>NGAC/11015      Gas Transportn chgs</v>
          </cell>
        </row>
        <row r="16">
          <cell r="A16" t="str">
            <v>NGAC/11022      Consm-Raw Water-KKD</v>
          </cell>
        </row>
        <row r="17">
          <cell r="A17" t="str">
            <v>NGAC/11031      Naphtha cons. feedst</v>
          </cell>
        </row>
        <row r="18">
          <cell r="A18" t="str">
            <v>NGAC/12011      Consumption of Bags</v>
          </cell>
        </row>
        <row r="19">
          <cell r="A19" t="str">
            <v>NGAC/13011      Consumption-Chem.</v>
          </cell>
        </row>
        <row r="20">
          <cell r="A20" t="str">
            <v>NGAC/13012      Consump.-Catalysts</v>
          </cell>
        </row>
        <row r="21">
          <cell r="A21" t="str">
            <v>NGAC/13021      Cons. Consmbl/Utlity</v>
          </cell>
        </row>
        <row r="22">
          <cell r="A22" t="str">
            <v>NGAC/13034      Consumptn.-Own Power</v>
          </cell>
        </row>
        <row r="23">
          <cell r="A23" t="str">
            <v>NGAC/13035      Consumptn-Steam</v>
          </cell>
        </row>
        <row r="24">
          <cell r="A24" t="str">
            <v>NGAC/13036      Consumption -Ammonia</v>
          </cell>
        </row>
        <row r="25">
          <cell r="A25" t="str">
            <v>NGAC/13037      Consumptn-Urea Prill</v>
          </cell>
        </row>
        <row r="26">
          <cell r="A26" t="str">
            <v>NGAC/13042      Consumption -Raw Wat</v>
          </cell>
        </row>
        <row r="27">
          <cell r="A27" t="str">
            <v>NGAC/13043      Consumption -Treat W</v>
          </cell>
        </row>
        <row r="28">
          <cell r="A28" t="str">
            <v>NGAC/13044      Cons -DM Water</v>
          </cell>
        </row>
        <row r="29">
          <cell r="A29" t="str">
            <v>NGAC/13045      Consumption -CT Urea</v>
          </cell>
        </row>
        <row r="30">
          <cell r="A30" t="str">
            <v>NGAC/13046      Cons -CT Ammonia</v>
          </cell>
        </row>
        <row r="31">
          <cell r="A31" t="str">
            <v>NGAC/13047      Consumption -ETP</v>
          </cell>
        </row>
        <row r="32">
          <cell r="A32" t="str">
            <v>NGAC/16010      Incr./Decr.-Fin. Gds</v>
          </cell>
        </row>
        <row r="33">
          <cell r="A33" t="str">
            <v>NGAC/16020      Incr./Decr.Own Power</v>
          </cell>
        </row>
        <row r="34">
          <cell r="A34" t="str">
            <v>NGAC/16021      Incr./Decr.sfg-Steam</v>
          </cell>
        </row>
        <row r="35">
          <cell r="A35" t="str">
            <v>NGAC/16022      Incr./Decr.-sfg-amm.</v>
          </cell>
        </row>
        <row r="36">
          <cell r="A36" t="str">
            <v>NGAC/16023      Inc/Dcr.-Urea Prills</v>
          </cell>
        </row>
        <row r="37">
          <cell r="A37" t="str">
            <v>NGAC/16031      Incr./Decr.sfg-TW</v>
          </cell>
        </row>
        <row r="38">
          <cell r="A38" t="str">
            <v>NGAC/16032      Incr./Decr.sfg-DM W</v>
          </cell>
        </row>
        <row r="39">
          <cell r="A39" t="str">
            <v>NGAC/16033      Incr./Decr.sfg-CT U</v>
          </cell>
        </row>
        <row r="40">
          <cell r="A40" t="str">
            <v>NGAC/16034      Incr./Decr.sfg-CT A</v>
          </cell>
        </row>
        <row r="41">
          <cell r="A41" t="str">
            <v>NGAC/16035      Incr./Decr.sfg-ETP</v>
          </cell>
        </row>
        <row r="42">
          <cell r="A42" t="str">
            <v>NGAC/17011      Power Charges</v>
          </cell>
        </row>
        <row r="43">
          <cell r="A43" t="str">
            <v>NGAC/17021      Gas consumption fuel</v>
          </cell>
        </row>
        <row r="44">
          <cell r="A44" t="str">
            <v>NGAC/17025      Gas Transp chgs-Fuel</v>
          </cell>
        </row>
        <row r="45">
          <cell r="A45" t="str">
            <v>NGAC/17026      Naphtha cons. fuel</v>
          </cell>
        </row>
        <row r="46">
          <cell r="A46" t="str">
            <v>NGAC/18018      Handling charges-I/W</v>
          </cell>
        </row>
        <row r="47">
          <cell r="A47" t="str">
            <v>NGAC/18031      Unloading at RH</v>
          </cell>
        </row>
        <row r="48">
          <cell r="A48" t="str">
            <v>NGAC/19011      DirChg-Rds/Bldgs Rep</v>
          </cell>
        </row>
        <row r="49">
          <cell r="A49" t="str">
            <v>NGAC/19021      Dir Chg-Plnt/Mach re</v>
          </cell>
        </row>
        <row r="50">
          <cell r="A50" t="str">
            <v>NGAC/19022      ConsSto/Spa-Imp-P&amp;M</v>
          </cell>
        </row>
        <row r="51">
          <cell r="A51" t="str">
            <v>NGAC/19023      ConsSto/Spa-Other</v>
          </cell>
        </row>
        <row r="52">
          <cell r="A52" t="str">
            <v>NGAC/19030      Matl price variance</v>
          </cell>
        </row>
        <row r="53">
          <cell r="A53" t="str">
            <v>NGAC/19041      F&amp;F/OffEqpRep-DirChg</v>
          </cell>
        </row>
        <row r="54">
          <cell r="A54" t="str">
            <v>NGAC/19051      Veh. Rep.- Dir. Chgs</v>
          </cell>
        </row>
        <row r="55">
          <cell r="A55" t="str">
            <v>NGAC/19054      Reimb-Veh.Maint.Chgs</v>
          </cell>
        </row>
        <row r="56">
          <cell r="A56" t="str">
            <v>NGAC/19061      Housekpg/fact upkeep</v>
          </cell>
        </row>
        <row r="57">
          <cell r="A57" t="str">
            <v>NGAC/19069      Repairs  Others</v>
          </cell>
        </row>
        <row r="58">
          <cell r="A58" t="str">
            <v>NGAC/19071      Grd/GrBeltMnt-dirchg</v>
          </cell>
        </row>
        <row r="59">
          <cell r="A59" t="str">
            <v>NGAC/19099      CWIP exp.pendg alloc</v>
          </cell>
        </row>
        <row r="60">
          <cell r="A60" t="str">
            <v>NGAC/21011      Basic Salary</v>
          </cell>
        </row>
        <row r="61">
          <cell r="A61" t="str">
            <v>NGAC/21012      Dearness Allowance</v>
          </cell>
        </row>
        <row r="62">
          <cell r="A62" t="str">
            <v>NGAC/21013      House Rent Allowance</v>
          </cell>
        </row>
        <row r="63">
          <cell r="A63" t="str">
            <v>NGAC/21017      Transport Subsidy</v>
          </cell>
        </row>
        <row r="64">
          <cell r="A64" t="str">
            <v>NGAC/21019      Other Allowance</v>
          </cell>
        </row>
        <row r="65">
          <cell r="A65" t="str">
            <v>NGAC/21023      Special Allowance</v>
          </cell>
        </row>
        <row r="66">
          <cell r="A66" t="str">
            <v>NGAC/21024      Shift Allowance</v>
          </cell>
        </row>
        <row r="67">
          <cell r="A67" t="str">
            <v>NGAC/21031      L. T. A</v>
          </cell>
        </row>
        <row r="68">
          <cell r="A68" t="str">
            <v>NGAC/21033      Ex gratia Payments</v>
          </cell>
        </row>
        <row r="69">
          <cell r="A69" t="str">
            <v>NGAC/21034      Overtime</v>
          </cell>
        </row>
        <row r="70">
          <cell r="A70" t="str">
            <v>NGAC/21035      Leave Encashment</v>
          </cell>
        </row>
        <row r="71">
          <cell r="A71" t="str">
            <v>NGAC/21041      Performance Award</v>
          </cell>
        </row>
        <row r="72">
          <cell r="A72" t="str">
            <v>NGAC/21051      Contribution to PF</v>
          </cell>
        </row>
        <row r="73">
          <cell r="A73" t="str">
            <v>NGAC/21052      Contribution to FPF</v>
          </cell>
        </row>
        <row r="74">
          <cell r="A74" t="str">
            <v>NGAC/21054      Contribution to Grat</v>
          </cell>
        </row>
        <row r="75">
          <cell r="A75" t="str">
            <v>NGAC/21055      Contribution to GSLI</v>
          </cell>
        </row>
        <row r="76">
          <cell r="A76" t="str">
            <v>NGAC/21056      Contrib.-Pension Fun</v>
          </cell>
        </row>
        <row r="77">
          <cell r="A77" t="str">
            <v>NGAC/21061      Reimb.-Med. Exp.</v>
          </cell>
        </row>
        <row r="78">
          <cell r="A78" t="str">
            <v>NGAC/21062      Uniforms</v>
          </cell>
        </row>
        <row r="79">
          <cell r="A79" t="str">
            <v>NGAC/21065      Utilities</v>
          </cell>
        </row>
        <row r="80">
          <cell r="A80" t="str">
            <v>NGAC/21069      Other Welfare Exp.</v>
          </cell>
        </row>
        <row r="81">
          <cell r="A81" t="str">
            <v>NGAC/21071      Canteen/Pantry Exp.</v>
          </cell>
        </row>
        <row r="82">
          <cell r="A82" t="str">
            <v>NGAC/21075      Dispensary Expenses</v>
          </cell>
        </row>
        <row r="83">
          <cell r="A83" t="str">
            <v>NGAC/21081      Contribution to ESI</v>
          </cell>
        </row>
        <row r="84">
          <cell r="A84" t="str">
            <v>NGAC/21082      DLI Charges</v>
          </cell>
        </row>
        <row r="85">
          <cell r="A85" t="str">
            <v>NGAC/21083      PF Adm.Fee/Insp.Chgs</v>
          </cell>
        </row>
        <row r="86">
          <cell r="A86" t="str">
            <v>NGAC/21091      Salary to Temp. Staf</v>
          </cell>
        </row>
        <row r="87">
          <cell r="A87" t="str">
            <v>NGAC/21092      Contract Lab Wages</v>
          </cell>
        </row>
        <row r="88">
          <cell r="A88" t="str">
            <v>NGAC/23013      Rent  Transit House</v>
          </cell>
        </row>
        <row r="89">
          <cell r="A89" t="str">
            <v>NGAC/23019      Rent  Others</v>
          </cell>
        </row>
        <row r="90">
          <cell r="A90" t="str">
            <v>NGAC/23036      License Fee</v>
          </cell>
        </row>
        <row r="91">
          <cell r="A91" t="str">
            <v>NGAC/23039      Rates/Taxes Others</v>
          </cell>
        </row>
        <row r="92">
          <cell r="A92" t="str">
            <v>NGAC/23040      VAT Ineligible ITC</v>
          </cell>
        </row>
        <row r="93">
          <cell r="A93" t="str">
            <v>NGAC/24011      Ins Plnt fire/All.Ri</v>
          </cell>
        </row>
        <row r="94">
          <cell r="A94" t="str">
            <v>NGAC/24021      Transit  Insurance</v>
          </cell>
        </row>
        <row r="95">
          <cell r="A95" t="str">
            <v>NGAC/24049      Insurance  Others</v>
          </cell>
        </row>
        <row r="96">
          <cell r="A96" t="str">
            <v>NGAC/25011      Employee Trav.Fares</v>
          </cell>
        </row>
        <row r="97">
          <cell r="A97" t="str">
            <v>NGAC/25012      Empl. Trav.Hotel Ex</v>
          </cell>
        </row>
        <row r="98">
          <cell r="A98" t="str">
            <v>NGAC/25013      Empl.Travel  Conv.</v>
          </cell>
        </row>
        <row r="99">
          <cell r="A99" t="str">
            <v>NGAC/25014      Empl. Trav. Allow.</v>
          </cell>
        </row>
        <row r="100">
          <cell r="A100" t="str">
            <v>NGAC/25016      Empl. Travel  Other</v>
          </cell>
        </row>
        <row r="101">
          <cell r="A101" t="str">
            <v>NGAC/25051      Local Conveyance</v>
          </cell>
        </row>
        <row r="102">
          <cell r="A102" t="str">
            <v>NGAC/25052      Vehicle Hire Charges</v>
          </cell>
        </row>
        <row r="103">
          <cell r="A103" t="str">
            <v>NGAC/25053      Vehicle Run/Maint.</v>
          </cell>
        </row>
        <row r="104">
          <cell r="A104" t="str">
            <v>NGAC/25069      Domestic Trav-Oth</v>
          </cell>
        </row>
        <row r="105">
          <cell r="A105" t="str">
            <v>NGAC/25081      Petrol and  Diesel</v>
          </cell>
        </row>
        <row r="106">
          <cell r="A106" t="str">
            <v>NGAC/26011      Postage &amp; Telegrams</v>
          </cell>
        </row>
        <row r="107">
          <cell r="A107" t="str">
            <v>NGAC/26012      Courier Charges</v>
          </cell>
        </row>
        <row r="108">
          <cell r="A108" t="str">
            <v>NGAC/26022      Telephone Charges</v>
          </cell>
        </row>
        <row r="109">
          <cell r="A109" t="str">
            <v>NGAC/26024      Mobile Tel. Charges</v>
          </cell>
        </row>
        <row r="110">
          <cell r="A110" t="str">
            <v>NGAC/26029      Telephones  Others</v>
          </cell>
        </row>
        <row r="111">
          <cell r="A111" t="str">
            <v>NGAC/26042      Fax Charges</v>
          </cell>
        </row>
        <row r="112">
          <cell r="A112" t="str">
            <v>NGAC/27031      Techn. Consultancy</v>
          </cell>
        </row>
        <row r="113">
          <cell r="A113" t="str">
            <v>NGAC/27036      Retainer Fees-Conslt</v>
          </cell>
        </row>
        <row r="114">
          <cell r="A114" t="str">
            <v>NGAC/27039      Profl &amp; Mgmt Consult</v>
          </cell>
        </row>
        <row r="115">
          <cell r="A115" t="str">
            <v>NGAC/27042      Consultancy Legal</v>
          </cell>
        </row>
        <row r="116">
          <cell r="A116" t="str">
            <v>NGAC/28011      Advertt- Recruitment</v>
          </cell>
        </row>
        <row r="117">
          <cell r="A117" t="str">
            <v>NGAC/28019      Recruitmt Exp-Others</v>
          </cell>
        </row>
        <row r="118">
          <cell r="A118" t="str">
            <v>NGAC/28021      Traing Exp In-house</v>
          </cell>
        </row>
        <row r="119">
          <cell r="A119" t="str">
            <v>NGAC/28022      Traing Partic. Exp</v>
          </cell>
        </row>
        <row r="120">
          <cell r="A120" t="str">
            <v>NGAC/29011      Printing Charges</v>
          </cell>
        </row>
        <row r="121">
          <cell r="A121" t="str">
            <v>NGAC/29012      Stationery</v>
          </cell>
        </row>
        <row r="122">
          <cell r="A122" t="str">
            <v>NGAC/29013      Photocopying Chgs</v>
          </cell>
        </row>
        <row r="123">
          <cell r="A123" t="str">
            <v>NGAC/30013      Subscr-N/papers/Per</v>
          </cell>
        </row>
        <row r="124">
          <cell r="A124" t="str">
            <v>NGAC/30014      Books</v>
          </cell>
        </row>
        <row r="125">
          <cell r="A125" t="str">
            <v>NGAC/30015      Membships/Subscr</v>
          </cell>
        </row>
        <row r="126">
          <cell r="A126" t="str">
            <v>NGAC/30031      Electricity Charges</v>
          </cell>
        </row>
        <row r="127">
          <cell r="A127" t="str">
            <v>NGAC/30041      Transit House Exp.</v>
          </cell>
        </row>
        <row r="128">
          <cell r="A128" t="str">
            <v>NGAC/30061      Security Contr Chgs</v>
          </cell>
        </row>
        <row r="129">
          <cell r="A129" t="str">
            <v>NGAC/30081      Entertainment Exp</v>
          </cell>
        </row>
        <row r="130">
          <cell r="A130" t="str">
            <v>NGAC/30095      PR Community Dev.</v>
          </cell>
        </row>
        <row r="131">
          <cell r="A131" t="str">
            <v>NGAC/30099      Pub Relation Exp-Oth</v>
          </cell>
        </row>
        <row r="132">
          <cell r="A132" t="str">
            <v>NGAC/30113      Celebrations</v>
          </cell>
        </row>
        <row r="133">
          <cell r="A133" t="str">
            <v>NGAC/30115      Rounding off A/c</v>
          </cell>
        </row>
        <row r="134">
          <cell r="A134" t="str">
            <v>NGAC/30117      General Exp Oth</v>
          </cell>
        </row>
        <row r="135">
          <cell r="A135" t="str">
            <v>NGAC/32019      Advtt. - Others</v>
          </cell>
        </row>
        <row r="136">
          <cell r="A136" t="str">
            <v>NGAC/46001      Depreciation</v>
          </cell>
        </row>
        <row r="137">
          <cell r="A137" t="str">
            <v>NGAC/46004      Dep on Reval Assets</v>
          </cell>
        </row>
        <row r="138">
          <cell r="A138" t="str">
            <v>NGAC/47001      Price Diff - T W</v>
          </cell>
        </row>
        <row r="139">
          <cell r="A139" t="str">
            <v>NGAC/47002      Price Diff-DM Water</v>
          </cell>
        </row>
        <row r="140">
          <cell r="A140" t="str">
            <v>NGAC/47003      Price Diff-ETP</v>
          </cell>
        </row>
        <row r="141">
          <cell r="A141" t="str">
            <v>NGAC/47004      Price Diff-CT(A)</v>
          </cell>
        </row>
        <row r="142">
          <cell r="A142" t="str">
            <v>NGAC/47005      Price Diff-CT(U)</v>
          </cell>
        </row>
        <row r="143">
          <cell r="A143" t="str">
            <v>NGAC/47006      Price Diff-Steam</v>
          </cell>
        </row>
        <row r="144">
          <cell r="A144" t="str">
            <v>NGAC/47007      Price Diff-Power</v>
          </cell>
        </row>
        <row r="145">
          <cell r="A145" t="str">
            <v>NGAC/47008      Price Diff-Ammonia</v>
          </cell>
        </row>
        <row r="146">
          <cell r="A146" t="str">
            <v>NGAC/47009      Price Diff-Urea Pril</v>
          </cell>
        </row>
        <row r="147">
          <cell r="A147" t="str">
            <v>NGAC/51051      Intt  Cash Credit</v>
          </cell>
        </row>
        <row r="148">
          <cell r="A148" t="str">
            <v>NGAC/51069      Other Interest</v>
          </cell>
        </row>
        <row r="149">
          <cell r="A149" t="str">
            <v>NGAC/51071      Bank charges</v>
          </cell>
        </row>
        <row r="150">
          <cell r="A150" t="str">
            <v>NGAC/51072      L / C Charges</v>
          </cell>
        </row>
        <row r="151">
          <cell r="A151" t="str">
            <v>NGAC/51073      Guarantee Comm.</v>
          </cell>
        </row>
        <row r="152">
          <cell r="A152" t="str">
            <v>NGAC/61011      Freehold Land</v>
          </cell>
        </row>
        <row r="153">
          <cell r="A153" t="str">
            <v>NGAC/61015      Buildings</v>
          </cell>
        </row>
        <row r="154">
          <cell r="A154" t="str">
            <v>NGAC/61021      Rds,Brid/Culv Fact</v>
          </cell>
        </row>
        <row r="155">
          <cell r="A155" t="str">
            <v>NGAC/61025      Railway Sidings</v>
          </cell>
        </row>
        <row r="156">
          <cell r="A156" t="str">
            <v>NGAC/61031      P&amp;M Process Plnts</v>
          </cell>
        </row>
        <row r="157">
          <cell r="A157" t="str">
            <v>NGAC/61035      P&amp;M  Offsite</v>
          </cell>
        </row>
        <row r="158">
          <cell r="A158" t="str">
            <v>NGAC/61041      P&amp;M  Equipments</v>
          </cell>
        </row>
        <row r="159">
          <cell r="A159" t="str">
            <v>NGAC/61051      Furniture &amp; Fittings</v>
          </cell>
        </row>
        <row r="160">
          <cell r="A160" t="str">
            <v>NGAC/61055      Other Equipment</v>
          </cell>
        </row>
        <row r="161">
          <cell r="A161" t="str">
            <v>NGAC/61061      IT Equipments</v>
          </cell>
        </row>
        <row r="162">
          <cell r="A162" t="str">
            <v>NGAC/61065      Vehicles</v>
          </cell>
        </row>
        <row r="163">
          <cell r="A163" t="str">
            <v>NGAC/62011      CWIP Civil wks, Bldg</v>
          </cell>
        </row>
        <row r="164">
          <cell r="A164" t="str">
            <v>NGAC/62021      CWIP Plant/Mach</v>
          </cell>
        </row>
        <row r="165">
          <cell r="A165" t="str">
            <v>NGAC/62031      CWIP -Eqpt in transt</v>
          </cell>
        </row>
        <row r="166">
          <cell r="A166" t="str">
            <v>NGAC/62041      CWIP Other costs</v>
          </cell>
        </row>
        <row r="167">
          <cell r="A167" t="str">
            <v>NGAC/66010      FG stock - MU</v>
          </cell>
        </row>
        <row r="168">
          <cell r="A168" t="str">
            <v>NGAC/66011      FG stock-MU Bag/Pril</v>
          </cell>
        </row>
        <row r="169">
          <cell r="A169" t="str">
            <v>NGAC/66050      Raw Material Invento</v>
          </cell>
        </row>
        <row r="170">
          <cell r="A170" t="str">
            <v>NGAC/66051      Packing Materials</v>
          </cell>
        </row>
        <row r="171">
          <cell r="A171" t="str">
            <v>NGAC/66060      Stores, Spares,Tools</v>
          </cell>
        </row>
        <row r="172">
          <cell r="A172" t="str">
            <v>NGAC/66110      Inventory - Power</v>
          </cell>
        </row>
        <row r="173">
          <cell r="A173" t="str">
            <v>NGAC/66111      Inventory- Steam</v>
          </cell>
        </row>
        <row r="174">
          <cell r="A174" t="str">
            <v>NGAC/66112      Inventory - Ammonia</v>
          </cell>
        </row>
        <row r="175">
          <cell r="A175" t="str">
            <v>NGAC/66113      Inventory-Urea Prill</v>
          </cell>
        </row>
        <row r="176">
          <cell r="A176" t="str">
            <v>NGAC/66114      Inventory-Semi Fin.</v>
          </cell>
        </row>
        <row r="177">
          <cell r="A177" t="str">
            <v>NGAC/66115      Ammonia Stock A/c</v>
          </cell>
        </row>
        <row r="178">
          <cell r="A178" t="str">
            <v>NGAC/66151      Off-set Ins Spares</v>
          </cell>
        </row>
        <row r="179">
          <cell r="A179" t="str">
            <v>NGAC/67011      A/c Receivables</v>
          </cell>
        </row>
        <row r="180">
          <cell r="A180" t="str">
            <v>NGAC/67012      Other Receivables</v>
          </cell>
        </row>
        <row r="181">
          <cell r="A181" t="str">
            <v>NGAC/67031      Claims RcvblInsur.</v>
          </cell>
        </row>
        <row r="182">
          <cell r="A182" t="str">
            <v>NGAC/67032      Claims Rcvbl Rlwys</v>
          </cell>
        </row>
        <row r="183">
          <cell r="A183" t="str">
            <v>NGAC/67043      Intt Rcvbl Staff Loa</v>
          </cell>
        </row>
        <row r="184">
          <cell r="A184" t="str">
            <v>NGAC/67054      Exp Adv- Employees</v>
          </cell>
        </row>
        <row r="185">
          <cell r="A185" t="str">
            <v>NGAC/67055      Permanent Travel Adv</v>
          </cell>
        </row>
        <row r="186">
          <cell r="A186" t="str">
            <v>NGAC/67057      Empl. Adv-CPC a/c</v>
          </cell>
        </row>
        <row r="187">
          <cell r="A187" t="str">
            <v>NGAC/67058      Oth Recov.- Empl.</v>
          </cell>
        </row>
        <row r="188">
          <cell r="A188" t="str">
            <v>NGAC/67069      Oth Recov.-Other</v>
          </cell>
        </row>
        <row r="189">
          <cell r="A189" t="str">
            <v>NGAC/68014      Personal Loan</v>
          </cell>
        </row>
        <row r="190">
          <cell r="A190" t="str">
            <v>NGAC/68021      Travel Advance</v>
          </cell>
        </row>
        <row r="191">
          <cell r="A191" t="str">
            <v>NGAC/68022      Emp Advances CPC</v>
          </cell>
        </row>
        <row r="192">
          <cell r="A192" t="str">
            <v>NGAC/68024      Medical Advance</v>
          </cell>
        </row>
        <row r="193">
          <cell r="A193" t="str">
            <v>NGAC/68026      Leave Salary Advance</v>
          </cell>
        </row>
        <row r="194">
          <cell r="A194" t="str">
            <v>NGAC/68027      Salary Advance</v>
          </cell>
        </row>
        <row r="195">
          <cell r="A195" t="str">
            <v>NGAC/68028      Festival Advance</v>
          </cell>
        </row>
        <row r="196">
          <cell r="A196" t="str">
            <v>NGAC/68039      Adv. to Contractors</v>
          </cell>
        </row>
        <row r="197">
          <cell r="A197" t="str">
            <v>NGAC/68041      Advance to Suppliers</v>
          </cell>
        </row>
        <row r="198">
          <cell r="A198" t="str">
            <v>NGAC/68071      Custms &amp; Excise Deps</v>
          </cell>
        </row>
        <row r="199">
          <cell r="A199" t="str">
            <v>NGAC/68078      Rental Deposits</v>
          </cell>
        </row>
        <row r="200">
          <cell r="A200" t="str">
            <v>NGAC/68079      Other Deposits</v>
          </cell>
        </row>
        <row r="201">
          <cell r="A201" t="str">
            <v>NGAC/68200      VAT RM -Input tax re</v>
          </cell>
        </row>
        <row r="202">
          <cell r="A202" t="str">
            <v>NGAC/68201      VAT CG -Input tax re</v>
          </cell>
        </row>
        <row r="203">
          <cell r="A203" t="str">
            <v>NGAC/68214      TDS on Deposits</v>
          </cell>
        </row>
        <row r="204">
          <cell r="A204" t="str">
            <v>NGAC/68311      Prepaid Expenses</v>
          </cell>
        </row>
        <row r="205">
          <cell r="A205" t="str">
            <v>NGAC/69001      Cash on Hand</v>
          </cell>
        </row>
        <row r="206">
          <cell r="A206" t="str">
            <v>NGAC/69034      Corp Bank Corp CPC</v>
          </cell>
        </row>
        <row r="207">
          <cell r="A207" t="str">
            <v>NGAC/69064      Pers. Imprest A/cs</v>
          </cell>
        </row>
        <row r="208">
          <cell r="A208" t="str">
            <v>NGAC/69072      Margin Money A/c</v>
          </cell>
        </row>
        <row r="209">
          <cell r="A209" t="str">
            <v>NGAC/69271      SBI Kakinada CC</v>
          </cell>
        </row>
        <row r="210">
          <cell r="A210" t="str">
            <v>NGAC/69406      SBI CC-TREASY BR.KKD</v>
          </cell>
        </row>
        <row r="211">
          <cell r="A211" t="str">
            <v>NGAC/71013      Def. Rev. Exp-Cataly</v>
          </cell>
        </row>
        <row r="212">
          <cell r="A212" t="str">
            <v>NGAC/82020      Revaluation Reserve</v>
          </cell>
        </row>
        <row r="213">
          <cell r="A213" t="str">
            <v>NGAC/82041      P&amp;L A/ C Balance</v>
          </cell>
        </row>
        <row r="214">
          <cell r="A214" t="str">
            <v>NGAC/85011      Suppliers - Trd.Prod</v>
          </cell>
        </row>
        <row r="215">
          <cell r="A215" t="str">
            <v>NGAC/85012      Suppliers - R. Matls</v>
          </cell>
        </row>
        <row r="216">
          <cell r="A216" t="str">
            <v>NGAC/85014      Suppliers - Oth.Matl</v>
          </cell>
        </row>
        <row r="217">
          <cell r="A217" t="str">
            <v>NGAC/85021      Contractors Payable</v>
          </cell>
        </row>
        <row r="218">
          <cell r="A218" t="str">
            <v>NGAC/85027      Consultants Payable</v>
          </cell>
        </row>
        <row r="219">
          <cell r="A219" t="str">
            <v>NGAC/85040      LIAB FOR PRIMARY FRT</v>
          </cell>
        </row>
        <row r="220">
          <cell r="A220" t="str">
            <v>NGAC/85042      Provisions for exp</v>
          </cell>
        </row>
        <row r="221">
          <cell r="A221" t="str">
            <v>NGAC/85043      Prov.for Customs Clr</v>
          </cell>
        </row>
        <row r="222">
          <cell r="A222" t="str">
            <v>NGAC/85044      Prov.for Freight Chg</v>
          </cell>
        </row>
        <row r="223">
          <cell r="A223" t="str">
            <v>NGAC/85045      Provisions for matls</v>
          </cell>
        </row>
        <row r="224">
          <cell r="A224" t="str">
            <v>NGAC/85047      Stale Cheques A/c</v>
          </cell>
        </row>
        <row r="225">
          <cell r="A225" t="str">
            <v>NGAC/85048      NG - provisions a/c</v>
          </cell>
        </row>
        <row r="226">
          <cell r="A226" t="str">
            <v>NGAC/85049      Payables to Others</v>
          </cell>
        </row>
        <row r="227">
          <cell r="A227" t="str">
            <v>NGAC/85061      Earnest MoneyDeposit</v>
          </cell>
        </row>
        <row r="228">
          <cell r="A228" t="str">
            <v>NGAC/85063      Retention Money</v>
          </cell>
        </row>
        <row r="229">
          <cell r="A229" t="str">
            <v>NGAC/85066      Deposit from Dealers</v>
          </cell>
        </row>
        <row r="230">
          <cell r="A230" t="str">
            <v>NGAC/85071      Sales Tax Payable</v>
          </cell>
        </row>
        <row r="231">
          <cell r="A231" t="str">
            <v>NGAC/85072      Excise Duty Payable</v>
          </cell>
        </row>
        <row r="232">
          <cell r="A232" t="str">
            <v>NGAC/85074      Def. Liab. APGST</v>
          </cell>
        </row>
        <row r="233">
          <cell r="A233" t="str">
            <v>NGAC/85077      Wks Contr. S.T. (TDS</v>
          </cell>
        </row>
        <row r="234">
          <cell r="A234" t="str">
            <v>NGAC/85081      Contrib. to PF Pybl</v>
          </cell>
        </row>
        <row r="235">
          <cell r="A235" t="str">
            <v>NGAC/85082      Contrib. to FPS Pybl</v>
          </cell>
        </row>
        <row r="236">
          <cell r="A236" t="str">
            <v>NGAC/85083      Contrib. to ESI Pybl</v>
          </cell>
        </row>
        <row r="237">
          <cell r="A237" t="str">
            <v>NGAC/85088      Contri to GSLIS Pybl</v>
          </cell>
        </row>
        <row r="238">
          <cell r="A238" t="str">
            <v>NGAC/85091      PF Subscr. payable</v>
          </cell>
        </row>
        <row r="239">
          <cell r="A239" t="str">
            <v>NGAC/85092      PF Loan</v>
          </cell>
        </row>
        <row r="240">
          <cell r="A240" t="str">
            <v>NGAC/85093      VPF</v>
          </cell>
        </row>
        <row r="241">
          <cell r="A241" t="str">
            <v>NGAC/85094      ESI Payable</v>
          </cell>
        </row>
        <row r="242">
          <cell r="A242" t="str">
            <v>NGAC/85095      LIC Prem. Payable</v>
          </cell>
        </row>
        <row r="243">
          <cell r="A243" t="str">
            <v>NGAC/85096      Prof. Tax payable</v>
          </cell>
        </row>
        <row r="244">
          <cell r="A244" t="str">
            <v>NGAC/85098      GSLIS Recoveries</v>
          </cell>
        </row>
        <row r="245">
          <cell r="A245" t="str">
            <v>NGAC/85099      Oth. Payables- Empl.</v>
          </cell>
        </row>
        <row r="246">
          <cell r="A246" t="str">
            <v>NGAC/85101      Salary Payable</v>
          </cell>
        </row>
        <row r="247">
          <cell r="A247" t="str">
            <v>NGAC/85102      Employee Payable CPC</v>
          </cell>
        </row>
        <row r="248">
          <cell r="A248" t="str">
            <v>NGAC/85104      Loans/DedPayable CPC</v>
          </cell>
        </row>
        <row r="249">
          <cell r="A249" t="str">
            <v>NGAC/85111      I T - Employees</v>
          </cell>
        </row>
        <row r="250">
          <cell r="A250" t="str">
            <v>NGAC/85112      I T - Contractors</v>
          </cell>
        </row>
        <row r="251">
          <cell r="A251" t="str">
            <v>NGAC/85115      I T -  Interest</v>
          </cell>
        </row>
        <row r="252">
          <cell r="A252" t="str">
            <v>NGAC/85116      I T - Consultants</v>
          </cell>
        </row>
        <row r="253">
          <cell r="A253" t="str">
            <v>NGAC/85117      I T - Retainers</v>
          </cell>
        </row>
        <row r="254">
          <cell r="A254" t="str">
            <v>NGAC/85118      Service Tax Payable</v>
          </cell>
        </row>
        <row r="255">
          <cell r="A255" t="str">
            <v>NGAC/85119      I T - Others</v>
          </cell>
        </row>
        <row r="256">
          <cell r="A256" t="str">
            <v>NGAC/85141      Liquidated Damages</v>
          </cell>
        </row>
        <row r="257">
          <cell r="A257" t="str">
            <v>NGAC/85200      A/R VAT Payable</v>
          </cell>
        </row>
        <row r="258">
          <cell r="A258" t="str">
            <v>NGAC/85201      A/R CST payable</v>
          </cell>
        </row>
        <row r="259">
          <cell r="A259" t="str">
            <v>NGAC/85216      Loan Recoveries CPC</v>
          </cell>
        </row>
        <row r="260">
          <cell r="A260" t="str">
            <v>NGAC/87015      Acc Dep Buildings</v>
          </cell>
        </row>
        <row r="261">
          <cell r="A261" t="str">
            <v>NGAC/87021      AccDepRds,Brid,Culv</v>
          </cell>
        </row>
        <row r="262">
          <cell r="A262" t="str">
            <v>NGAC/87025      Acc Dep Rlwy siding</v>
          </cell>
        </row>
        <row r="263">
          <cell r="A263" t="str">
            <v>NGAC/87031      AccDepP&amp;MProcPlnts</v>
          </cell>
        </row>
        <row r="264">
          <cell r="A264" t="str">
            <v>NGAC/87035      AccDepP&amp;M Offsites</v>
          </cell>
        </row>
        <row r="265">
          <cell r="A265" t="str">
            <v>NGAC/87041      AccDepP&amp;M Eqpmts</v>
          </cell>
        </row>
        <row r="266">
          <cell r="A266" t="str">
            <v>NGAC/87051      Acc Dep Furn/Fixture</v>
          </cell>
        </row>
        <row r="267">
          <cell r="A267" t="str">
            <v>NGAC/87055      AccDepOff&amp;OthEqpmt</v>
          </cell>
        </row>
        <row r="268">
          <cell r="A268" t="str">
            <v>NGAC/87061      Acc Dep IT Eqpmt</v>
          </cell>
        </row>
        <row r="269">
          <cell r="A269" t="str">
            <v>NGAC/87065      Acc Dep Vehicles</v>
          </cell>
        </row>
        <row r="270">
          <cell r="A270" t="str">
            <v>NGAC/98011      Inter-unit Account</v>
          </cell>
        </row>
        <row r="271">
          <cell r="A271" t="str">
            <v>NGAC/99024      SBI -IFB CC-Clearing</v>
          </cell>
        </row>
        <row r="272">
          <cell r="A272" t="str">
            <v>NGAC/99271      SBI Kkd CC-Clearing</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TRL stand alone 040703 NMR"/>
      <sheetName val="Inputs"/>
      <sheetName val="Controls"/>
      <sheetName val="Print Controls"/>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Plant-1"/>
      <sheetName val="Plant-2"/>
      <sheetName val="Annexures to Form-F"/>
      <sheetName val="Table"/>
      <sheetName val="Table2"/>
      <sheetName val="Graph"/>
    </sheetNames>
    <sheetDataSet>
      <sheetData sheetId="0" refreshError="1"/>
      <sheetData sheetId="1" refreshError="1"/>
      <sheetData sheetId="2" refreshError="1"/>
      <sheetData sheetId="3" refreshError="1"/>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ssumptions"/>
      <sheetName val="Executive Summary"/>
      <sheetName val="Tech Data "/>
      <sheetName val="Tech Data Feed &amp; Fuel"/>
      <sheetName val="NG Basic price break up"/>
      <sheetName val="NG -Feed Fuel "/>
      <sheetName val="Variable Cost"/>
      <sheetName val="NG, Naphtha &amp; LSHS"/>
      <sheetName val="Power &amp; Water"/>
      <sheetName val="Packing Material"/>
      <sheetName val="Estimated cost VC"/>
      <sheetName val="Factory cost budget month wise"/>
      <sheetName val="Operations Report- MIS"/>
      <sheetName val="Account Code-wise workings"/>
      <sheetName val="Insurance"/>
      <sheetName val="Corp Office Format"/>
      <sheetName val="Fixed Cost"/>
      <sheetName val="salary"/>
      <sheetName val="Depreciation "/>
      <sheetName val="catalyst"/>
      <sheetName val="Other Income"/>
      <sheetName val="Chemic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ssumptions"/>
      <sheetName val="Executive Summary"/>
      <sheetName val="Tech Data "/>
      <sheetName val="Tech Data Feed &amp; Fuel"/>
      <sheetName val="NG Basic price break up"/>
      <sheetName val="NG -Feed Fuel "/>
      <sheetName val="Variable Cost"/>
      <sheetName val="NG, Naphtha &amp; LSHS"/>
      <sheetName val="Power &amp; Water"/>
      <sheetName val="Packing Material"/>
      <sheetName val="Estimated cost VC"/>
      <sheetName val="Factory cost budget month wise"/>
      <sheetName val="Operations Report- MIS"/>
      <sheetName val="Account Code-wise workings"/>
      <sheetName val="Insurance"/>
      <sheetName val="Corp Office Format"/>
      <sheetName val="Fixed Cost"/>
      <sheetName val="salary"/>
      <sheetName val="Depreciation "/>
      <sheetName val="catalyst"/>
      <sheetName val="Other Income"/>
      <sheetName val="Chemica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 Summary "/>
      <sheetName val="Dashboard"/>
      <sheetName val="Consolidated"/>
      <sheetName val="Consolidated Existing Wind"/>
      <sheetName val="Consolidated Wind and Solar"/>
      <sheetName val="Hydro Portfolio &gt;&gt;"/>
      <sheetName val="Ch_Proj_para"/>
      <sheetName val="Chuzachen&gt;&gt;"/>
      <sheetName val="Ch_Capex"/>
      <sheetName val="Ch_CS"/>
      <sheetName val="Ch_Qtr-Drawdown"/>
      <sheetName val="Ch_Rep"/>
      <sheetName val="Ch_Financials"/>
      <sheetName val="Ch_Cost of generation"/>
      <sheetName val="Ch_Sales"/>
      <sheetName val="Ch_O&amp;M"/>
      <sheetName val="Ch_WC"/>
      <sheetName val="Ch_Dep"/>
      <sheetName val="Ch_IT"/>
      <sheetName val="Ch_DSCR"/>
    </sheetNames>
    <sheetDataSet>
      <sheetData sheetId="0"/>
      <sheetData sheetId="1"/>
      <sheetData sheetId="2"/>
      <sheetData sheetId="3"/>
      <sheetData sheetId="4"/>
      <sheetData sheetId="5"/>
      <sheetData sheetId="6">
        <row r="14">
          <cell r="C14">
            <v>41412</v>
          </cell>
        </row>
        <row r="27">
          <cell r="C27">
            <v>365</v>
          </cell>
        </row>
        <row r="31">
          <cell r="K31">
            <v>0.20960000000000001</v>
          </cell>
        </row>
        <row r="32">
          <cell r="K32">
            <v>0.3</v>
          </cell>
        </row>
        <row r="33">
          <cell r="K33" t="str">
            <v>No</v>
          </cell>
        </row>
        <row r="34">
          <cell r="K34">
            <v>2017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ssumptions-1"/>
      <sheetName val="Assumptions-2"/>
      <sheetName val="Corp Office Format"/>
      <sheetName val="Executive Summary"/>
      <sheetName val="Working for Tech data"/>
      <sheetName val="Tech Data "/>
      <sheetName val="Tech Data Feed &amp; Fuel"/>
      <sheetName val="NG Basic price basic"/>
      <sheetName val="NG, Naphtha &amp; LSHS"/>
      <sheetName val="Estimated cost VC"/>
      <sheetName val="Power &amp; Water"/>
      <sheetName val="Packing Material"/>
      <sheetName val="NG Basic price working"/>
      <sheetName val="Factory cost budget month wise"/>
      <sheetName val="Insurance"/>
      <sheetName val="Chem"/>
      <sheetName val="Depreciation"/>
      <sheetName val="Fixed Cost"/>
      <sheetName val="Other Income"/>
      <sheetName val="sal int details"/>
      <sheetName val="Inv Change"/>
      <sheetName val="salary"/>
      <sheetName val="catalyst"/>
      <sheetName val="NG -Feed Fuel "/>
      <sheetName val="Variable Cost"/>
      <sheetName val="Operations Report- MIS"/>
      <sheetName val="Account Code-wise workings"/>
    </sheetNames>
    <sheetDataSet>
      <sheetData sheetId="0"/>
      <sheetData sheetId="1"/>
      <sheetData sheetId="2"/>
      <sheetData sheetId="3"/>
      <sheetData sheetId="4"/>
      <sheetData sheetId="5"/>
      <sheetData sheetId="6"/>
      <sheetData sheetId="7"/>
      <sheetData sheetId="8"/>
      <sheetData sheetId="9">
        <row r="2">
          <cell r="B2" t="str">
            <v>Natural Gas , Naphtha &amp; LSHS Variable Cost Budget 2010-11</v>
          </cell>
        </row>
        <row r="3">
          <cell r="F3" t="str">
            <v>Rs. Lakhs</v>
          </cell>
        </row>
        <row r="4">
          <cell r="B4" t="str">
            <v>Description</v>
          </cell>
          <cell r="C4" t="str">
            <v>UOM</v>
          </cell>
          <cell r="D4" t="str">
            <v>Budget 2010-2011</v>
          </cell>
          <cell r="E4" t="str">
            <v xml:space="preserve"> Estimated Actuals 2009-2010</v>
          </cell>
          <cell r="F4" t="str">
            <v>Budget 2009-2010</v>
          </cell>
        </row>
        <row r="5">
          <cell r="B5" t="str">
            <v>Production Urea</v>
          </cell>
        </row>
        <row r="6">
          <cell r="B6" t="str">
            <v>Plant-1</v>
          </cell>
          <cell r="C6" t="str">
            <v>MT</v>
          </cell>
          <cell r="D6">
            <v>813750</v>
          </cell>
          <cell r="E6">
            <v>758838</v>
          </cell>
          <cell r="F6">
            <v>760110</v>
          </cell>
        </row>
        <row r="7">
          <cell r="B7" t="str">
            <v>Plant-2</v>
          </cell>
          <cell r="C7" t="str">
            <v>MT</v>
          </cell>
          <cell r="D7">
            <v>798350</v>
          </cell>
          <cell r="E7">
            <v>723200.00000100001</v>
          </cell>
          <cell r="F7">
            <v>724690</v>
          </cell>
        </row>
        <row r="8">
          <cell r="B8" t="str">
            <v>Total Production</v>
          </cell>
          <cell r="C8" t="str">
            <v>MT</v>
          </cell>
          <cell r="D8">
            <v>1612100</v>
          </cell>
          <cell r="E8">
            <v>1482038.000001</v>
          </cell>
          <cell r="F8">
            <v>1484800</v>
          </cell>
        </row>
        <row r="9">
          <cell r="B9" t="str">
            <v>Variable Cost:</v>
          </cell>
        </row>
        <row r="10">
          <cell r="B10" t="str">
            <v xml:space="preserve">NG </v>
          </cell>
        </row>
        <row r="11">
          <cell r="B11" t="str">
            <v xml:space="preserve">  Plant-1</v>
          </cell>
          <cell r="C11" t="str">
            <v>Rs. Lakhs</v>
          </cell>
          <cell r="D11">
            <v>31708.999626084616</v>
          </cell>
          <cell r="E11">
            <v>20472.416038729243</v>
          </cell>
          <cell r="F11">
            <v>30822.84</v>
          </cell>
        </row>
        <row r="12">
          <cell r="B12" t="str">
            <v xml:space="preserve"> Plant-2</v>
          </cell>
          <cell r="C12" t="str">
            <v>Rs. Lakhs</v>
          </cell>
          <cell r="D12">
            <v>41213.1435186487</v>
          </cell>
          <cell r="E12">
            <v>33314.565998278325</v>
          </cell>
          <cell r="F12">
            <v>29007.599999999999</v>
          </cell>
        </row>
        <row r="13">
          <cell r="B13" t="str">
            <v>NG Transportation</v>
          </cell>
          <cell r="C13" t="str">
            <v>Rs. Lakhs</v>
          </cell>
        </row>
        <row r="14">
          <cell r="B14" t="str">
            <v xml:space="preserve">  Plant-1</v>
          </cell>
          <cell r="C14" t="str">
            <v>Rs. Lakhs</v>
          </cell>
          <cell r="D14">
            <v>3546.1878923262107</v>
          </cell>
          <cell r="E14">
            <v>2988.1904760984116</v>
          </cell>
          <cell r="F14">
            <v>3624.27</v>
          </cell>
        </row>
        <row r="15">
          <cell r="B15" t="str">
            <v xml:space="preserve"> Plant-2</v>
          </cell>
          <cell r="C15" t="str">
            <v>Rs. Lakhs</v>
          </cell>
          <cell r="D15">
            <v>5927.7044322786296</v>
          </cell>
          <cell r="E15">
            <v>4819.5085560509015</v>
          </cell>
          <cell r="F15">
            <v>3407.44</v>
          </cell>
        </row>
        <row r="16">
          <cell r="B16" t="str">
            <v xml:space="preserve">Naphtha </v>
          </cell>
        </row>
        <row r="17">
          <cell r="B17" t="str">
            <v xml:space="preserve"> Plant-2</v>
          </cell>
          <cell r="C17" t="str">
            <v>Rs. Lakhs</v>
          </cell>
          <cell r="D17">
            <v>0</v>
          </cell>
          <cell r="E17">
            <v>5533.9210925999996</v>
          </cell>
          <cell r="F17">
            <v>3174.34</v>
          </cell>
        </row>
        <row r="18">
          <cell r="B18" t="str">
            <v xml:space="preserve">LSHS </v>
          </cell>
        </row>
        <row r="19">
          <cell r="B19" t="str">
            <v>Plant-2</v>
          </cell>
          <cell r="C19" t="str">
            <v>Rs. Lakhs</v>
          </cell>
          <cell r="E19">
            <v>362.6278949</v>
          </cell>
        </row>
        <row r="20">
          <cell r="B20" t="str">
            <v>FO</v>
          </cell>
        </row>
        <row r="21">
          <cell r="B21" t="str">
            <v>Plant-2</v>
          </cell>
          <cell r="C21" t="str">
            <v>Rs. Lakhs</v>
          </cell>
          <cell r="E21">
            <v>0.3</v>
          </cell>
        </row>
        <row r="22">
          <cell r="B22" t="str">
            <v>Total Variable Cost</v>
          </cell>
          <cell r="C22" t="str">
            <v>Rs. Lakhs</v>
          </cell>
          <cell r="D22">
            <v>82396.035469338152</v>
          </cell>
          <cell r="E22">
            <v>67491.530056656877</v>
          </cell>
          <cell r="F22">
            <v>70036.489999999991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C, &amp; MOF"/>
      <sheetName val="CAPEX DRAWDOWN"/>
      <sheetName val="Project Indicators"/>
      <sheetName val="Term Loan "/>
      <sheetName val="Cashflow"/>
      <sheetName val="Balance Sheet"/>
      <sheetName val="PRofitability"/>
      <sheetName val="TOLL Revenues"/>
      <sheetName val="Depreciation"/>
      <sheetName val="Tax"/>
    </sheetNames>
    <sheetDataSet>
      <sheetData sheetId="0">
        <row r="15">
          <cell r="D15">
            <v>38808</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a-sep"/>
      <sheetName val="non ata-sep"/>
      <sheetName val="SUMMARY"/>
      <sheetName val="non ata-pivot"/>
      <sheetName val="ata-pivot"/>
      <sheetName val="NEW"/>
      <sheetName val="sep"/>
      <sheetName val="raw non ata"/>
    </sheetNames>
    <sheetDataSet>
      <sheetData sheetId="0"/>
      <sheetData sheetId="1"/>
      <sheetData sheetId="2"/>
      <sheetData sheetId="3"/>
      <sheetData sheetId="4"/>
      <sheetData sheetId="5"/>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Sheet3"/>
      <sheetName val="Sheet1 (2)"/>
      <sheetName val="Sheet3 (2)"/>
      <sheetName val="backup"/>
    </sheetNames>
    <sheetDataSet>
      <sheetData sheetId="0"/>
      <sheetData sheetId="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 Expense"/>
      <sheetName val="Notes"/>
      <sheetName val="Checks(Rough)"/>
      <sheetName val="DB"/>
      <sheetName val="Para"/>
      <sheetName val="P&amp;L_Urea"/>
      <sheetName val="P&amp;L_MI"/>
      <sheetName val="P&amp;L_Distr"/>
      <sheetName val="P&amp;L_Consol"/>
      <sheetName val="BS"/>
      <sheetName val="Cash DSCR"/>
      <sheetName val="CF"/>
      <sheetName val="capex opex"/>
      <sheetName val="Amort_Sch"/>
      <sheetName val="Dep"/>
      <sheetName val="RP"/>
      <sheetName val="Sacrifice"/>
      <sheetName val="NPV"/>
      <sheetName val="Sheet1"/>
      <sheetName val="Summ"/>
      <sheetName val="changes"/>
      <sheetName val="PROD SCH"/>
      <sheetName val="CRPS NPV+PS"/>
      <sheetName val="June19 exp"/>
      <sheetName val="Val"/>
      <sheetName val="Dec'19"/>
      <sheetName val="Cash DSCR (2)"/>
      <sheetName val="Compare"/>
      <sheetName val="Cash Compare"/>
    </sheetNames>
    <sheetDataSet>
      <sheetData sheetId="0"/>
      <sheetData sheetId="1"/>
      <sheetData sheetId="2"/>
      <sheetData sheetId="3"/>
      <sheetData sheetId="4">
        <row r="107">
          <cell r="D107">
            <v>0.34944000000000003</v>
          </cell>
        </row>
        <row r="108">
          <cell r="D108">
            <v>0.17472000000000001</v>
          </cell>
        </row>
        <row r="111">
          <cell r="D111">
            <v>365</v>
          </cell>
        </row>
        <row r="114">
          <cell r="D114">
            <v>71.150000000000006</v>
          </cell>
        </row>
        <row r="115">
          <cell r="D115">
            <v>1000000</v>
          </cell>
        </row>
        <row r="116">
          <cell r="D116">
            <v>100000</v>
          </cell>
        </row>
        <row r="117">
          <cell r="D117">
            <v>1000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 Expense"/>
      <sheetName val="Notes"/>
      <sheetName val="Checks(Rough)"/>
      <sheetName val="DB"/>
      <sheetName val="Para"/>
      <sheetName val="P&amp;L_Urea"/>
      <sheetName val="P&amp;L_MI"/>
      <sheetName val="P&amp;L_Distr"/>
      <sheetName val="P&amp;L_Consol"/>
      <sheetName val="BS"/>
      <sheetName val="Cash DSCR"/>
      <sheetName val="CF"/>
      <sheetName val="capex opex"/>
      <sheetName val="Amort_Sch"/>
      <sheetName val="Dep"/>
      <sheetName val="RP"/>
      <sheetName val="Sacrifice"/>
      <sheetName val="NPV"/>
      <sheetName val="Sheet1"/>
      <sheetName val="Summ"/>
      <sheetName val="changes"/>
      <sheetName val="PROD SCH"/>
      <sheetName val="CRPS NPV+PS"/>
      <sheetName val="June19 exp"/>
      <sheetName val="Val"/>
      <sheetName val="Dec'19"/>
      <sheetName val="Cash DSCR (2)"/>
      <sheetName val="Compare"/>
      <sheetName val="Cash Compare"/>
    </sheetNames>
    <sheetDataSet>
      <sheetData sheetId="0"/>
      <sheetData sheetId="1"/>
      <sheetData sheetId="2"/>
      <sheetData sheetId="3"/>
      <sheetData sheetId="4">
        <row r="63">
          <cell r="G63">
            <v>13813.418277222223</v>
          </cell>
        </row>
        <row r="107">
          <cell r="D107">
            <v>0.34944000000000003</v>
          </cell>
        </row>
        <row r="108">
          <cell r="D108">
            <v>0.17472000000000001</v>
          </cell>
        </row>
        <row r="111">
          <cell r="D111">
            <v>365</v>
          </cell>
        </row>
        <row r="114">
          <cell r="D114">
            <v>71.150000000000006</v>
          </cell>
        </row>
        <row r="115">
          <cell r="D115">
            <v>1000000</v>
          </cell>
        </row>
        <row r="116">
          <cell r="D116">
            <v>100000</v>
          </cell>
        </row>
        <row r="117">
          <cell r="D117">
            <v>1000</v>
          </cell>
        </row>
      </sheetData>
      <sheetData sheetId="5">
        <row r="71">
          <cell r="G71">
            <v>190.15233205798603</v>
          </cell>
        </row>
      </sheetData>
      <sheetData sheetId="6"/>
      <sheetData sheetId="7">
        <row r="33">
          <cell r="G33">
            <v>657.53424657534242</v>
          </cell>
        </row>
      </sheetData>
      <sheetData sheetId="8"/>
      <sheetData sheetId="9">
        <row r="59">
          <cell r="I59">
            <v>821.96838019589325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XPL"/>
      <sheetName val="XBL"/>
      <sheetName val="Balance Sheet"/>
      <sheetName val="Schedule to BS"/>
      <sheetName val="SUB SHED BAL"/>
      <sheetName val="Profit And Loss"/>
      <sheetName val="Schedules to P &amp; L"/>
      <sheetName val="Share Capital"/>
      <sheetName val="Reserves &amp; Surplus"/>
      <sheetName val="Long-Term Borrowings"/>
      <sheetName val="Other Long Term Liabilities"/>
      <sheetName val="Long Term Provisions"/>
      <sheetName val="Short-Term Borrowings "/>
      <sheetName val="Other Current Liabilities"/>
      <sheetName val="Short Term Provisions"/>
      <sheetName val="SUB SHD P&amp;L"/>
      <sheetName val="NCA-Non Current Investments"/>
      <sheetName val="NCA-Lng trm loans &amp; adv "/>
      <sheetName val="NCA-Other nca"/>
      <sheetName val="Current Investments"/>
      <sheetName val="Inventories"/>
      <sheetName val="Trade Receivables"/>
      <sheetName val="Cash and cash equivalents"/>
      <sheetName val="Short term loans and adv"/>
      <sheetName val="Other Curr Assets"/>
      <sheetName val="Cont liabilities and commitment"/>
      <sheetName val="Revenue From operation"/>
      <sheetName val="Other Income"/>
      <sheetName val="Finance Cost"/>
      <sheetName val="Dep Note123"/>
      <sheetName val="Dep _2013Act"/>
      <sheetName val="IT-Depa"/>
      <sheetName val="St. Total Income"/>
      <sheetName val="Cash flow"/>
      <sheetName val="Wealth Tax"/>
      <sheetName val="14-15 SL&amp;UL"/>
      <sheetName val="Mob.Adv"/>
      <sheetName val="Secured Loans"/>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K2" t="str">
            <v>Yes</v>
          </cell>
        </row>
        <row r="3">
          <cell r="K3" t="str">
            <v>No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ENSWEAR"/>
      <sheetName val="LADIESWEAR"/>
      <sheetName val="CHILDRENSWEAR"/>
      <sheetName val="HOME"/>
      <sheetName val="NON APPAREL"/>
      <sheetName val="Footage"/>
      <sheetName val="Adjusted Sales"/>
      <sheetName val="Margin What If"/>
    </sheetNames>
    <sheetDataSet>
      <sheetData sheetId="0" refreshError="1"/>
      <sheetData sheetId="1" refreshError="1"/>
      <sheetData sheetId="2" refreshError="1"/>
      <sheetData sheetId="3" refreshError="1"/>
      <sheetData sheetId="4" refreshError="1"/>
      <sheetData sheetId="5" refreshError="1"/>
      <sheetData sheetId="6" refreshError="1">
        <row r="6">
          <cell r="A6" t="str">
            <v>Menswear</v>
          </cell>
          <cell r="B6">
            <v>1</v>
          </cell>
        </row>
        <row r="7">
          <cell r="A7" t="str">
            <v>Branded Trousers</v>
          </cell>
          <cell r="B7">
            <v>2</v>
          </cell>
        </row>
        <row r="8">
          <cell r="A8" t="str">
            <v>Louis Phillipe Shirts</v>
          </cell>
          <cell r="B8">
            <v>3</v>
          </cell>
        </row>
        <row r="9">
          <cell r="A9" t="str">
            <v>Shirts - AS</v>
          </cell>
          <cell r="B9">
            <v>4</v>
          </cell>
        </row>
        <row r="10">
          <cell r="A10" t="str">
            <v>Shirts - IN</v>
          </cell>
          <cell r="B10">
            <v>5</v>
          </cell>
        </row>
        <row r="11">
          <cell r="A11" t="str">
            <v>Shirts - IW</v>
          </cell>
          <cell r="B11">
            <v>6</v>
          </cell>
        </row>
        <row r="12">
          <cell r="A12" t="str">
            <v>Shirts - PA</v>
          </cell>
          <cell r="B12">
            <v>7</v>
          </cell>
        </row>
        <row r="13">
          <cell r="A13" t="str">
            <v>Shirts - PE</v>
          </cell>
          <cell r="B13">
            <v>8</v>
          </cell>
        </row>
        <row r="14">
          <cell r="A14" t="str">
            <v>Shirts - SC</v>
          </cell>
          <cell r="B14">
            <v>9</v>
          </cell>
        </row>
        <row r="15">
          <cell r="A15" t="str">
            <v>Shirts - VH</v>
          </cell>
          <cell r="B15">
            <v>10</v>
          </cell>
        </row>
        <row r="16">
          <cell r="A16" t="str">
            <v>Shirts - ZO</v>
          </cell>
          <cell r="B16">
            <v>11</v>
          </cell>
        </row>
        <row r="17">
          <cell r="A17" t="str">
            <v>Shirts - ARR</v>
          </cell>
          <cell r="B17">
            <v>12</v>
          </cell>
        </row>
        <row r="18">
          <cell r="A18" t="str">
            <v>Provogue</v>
          </cell>
          <cell r="B18">
            <v>13</v>
          </cell>
        </row>
        <row r="19">
          <cell r="A19" t="str">
            <v>Ties</v>
          </cell>
          <cell r="B19">
            <v>14</v>
          </cell>
        </row>
        <row r="20">
          <cell r="A20" t="str">
            <v>Dockers</v>
          </cell>
          <cell r="B20">
            <v>15</v>
          </cell>
        </row>
        <row r="21">
          <cell r="A21" t="str">
            <v>Benetton</v>
          </cell>
          <cell r="B21">
            <v>16</v>
          </cell>
        </row>
        <row r="22">
          <cell r="A22" t="str">
            <v>Freelook &amp; Easies</v>
          </cell>
          <cell r="B22">
            <v>17</v>
          </cell>
        </row>
        <row r="23">
          <cell r="A23" t="str">
            <v>Color Plus</v>
          </cell>
          <cell r="B23">
            <v>18</v>
          </cell>
        </row>
        <row r="24">
          <cell r="A24" t="str">
            <v>Lee</v>
          </cell>
          <cell r="B24">
            <v>19</v>
          </cell>
        </row>
        <row r="25">
          <cell r="A25" t="str">
            <v>Lee Cooper</v>
          </cell>
          <cell r="B25">
            <v>20</v>
          </cell>
        </row>
        <row r="26">
          <cell r="A26" t="str">
            <v>Killer</v>
          </cell>
          <cell r="B26">
            <v>21</v>
          </cell>
        </row>
        <row r="27">
          <cell r="A27" t="str">
            <v>Pepe</v>
          </cell>
          <cell r="B27">
            <v>22</v>
          </cell>
        </row>
        <row r="28">
          <cell r="A28" t="str">
            <v>Levis</v>
          </cell>
          <cell r="B28">
            <v>23</v>
          </cell>
        </row>
        <row r="29">
          <cell r="A29" t="str">
            <v>Sportswear - Others</v>
          </cell>
          <cell r="B29">
            <v>24</v>
          </cell>
        </row>
        <row r="30">
          <cell r="A30" t="str">
            <v>Branded Sportswear</v>
          </cell>
          <cell r="B30">
            <v>25</v>
          </cell>
        </row>
        <row r="31">
          <cell r="A31" t="str">
            <v>Mens Ethnicwear</v>
          </cell>
          <cell r="B31">
            <v>26</v>
          </cell>
        </row>
        <row r="32">
          <cell r="A32" t="str">
            <v>Private Label Mens Trousers</v>
          </cell>
          <cell r="B32">
            <v>27</v>
          </cell>
        </row>
        <row r="33">
          <cell r="A33" t="str">
            <v>Pvt Label Mens Shirts</v>
          </cell>
          <cell r="B33">
            <v>28</v>
          </cell>
        </row>
        <row r="34">
          <cell r="A34" t="str">
            <v>Pvt Label Value Fashion</v>
          </cell>
          <cell r="B34">
            <v>29</v>
          </cell>
        </row>
        <row r="35">
          <cell r="A35" t="str">
            <v>Pvt Lbl VC Mens Knits</v>
          </cell>
          <cell r="B35">
            <v>30</v>
          </cell>
        </row>
        <row r="36">
          <cell r="A36" t="str">
            <v>Casual Knits Tshirts</v>
          </cell>
          <cell r="B36">
            <v>31</v>
          </cell>
        </row>
        <row r="37">
          <cell r="A37" t="str">
            <v>Mens Undergarments and Nightwear</v>
          </cell>
          <cell r="B37">
            <v>32</v>
          </cell>
        </row>
        <row r="38">
          <cell r="A38" t="str">
            <v>Mens Suits and Jackets</v>
          </cell>
          <cell r="B38">
            <v>33</v>
          </cell>
        </row>
        <row r="39">
          <cell r="B39">
            <v>34</v>
          </cell>
        </row>
        <row r="40">
          <cell r="B40">
            <v>35</v>
          </cell>
        </row>
        <row r="41">
          <cell r="A41" t="str">
            <v>Ladieswear</v>
          </cell>
          <cell r="B41">
            <v>36</v>
          </cell>
        </row>
        <row r="42">
          <cell r="A42" t="str">
            <v>Ladies Value Fashion</v>
          </cell>
          <cell r="B42">
            <v>37</v>
          </cell>
        </row>
        <row r="43">
          <cell r="A43" t="str">
            <v>Ladies Value Classics</v>
          </cell>
          <cell r="B43">
            <v>38</v>
          </cell>
        </row>
        <row r="44">
          <cell r="A44" t="str">
            <v>Ladies Premium Classics</v>
          </cell>
          <cell r="B44">
            <v>39</v>
          </cell>
        </row>
        <row r="45">
          <cell r="A45" t="str">
            <v>Ladies Mix N Match</v>
          </cell>
          <cell r="B45">
            <v>40</v>
          </cell>
        </row>
        <row r="46">
          <cell r="A46" t="str">
            <v>SKD</v>
          </cell>
          <cell r="B46">
            <v>41</v>
          </cell>
        </row>
        <row r="47">
          <cell r="A47" t="str">
            <v>Ladies Nightwear</v>
          </cell>
          <cell r="B47">
            <v>42</v>
          </cell>
        </row>
        <row r="48">
          <cell r="A48" t="str">
            <v>Lingerie</v>
          </cell>
          <cell r="B48">
            <v>43</v>
          </cell>
        </row>
        <row r="49">
          <cell r="A49" t="str">
            <v>Ladies Soft Accessories</v>
          </cell>
          <cell r="B49">
            <v>44</v>
          </cell>
        </row>
        <row r="50">
          <cell r="B50">
            <v>45</v>
          </cell>
        </row>
        <row r="51">
          <cell r="B51">
            <v>46</v>
          </cell>
        </row>
        <row r="52">
          <cell r="B52">
            <v>47</v>
          </cell>
        </row>
        <row r="53">
          <cell r="B53">
            <v>48</v>
          </cell>
        </row>
        <row r="54">
          <cell r="B54">
            <v>49</v>
          </cell>
        </row>
        <row r="55">
          <cell r="B55">
            <v>50</v>
          </cell>
        </row>
        <row r="56">
          <cell r="B56">
            <v>51</v>
          </cell>
        </row>
        <row r="57">
          <cell r="B57">
            <v>52</v>
          </cell>
        </row>
        <row r="58">
          <cell r="B58">
            <v>53</v>
          </cell>
        </row>
        <row r="59">
          <cell r="B59">
            <v>54</v>
          </cell>
        </row>
        <row r="60">
          <cell r="B60">
            <v>55</v>
          </cell>
        </row>
        <row r="61">
          <cell r="B61">
            <v>56</v>
          </cell>
        </row>
        <row r="62">
          <cell r="A62" t="str">
            <v>Childrenswear</v>
          </cell>
          <cell r="B62">
            <v>57</v>
          </cell>
        </row>
        <row r="63">
          <cell r="A63" t="str">
            <v>Kid Boys</v>
          </cell>
          <cell r="B63">
            <v>58</v>
          </cell>
        </row>
        <row r="64">
          <cell r="A64" t="str">
            <v>Kid Girls OL</v>
          </cell>
          <cell r="B64">
            <v>59</v>
          </cell>
        </row>
        <row r="65">
          <cell r="A65" t="str">
            <v>Kids Pre Teen Girls OL</v>
          </cell>
          <cell r="B65">
            <v>60</v>
          </cell>
        </row>
        <row r="66">
          <cell r="A66" t="str">
            <v>Kids Pre-Teen Boys OL</v>
          </cell>
          <cell r="B66">
            <v>61</v>
          </cell>
        </row>
        <row r="67">
          <cell r="A67" t="str">
            <v>Kids Infants O/L</v>
          </cell>
          <cell r="B67">
            <v>62</v>
          </cell>
        </row>
        <row r="68">
          <cell r="A68" t="str">
            <v>Kids Barbie</v>
          </cell>
          <cell r="B68">
            <v>63</v>
          </cell>
        </row>
        <row r="69">
          <cell r="A69" t="str">
            <v>Kids Gini and Jonny</v>
          </cell>
          <cell r="B69">
            <v>64</v>
          </cell>
        </row>
        <row r="70">
          <cell r="A70" t="str">
            <v>Kids NWIW &amp; Accessories</v>
          </cell>
          <cell r="B70">
            <v>65</v>
          </cell>
        </row>
        <row r="71">
          <cell r="A71" t="str">
            <v>Kids - Walt Disney</v>
          </cell>
          <cell r="B71">
            <v>66</v>
          </cell>
        </row>
        <row r="72">
          <cell r="A72" t="str">
            <v>Ruff Kids</v>
          </cell>
          <cell r="B72">
            <v>67</v>
          </cell>
        </row>
        <row r="73">
          <cell r="A73" t="str">
            <v>Weekender</v>
          </cell>
          <cell r="B73">
            <v>68</v>
          </cell>
        </row>
        <row r="74">
          <cell r="A74" t="str">
            <v>Lee Youth</v>
          </cell>
          <cell r="B74">
            <v>69</v>
          </cell>
        </row>
        <row r="75">
          <cell r="A75" t="str">
            <v>Kids - Benetton</v>
          </cell>
          <cell r="B75">
            <v>70</v>
          </cell>
        </row>
        <row r="76">
          <cell r="A76" t="str">
            <v>TOYS</v>
          </cell>
          <cell r="B76">
            <v>71</v>
          </cell>
        </row>
        <row r="77">
          <cell r="B77">
            <v>72</v>
          </cell>
        </row>
        <row r="78">
          <cell r="B78">
            <v>73</v>
          </cell>
        </row>
        <row r="79">
          <cell r="B79">
            <v>74</v>
          </cell>
        </row>
        <row r="80">
          <cell r="B80">
            <v>75</v>
          </cell>
        </row>
        <row r="81">
          <cell r="B81">
            <v>76</v>
          </cell>
        </row>
        <row r="82">
          <cell r="B82">
            <v>77</v>
          </cell>
        </row>
        <row r="83">
          <cell r="A83" t="str">
            <v>Home</v>
          </cell>
          <cell r="B83">
            <v>78</v>
          </cell>
        </row>
        <row r="84">
          <cell r="A84" t="str">
            <v>Bath</v>
          </cell>
          <cell r="B84">
            <v>79</v>
          </cell>
        </row>
        <row r="85">
          <cell r="A85" t="str">
            <v>Bed</v>
          </cell>
          <cell r="B85">
            <v>80</v>
          </cell>
        </row>
        <row r="86">
          <cell r="A86" t="str">
            <v>Kitchen</v>
          </cell>
          <cell r="B86">
            <v>81</v>
          </cell>
        </row>
        <row r="87">
          <cell r="A87" t="str">
            <v>Dining</v>
          </cell>
          <cell r="B87">
            <v>82</v>
          </cell>
        </row>
        <row r="88">
          <cell r="A88" t="str">
            <v>Home Adornment</v>
          </cell>
          <cell r="B88">
            <v>83</v>
          </cell>
        </row>
        <row r="89">
          <cell r="B89">
            <v>84</v>
          </cell>
        </row>
        <row r="90">
          <cell r="B90">
            <v>85</v>
          </cell>
        </row>
        <row r="91">
          <cell r="B91">
            <v>86</v>
          </cell>
        </row>
        <row r="92">
          <cell r="B92">
            <v>87</v>
          </cell>
        </row>
        <row r="93">
          <cell r="B93">
            <v>88</v>
          </cell>
        </row>
        <row r="94">
          <cell r="B94">
            <v>89</v>
          </cell>
        </row>
        <row r="95">
          <cell r="B95">
            <v>90</v>
          </cell>
        </row>
        <row r="96">
          <cell r="B96">
            <v>91</v>
          </cell>
        </row>
        <row r="97">
          <cell r="B97">
            <v>92</v>
          </cell>
        </row>
        <row r="98">
          <cell r="B98">
            <v>93</v>
          </cell>
        </row>
        <row r="99">
          <cell r="B99">
            <v>94</v>
          </cell>
        </row>
        <row r="100">
          <cell r="B100">
            <v>95</v>
          </cell>
        </row>
        <row r="101">
          <cell r="B101">
            <v>96</v>
          </cell>
        </row>
        <row r="102">
          <cell r="B102">
            <v>97</v>
          </cell>
        </row>
        <row r="103">
          <cell r="B103">
            <v>98</v>
          </cell>
        </row>
        <row r="104">
          <cell r="A104" t="str">
            <v>Non Apparel</v>
          </cell>
          <cell r="B104">
            <v>99</v>
          </cell>
        </row>
        <row r="105">
          <cell r="A105" t="str">
            <v>Bags &amp; small accessories</v>
          </cell>
          <cell r="B105">
            <v>100</v>
          </cell>
        </row>
        <row r="106">
          <cell r="A106" t="str">
            <v>Footwear</v>
          </cell>
          <cell r="B106">
            <v>101</v>
          </cell>
        </row>
        <row r="107">
          <cell r="A107" t="str">
            <v>Fashion Jewellery</v>
          </cell>
          <cell r="B107">
            <v>102</v>
          </cell>
        </row>
        <row r="108">
          <cell r="A108" t="str">
            <v>Fine Jewellery</v>
          </cell>
          <cell r="B108">
            <v>103</v>
          </cell>
        </row>
        <row r="109">
          <cell r="A109" t="str">
            <v>Leather accessories</v>
          </cell>
          <cell r="B109">
            <v>104</v>
          </cell>
        </row>
        <row r="110">
          <cell r="A110" t="str">
            <v>Pens and Small Accessories</v>
          </cell>
          <cell r="B110">
            <v>105</v>
          </cell>
        </row>
        <row r="111">
          <cell r="A111" t="str">
            <v>Sunglasses</v>
          </cell>
          <cell r="B111">
            <v>106</v>
          </cell>
        </row>
        <row r="112">
          <cell r="A112" t="str">
            <v>Watches</v>
          </cell>
          <cell r="B112">
            <v>107</v>
          </cell>
        </row>
        <row r="113">
          <cell r="A113" t="str">
            <v>Cosmetics</v>
          </cell>
          <cell r="B113">
            <v>108</v>
          </cell>
        </row>
        <row r="114">
          <cell r="A114" t="str">
            <v>Hair Accessories</v>
          </cell>
          <cell r="B114">
            <v>109</v>
          </cell>
        </row>
        <row r="115">
          <cell r="B115">
            <v>110</v>
          </cell>
        </row>
        <row r="116">
          <cell r="B116">
            <v>111</v>
          </cell>
        </row>
        <row r="117">
          <cell r="B117">
            <v>112</v>
          </cell>
        </row>
        <row r="118">
          <cell r="B118">
            <v>113</v>
          </cell>
        </row>
        <row r="119">
          <cell r="B119">
            <v>114</v>
          </cell>
        </row>
        <row r="120">
          <cell r="B120">
            <v>115</v>
          </cell>
        </row>
        <row r="121">
          <cell r="B121">
            <v>116</v>
          </cell>
        </row>
        <row r="122">
          <cell r="B122">
            <v>117</v>
          </cell>
        </row>
        <row r="123">
          <cell r="B123">
            <v>118</v>
          </cell>
        </row>
        <row r="124">
          <cell r="B124">
            <v>119</v>
          </cell>
        </row>
      </sheetData>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groupings"/>
      <sheetName val="intreco"/>
      <sheetName val="tax"/>
      <sheetName val="Index"/>
      <sheetName val="dtl"/>
      <sheetName val="mainpage"/>
      <sheetName val="abridged"/>
      <sheetName val="bsheet"/>
      <sheetName val="pandl"/>
      <sheetName val="cash flow"/>
      <sheetName val="sch1-2"/>
      <sheetName val="sch3"/>
      <sheetName val="sch4"/>
      <sheetName val="sch5"/>
      <sheetName val="sch6"/>
      <sheetName val="sch7"/>
      <sheetName val="sch8-9-10"/>
      <sheetName val="sch11-12"/>
      <sheetName val="stockstmt"/>
      <sheetName val="onepage"/>
      <sheetName val="revnote (2)"/>
      <sheetName val="revnote"/>
      <sheetName val="revnote Hide PY qtr "/>
      <sheetName val="revnote "/>
      <sheetName val="revnote with CDR budget"/>
      <sheetName val="Lease Income"/>
      <sheetName val="Ac Ratios Sheet2"/>
      <sheetName val="AC Ratios Sheet1"/>
      <sheetName val="revnote Board"/>
      <sheetName val="revnote CDR"/>
      <sheetName val="Published results "/>
      <sheetName val="mainpage (2)"/>
      <sheetName val="AC Ratios Sheet1 (2)"/>
      <sheetName val="Ac Ratios Sheet2 (2)"/>
      <sheetName val="revnote Hide PY "/>
      <sheetName val="Rat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nthwise"/>
      <sheetName val="budget"/>
      <sheetName val="2003-04"/>
      <sheetName val="2004-05"/>
      <sheetName val="subsidy"/>
      <sheetName val="SNB-Mfg assump"/>
      <sheetName val="SNB-Mkt assump"/>
      <sheetName val="interest"/>
      <sheetName val="OH summ"/>
      <sheetName val="Overheads"/>
      <sheetName val="Div Summ"/>
      <sheetName val="CAPITAL EXP."/>
      <sheetName val="Cap-MKTG"/>
      <sheetName val="Cap-KKD"/>
      <sheetName val="Cap-NSB"/>
      <sheetName val="Cap-Corp"/>
      <sheetName val="NG &amp; Naphtha Price trends"/>
      <sheetName val="Option-6 (&gt;100% @ 1.90 MMSC (2)"/>
      <sheetName val="border"/>
    </sheetNames>
    <sheetDataSet>
      <sheetData sheetId="0">
        <row r="2">
          <cell r="B2" t="str">
            <v>Sl No.</v>
          </cell>
        </row>
      </sheetData>
      <sheetData sheetId="1"/>
      <sheetData sheetId="2">
        <row r="7">
          <cell r="C7" t="str">
            <v>Sl.</v>
          </cell>
          <cell r="D7" t="str">
            <v>Particulars</v>
          </cell>
          <cell r="E7" t="str">
            <v>SNB</v>
          </cell>
          <cell r="I7" t="str">
            <v>NSB-SF</v>
          </cell>
          <cell r="J7" t="str">
            <v>HO</v>
          </cell>
          <cell r="L7" t="str">
            <v>Budget</v>
          </cell>
          <cell r="M7" t="str">
            <v>SNB</v>
          </cell>
          <cell r="O7" t="str">
            <v>NSB</v>
          </cell>
          <cell r="P7" t="str">
            <v>Corporate</v>
          </cell>
          <cell r="Q7" t="str">
            <v>Budget</v>
          </cell>
          <cell r="R7" t="str">
            <v>Actuals</v>
          </cell>
          <cell r="S7" t="str">
            <v>Budget</v>
          </cell>
          <cell r="T7" t="str">
            <v>Estimated Actuals</v>
          </cell>
          <cell r="U7" t="str">
            <v xml:space="preserve">Variance </v>
          </cell>
        </row>
        <row r="8">
          <cell r="C8" t="str">
            <v>No.</v>
          </cell>
          <cell r="E8" t="str">
            <v>UOM</v>
          </cell>
          <cell r="F8" t="str">
            <v>Rates</v>
          </cell>
          <cell r="G8" t="str">
            <v>Manufacturing</v>
          </cell>
          <cell r="H8" t="str">
            <v>Marketing</v>
          </cell>
          <cell r="J8" t="str">
            <v>Directors</v>
          </cell>
          <cell r="K8" t="str">
            <v>Services</v>
          </cell>
          <cell r="L8" t="str">
            <v>2004-05</v>
          </cell>
          <cell r="M8" t="str">
            <v>Manufacturing</v>
          </cell>
          <cell r="N8" t="str">
            <v>Marketing</v>
          </cell>
          <cell r="Q8" t="str">
            <v>2004-05</v>
          </cell>
          <cell r="R8" t="str">
            <v>2003-04</v>
          </cell>
          <cell r="S8" t="str">
            <v>2003-04</v>
          </cell>
          <cell r="T8" t="str">
            <v>2003-04</v>
          </cell>
        </row>
        <row r="9">
          <cell r="D9" t="str">
            <v>Capacity 100%</v>
          </cell>
          <cell r="L9">
            <v>11.946</v>
          </cell>
          <cell r="R9">
            <v>11.946</v>
          </cell>
        </row>
        <row r="10">
          <cell r="D10" t="str">
            <v>Production (Urea)</v>
          </cell>
          <cell r="E10" t="str">
            <v>LMt</v>
          </cell>
          <cell r="G10">
            <v>13.25</v>
          </cell>
          <cell r="L10">
            <v>13.25</v>
          </cell>
          <cell r="Q10" t="str">
            <v>11.95 L MT</v>
          </cell>
          <cell r="R10">
            <v>11.9396</v>
          </cell>
          <cell r="S10" t="str">
            <v>11.95 L MT</v>
          </cell>
          <cell r="T10" t="str">
            <v>12.00 L MT</v>
          </cell>
          <cell r="U10">
            <v>1.3103999999999996</v>
          </cell>
        </row>
        <row r="11">
          <cell r="D11" t="str">
            <v>Dispatches (Urea)</v>
          </cell>
          <cell r="E11" t="str">
            <v>LMt</v>
          </cell>
          <cell r="L11">
            <v>13.25</v>
          </cell>
          <cell r="R11">
            <v>11.943960000000001</v>
          </cell>
          <cell r="U11">
            <v>1.3060399999999994</v>
          </cell>
        </row>
        <row r="12">
          <cell r="D12" t="str">
            <v>P1</v>
          </cell>
          <cell r="E12" t="str">
            <v>LMt</v>
          </cell>
          <cell r="G12">
            <v>6.25</v>
          </cell>
          <cell r="L12">
            <v>6.25</v>
          </cell>
          <cell r="R12">
            <v>5.98665</v>
          </cell>
          <cell r="U12">
            <v>0.26334999999999997</v>
          </cell>
        </row>
        <row r="13">
          <cell r="D13" t="str">
            <v>P2</v>
          </cell>
          <cell r="E13" t="str">
            <v>LMt</v>
          </cell>
          <cell r="G13">
            <v>7</v>
          </cell>
          <cell r="L13">
            <v>7</v>
          </cell>
          <cell r="R13">
            <v>5.9573099999999997</v>
          </cell>
          <cell r="U13">
            <v>1.0426900000000003</v>
          </cell>
        </row>
        <row r="14">
          <cell r="D14" t="str">
            <v>Sales  (Urea)</v>
          </cell>
          <cell r="E14" t="str">
            <v>LMt</v>
          </cell>
          <cell r="G14">
            <v>0</v>
          </cell>
          <cell r="H14">
            <v>13.146000000000001</v>
          </cell>
          <cell r="L14">
            <v>13.146000000000001</v>
          </cell>
          <cell r="Q14" t="str">
            <v>11.95 L MT</v>
          </cell>
          <cell r="R14">
            <v>14.305249999999999</v>
          </cell>
          <cell r="S14" t="str">
            <v>11.95 L MT</v>
          </cell>
          <cell r="T14" t="str">
            <v>12.00 L MT</v>
          </cell>
          <cell r="U14">
            <v>-1.1592499999999983</v>
          </cell>
        </row>
        <row r="15">
          <cell r="D15" t="str">
            <v>Ammonia</v>
          </cell>
          <cell r="E15" t="str">
            <v>LMt</v>
          </cell>
          <cell r="G15">
            <v>0.04</v>
          </cell>
          <cell r="L15">
            <v>0.04</v>
          </cell>
          <cell r="R15">
            <v>0.21593000000000001</v>
          </cell>
          <cell r="U15">
            <v>-0.17593</v>
          </cell>
        </row>
        <row r="18">
          <cell r="C18">
            <v>1</v>
          </cell>
          <cell r="D18" t="str">
            <v>Sales (net of ST)</v>
          </cell>
          <cell r="F18">
            <v>4650</v>
          </cell>
          <cell r="H18">
            <v>61128.9</v>
          </cell>
          <cell r="I18">
            <v>1930.75</v>
          </cell>
          <cell r="J18">
            <v>0</v>
          </cell>
          <cell r="K18">
            <v>0</v>
          </cell>
          <cell r="L18">
            <v>63059.65</v>
          </cell>
          <cell r="N18">
            <v>0</v>
          </cell>
          <cell r="Q18">
            <v>0</v>
          </cell>
          <cell r="R18">
            <v>68158.559999999998</v>
          </cell>
          <cell r="S18">
            <v>70902.566000000006</v>
          </cell>
          <cell r="T18">
            <v>68331.47</v>
          </cell>
          <cell r="U18">
            <v>-5098.9099999999962</v>
          </cell>
        </row>
        <row r="19">
          <cell r="D19" t="str">
            <v>Less: Rebates</v>
          </cell>
          <cell r="F19">
            <v>-35</v>
          </cell>
          <cell r="H19">
            <v>-460.11</v>
          </cell>
          <cell r="I19">
            <v>-90.92</v>
          </cell>
          <cell r="J19">
            <v>0</v>
          </cell>
          <cell r="K19">
            <v>0</v>
          </cell>
          <cell r="L19">
            <v>-551.03</v>
          </cell>
          <cell r="R19">
            <v>-660.55</v>
          </cell>
          <cell r="U19">
            <v>109.51999999999998</v>
          </cell>
        </row>
        <row r="20">
          <cell r="D20" t="str">
            <v xml:space="preserve"> : Cash Discount</v>
          </cell>
          <cell r="F20">
            <v>-70</v>
          </cell>
          <cell r="H20">
            <v>-920.22</v>
          </cell>
          <cell r="I20">
            <v>0</v>
          </cell>
          <cell r="J20">
            <v>0</v>
          </cell>
          <cell r="K20">
            <v>0</v>
          </cell>
          <cell r="L20">
            <v>-920.22</v>
          </cell>
          <cell r="N20">
            <v>0</v>
          </cell>
          <cell r="Q20">
            <v>0</v>
          </cell>
          <cell r="R20">
            <v>-950.18</v>
          </cell>
          <cell r="S20">
            <v>1875.9202542000003</v>
          </cell>
          <cell r="T20">
            <v>3460.61</v>
          </cell>
          <cell r="U20">
            <v>29.959999999999923</v>
          </cell>
        </row>
        <row r="21">
          <cell r="D21" t="str">
            <v>Net Sales -  Urea</v>
          </cell>
          <cell r="F21">
            <v>4545</v>
          </cell>
          <cell r="H21">
            <v>59748.57</v>
          </cell>
          <cell r="I21">
            <v>1839.83</v>
          </cell>
          <cell r="J21">
            <v>0</v>
          </cell>
          <cell r="K21">
            <v>0</v>
          </cell>
          <cell r="L21">
            <v>61588.4</v>
          </cell>
          <cell r="N21">
            <v>0</v>
          </cell>
          <cell r="Q21">
            <v>0</v>
          </cell>
          <cell r="R21">
            <v>66547.83</v>
          </cell>
          <cell r="S21">
            <v>69026.645745800008</v>
          </cell>
          <cell r="T21">
            <v>64870.86</v>
          </cell>
          <cell r="U21">
            <v>-4959.43</v>
          </cell>
        </row>
        <row r="22">
          <cell r="D22" t="str">
            <v>Ammonia</v>
          </cell>
          <cell r="F22">
            <v>14000</v>
          </cell>
          <cell r="G22">
            <v>560</v>
          </cell>
          <cell r="H22">
            <v>0</v>
          </cell>
          <cell r="I22">
            <v>0</v>
          </cell>
          <cell r="J22">
            <v>0</v>
          </cell>
          <cell r="K22">
            <v>0</v>
          </cell>
          <cell r="L22">
            <v>560</v>
          </cell>
          <cell r="R22">
            <v>2552.85</v>
          </cell>
          <cell r="U22">
            <v>-1992.85</v>
          </cell>
        </row>
        <row r="23">
          <cell r="C23">
            <v>2</v>
          </cell>
          <cell r="D23" t="str">
            <v>Subsidy</v>
          </cell>
        </row>
        <row r="24">
          <cell r="D24" t="str">
            <v>Production (upto 100%)</v>
          </cell>
        </row>
        <row r="25">
          <cell r="D25" t="str">
            <v>Urea -    P1</v>
          </cell>
          <cell r="E25" t="str">
            <v>gcs</v>
          </cell>
          <cell r="F25">
            <v>6693.7839999999997</v>
          </cell>
          <cell r="G25">
            <v>12207.521831999999</v>
          </cell>
          <cell r="H25">
            <v>0</v>
          </cell>
          <cell r="I25">
            <v>0</v>
          </cell>
          <cell r="J25">
            <v>0</v>
          </cell>
          <cell r="K25">
            <v>0</v>
          </cell>
          <cell r="L25">
            <v>12207.521831999999</v>
          </cell>
          <cell r="P25">
            <v>0</v>
          </cell>
          <cell r="Q25">
            <v>0</v>
          </cell>
          <cell r="R25">
            <v>12488.27</v>
          </cell>
          <cell r="S25">
            <v>27995.45</v>
          </cell>
          <cell r="T25">
            <v>24948</v>
          </cell>
          <cell r="U25">
            <v>-280.7481680000019</v>
          </cell>
        </row>
        <row r="26">
          <cell r="D26" t="str">
            <v>P2</v>
          </cell>
          <cell r="E26" t="str">
            <v>gcs</v>
          </cell>
          <cell r="F26">
            <v>9908.680163265306</v>
          </cell>
          <cell r="G26">
            <v>31410.096615183673</v>
          </cell>
          <cell r="H26">
            <v>0</v>
          </cell>
          <cell r="I26">
            <v>0</v>
          </cell>
          <cell r="J26">
            <v>0</v>
          </cell>
          <cell r="K26">
            <v>0</v>
          </cell>
          <cell r="L26">
            <v>31410.096615183673</v>
          </cell>
          <cell r="R26">
            <v>16882.190000000002</v>
          </cell>
          <cell r="U26">
            <v>14527.906615183671</v>
          </cell>
        </row>
        <row r="27">
          <cell r="D27" t="str">
            <v>Production (beyond 100%) (VC+35% contri-4650)</v>
          </cell>
        </row>
        <row r="28">
          <cell r="D28" t="str">
            <v>Urea -    P1</v>
          </cell>
          <cell r="E28" t="str">
            <v>IPP</v>
          </cell>
          <cell r="F28">
            <v>241.75959999999941</v>
          </cell>
          <cell r="G28">
            <v>66.967409199999864</v>
          </cell>
          <cell r="H28">
            <v>0</v>
          </cell>
          <cell r="I28">
            <v>0</v>
          </cell>
          <cell r="J28">
            <v>0</v>
          </cell>
          <cell r="K28">
            <v>0</v>
          </cell>
          <cell r="L28">
            <v>66.967409199999864</v>
          </cell>
          <cell r="R28">
            <v>0</v>
          </cell>
          <cell r="U28">
            <v>66.967409199999864</v>
          </cell>
        </row>
        <row r="29">
          <cell r="D29" t="str">
            <v>P2</v>
          </cell>
          <cell r="E29" t="str">
            <v>IPP</v>
          </cell>
          <cell r="F29">
            <v>2738.9921061224486</v>
          </cell>
          <cell r="G29">
            <v>2812.9448929877549</v>
          </cell>
          <cell r="H29">
            <v>0</v>
          </cell>
          <cell r="I29">
            <v>0</v>
          </cell>
          <cell r="J29">
            <v>0</v>
          </cell>
          <cell r="K29">
            <v>0</v>
          </cell>
          <cell r="L29">
            <v>2812.9448929877549</v>
          </cell>
          <cell r="R29">
            <v>0</v>
          </cell>
          <cell r="U29">
            <v>2812.9448929877549</v>
          </cell>
        </row>
        <row r="30">
          <cell r="D30" t="str">
            <v>Gas Compression Charges</v>
          </cell>
          <cell r="G30">
            <v>400</v>
          </cell>
          <cell r="H30">
            <v>0</v>
          </cell>
          <cell r="I30">
            <v>0</v>
          </cell>
          <cell r="J30">
            <v>0</v>
          </cell>
          <cell r="K30">
            <v>0</v>
          </cell>
          <cell r="L30">
            <v>400</v>
          </cell>
          <cell r="R30">
            <v>0</v>
          </cell>
          <cell r="U30">
            <v>400</v>
          </cell>
        </row>
        <row r="31">
          <cell r="D31" t="str">
            <v>Transport  - ECA</v>
          </cell>
          <cell r="E31" t="str">
            <v>mt</v>
          </cell>
          <cell r="F31">
            <v>530</v>
          </cell>
          <cell r="G31">
            <v>0</v>
          </cell>
          <cell r="H31">
            <v>3856.81</v>
          </cell>
          <cell r="I31">
            <v>0</v>
          </cell>
          <cell r="J31">
            <v>0</v>
          </cell>
          <cell r="K31">
            <v>0</v>
          </cell>
          <cell r="L31">
            <v>3856.81</v>
          </cell>
          <cell r="P31">
            <v>0</v>
          </cell>
          <cell r="Q31">
            <v>0</v>
          </cell>
          <cell r="R31">
            <v>3763.834421</v>
          </cell>
          <cell r="S31">
            <v>4975.509</v>
          </cell>
          <cell r="T31">
            <v>5004</v>
          </cell>
          <cell r="U31">
            <v>92.975578999999925</v>
          </cell>
        </row>
        <row r="32">
          <cell r="D32" t="str">
            <v>Non -ECA</v>
          </cell>
          <cell r="E32" t="str">
            <v>mt</v>
          </cell>
          <cell r="F32">
            <v>430</v>
          </cell>
          <cell r="G32">
            <v>0</v>
          </cell>
          <cell r="H32">
            <v>2568.39</v>
          </cell>
          <cell r="I32">
            <v>0</v>
          </cell>
          <cell r="J32">
            <v>0</v>
          </cell>
          <cell r="K32">
            <v>0</v>
          </cell>
          <cell r="L32">
            <v>2568.39</v>
          </cell>
          <cell r="R32">
            <v>1453.596393</v>
          </cell>
          <cell r="U32">
            <v>1114.7936069999998</v>
          </cell>
        </row>
        <row r="33">
          <cell r="D33" t="str">
            <v>Ammonia Sharing to Govt.</v>
          </cell>
          <cell r="E33" t="str">
            <v>mt</v>
          </cell>
          <cell r="F33">
            <v>928.57142857142912</v>
          </cell>
          <cell r="G33">
            <v>-37.142857142857167</v>
          </cell>
          <cell r="L33">
            <v>-37.142857142857167</v>
          </cell>
          <cell r="R33">
            <v>-207</v>
          </cell>
          <cell r="U33">
            <v>169.85714285714283</v>
          </cell>
        </row>
        <row r="35">
          <cell r="D35" t="str">
            <v>Trading - contribution /sales</v>
          </cell>
          <cell r="G35">
            <v>0</v>
          </cell>
          <cell r="H35">
            <v>195.3</v>
          </cell>
          <cell r="I35">
            <v>0</v>
          </cell>
          <cell r="J35">
            <v>0</v>
          </cell>
          <cell r="K35">
            <v>0</v>
          </cell>
          <cell r="L35">
            <v>195.3</v>
          </cell>
          <cell r="R35">
            <v>3780.51</v>
          </cell>
          <cell r="U35">
            <v>-3585.21</v>
          </cell>
        </row>
        <row r="36">
          <cell r="C36">
            <v>3</v>
          </cell>
          <cell r="D36" t="str">
            <v>Other income</v>
          </cell>
          <cell r="M36">
            <v>0</v>
          </cell>
          <cell r="N36">
            <v>0</v>
          </cell>
          <cell r="P36">
            <v>0</v>
          </cell>
          <cell r="Q36">
            <v>0</v>
          </cell>
          <cell r="S36">
            <v>764.78163830000005</v>
          </cell>
          <cell r="T36">
            <v>1124.3900000000001</v>
          </cell>
          <cell r="U36">
            <v>0</v>
          </cell>
        </row>
        <row r="37">
          <cell r="D37" t="str">
            <v>Co2</v>
          </cell>
          <cell r="G37">
            <v>48</v>
          </cell>
          <cell r="H37">
            <v>0</v>
          </cell>
          <cell r="I37">
            <v>0</v>
          </cell>
          <cell r="J37">
            <v>0</v>
          </cell>
          <cell r="K37">
            <v>0</v>
          </cell>
          <cell r="L37">
            <v>48</v>
          </cell>
          <cell r="R37">
            <v>10.24</v>
          </cell>
          <cell r="U37">
            <v>37.76</v>
          </cell>
        </row>
        <row r="38">
          <cell r="D38" t="str">
            <v>DM water</v>
          </cell>
          <cell r="G38">
            <v>10</v>
          </cell>
          <cell r="H38">
            <v>0</v>
          </cell>
          <cell r="I38">
            <v>0</v>
          </cell>
          <cell r="J38">
            <v>0</v>
          </cell>
          <cell r="K38">
            <v>0</v>
          </cell>
          <cell r="L38">
            <v>10</v>
          </cell>
          <cell r="R38">
            <v>0</v>
          </cell>
          <cell r="U38">
            <v>10</v>
          </cell>
        </row>
        <row r="39">
          <cell r="D39" t="str">
            <v>Sale of Scrap</v>
          </cell>
          <cell r="G39">
            <v>35</v>
          </cell>
          <cell r="H39">
            <v>0</v>
          </cell>
          <cell r="I39">
            <v>0</v>
          </cell>
          <cell r="J39">
            <v>0</v>
          </cell>
          <cell r="K39">
            <v>0</v>
          </cell>
          <cell r="L39">
            <v>35</v>
          </cell>
          <cell r="R39">
            <v>6.67</v>
          </cell>
          <cell r="U39">
            <v>28.33</v>
          </cell>
        </row>
        <row r="40">
          <cell r="D40" t="str">
            <v>Insurance claims</v>
          </cell>
          <cell r="G40">
            <v>0</v>
          </cell>
          <cell r="H40">
            <v>0</v>
          </cell>
          <cell r="I40">
            <v>0</v>
          </cell>
          <cell r="J40">
            <v>0</v>
          </cell>
          <cell r="K40">
            <v>0</v>
          </cell>
          <cell r="L40">
            <v>0</v>
          </cell>
          <cell r="R40">
            <v>106.48</v>
          </cell>
          <cell r="U40">
            <v>-106.48</v>
          </cell>
        </row>
        <row r="41">
          <cell r="D41" t="str">
            <v>Misc</v>
          </cell>
          <cell r="G41">
            <v>30</v>
          </cell>
          <cell r="H41">
            <v>0</v>
          </cell>
          <cell r="I41">
            <v>0</v>
          </cell>
          <cell r="J41">
            <v>0</v>
          </cell>
          <cell r="K41">
            <v>10</v>
          </cell>
          <cell r="L41">
            <v>40</v>
          </cell>
          <cell r="R41">
            <v>193.23</v>
          </cell>
          <cell r="U41">
            <v>-153.22999999999999</v>
          </cell>
        </row>
        <row r="42">
          <cell r="D42" t="str">
            <v>Interest</v>
          </cell>
          <cell r="E42" t="str">
            <v>mt</v>
          </cell>
          <cell r="F42">
            <v>50</v>
          </cell>
          <cell r="G42">
            <v>0</v>
          </cell>
          <cell r="H42">
            <v>657.30000000000007</v>
          </cell>
          <cell r="I42">
            <v>0</v>
          </cell>
          <cell r="J42">
            <v>0</v>
          </cell>
          <cell r="K42">
            <v>10</v>
          </cell>
          <cell r="L42">
            <v>667.30000000000007</v>
          </cell>
          <cell r="R42">
            <v>1037.92</v>
          </cell>
          <cell r="U42">
            <v>-370.62</v>
          </cell>
        </row>
        <row r="43">
          <cell r="D43" t="str">
            <v>Remission of Liability</v>
          </cell>
          <cell r="G43">
            <v>0</v>
          </cell>
          <cell r="H43">
            <v>0</v>
          </cell>
          <cell r="I43">
            <v>0</v>
          </cell>
          <cell r="J43">
            <v>0</v>
          </cell>
          <cell r="K43">
            <v>1440.42</v>
          </cell>
          <cell r="L43">
            <v>1440.42</v>
          </cell>
          <cell r="R43">
            <v>841.01</v>
          </cell>
          <cell r="U43">
            <v>599.41000000000008</v>
          </cell>
        </row>
        <row r="44">
          <cell r="D44" t="str">
            <v>Profit on sale of investment</v>
          </cell>
          <cell r="G44">
            <v>0</v>
          </cell>
          <cell r="H44">
            <v>0</v>
          </cell>
          <cell r="I44">
            <v>0</v>
          </cell>
          <cell r="J44">
            <v>0</v>
          </cell>
          <cell r="K44">
            <v>0</v>
          </cell>
          <cell r="L44">
            <v>0</v>
          </cell>
          <cell r="R44">
            <v>1250.43</v>
          </cell>
          <cell r="U44">
            <v>-1250.43</v>
          </cell>
        </row>
        <row r="45">
          <cell r="D45" t="str">
            <v>Profit on sale of assets</v>
          </cell>
          <cell r="G45">
            <v>0</v>
          </cell>
          <cell r="H45">
            <v>0</v>
          </cell>
          <cell r="I45">
            <v>0</v>
          </cell>
          <cell r="J45">
            <v>0</v>
          </cell>
          <cell r="K45">
            <v>0</v>
          </cell>
          <cell r="L45">
            <v>0</v>
          </cell>
          <cell r="R45">
            <v>119.11</v>
          </cell>
          <cell r="U45">
            <v>-119.11</v>
          </cell>
        </row>
        <row r="46">
          <cell r="D46" t="str">
            <v>Dividend Income</v>
          </cell>
          <cell r="G46">
            <v>0</v>
          </cell>
          <cell r="H46">
            <v>0</v>
          </cell>
          <cell r="I46">
            <v>0</v>
          </cell>
          <cell r="J46">
            <v>0</v>
          </cell>
          <cell r="K46">
            <v>10</v>
          </cell>
          <cell r="L46">
            <v>10</v>
          </cell>
          <cell r="R46">
            <v>46.58</v>
          </cell>
          <cell r="U46">
            <v>-36.58</v>
          </cell>
        </row>
        <row r="47">
          <cell r="D47" t="str">
            <v>Lease Income</v>
          </cell>
          <cell r="G47">
            <v>0</v>
          </cell>
          <cell r="H47">
            <v>0</v>
          </cell>
          <cell r="I47">
            <v>0</v>
          </cell>
          <cell r="J47">
            <v>0</v>
          </cell>
          <cell r="K47">
            <v>615.53</v>
          </cell>
          <cell r="L47">
            <v>615.53</v>
          </cell>
          <cell r="R47">
            <v>618.46</v>
          </cell>
          <cell r="U47">
            <v>-2.9300000000000637</v>
          </cell>
        </row>
        <row r="49">
          <cell r="C49">
            <v>4</v>
          </cell>
          <cell r="D49" t="str">
            <v xml:space="preserve">Total    </v>
          </cell>
          <cell r="G49">
            <v>47543.387892228573</v>
          </cell>
          <cell r="H49">
            <v>67026.37000000001</v>
          </cell>
          <cell r="I49">
            <v>1839.83</v>
          </cell>
          <cell r="J49">
            <v>0</v>
          </cell>
          <cell r="K49">
            <v>2085.9499999999998</v>
          </cell>
          <cell r="L49">
            <v>118495.53789222857</v>
          </cell>
          <cell r="M49">
            <v>0</v>
          </cell>
          <cell r="N49">
            <v>0</v>
          </cell>
          <cell r="P49">
            <v>0</v>
          </cell>
          <cell r="Q49">
            <v>0</v>
          </cell>
          <cell r="R49">
            <v>111492.21081400001</v>
          </cell>
          <cell r="S49">
            <v>102762.3863841</v>
          </cell>
          <cell r="T49">
            <v>95947.25</v>
          </cell>
          <cell r="U49">
            <v>7003.3270782285681</v>
          </cell>
        </row>
        <row r="51">
          <cell r="C51">
            <v>5</v>
          </cell>
          <cell r="D51" t="str">
            <v>Purchases</v>
          </cell>
          <cell r="I51">
            <v>1437.3</v>
          </cell>
          <cell r="J51">
            <v>0</v>
          </cell>
          <cell r="K51">
            <v>0</v>
          </cell>
          <cell r="L51">
            <v>1437.3</v>
          </cell>
          <cell r="Q51">
            <v>0</v>
          </cell>
          <cell r="R51">
            <v>3056.7</v>
          </cell>
          <cell r="S51">
            <v>12101.3855</v>
          </cell>
          <cell r="T51">
            <v>3392.17</v>
          </cell>
          <cell r="U51">
            <v>1619.3999999999999</v>
          </cell>
        </row>
        <row r="52">
          <cell r="C52">
            <v>6</v>
          </cell>
          <cell r="D52" t="str">
            <v>Raw Material consumed</v>
          </cell>
          <cell r="U52">
            <v>0</v>
          </cell>
        </row>
        <row r="53">
          <cell r="D53" t="str">
            <v>Natural Gas</v>
          </cell>
          <cell r="E53" t="str">
            <v>Gcal</v>
          </cell>
          <cell r="F53">
            <v>407</v>
          </cell>
          <cell r="G53">
            <v>11913.83424</v>
          </cell>
          <cell r="H53">
            <v>0</v>
          </cell>
          <cell r="I53">
            <v>0</v>
          </cell>
          <cell r="J53">
            <v>0</v>
          </cell>
          <cell r="K53">
            <v>0</v>
          </cell>
          <cell r="L53">
            <v>11913.83424</v>
          </cell>
          <cell r="M53">
            <v>12221.28</v>
          </cell>
          <cell r="Q53">
            <v>12221.28</v>
          </cell>
          <cell r="R53">
            <v>14552.23</v>
          </cell>
          <cell r="S53">
            <v>13603.202089037788</v>
          </cell>
          <cell r="T53">
            <v>14270.12</v>
          </cell>
          <cell r="U53">
            <v>2638.3957599999994</v>
          </cell>
        </row>
        <row r="54">
          <cell r="D54" t="str">
            <v>Naphtha</v>
          </cell>
          <cell r="E54" t="str">
            <v>Gcal</v>
          </cell>
          <cell r="F54">
            <v>1571.4285714285713</v>
          </cell>
          <cell r="G54">
            <v>19038.272000000001</v>
          </cell>
          <cell r="H54">
            <v>0</v>
          </cell>
          <cell r="I54">
            <v>0</v>
          </cell>
          <cell r="J54">
            <v>0</v>
          </cell>
          <cell r="K54">
            <v>0</v>
          </cell>
          <cell r="L54">
            <v>19038.272000000001</v>
          </cell>
          <cell r="M54">
            <v>10197.700000000001</v>
          </cell>
          <cell r="Q54">
            <v>10197.700000000001</v>
          </cell>
          <cell r="R54">
            <v>5761.21</v>
          </cell>
          <cell r="S54">
            <v>6412.3073635009969</v>
          </cell>
          <cell r="T54">
            <v>6644.63</v>
          </cell>
          <cell r="U54">
            <v>-13277.062000000002</v>
          </cell>
        </row>
        <row r="55">
          <cell r="D55" t="str">
            <v>LSHS</v>
          </cell>
          <cell r="E55" t="str">
            <v>Gcal</v>
          </cell>
          <cell r="F55">
            <v>1395.8333333333335</v>
          </cell>
          <cell r="G55">
            <v>1639.6240000000007</v>
          </cell>
          <cell r="H55">
            <v>0</v>
          </cell>
          <cell r="I55">
            <v>0</v>
          </cell>
          <cell r="J55">
            <v>0</v>
          </cell>
          <cell r="K55">
            <v>0</v>
          </cell>
          <cell r="L55">
            <v>1639.6240000000007</v>
          </cell>
          <cell r="U55">
            <v>-1639.6240000000007</v>
          </cell>
        </row>
        <row r="56">
          <cell r="D56" t="str">
            <v>NG Transportation</v>
          </cell>
          <cell r="G56">
            <v>2504.6485279393542</v>
          </cell>
          <cell r="H56">
            <v>0</v>
          </cell>
          <cell r="I56">
            <v>0</v>
          </cell>
          <cell r="J56">
            <v>0</v>
          </cell>
          <cell r="K56">
            <v>0</v>
          </cell>
          <cell r="L56">
            <v>2504.6485279393542</v>
          </cell>
          <cell r="M56">
            <v>2204.0100000000002</v>
          </cell>
          <cell r="Q56">
            <v>2204.0100000000002</v>
          </cell>
          <cell r="R56">
            <v>2566.69</v>
          </cell>
          <cell r="S56">
            <v>2288.1098725898783</v>
          </cell>
          <cell r="T56">
            <v>2399.71</v>
          </cell>
          <cell r="U56">
            <v>62.041472060645901</v>
          </cell>
        </row>
        <row r="57">
          <cell r="D57" t="str">
            <v>Gas compression charges</v>
          </cell>
          <cell r="G57">
            <v>224.00000000000003</v>
          </cell>
          <cell r="H57">
            <v>0</v>
          </cell>
          <cell r="I57">
            <v>0</v>
          </cell>
          <cell r="J57">
            <v>0</v>
          </cell>
          <cell r="K57">
            <v>0</v>
          </cell>
          <cell r="L57">
            <v>224.00000000000003</v>
          </cell>
          <cell r="R57">
            <v>0</v>
          </cell>
          <cell r="U57">
            <v>-224.00000000000003</v>
          </cell>
        </row>
        <row r="58">
          <cell r="D58" t="str">
            <v>Raw Water</v>
          </cell>
          <cell r="G58">
            <v>250.48</v>
          </cell>
          <cell r="H58">
            <v>0</v>
          </cell>
          <cell r="I58">
            <v>0</v>
          </cell>
          <cell r="J58">
            <v>0</v>
          </cell>
          <cell r="K58">
            <v>0</v>
          </cell>
          <cell r="L58">
            <v>250.48</v>
          </cell>
          <cell r="M58">
            <v>250.48</v>
          </cell>
          <cell r="Q58">
            <v>250.48</v>
          </cell>
          <cell r="R58">
            <v>254.64</v>
          </cell>
          <cell r="S58">
            <v>257.63776574400009</v>
          </cell>
          <cell r="T58">
            <v>256.61</v>
          </cell>
          <cell r="U58">
            <v>4.1599999999999966</v>
          </cell>
        </row>
        <row r="59">
          <cell r="D59" t="str">
            <v>Total</v>
          </cell>
          <cell r="G59">
            <v>35570.85876793936</v>
          </cell>
          <cell r="H59">
            <v>0</v>
          </cell>
          <cell r="I59">
            <v>0</v>
          </cell>
          <cell r="J59">
            <v>0</v>
          </cell>
          <cell r="K59">
            <v>0</v>
          </cell>
          <cell r="L59">
            <v>35570.85876793936</v>
          </cell>
          <cell r="M59">
            <v>24873.470000000005</v>
          </cell>
          <cell r="N59">
            <v>0</v>
          </cell>
          <cell r="P59">
            <v>0</v>
          </cell>
          <cell r="Q59">
            <v>24873.470000000005</v>
          </cell>
          <cell r="R59">
            <v>23134.769999999997</v>
          </cell>
          <cell r="S59">
            <v>22561.257090872659</v>
          </cell>
          <cell r="T59">
            <v>23571.07</v>
          </cell>
          <cell r="U59">
            <v>-12436.088767939356</v>
          </cell>
        </row>
        <row r="60">
          <cell r="C60">
            <v>7</v>
          </cell>
          <cell r="D60" t="str">
            <v>Power &amp; Fuel</v>
          </cell>
          <cell r="U60">
            <v>0</v>
          </cell>
        </row>
        <row r="61">
          <cell r="D61" t="str">
            <v>Natural Gas</v>
          </cell>
          <cell r="E61" t="str">
            <v>Gcal</v>
          </cell>
          <cell r="F61">
            <v>407</v>
          </cell>
          <cell r="G61">
            <v>9360.8697599999996</v>
          </cell>
          <cell r="H61">
            <v>0</v>
          </cell>
          <cell r="I61">
            <v>0</v>
          </cell>
          <cell r="J61">
            <v>0</v>
          </cell>
          <cell r="K61">
            <v>0</v>
          </cell>
          <cell r="L61">
            <v>9360.8697599999996</v>
          </cell>
          <cell r="M61">
            <v>12570.76</v>
          </cell>
          <cell r="Q61">
            <v>12570.76</v>
          </cell>
          <cell r="R61">
            <v>10208.720000000001</v>
          </cell>
          <cell r="S61">
            <v>12236.123964391965</v>
          </cell>
          <cell r="T61">
            <v>9897.2199999999993</v>
          </cell>
          <cell r="U61">
            <v>847.85024000000158</v>
          </cell>
        </row>
        <row r="62">
          <cell r="D62" t="str">
            <v>Naphtha</v>
          </cell>
          <cell r="E62" t="str">
            <v>Gcal</v>
          </cell>
          <cell r="F62">
            <v>1571.4285714285713</v>
          </cell>
          <cell r="G62">
            <v>14958.642285714286</v>
          </cell>
          <cell r="H62">
            <v>0</v>
          </cell>
          <cell r="I62">
            <v>0</v>
          </cell>
          <cell r="J62">
            <v>0</v>
          </cell>
          <cell r="K62">
            <v>0</v>
          </cell>
          <cell r="L62">
            <v>14958.642285714286</v>
          </cell>
          <cell r="M62">
            <v>0</v>
          </cell>
          <cell r="Q62">
            <v>0</v>
          </cell>
          <cell r="R62">
            <v>6141.95</v>
          </cell>
          <cell r="S62">
            <v>0</v>
          </cell>
          <cell r="T62">
            <v>6174.1</v>
          </cell>
          <cell r="U62">
            <v>-8816.6922857142854</v>
          </cell>
        </row>
        <row r="63">
          <cell r="D63" t="str">
            <v>LSHS</v>
          </cell>
          <cell r="E63" t="str">
            <v>Gcal</v>
          </cell>
          <cell r="F63">
            <v>1395.8333333333335</v>
          </cell>
          <cell r="G63">
            <v>1288.2760000000003</v>
          </cell>
          <cell r="H63">
            <v>0</v>
          </cell>
          <cell r="I63">
            <v>0</v>
          </cell>
          <cell r="J63">
            <v>0</v>
          </cell>
          <cell r="K63">
            <v>0</v>
          </cell>
          <cell r="L63">
            <v>1288.2760000000003</v>
          </cell>
          <cell r="U63">
            <v>-1288.2760000000003</v>
          </cell>
        </row>
        <row r="64">
          <cell r="D64" t="str">
            <v>NG Transportation</v>
          </cell>
          <cell r="G64">
            <v>1967.9381290952067</v>
          </cell>
          <cell r="H64">
            <v>0</v>
          </cell>
          <cell r="I64">
            <v>0</v>
          </cell>
          <cell r="J64">
            <v>0</v>
          </cell>
          <cell r="K64">
            <v>0</v>
          </cell>
          <cell r="L64">
            <v>1967.9381290952067</v>
          </cell>
          <cell r="M64">
            <v>2268.58</v>
          </cell>
          <cell r="Q64">
            <v>2268.58</v>
          </cell>
          <cell r="R64">
            <v>1820.15</v>
          </cell>
          <cell r="S64">
            <v>2061.9879412101232</v>
          </cell>
          <cell r="T64">
            <v>1673.42</v>
          </cell>
          <cell r="U64">
            <v>-147.78812909520661</v>
          </cell>
        </row>
        <row r="65">
          <cell r="D65" t="str">
            <v>Gas compression charges</v>
          </cell>
          <cell r="G65">
            <v>176</v>
          </cell>
          <cell r="H65">
            <v>0</v>
          </cell>
          <cell r="I65">
            <v>0</v>
          </cell>
          <cell r="J65">
            <v>0</v>
          </cell>
          <cell r="K65">
            <v>0</v>
          </cell>
          <cell r="L65">
            <v>176</v>
          </cell>
          <cell r="R65">
            <v>0</v>
          </cell>
          <cell r="U65">
            <v>-176</v>
          </cell>
        </row>
        <row r="66">
          <cell r="D66" t="str">
            <v>Purchased Power</v>
          </cell>
          <cell r="G66">
            <v>217.35000000000002</v>
          </cell>
          <cell r="H66">
            <v>0</v>
          </cell>
          <cell r="I66">
            <v>0</v>
          </cell>
          <cell r="J66">
            <v>0</v>
          </cell>
          <cell r="K66">
            <v>0</v>
          </cell>
          <cell r="L66">
            <v>217.35000000000002</v>
          </cell>
          <cell r="M66">
            <v>687.35</v>
          </cell>
          <cell r="Q66">
            <v>687.35</v>
          </cell>
          <cell r="R66">
            <v>541.98</v>
          </cell>
          <cell r="S66">
            <v>227.04240000000004</v>
          </cell>
          <cell r="T66">
            <v>227.29</v>
          </cell>
          <cell r="U66">
            <v>324.63</v>
          </cell>
        </row>
        <row r="67">
          <cell r="D67" t="str">
            <v>Total</v>
          </cell>
          <cell r="G67">
            <v>27969.076174809492</v>
          </cell>
          <cell r="H67">
            <v>0</v>
          </cell>
          <cell r="I67">
            <v>0</v>
          </cell>
          <cell r="J67">
            <v>0</v>
          </cell>
          <cell r="K67">
            <v>0</v>
          </cell>
          <cell r="L67">
            <v>27969.076174809492</v>
          </cell>
          <cell r="M67">
            <v>15526.69</v>
          </cell>
          <cell r="N67">
            <v>0</v>
          </cell>
          <cell r="P67">
            <v>0</v>
          </cell>
          <cell r="Q67">
            <v>15526.69</v>
          </cell>
          <cell r="R67">
            <v>18712.800000000003</v>
          </cell>
          <cell r="S67">
            <v>14525.154305602089</v>
          </cell>
          <cell r="T67">
            <v>17972.03</v>
          </cell>
          <cell r="U67">
            <v>-9256.2761748094908</v>
          </cell>
        </row>
        <row r="68">
          <cell r="C68">
            <v>8</v>
          </cell>
          <cell r="D68" t="str">
            <v>Catalyst charge</v>
          </cell>
          <cell r="G68">
            <v>1031</v>
          </cell>
          <cell r="H68">
            <v>0</v>
          </cell>
          <cell r="I68">
            <v>0</v>
          </cell>
          <cell r="J68">
            <v>0</v>
          </cell>
          <cell r="K68">
            <v>0</v>
          </cell>
          <cell r="L68">
            <v>1031</v>
          </cell>
          <cell r="M68">
            <v>309.11</v>
          </cell>
          <cell r="Q68">
            <v>309.11</v>
          </cell>
          <cell r="R68">
            <v>67.31</v>
          </cell>
          <cell r="S68">
            <v>13.690249999999995</v>
          </cell>
          <cell r="T68">
            <v>24.11</v>
          </cell>
          <cell r="U68">
            <v>-963.69</v>
          </cell>
        </row>
        <row r="69">
          <cell r="C69">
            <v>9</v>
          </cell>
          <cell r="D69" t="str">
            <v>Chemicals &amp; Consumables</v>
          </cell>
          <cell r="G69">
            <v>410</v>
          </cell>
          <cell r="H69">
            <v>0</v>
          </cell>
          <cell r="I69">
            <v>0</v>
          </cell>
          <cell r="J69">
            <v>0</v>
          </cell>
          <cell r="K69">
            <v>0</v>
          </cell>
          <cell r="L69">
            <v>410</v>
          </cell>
          <cell r="M69">
            <v>379.66</v>
          </cell>
          <cell r="Q69">
            <v>379.66</v>
          </cell>
          <cell r="R69">
            <v>357.85</v>
          </cell>
          <cell r="S69">
            <v>424.10570065913049</v>
          </cell>
          <cell r="T69">
            <v>346.39</v>
          </cell>
          <cell r="U69">
            <v>-52.149999999999977</v>
          </cell>
        </row>
        <row r="70">
          <cell r="C70">
            <v>10</v>
          </cell>
          <cell r="D70" t="str">
            <v>Salaries, Wages &amp; Benefits</v>
          </cell>
          <cell r="U70">
            <v>0</v>
          </cell>
        </row>
        <row r="71">
          <cell r="D71" t="str">
            <v>Salaries</v>
          </cell>
          <cell r="G71">
            <v>1429.01</v>
          </cell>
          <cell r="H71">
            <v>488</v>
          </cell>
          <cell r="I71">
            <v>86.18</v>
          </cell>
          <cell r="J71">
            <v>193.77</v>
          </cell>
          <cell r="K71">
            <v>453.25000000000006</v>
          </cell>
          <cell r="L71">
            <v>2650.21</v>
          </cell>
          <cell r="M71">
            <v>0</v>
          </cell>
          <cell r="N71">
            <v>0</v>
          </cell>
          <cell r="P71">
            <v>0</v>
          </cell>
          <cell r="Q71">
            <v>0</v>
          </cell>
          <cell r="R71">
            <v>2308.7199999999998</v>
          </cell>
          <cell r="S71">
            <v>2573.0968084000001</v>
          </cell>
          <cell r="T71">
            <v>2402.9299999999998</v>
          </cell>
          <cell r="U71">
            <v>-341.49000000000024</v>
          </cell>
        </row>
        <row r="72">
          <cell r="D72" t="str">
            <v>Contract Wages</v>
          </cell>
          <cell r="G72">
            <v>140.81704353224455</v>
          </cell>
          <cell r="H72">
            <v>0</v>
          </cell>
          <cell r="I72">
            <v>0</v>
          </cell>
          <cell r="J72">
            <v>0</v>
          </cell>
          <cell r="K72">
            <v>0</v>
          </cell>
          <cell r="L72">
            <v>140.81704353224455</v>
          </cell>
          <cell r="R72">
            <v>126.89</v>
          </cell>
          <cell r="U72">
            <v>-13.927043532244554</v>
          </cell>
        </row>
        <row r="73">
          <cell r="D73" t="str">
            <v>Contribution to Provident &amp; Other Funds</v>
          </cell>
          <cell r="G73">
            <v>128.13999999999999</v>
          </cell>
          <cell r="H73">
            <v>53.96</v>
          </cell>
          <cell r="I73">
            <v>7.4599999999999991</v>
          </cell>
          <cell r="J73">
            <v>25.46</v>
          </cell>
          <cell r="K73">
            <v>34.869999999999997</v>
          </cell>
          <cell r="L73">
            <v>249.89000000000001</v>
          </cell>
          <cell r="M73">
            <v>0</v>
          </cell>
          <cell r="N73">
            <v>0</v>
          </cell>
          <cell r="P73">
            <v>0</v>
          </cell>
          <cell r="Q73">
            <v>0</v>
          </cell>
          <cell r="R73">
            <v>178.59</v>
          </cell>
          <cell r="S73">
            <v>310.35319412799998</v>
          </cell>
          <cell r="T73">
            <v>294.39</v>
          </cell>
          <cell r="U73">
            <v>-71.300000000000011</v>
          </cell>
        </row>
        <row r="74">
          <cell r="D74" t="str">
            <v>Staff Welfare Expenses</v>
          </cell>
          <cell r="G74">
            <v>147.91</v>
          </cell>
          <cell r="H74">
            <v>33.1</v>
          </cell>
          <cell r="I74">
            <v>2.2600000000000002</v>
          </cell>
          <cell r="J74">
            <v>2.15</v>
          </cell>
          <cell r="K74">
            <v>12.089999999999996</v>
          </cell>
          <cell r="L74">
            <v>197.51</v>
          </cell>
          <cell r="M74">
            <v>0</v>
          </cell>
          <cell r="N74">
            <v>0</v>
          </cell>
          <cell r="P74">
            <v>0</v>
          </cell>
          <cell r="Q74">
            <v>0</v>
          </cell>
          <cell r="R74">
            <v>361.87</v>
          </cell>
          <cell r="S74">
            <v>459.31471999999997</v>
          </cell>
          <cell r="T74">
            <v>341.72</v>
          </cell>
          <cell r="U74">
            <v>164.36</v>
          </cell>
        </row>
        <row r="75">
          <cell r="D75" t="str">
            <v>Total</v>
          </cell>
          <cell r="G75">
            <v>1845.8770435322447</v>
          </cell>
          <cell r="H75">
            <v>575.06000000000006</v>
          </cell>
          <cell r="I75">
            <v>95.9</v>
          </cell>
          <cell r="J75">
            <v>221.38000000000002</v>
          </cell>
          <cell r="K75">
            <v>500.21000000000004</v>
          </cell>
          <cell r="L75">
            <v>3238.4270435322442</v>
          </cell>
          <cell r="M75">
            <v>0</v>
          </cell>
          <cell r="N75">
            <v>0</v>
          </cell>
          <cell r="P75">
            <v>0</v>
          </cell>
          <cell r="Q75">
            <v>0</v>
          </cell>
          <cell r="R75">
            <v>2976.0699999999997</v>
          </cell>
          <cell r="S75">
            <v>3342.7647225279998</v>
          </cell>
          <cell r="T75">
            <v>3039.04</v>
          </cell>
          <cell r="U75">
            <v>-262.3570435322448</v>
          </cell>
        </row>
        <row r="76">
          <cell r="C76">
            <v>11</v>
          </cell>
          <cell r="D76" t="str">
            <v>(Increase) / Decrease in Stock</v>
          </cell>
          <cell r="F76">
            <v>4595</v>
          </cell>
          <cell r="H76">
            <v>-477.87999999999636</v>
          </cell>
          <cell r="I76">
            <v>-109.49</v>
          </cell>
          <cell r="J76">
            <v>0</v>
          </cell>
          <cell r="K76">
            <v>0</v>
          </cell>
          <cell r="L76">
            <v>-587.36999999999637</v>
          </cell>
          <cell r="M76">
            <v>0</v>
          </cell>
          <cell r="N76">
            <v>0</v>
          </cell>
          <cell r="Q76">
            <v>0</v>
          </cell>
          <cell r="R76">
            <v>11769.2</v>
          </cell>
          <cell r="S76">
            <v>352.21739050875408</v>
          </cell>
          <cell r="T76">
            <v>-2278.29</v>
          </cell>
          <cell r="U76">
            <v>12356.569999999998</v>
          </cell>
        </row>
        <row r="77">
          <cell r="C77">
            <v>12</v>
          </cell>
          <cell r="D77" t="str">
            <v>Packing Materials consumed</v>
          </cell>
          <cell r="E77" t="str">
            <v>mt</v>
          </cell>
          <cell r="F77">
            <v>240.60000000000002</v>
          </cell>
          <cell r="G77">
            <v>3187.9500000000003</v>
          </cell>
          <cell r="I77">
            <v>37.82</v>
          </cell>
          <cell r="L77">
            <v>3225.7700000000004</v>
          </cell>
          <cell r="M77">
            <v>2617.73</v>
          </cell>
          <cell r="Q77">
            <v>2617.73</v>
          </cell>
          <cell r="R77">
            <v>2689.36</v>
          </cell>
          <cell r="S77">
            <v>2901.3938600000001</v>
          </cell>
          <cell r="T77">
            <v>2651.92</v>
          </cell>
          <cell r="U77">
            <v>-536.41000000000031</v>
          </cell>
        </row>
        <row r="78">
          <cell r="C78">
            <v>13</v>
          </cell>
          <cell r="D78" t="str">
            <v>Transport and Handling Charges</v>
          </cell>
          <cell r="L78">
            <v>0</v>
          </cell>
          <cell r="M78">
            <v>8</v>
          </cell>
          <cell r="N78">
            <v>0</v>
          </cell>
          <cell r="Q78">
            <v>8</v>
          </cell>
          <cell r="R78">
            <v>0</v>
          </cell>
          <cell r="S78">
            <v>7468.4470042499988</v>
          </cell>
          <cell r="T78">
            <v>7514.81</v>
          </cell>
        </row>
        <row r="79">
          <cell r="D79" t="str">
            <v>Primary tpt</v>
          </cell>
          <cell r="E79" t="str">
            <v>mt</v>
          </cell>
          <cell r="F79">
            <v>348</v>
          </cell>
          <cell r="H79">
            <v>4611</v>
          </cell>
          <cell r="I79">
            <v>33.33</v>
          </cell>
          <cell r="J79">
            <v>0</v>
          </cell>
          <cell r="K79">
            <v>0</v>
          </cell>
          <cell r="L79">
            <v>4644.33</v>
          </cell>
          <cell r="R79">
            <v>4550.63</v>
          </cell>
          <cell r="U79">
            <v>-93.699999999999818</v>
          </cell>
        </row>
        <row r="80">
          <cell r="D80" t="str">
            <v>Secondary tpt (on sale)</v>
          </cell>
          <cell r="E80" t="str">
            <v>mt</v>
          </cell>
          <cell r="F80">
            <v>150</v>
          </cell>
          <cell r="H80">
            <v>1971.9</v>
          </cell>
          <cell r="I80">
            <v>40.36</v>
          </cell>
          <cell r="J80">
            <v>0</v>
          </cell>
          <cell r="K80">
            <v>0</v>
          </cell>
          <cell r="L80">
            <v>2012.26</v>
          </cell>
          <cell r="R80">
            <v>3064</v>
          </cell>
          <cell r="U80">
            <v>1051.74</v>
          </cell>
        </row>
        <row r="81">
          <cell r="D81" t="str">
            <v>Handling</v>
          </cell>
          <cell r="E81" t="str">
            <v>mt</v>
          </cell>
          <cell r="F81">
            <v>63</v>
          </cell>
          <cell r="G81">
            <v>8</v>
          </cell>
          <cell r="H81">
            <v>834.75</v>
          </cell>
          <cell r="I81">
            <v>0</v>
          </cell>
          <cell r="J81">
            <v>0</v>
          </cell>
          <cell r="K81">
            <v>0</v>
          </cell>
          <cell r="L81">
            <v>842.75</v>
          </cell>
          <cell r="R81">
            <v>751.7</v>
          </cell>
          <cell r="U81">
            <v>-91.049999999999955</v>
          </cell>
        </row>
        <row r="82">
          <cell r="C82">
            <v>14</v>
          </cell>
          <cell r="D82" t="str">
            <v>Distribution Expenses</v>
          </cell>
          <cell r="E82" t="str">
            <v>mt</v>
          </cell>
          <cell r="F82">
            <v>27</v>
          </cell>
          <cell r="H82">
            <v>357.75</v>
          </cell>
          <cell r="I82">
            <v>7.69</v>
          </cell>
          <cell r="J82">
            <v>0</v>
          </cell>
          <cell r="K82">
            <v>0</v>
          </cell>
          <cell r="L82">
            <v>365.44</v>
          </cell>
          <cell r="M82">
            <v>0</v>
          </cell>
          <cell r="N82">
            <v>0</v>
          </cell>
          <cell r="Q82">
            <v>0</v>
          </cell>
          <cell r="R82">
            <v>754.64</v>
          </cell>
          <cell r="S82">
            <v>653.46</v>
          </cell>
          <cell r="T82">
            <v>825.86</v>
          </cell>
          <cell r="U82">
            <v>389.2</v>
          </cell>
        </row>
        <row r="83">
          <cell r="C83">
            <v>15</v>
          </cell>
          <cell r="D83" t="str">
            <v>Other Expenses</v>
          </cell>
        </row>
        <row r="84">
          <cell r="D84" t="str">
            <v>Rent</v>
          </cell>
          <cell r="G84">
            <v>3</v>
          </cell>
          <cell r="H84">
            <v>19</v>
          </cell>
          <cell r="I84">
            <v>9.7200000000000006</v>
          </cell>
          <cell r="J84">
            <v>0</v>
          </cell>
          <cell r="K84">
            <v>57.4</v>
          </cell>
          <cell r="L84">
            <v>89.12</v>
          </cell>
          <cell r="M84">
            <v>2.34</v>
          </cell>
          <cell r="N84">
            <v>0</v>
          </cell>
          <cell r="P84">
            <v>0</v>
          </cell>
          <cell r="Q84">
            <v>2.34</v>
          </cell>
          <cell r="R84">
            <v>94.54</v>
          </cell>
          <cell r="S84">
            <v>98.726300000000009</v>
          </cell>
          <cell r="T84">
            <v>97.59</v>
          </cell>
          <cell r="U84">
            <v>5.4200000000000017</v>
          </cell>
        </row>
        <row r="85">
          <cell r="D85" t="str">
            <v>Rates and Taxes</v>
          </cell>
          <cell r="G85">
            <v>33</v>
          </cell>
          <cell r="H85">
            <v>2</v>
          </cell>
          <cell r="I85">
            <v>0</v>
          </cell>
          <cell r="J85">
            <v>0.6</v>
          </cell>
          <cell r="K85">
            <v>13.4</v>
          </cell>
          <cell r="L85">
            <v>49</v>
          </cell>
          <cell r="M85">
            <v>34.79</v>
          </cell>
          <cell r="P85">
            <v>0</v>
          </cell>
          <cell r="Q85">
            <v>34.79</v>
          </cell>
          <cell r="R85">
            <v>63.550000000000004</v>
          </cell>
          <cell r="S85">
            <v>45.5212</v>
          </cell>
          <cell r="T85">
            <v>71.95</v>
          </cell>
          <cell r="U85">
            <v>14.550000000000004</v>
          </cell>
        </row>
        <row r="86">
          <cell r="D86" t="str">
            <v>Electricity and Water Charges</v>
          </cell>
          <cell r="G86">
            <v>0</v>
          </cell>
          <cell r="H86">
            <v>0</v>
          </cell>
          <cell r="I86">
            <v>0</v>
          </cell>
          <cell r="J86">
            <v>0</v>
          </cell>
          <cell r="K86">
            <v>38.799999999999997</v>
          </cell>
          <cell r="L86">
            <v>38.799999999999997</v>
          </cell>
          <cell r="M86">
            <v>0</v>
          </cell>
          <cell r="P86">
            <v>0</v>
          </cell>
          <cell r="Q86">
            <v>0</v>
          </cell>
          <cell r="R86">
            <v>53.06</v>
          </cell>
          <cell r="S86">
            <v>45.491</v>
          </cell>
          <cell r="T86">
            <v>55</v>
          </cell>
          <cell r="U86">
            <v>14.260000000000005</v>
          </cell>
        </row>
        <row r="87">
          <cell r="D87" t="str">
            <v xml:space="preserve">Stores and Spares </v>
          </cell>
          <cell r="G87">
            <v>250</v>
          </cell>
          <cell r="H87">
            <v>0</v>
          </cell>
          <cell r="I87">
            <v>0</v>
          </cell>
          <cell r="J87">
            <v>0</v>
          </cell>
          <cell r="K87">
            <v>0</v>
          </cell>
          <cell r="L87">
            <v>250</v>
          </cell>
          <cell r="M87">
            <v>482.38</v>
          </cell>
          <cell r="Q87">
            <v>482.38</v>
          </cell>
          <cell r="R87">
            <v>301.57</v>
          </cell>
          <cell r="S87">
            <v>336.21</v>
          </cell>
          <cell r="T87">
            <v>210.01</v>
          </cell>
          <cell r="U87">
            <v>51.569999999999993</v>
          </cell>
        </row>
        <row r="88">
          <cell r="C88" t="str">
            <v/>
          </cell>
          <cell r="D88" t="str">
            <v>Repairs and Maintenance</v>
          </cell>
        </row>
        <row r="89">
          <cell r="D89" t="str">
            <v xml:space="preserve">     Buildings</v>
          </cell>
          <cell r="G89">
            <v>36.25</v>
          </cell>
          <cell r="H89">
            <v>0</v>
          </cell>
          <cell r="I89">
            <v>0</v>
          </cell>
          <cell r="J89">
            <v>0</v>
          </cell>
          <cell r="K89">
            <v>0</v>
          </cell>
          <cell r="L89">
            <v>36.25</v>
          </cell>
          <cell r="M89">
            <v>0</v>
          </cell>
          <cell r="Q89">
            <v>0</v>
          </cell>
          <cell r="R89">
            <v>21.06</v>
          </cell>
          <cell r="S89">
            <v>60.11</v>
          </cell>
          <cell r="T89">
            <v>19.399999999999999</v>
          </cell>
          <cell r="U89">
            <v>-15.190000000000001</v>
          </cell>
        </row>
        <row r="90">
          <cell r="D90" t="str">
            <v xml:space="preserve">     Plant &amp; Machinery</v>
          </cell>
          <cell r="G90">
            <v>416.68</v>
          </cell>
          <cell r="H90">
            <v>0</v>
          </cell>
          <cell r="I90">
            <v>0</v>
          </cell>
          <cell r="J90">
            <v>0</v>
          </cell>
          <cell r="K90">
            <v>0</v>
          </cell>
          <cell r="L90">
            <v>416.68</v>
          </cell>
          <cell r="M90">
            <v>60.17</v>
          </cell>
          <cell r="Q90">
            <v>60.17</v>
          </cell>
          <cell r="R90">
            <v>351.6</v>
          </cell>
          <cell r="S90">
            <v>259.41000000000003</v>
          </cell>
          <cell r="T90">
            <v>204.39</v>
          </cell>
          <cell r="U90">
            <v>-65.079999999999984</v>
          </cell>
        </row>
        <row r="91">
          <cell r="D91" t="str">
            <v xml:space="preserve">     Others</v>
          </cell>
          <cell r="G91">
            <v>102.07</v>
          </cell>
          <cell r="H91">
            <v>10.3</v>
          </cell>
          <cell r="I91">
            <v>0.05</v>
          </cell>
          <cell r="J91">
            <v>1.96</v>
          </cell>
          <cell r="K91">
            <v>83.01</v>
          </cell>
          <cell r="L91">
            <v>197.39</v>
          </cell>
          <cell r="M91">
            <v>504.84</v>
          </cell>
          <cell r="N91">
            <v>0</v>
          </cell>
          <cell r="P91">
            <v>0</v>
          </cell>
          <cell r="Q91">
            <v>504.84</v>
          </cell>
          <cell r="R91">
            <v>187.16</v>
          </cell>
          <cell r="S91">
            <v>269.70499999999998</v>
          </cell>
          <cell r="T91">
            <v>186.72</v>
          </cell>
          <cell r="U91">
            <v>-10.22999999999999</v>
          </cell>
        </row>
        <row r="92">
          <cell r="G92">
            <v>555</v>
          </cell>
          <cell r="H92">
            <v>10.3</v>
          </cell>
          <cell r="I92">
            <v>0.05</v>
          </cell>
          <cell r="J92">
            <v>1.96</v>
          </cell>
          <cell r="K92">
            <v>83.01</v>
          </cell>
          <cell r="L92">
            <v>650.31999999999994</v>
          </cell>
          <cell r="M92">
            <v>565.01</v>
          </cell>
          <cell r="N92">
            <v>0</v>
          </cell>
          <cell r="P92">
            <v>0</v>
          </cell>
          <cell r="Q92">
            <v>565.01</v>
          </cell>
          <cell r="R92">
            <v>559.82000000000005</v>
          </cell>
          <cell r="S92">
            <v>589.22500000000002</v>
          </cell>
          <cell r="T92">
            <v>410.51</v>
          </cell>
          <cell r="U92">
            <v>-90.499999999999972</v>
          </cell>
        </row>
        <row r="93">
          <cell r="D93" t="str">
            <v>Insurance</v>
          </cell>
          <cell r="G93">
            <v>613</v>
          </cell>
          <cell r="H93">
            <v>50</v>
          </cell>
          <cell r="I93">
            <v>0</v>
          </cell>
          <cell r="J93">
            <v>0.28999999999999998</v>
          </cell>
          <cell r="K93">
            <v>40.97</v>
          </cell>
          <cell r="L93">
            <v>704.26</v>
          </cell>
          <cell r="M93">
            <v>0</v>
          </cell>
          <cell r="N93">
            <v>0</v>
          </cell>
          <cell r="P93">
            <v>0</v>
          </cell>
          <cell r="Q93">
            <v>0</v>
          </cell>
          <cell r="R93">
            <v>602.03000000000009</v>
          </cell>
          <cell r="S93">
            <v>590.10863071141546</v>
          </cell>
          <cell r="T93">
            <v>479.12</v>
          </cell>
          <cell r="U93">
            <v>-102.2299999999999</v>
          </cell>
        </row>
        <row r="94">
          <cell r="D94" t="str">
            <v>Printing &amp; Stationery</v>
          </cell>
          <cell r="G94">
            <v>9</v>
          </cell>
          <cell r="H94">
            <v>10.199999999999999</v>
          </cell>
          <cell r="I94">
            <v>0.1</v>
          </cell>
          <cell r="J94">
            <v>2.96</v>
          </cell>
          <cell r="K94">
            <v>33.750000000000007</v>
          </cell>
          <cell r="L94">
            <v>56.010000000000005</v>
          </cell>
          <cell r="M94">
            <v>8.19</v>
          </cell>
          <cell r="N94">
            <v>0</v>
          </cell>
          <cell r="P94">
            <v>0</v>
          </cell>
          <cell r="Q94">
            <v>8.19</v>
          </cell>
          <cell r="R94">
            <v>46.25</v>
          </cell>
          <cell r="S94">
            <v>86.933799999999991</v>
          </cell>
          <cell r="T94">
            <v>51.97</v>
          </cell>
          <cell r="U94">
            <v>-9.7600000000000051</v>
          </cell>
        </row>
        <row r="95">
          <cell r="D95" t="str">
            <v>Postage, Telephone and Telex</v>
          </cell>
          <cell r="G95">
            <v>20.293535205000001</v>
          </cell>
          <cell r="H95">
            <v>45.6</v>
          </cell>
          <cell r="I95">
            <v>10.48</v>
          </cell>
          <cell r="J95">
            <v>15.8</v>
          </cell>
          <cell r="K95">
            <v>79.970000000000013</v>
          </cell>
          <cell r="L95">
            <v>172.14353520500003</v>
          </cell>
          <cell r="M95">
            <v>19.07</v>
          </cell>
          <cell r="N95">
            <v>0</v>
          </cell>
          <cell r="P95">
            <v>0</v>
          </cell>
          <cell r="Q95">
            <v>19.07</v>
          </cell>
          <cell r="R95">
            <v>158.12</v>
          </cell>
          <cell r="S95">
            <v>170.5676</v>
          </cell>
          <cell r="T95">
            <v>153.28</v>
          </cell>
          <cell r="U95">
            <v>-14.02353520500003</v>
          </cell>
        </row>
        <row r="96">
          <cell r="D96" t="str">
            <v>Travelling and Conveyance</v>
          </cell>
          <cell r="G96">
            <v>52</v>
          </cell>
          <cell r="H96">
            <v>153.30000000000001</v>
          </cell>
          <cell r="I96">
            <v>49.7</v>
          </cell>
          <cell r="J96">
            <v>99</v>
          </cell>
          <cell r="K96">
            <v>45.47</v>
          </cell>
          <cell r="L96">
            <v>399.47</v>
          </cell>
          <cell r="M96">
            <v>60.17</v>
          </cell>
          <cell r="N96">
            <v>0</v>
          </cell>
          <cell r="P96">
            <v>0</v>
          </cell>
          <cell r="Q96">
            <v>60.17</v>
          </cell>
          <cell r="R96">
            <v>393.67</v>
          </cell>
          <cell r="S96">
            <v>419.76540000000006</v>
          </cell>
          <cell r="T96">
            <v>363.28</v>
          </cell>
          <cell r="U96">
            <v>-5.8000000000000114</v>
          </cell>
        </row>
        <row r="97">
          <cell r="D97" t="str">
            <v>Advt, Publicity, Market Research</v>
          </cell>
          <cell r="G97">
            <v>0</v>
          </cell>
          <cell r="H97">
            <v>265.25</v>
          </cell>
          <cell r="I97">
            <v>83.15</v>
          </cell>
          <cell r="J97">
            <v>12.6</v>
          </cell>
          <cell r="K97">
            <v>4.51</v>
          </cell>
          <cell r="L97">
            <v>365.51</v>
          </cell>
          <cell r="M97">
            <v>0</v>
          </cell>
          <cell r="N97">
            <v>0</v>
          </cell>
          <cell r="P97">
            <v>0</v>
          </cell>
          <cell r="Q97">
            <v>0</v>
          </cell>
          <cell r="R97">
            <v>276.02999999999997</v>
          </cell>
          <cell r="S97">
            <v>310.03310000000005</v>
          </cell>
          <cell r="T97">
            <v>204.52</v>
          </cell>
          <cell r="U97">
            <v>-89.480000000000018</v>
          </cell>
        </row>
        <row r="98">
          <cell r="D98" t="str">
            <v>Employee Recruitment and Training</v>
          </cell>
          <cell r="G98">
            <v>12</v>
          </cell>
          <cell r="H98">
            <v>6.2</v>
          </cell>
          <cell r="I98">
            <v>0.2</v>
          </cell>
          <cell r="J98">
            <v>0.44</v>
          </cell>
          <cell r="K98">
            <v>22.119999999999997</v>
          </cell>
          <cell r="L98">
            <v>40.959999999999994</v>
          </cell>
          <cell r="M98">
            <v>10</v>
          </cell>
          <cell r="N98">
            <v>0</v>
          </cell>
          <cell r="P98">
            <v>0</v>
          </cell>
          <cell r="Q98">
            <v>10</v>
          </cell>
          <cell r="R98">
            <v>10.24</v>
          </cell>
          <cell r="S98">
            <v>54.45</v>
          </cell>
          <cell r="T98">
            <v>6.31</v>
          </cell>
          <cell r="U98">
            <v>-30.719999999999992</v>
          </cell>
        </row>
        <row r="99">
          <cell r="D99" t="str">
            <v>Legal, Secretarial and Prof. Charges</v>
          </cell>
          <cell r="G99">
            <v>0</v>
          </cell>
          <cell r="H99">
            <v>4</v>
          </cell>
          <cell r="I99">
            <v>0</v>
          </cell>
          <cell r="J99">
            <v>142.9</v>
          </cell>
          <cell r="K99">
            <v>361.4</v>
          </cell>
          <cell r="L99">
            <v>508.29999999999995</v>
          </cell>
          <cell r="M99">
            <v>26.27</v>
          </cell>
          <cell r="N99">
            <v>0</v>
          </cell>
          <cell r="P99">
            <v>-84</v>
          </cell>
          <cell r="Q99">
            <v>-57.730000000000004</v>
          </cell>
          <cell r="R99">
            <v>609.1</v>
          </cell>
          <cell r="S99">
            <v>802.28</v>
          </cell>
          <cell r="T99">
            <v>646.45000000000005</v>
          </cell>
          <cell r="U99">
            <v>100.80000000000007</v>
          </cell>
        </row>
        <row r="100">
          <cell r="D100" t="str">
            <v>Technical Consultancy</v>
          </cell>
          <cell r="G100">
            <v>270</v>
          </cell>
          <cell r="H100">
            <v>0</v>
          </cell>
          <cell r="I100">
            <v>0</v>
          </cell>
          <cell r="J100">
            <v>0</v>
          </cell>
          <cell r="K100">
            <v>0</v>
          </cell>
          <cell r="L100">
            <v>270</v>
          </cell>
          <cell r="R100">
            <v>9.42</v>
          </cell>
          <cell r="U100">
            <v>-260.58</v>
          </cell>
        </row>
        <row r="101">
          <cell r="D101" t="str">
            <v>Share Registry Expenses</v>
          </cell>
          <cell r="G101">
            <v>0</v>
          </cell>
          <cell r="H101">
            <v>0</v>
          </cell>
          <cell r="I101">
            <v>0</v>
          </cell>
          <cell r="J101">
            <v>0</v>
          </cell>
          <cell r="K101">
            <v>30</v>
          </cell>
          <cell r="L101">
            <v>30</v>
          </cell>
          <cell r="P101">
            <v>84</v>
          </cell>
          <cell r="Q101">
            <v>84</v>
          </cell>
          <cell r="R101">
            <v>69.87</v>
          </cell>
          <cell r="S101">
            <v>110.4</v>
          </cell>
          <cell r="T101">
            <v>84.48</v>
          </cell>
          <cell r="U101">
            <v>39.870000000000005</v>
          </cell>
        </row>
        <row r="102">
          <cell r="D102" t="str">
            <v>Directors sitting Fees</v>
          </cell>
          <cell r="G102">
            <v>0</v>
          </cell>
          <cell r="H102">
            <v>0</v>
          </cell>
          <cell r="I102">
            <v>0</v>
          </cell>
          <cell r="J102">
            <v>0</v>
          </cell>
          <cell r="K102">
            <v>6</v>
          </cell>
          <cell r="L102">
            <v>6</v>
          </cell>
          <cell r="P102">
            <v>6</v>
          </cell>
          <cell r="Q102">
            <v>6</v>
          </cell>
          <cell r="R102">
            <v>3.7</v>
          </cell>
          <cell r="S102">
            <v>9</v>
          </cell>
          <cell r="T102">
            <v>3.47</v>
          </cell>
          <cell r="U102">
            <v>-2.2999999999999998</v>
          </cell>
        </row>
        <row r="103">
          <cell r="D103" t="str">
            <v>Research &amp; Development -(NARDI+Brahma)</v>
          </cell>
          <cell r="G103">
            <v>3</v>
          </cell>
          <cell r="H103">
            <v>0</v>
          </cell>
          <cell r="I103">
            <v>0</v>
          </cell>
          <cell r="J103">
            <v>174</v>
          </cell>
          <cell r="K103">
            <v>0</v>
          </cell>
          <cell r="L103">
            <v>177</v>
          </cell>
          <cell r="P103">
            <v>0</v>
          </cell>
          <cell r="Q103">
            <v>0</v>
          </cell>
          <cell r="R103">
            <v>38.869999999999997</v>
          </cell>
          <cell r="S103">
            <v>54.16</v>
          </cell>
          <cell r="T103">
            <v>60.91</v>
          </cell>
          <cell r="U103">
            <v>-138.13</v>
          </cell>
        </row>
        <row r="104">
          <cell r="D104" t="str">
            <v>Auditore's Remuneration</v>
          </cell>
          <cell r="G104">
            <v>0</v>
          </cell>
          <cell r="H104">
            <v>2</v>
          </cell>
          <cell r="I104">
            <v>0</v>
          </cell>
          <cell r="J104">
            <v>0</v>
          </cell>
          <cell r="K104">
            <v>30</v>
          </cell>
          <cell r="L104">
            <v>32</v>
          </cell>
          <cell r="M104">
            <v>0.75</v>
          </cell>
          <cell r="P104">
            <v>0</v>
          </cell>
          <cell r="Q104">
            <v>0.75</v>
          </cell>
          <cell r="R104">
            <v>27.75</v>
          </cell>
          <cell r="S104">
            <v>27.88</v>
          </cell>
          <cell r="T104">
            <v>25.07</v>
          </cell>
          <cell r="U104">
            <v>-4.25</v>
          </cell>
        </row>
        <row r="105">
          <cell r="D105" t="str">
            <v>Donations</v>
          </cell>
          <cell r="G105">
            <v>0</v>
          </cell>
          <cell r="H105">
            <v>0</v>
          </cell>
          <cell r="I105">
            <v>0</v>
          </cell>
          <cell r="J105">
            <v>0</v>
          </cell>
          <cell r="K105">
            <v>0</v>
          </cell>
          <cell r="L105">
            <v>0</v>
          </cell>
          <cell r="P105">
            <v>0</v>
          </cell>
          <cell r="Q105">
            <v>0</v>
          </cell>
          <cell r="R105">
            <v>0</v>
          </cell>
          <cell r="S105">
            <v>8.6</v>
          </cell>
          <cell r="T105">
            <v>3.41</v>
          </cell>
          <cell r="U105">
            <v>0</v>
          </cell>
        </row>
        <row r="106">
          <cell r="D106" t="str">
            <v>Write Offs</v>
          </cell>
          <cell r="G106">
            <v>23.18</v>
          </cell>
          <cell r="H106">
            <v>0</v>
          </cell>
          <cell r="I106">
            <v>0</v>
          </cell>
          <cell r="J106">
            <v>0</v>
          </cell>
          <cell r="K106">
            <v>0</v>
          </cell>
          <cell r="L106">
            <v>23.18</v>
          </cell>
          <cell r="P106">
            <v>0</v>
          </cell>
          <cell r="Q106">
            <v>0</v>
          </cell>
          <cell r="R106">
            <v>141.97</v>
          </cell>
          <cell r="U106">
            <v>118.78999999999999</v>
          </cell>
        </row>
        <row r="107">
          <cell r="D107" t="str">
            <v>Miscellaneous Expenses</v>
          </cell>
          <cell r="G107">
            <v>90</v>
          </cell>
          <cell r="H107">
            <v>48.62</v>
          </cell>
          <cell r="I107">
            <v>15.299999999999999</v>
          </cell>
          <cell r="J107">
            <v>81.319999999999979</v>
          </cell>
          <cell r="K107">
            <v>80.339999999999989</v>
          </cell>
          <cell r="L107">
            <v>315.58</v>
          </cell>
          <cell r="M107">
            <v>90.61</v>
          </cell>
          <cell r="N107">
            <v>0</v>
          </cell>
          <cell r="P107">
            <v>-6</v>
          </cell>
          <cell r="Q107">
            <v>84.61</v>
          </cell>
          <cell r="R107">
            <v>233.95</v>
          </cell>
          <cell r="S107">
            <v>482.20749999999998</v>
          </cell>
          <cell r="T107">
            <v>-180.05</v>
          </cell>
          <cell r="U107">
            <v>-81.63</v>
          </cell>
        </row>
        <row r="108">
          <cell r="D108" t="str">
            <v>Total</v>
          </cell>
          <cell r="G108">
            <v>1933.473535205</v>
          </cell>
          <cell r="H108">
            <v>616.47</v>
          </cell>
          <cell r="I108">
            <v>168.70000000000002</v>
          </cell>
          <cell r="J108">
            <v>531.87</v>
          </cell>
          <cell r="K108">
            <v>927.1400000000001</v>
          </cell>
          <cell r="L108">
            <v>4177.6535352050005</v>
          </cell>
          <cell r="M108">
            <v>1299.58</v>
          </cell>
          <cell r="N108">
            <v>0</v>
          </cell>
          <cell r="P108">
            <v>0</v>
          </cell>
          <cell r="Q108">
            <v>1299.58</v>
          </cell>
          <cell r="R108">
            <v>3693.5099999999993</v>
          </cell>
          <cell r="S108">
            <v>4241.5595307114154</v>
          </cell>
          <cell r="T108">
            <v>2747.2799999999993</v>
          </cell>
          <cell r="U108">
            <v>-484.14353520499992</v>
          </cell>
        </row>
        <row r="109">
          <cell r="C109">
            <v>16</v>
          </cell>
          <cell r="D109" t="str">
            <v>Interest &amp; Financing charges</v>
          </cell>
          <cell r="U109">
            <v>0</v>
          </cell>
        </row>
        <row r="110">
          <cell r="D110" t="str">
            <v>Term Loans</v>
          </cell>
          <cell r="G110">
            <v>4629.4807570400008</v>
          </cell>
          <cell r="H110">
            <v>0</v>
          </cell>
          <cell r="I110">
            <v>0</v>
          </cell>
          <cell r="J110">
            <v>3111.1660299999999</v>
          </cell>
          <cell r="K110">
            <v>0</v>
          </cell>
          <cell r="L110">
            <v>7740.6467870400011</v>
          </cell>
          <cell r="P110">
            <v>7877</v>
          </cell>
          <cell r="Q110">
            <v>7877</v>
          </cell>
          <cell r="R110">
            <v>12799.29</v>
          </cell>
          <cell r="S110">
            <v>11901.66</v>
          </cell>
          <cell r="T110">
            <v>7877</v>
          </cell>
          <cell r="U110">
            <v>5058.6432129599998</v>
          </cell>
        </row>
        <row r="111">
          <cell r="D111" t="str">
            <v>Debentures</v>
          </cell>
          <cell r="G111">
            <v>1523.8217999999999</v>
          </cell>
          <cell r="H111">
            <v>0</v>
          </cell>
          <cell r="I111">
            <v>0</v>
          </cell>
          <cell r="J111">
            <v>1796.40608</v>
          </cell>
          <cell r="K111">
            <v>0</v>
          </cell>
          <cell r="L111">
            <v>3320.2278799999999</v>
          </cell>
          <cell r="P111">
            <v>3356</v>
          </cell>
          <cell r="Q111">
            <v>3356</v>
          </cell>
          <cell r="R111">
            <v>5922.44</v>
          </cell>
          <cell r="S111">
            <v>4913.8</v>
          </cell>
          <cell r="T111">
            <v>3356</v>
          </cell>
          <cell r="U111">
            <v>2602.2121199999997</v>
          </cell>
        </row>
        <row r="112">
          <cell r="D112" t="str">
            <v>MTL</v>
          </cell>
          <cell r="G112">
            <v>0</v>
          </cell>
          <cell r="H112">
            <v>0</v>
          </cell>
          <cell r="I112">
            <v>0</v>
          </cell>
          <cell r="J112">
            <v>1641.4801399999999</v>
          </cell>
          <cell r="K112">
            <v>0</v>
          </cell>
          <cell r="L112">
            <v>1641.4801399999999</v>
          </cell>
          <cell r="R112">
            <v>3296.49</v>
          </cell>
          <cell r="U112">
            <v>1655.0098599999999</v>
          </cell>
        </row>
        <row r="113">
          <cell r="D113" t="str">
            <v>CC</v>
          </cell>
          <cell r="G113">
            <v>556.37777777777774</v>
          </cell>
          <cell r="H113">
            <v>1653.4955555555557</v>
          </cell>
          <cell r="I113">
            <v>55.637777777777778</v>
          </cell>
          <cell r="J113">
            <v>0</v>
          </cell>
          <cell r="K113">
            <v>278.18888888888887</v>
          </cell>
          <cell r="L113">
            <v>2543.7000000000003</v>
          </cell>
          <cell r="M113">
            <v>15.16</v>
          </cell>
          <cell r="N113">
            <v>0</v>
          </cell>
          <cell r="P113">
            <v>3840.06</v>
          </cell>
          <cell r="Q113">
            <v>3855.22</v>
          </cell>
          <cell r="R113">
            <v>3555.58</v>
          </cell>
          <cell r="S113">
            <v>9524.5450166666669</v>
          </cell>
          <cell r="T113">
            <v>6751.57</v>
          </cell>
          <cell r="U113">
            <v>1011.8799999999997</v>
          </cell>
        </row>
        <row r="114">
          <cell r="D114" t="str">
            <v>Total</v>
          </cell>
          <cell r="G114">
            <v>6709.6803348177782</v>
          </cell>
          <cell r="H114">
            <v>1653.4955555555557</v>
          </cell>
          <cell r="I114">
            <v>55.637777777777778</v>
          </cell>
          <cell r="J114">
            <v>6549.0522499999997</v>
          </cell>
          <cell r="K114">
            <v>278.18888888888887</v>
          </cell>
          <cell r="L114">
            <v>15246.054807040002</v>
          </cell>
          <cell r="M114">
            <v>15.16</v>
          </cell>
          <cell r="N114">
            <v>0</v>
          </cell>
          <cell r="P114">
            <v>15073.06</v>
          </cell>
          <cell r="Q114">
            <v>15088.22</v>
          </cell>
          <cell r="R114">
            <v>25573.800000000003</v>
          </cell>
          <cell r="S114">
            <v>26340.005016666666</v>
          </cell>
          <cell r="T114">
            <v>17984.57</v>
          </cell>
          <cell r="U114">
            <v>10327.745192959999</v>
          </cell>
        </row>
        <row r="116">
          <cell r="C116">
            <v>17</v>
          </cell>
          <cell r="D116" t="str">
            <v>Depreciation</v>
          </cell>
          <cell r="G116">
            <v>11470</v>
          </cell>
          <cell r="H116">
            <v>25</v>
          </cell>
          <cell r="I116">
            <v>0.6</v>
          </cell>
          <cell r="J116">
            <v>0</v>
          </cell>
          <cell r="K116">
            <v>916.39</v>
          </cell>
          <cell r="L116">
            <v>12411.99</v>
          </cell>
          <cell r="M116">
            <v>11248.6</v>
          </cell>
          <cell r="N116">
            <v>0</v>
          </cell>
          <cell r="P116">
            <v>916.39</v>
          </cell>
          <cell r="Q116">
            <v>12164.99</v>
          </cell>
          <cell r="R116">
            <v>12163.609999999999</v>
          </cell>
          <cell r="S116">
            <v>12037.402753400005</v>
          </cell>
          <cell r="T116">
            <v>12186.61</v>
          </cell>
          <cell r="U116">
            <v>-248.38000000000102</v>
          </cell>
        </row>
        <row r="117">
          <cell r="U117">
            <v>0</v>
          </cell>
        </row>
        <row r="118">
          <cell r="C118">
            <v>18</v>
          </cell>
          <cell r="D118" t="str">
            <v xml:space="preserve">Total    </v>
          </cell>
          <cell r="G118">
            <v>90135.915856303851</v>
          </cell>
          <cell r="H118">
            <v>10167.54555555556</v>
          </cell>
          <cell r="I118">
            <v>1767.8477777777775</v>
          </cell>
          <cell r="J118">
            <v>7302.3022499999997</v>
          </cell>
          <cell r="K118">
            <v>2621.9288888888887</v>
          </cell>
          <cell r="L118">
            <v>111995.5403285261</v>
          </cell>
          <cell r="M118">
            <v>56278</v>
          </cell>
          <cell r="N118">
            <v>0</v>
          </cell>
          <cell r="P118">
            <v>15989.449999999999</v>
          </cell>
          <cell r="Q118">
            <v>72267.45</v>
          </cell>
          <cell r="R118">
            <v>113315.95</v>
          </cell>
          <cell r="S118">
            <v>106962.84312519875</v>
          </cell>
          <cell r="T118">
            <v>89977.569999999992</v>
          </cell>
          <cell r="U118">
            <v>1320.4096714739114</v>
          </cell>
        </row>
        <row r="119">
          <cell r="U119">
            <v>0</v>
          </cell>
        </row>
        <row r="120">
          <cell r="C120">
            <v>19</v>
          </cell>
          <cell r="D120" t="str">
            <v>Transfer Pricing</v>
          </cell>
          <cell r="G120">
            <v>49648.461494304225</v>
          </cell>
          <cell r="H120">
            <v>-49648.461494304225</v>
          </cell>
        </row>
        <row r="122">
          <cell r="C122">
            <v>20</v>
          </cell>
          <cell r="D122" t="str">
            <v>P B T</v>
          </cell>
          <cell r="G122">
            <v>7055.9335302289473</v>
          </cell>
          <cell r="H122">
            <v>7210.3629501402247</v>
          </cell>
          <cell r="I122">
            <v>71.98222222222239</v>
          </cell>
          <cell r="J122">
            <v>-7302.3022499999997</v>
          </cell>
          <cell r="K122">
            <v>-535.97888888888883</v>
          </cell>
          <cell r="L122">
            <v>6499.9975637024763</v>
          </cell>
          <cell r="M122">
            <v>-56278</v>
          </cell>
          <cell r="N122">
            <v>0</v>
          </cell>
          <cell r="P122">
            <v>-15989.449999999999</v>
          </cell>
          <cell r="Q122">
            <v>-72267.45</v>
          </cell>
          <cell r="R122">
            <v>-1823.7391859999916</v>
          </cell>
          <cell r="S122">
            <v>-4200.4567410987511</v>
          </cell>
          <cell r="T122">
            <v>5969.6800000000076</v>
          </cell>
          <cell r="U122">
            <v>8323.7367497024788</v>
          </cell>
        </row>
        <row r="124">
          <cell r="C124">
            <v>21</v>
          </cell>
          <cell r="D124" t="str">
            <v>Margin</v>
          </cell>
          <cell r="G124">
            <v>0.14841040664210445</v>
          </cell>
          <cell r="H124">
            <v>0.10757501786446474</v>
          </cell>
          <cell r="I124">
            <v>3.9124387700071414E-2</v>
          </cell>
          <cell r="L124">
            <v>5.4854365652267929E-2</v>
          </cell>
          <cell r="R124">
            <v>-1.6357547963978359E-2</v>
          </cell>
          <cell r="U124">
            <v>1.1885403404302941</v>
          </cell>
        </row>
        <row r="126">
          <cell r="D126" t="str">
            <v>EBIDTA</v>
          </cell>
          <cell r="L126">
            <v>31291.792370742478</v>
          </cell>
          <cell r="M126">
            <v>-45014.239999999998</v>
          </cell>
          <cell r="N126">
            <v>0</v>
          </cell>
          <cell r="O126">
            <v>0</v>
          </cell>
          <cell r="P126">
            <v>0</v>
          </cell>
          <cell r="Q126">
            <v>-45014.239999999998</v>
          </cell>
          <cell r="R126">
            <v>31683.540814000011</v>
          </cell>
          <cell r="S126">
            <v>34176.951028967916</v>
          </cell>
          <cell r="T126">
            <v>36140.860000000008</v>
          </cell>
          <cell r="U126">
            <v>19766.981942662478</v>
          </cell>
        </row>
        <row r="128">
          <cell r="D128" t="str">
            <v>The profit margin on the total SNB business is 14.78%.  The same has been distributed equally between Manufacturing &amp; Marketing activities.</v>
          </cell>
        </row>
        <row r="133">
          <cell r="L133" t="str">
            <v>Rs Lakhs</v>
          </cell>
        </row>
        <row r="134">
          <cell r="D134" t="str">
            <v>Details of Transfer Pricing</v>
          </cell>
          <cell r="F134" t="str">
            <v>%</v>
          </cell>
          <cell r="G134" t="str">
            <v>Rs. / MT</v>
          </cell>
          <cell r="L134">
            <v>14266.296480369141</v>
          </cell>
          <cell r="R134" t="str">
            <v>SNB profit</v>
          </cell>
        </row>
        <row r="135">
          <cell r="D135" t="str">
            <v>Cost per Unit</v>
          </cell>
          <cell r="E135" t="str">
            <v>mt</v>
          </cell>
          <cell r="G135">
            <v>6802.7106306644419</v>
          </cell>
          <cell r="L135">
            <v>114569.75789222858</v>
          </cell>
          <cell r="R135" t="str">
            <v>SNB Income</v>
          </cell>
        </row>
        <row r="136">
          <cell r="D136" t="str">
            <v xml:space="preserve">Add: Margin </v>
          </cell>
          <cell r="E136" t="str">
            <v>%</v>
          </cell>
          <cell r="F136">
            <v>7.1115673774157298E-2</v>
          </cell>
          <cell r="G136">
            <v>483.77934999032431</v>
          </cell>
          <cell r="L136">
            <v>100303.46141185943</v>
          </cell>
          <cell r="R136" t="str">
            <v>SNB cost of production</v>
          </cell>
        </row>
        <row r="137">
          <cell r="D137" t="str">
            <v>Less: Subsidy</v>
          </cell>
          <cell r="E137" t="str">
            <v>mt</v>
          </cell>
          <cell r="G137">
            <v>3539.4362829714287</v>
          </cell>
          <cell r="L137">
            <v>0.1422313475483146</v>
          </cell>
          <cell r="R137" t="str">
            <v>% of profit on cost of sales</v>
          </cell>
        </row>
        <row r="138">
          <cell r="D138" t="str">
            <v>Transfer Price to Mktg</v>
          </cell>
          <cell r="E138" t="str">
            <v>mt</v>
          </cell>
          <cell r="G138">
            <v>3747.0536976833378</v>
          </cell>
          <cell r="L138">
            <v>7.1115673774157298E-2</v>
          </cell>
          <cell r="R138" t="str">
            <v>Mktg %</v>
          </cell>
        </row>
      </sheetData>
      <sheetData sheetId="3"/>
      <sheetData sheetId="4"/>
      <sheetData sheetId="5"/>
      <sheetData sheetId="6">
        <row r="4">
          <cell r="B4" t="str">
            <v>INTERNAL BUDGET PROPOSALS 04-05</v>
          </cell>
        </row>
        <row r="6">
          <cell r="B6" t="str">
            <v>ASSUMPTIONS-  SNB Manufacturing:</v>
          </cell>
        </row>
        <row r="8">
          <cell r="B8" t="str">
            <v>ITEM</v>
          </cell>
          <cell r="C8" t="str">
            <v>UoM</v>
          </cell>
          <cell r="D8" t="str">
            <v>Proposed 
 04-05</v>
          </cell>
          <cell r="E8" t="str">
            <v>Actuals 
03-04</v>
          </cell>
          <cell r="F8" t="str">
            <v>Remarks (2004-05)</v>
          </cell>
        </row>
        <row r="9">
          <cell r="B9" t="str">
            <v>1. Production</v>
          </cell>
        </row>
        <row r="10">
          <cell r="B10" t="str">
            <v>Urea</v>
          </cell>
        </row>
        <row r="11">
          <cell r="B11" t="str">
            <v>a. Plant I</v>
          </cell>
          <cell r="C11" t="str">
            <v>MT</v>
          </cell>
          <cell r="D11">
            <v>625000</v>
          </cell>
          <cell r="E11">
            <v>598530</v>
          </cell>
        </row>
        <row r="12">
          <cell r="B12" t="str">
            <v>b. Plant II</v>
          </cell>
          <cell r="C12" t="str">
            <v>MT</v>
          </cell>
          <cell r="D12">
            <v>700000</v>
          </cell>
          <cell r="E12">
            <v>595430</v>
          </cell>
          <cell r="F12" t="str">
            <v>41.4 : 5.2 : 53.3  Gas : LSHS : Naphtha Ratio</v>
          </cell>
        </row>
        <row r="13">
          <cell r="B13" t="str">
            <v>c. Stream days</v>
          </cell>
          <cell r="C13" t="str">
            <v>Days</v>
          </cell>
          <cell r="D13">
            <v>330</v>
          </cell>
          <cell r="E13">
            <v>313.13125000000002</v>
          </cell>
        </row>
        <row r="14">
          <cell r="B14" t="str">
            <v>d. Energy consumption</v>
          </cell>
          <cell r="C14" t="str">
            <v>MMKCAL</v>
          </cell>
          <cell r="D14">
            <v>5.7119999999999997</v>
          </cell>
          <cell r="E14">
            <v>5.7538376656739505</v>
          </cell>
          <cell r="F14" t="str">
            <v>Reimbursement norm : 5.712</v>
          </cell>
        </row>
        <row r="15">
          <cell r="B15" t="str">
            <v>Ammonia</v>
          </cell>
        </row>
        <row r="16">
          <cell r="B16" t="str">
            <v>a. Plant I</v>
          </cell>
          <cell r="C16" t="str">
            <v>MT</v>
          </cell>
          <cell r="D16">
            <v>2000</v>
          </cell>
          <cell r="F16" t="str">
            <v>Profit share to GOI</v>
          </cell>
        </row>
        <row r="17">
          <cell r="B17" t="str">
            <v>b. Plant II</v>
          </cell>
          <cell r="C17" t="str">
            <v>MT</v>
          </cell>
          <cell r="D17">
            <v>2000</v>
          </cell>
          <cell r="F17">
            <v>0.65</v>
          </cell>
        </row>
        <row r="18">
          <cell r="B18" t="str">
            <v>c. Energy consumption</v>
          </cell>
          <cell r="C18" t="str">
            <v>MMKCAL</v>
          </cell>
          <cell r="D18">
            <v>8</v>
          </cell>
          <cell r="F18" t="str">
            <v>NFCL share Rs. 500 /-MT</v>
          </cell>
        </row>
        <row r="19">
          <cell r="B19" t="str">
            <v>2. Gas availability</v>
          </cell>
          <cell r="C19" t="str">
            <v>MMSCMD</v>
          </cell>
          <cell r="D19">
            <v>1.8</v>
          </cell>
          <cell r="E19">
            <v>2.1032048660717297</v>
          </cell>
          <cell r="F19" t="str">
            <v>@ 8800 KCAL</v>
          </cell>
        </row>
        <row r="21">
          <cell r="B21" t="str">
            <v>3. Gas Price</v>
          </cell>
        </row>
        <row r="22">
          <cell r="B22" t="str">
            <v>a. Controlled price</v>
          </cell>
          <cell r="C22" t="str">
            <v>Rs/Gcal</v>
          </cell>
          <cell r="D22">
            <v>356</v>
          </cell>
          <cell r="E22">
            <v>356</v>
          </cell>
          <cell r="F22" t="str">
            <v>Weighted Average Rate 
Rs. 407/MMkcl</v>
          </cell>
        </row>
        <row r="23">
          <cell r="B23" t="str">
            <v>b. De-controlled price</v>
          </cell>
          <cell r="C23" t="str">
            <v>Rs/Gcal</v>
          </cell>
          <cell r="D23">
            <v>711</v>
          </cell>
          <cell r="E23">
            <v>711</v>
          </cell>
        </row>
        <row r="24">
          <cell r="B24" t="str">
            <v>c. Transport Charges</v>
          </cell>
          <cell r="C24" t="str">
            <v>Rs.Lakhs</v>
          </cell>
          <cell r="D24">
            <v>4472.5866570345606</v>
          </cell>
          <cell r="E24">
            <v>4386.8326366000001</v>
          </cell>
        </row>
        <row r="25">
          <cell r="B25" t="str">
            <v>d. Gas Compression charges</v>
          </cell>
          <cell r="C25" t="str">
            <v>Rs. Lakhs</v>
          </cell>
          <cell r="D25">
            <v>400</v>
          </cell>
          <cell r="E25">
            <v>0</v>
          </cell>
          <cell r="F25" t="str">
            <v>assumed pass through</v>
          </cell>
        </row>
        <row r="27">
          <cell r="B27" t="str">
            <v>4.a. Naphtha</v>
          </cell>
          <cell r="C27" t="str">
            <v>MT</v>
          </cell>
          <cell r="D27">
            <v>206041.90476190476</v>
          </cell>
          <cell r="E27">
            <v>84338.652999999991</v>
          </cell>
          <cell r="F27" t="str">
            <v>CV 10500 KCAL / MT</v>
          </cell>
        </row>
        <row r="28">
          <cell r="B28" t="str">
            <v>Naphtha Price / MT</v>
          </cell>
          <cell r="C28" t="str">
            <v>Rs.</v>
          </cell>
          <cell r="D28">
            <v>16500</v>
          </cell>
        </row>
        <row r="30">
          <cell r="B30" t="str">
            <v>4.b. LSHS</v>
          </cell>
          <cell r="C30" t="str">
            <v>MT</v>
          </cell>
          <cell r="D30">
            <v>21850</v>
          </cell>
          <cell r="F30" t="str">
            <v>CV 9600 KCAL /MT</v>
          </cell>
        </row>
        <row r="31">
          <cell r="B31" t="str">
            <v>LSHS Price / MT</v>
          </cell>
          <cell r="C31" t="str">
            <v>Rs.</v>
          </cell>
          <cell r="D31">
            <v>13400</v>
          </cell>
        </row>
        <row r="33">
          <cell r="B33" t="str">
            <v xml:space="preserve">5. Fixed  Concession </v>
          </cell>
        </row>
        <row r="34">
          <cell r="B34" t="str">
            <v>a. Plant I</v>
          </cell>
        </row>
        <row r="35">
          <cell r="B35" t="str">
            <v>Upto 100% capacity</v>
          </cell>
          <cell r="C35" t="str">
            <v>Rs/MT</v>
          </cell>
          <cell r="D35">
            <v>4138</v>
          </cell>
          <cell r="E35">
            <v>4308</v>
          </cell>
        </row>
        <row r="36">
          <cell r="B36" t="str">
            <v>Beyond 100% capacity</v>
          </cell>
          <cell r="C36" t="str">
            <v>Rs/MT</v>
          </cell>
          <cell r="D36">
            <v>2335.9755999999998</v>
          </cell>
          <cell r="E36">
            <v>0</v>
          </cell>
          <cell r="F36" t="str">
            <v>IPP assumed @ Rs. 9012/mt</v>
          </cell>
        </row>
        <row r="38">
          <cell r="B38" t="str">
            <v>b. Plant II</v>
          </cell>
        </row>
        <row r="39">
          <cell r="B39" t="str">
            <v>Upto 100% capacity</v>
          </cell>
          <cell r="C39" t="str">
            <v>Rs/MT</v>
          </cell>
          <cell r="D39">
            <v>3511</v>
          </cell>
          <cell r="E39">
            <v>3681</v>
          </cell>
        </row>
        <row r="40">
          <cell r="B40" t="str">
            <v>Beyond 100% capacity</v>
          </cell>
          <cell r="C40" t="str">
            <v>Rs/MT</v>
          </cell>
          <cell r="D40">
            <v>991.31194285714287</v>
          </cell>
          <cell r="E40">
            <v>0</v>
          </cell>
          <cell r="F40" t="str">
            <v>IPP assumed @ Rs. 9012/mt</v>
          </cell>
        </row>
        <row r="41">
          <cell r="B41" t="str">
            <v>6. Variable concession</v>
          </cell>
        </row>
        <row r="42">
          <cell r="B42" t="str">
            <v>a. Plant I</v>
          </cell>
        </row>
        <row r="43">
          <cell r="B43" t="str">
            <v>i. Gas</v>
          </cell>
          <cell r="C43" t="str">
            <v>Rs/MT</v>
          </cell>
          <cell r="D43">
            <v>2324.7840000000001</v>
          </cell>
          <cell r="E43">
            <v>2342</v>
          </cell>
          <cell r="F43" t="str">
            <v>GCS price - Plant 1</v>
          </cell>
        </row>
        <row r="44">
          <cell r="B44" t="str">
            <v>ii. Packing</v>
          </cell>
          <cell r="C44" t="str">
            <v>Rs/MT</v>
          </cell>
          <cell r="D44">
            <v>218</v>
          </cell>
          <cell r="E44">
            <v>218</v>
          </cell>
        </row>
        <row r="45">
          <cell r="B45" t="str">
            <v>iii. Water</v>
          </cell>
          <cell r="C45" t="str">
            <v>Rs/MT</v>
          </cell>
          <cell r="D45">
            <v>13</v>
          </cell>
          <cell r="E45">
            <v>13</v>
          </cell>
          <cell r="F45">
            <v>6693.7839999999997</v>
          </cell>
        </row>
        <row r="46">
          <cell r="B46" t="str">
            <v>b. Plant II</v>
          </cell>
        </row>
        <row r="47">
          <cell r="B47" t="str">
            <v>i. Gas/Naphtha</v>
          </cell>
          <cell r="C47" t="str">
            <v>Rs/MT</v>
          </cell>
          <cell r="D47">
            <v>6166.680163265306</v>
          </cell>
          <cell r="E47">
            <v>3646</v>
          </cell>
          <cell r="F47" t="str">
            <v>GCS price - Plant 2</v>
          </cell>
        </row>
        <row r="48">
          <cell r="B48" t="str">
            <v>ii. Packing</v>
          </cell>
          <cell r="C48" t="str">
            <v>Rs/MT</v>
          </cell>
          <cell r="D48">
            <v>218</v>
          </cell>
          <cell r="E48">
            <v>218</v>
          </cell>
        </row>
        <row r="49">
          <cell r="B49" t="str">
            <v>iii. Water</v>
          </cell>
          <cell r="C49" t="str">
            <v>Rs/MT</v>
          </cell>
          <cell r="D49">
            <v>13</v>
          </cell>
          <cell r="E49">
            <v>13</v>
          </cell>
          <cell r="F49">
            <v>9908.680163265306</v>
          </cell>
        </row>
        <row r="50">
          <cell r="B50" t="str">
            <v>7. Miscellaneous Income</v>
          </cell>
        </row>
        <row r="51">
          <cell r="B51" t="str">
            <v xml:space="preserve">a. Ammonia </v>
          </cell>
          <cell r="C51" t="str">
            <v>Rs Lakhs</v>
          </cell>
          <cell r="D51">
            <v>560</v>
          </cell>
          <cell r="E51">
            <v>2552.8456350000001</v>
          </cell>
          <cell r="F51" t="str">
            <v>Profit sharing - 65% to Govt</v>
          </cell>
        </row>
        <row r="52">
          <cell r="B52" t="str">
            <v>b. CO2</v>
          </cell>
          <cell r="C52" t="str">
            <v>Rs Lakhs</v>
          </cell>
          <cell r="D52">
            <v>48</v>
          </cell>
          <cell r="E52">
            <v>10</v>
          </cell>
          <cell r="F52" t="str">
            <v>(6000 mt sale proposed)</v>
          </cell>
        </row>
        <row r="53">
          <cell r="B53" t="str">
            <v>c. DM water</v>
          </cell>
          <cell r="C53" t="str">
            <v>Rs Lakhs</v>
          </cell>
          <cell r="D53">
            <v>10</v>
          </cell>
          <cell r="E53">
            <v>0</v>
          </cell>
          <cell r="F53" t="str">
            <v>(subject to legal clearance)</v>
          </cell>
        </row>
        <row r="54">
          <cell r="B54" t="str">
            <v>d. Nitrogen</v>
          </cell>
          <cell r="C54" t="str">
            <v>Rs Lakhs</v>
          </cell>
          <cell r="D54">
            <v>0</v>
          </cell>
          <cell r="E54">
            <v>0</v>
          </cell>
        </row>
        <row r="55">
          <cell r="B55" t="str">
            <v>e. Scrap sales</v>
          </cell>
          <cell r="C55" t="str">
            <v>Rs Lakhs</v>
          </cell>
          <cell r="D55">
            <v>35</v>
          </cell>
          <cell r="E55">
            <v>45.344260999999896</v>
          </cell>
        </row>
        <row r="56">
          <cell r="B56" t="str">
            <v>f. Other misc. income</v>
          </cell>
          <cell r="C56" t="str">
            <v>Rs Lakhs</v>
          </cell>
          <cell r="D56">
            <v>30</v>
          </cell>
          <cell r="E56">
            <v>41.181640799999997</v>
          </cell>
        </row>
        <row r="57">
          <cell r="B57" t="str">
            <v>8. Manufacturing  Expenses</v>
          </cell>
          <cell r="D57">
            <v>4878.7800000000007</v>
          </cell>
          <cell r="E57">
            <v>4524.2692875999892</v>
          </cell>
        </row>
        <row r="58">
          <cell r="B58" t="str">
            <v>a. Repairs &amp; Maintenance</v>
          </cell>
          <cell r="C58" t="str">
            <v>Rs Lakhs</v>
          </cell>
          <cell r="D58">
            <v>355</v>
          </cell>
          <cell r="E58">
            <v>261.91000000000003</v>
          </cell>
          <cell r="F58" t="str">
            <v>Buildg Rs. 36.25, Plant Rs. 216.68 lakh, Others Rs. 102.27 lakhs.</v>
          </cell>
        </row>
        <row r="59">
          <cell r="B59" t="str">
            <v>b. Stores &amp; Spares</v>
          </cell>
          <cell r="C59" t="str">
            <v>Rs Lakhs</v>
          </cell>
          <cell r="D59">
            <v>250</v>
          </cell>
          <cell r="E59">
            <v>214.92</v>
          </cell>
        </row>
        <row r="60">
          <cell r="B60" t="str">
            <v>c. Chem.&amp; consumables</v>
          </cell>
          <cell r="C60" t="str">
            <v>Rs Lakhs</v>
          </cell>
          <cell r="D60">
            <v>410</v>
          </cell>
          <cell r="E60">
            <v>357.55977259999997</v>
          </cell>
          <cell r="F60" t="str">
            <v>30:70%  Fixed /Variable</v>
          </cell>
        </row>
        <row r="61">
          <cell r="B61" t="str">
            <v>d. ATA expenses</v>
          </cell>
          <cell r="C61" t="str">
            <v>Rs Lakhs</v>
          </cell>
          <cell r="D61">
            <v>200</v>
          </cell>
          <cell r="E61">
            <v>260.35000000000002</v>
          </cell>
          <cell r="F61" t="str">
            <v>In case of emergency, funds to be allocated on case to case basis</v>
          </cell>
        </row>
        <row r="62">
          <cell r="B62" t="str">
            <v>e. Carriage inwards</v>
          </cell>
          <cell r="C62" t="str">
            <v>Rs Lakhs</v>
          </cell>
          <cell r="D62">
            <v>8</v>
          </cell>
          <cell r="E62">
            <v>8.1142038999999997</v>
          </cell>
        </row>
        <row r="63">
          <cell r="B63" t="str">
            <v>f. Water charges</v>
          </cell>
          <cell r="C63" t="str">
            <v>Rs Lakhs</v>
          </cell>
          <cell r="D63">
            <v>250.48</v>
          </cell>
          <cell r="E63">
            <v>254.63516000000001</v>
          </cell>
        </row>
        <row r="64">
          <cell r="B64" t="str">
            <v>g. Grid charges/Duty Charges</v>
          </cell>
          <cell r="C64" t="str">
            <v>Rs Lakhs</v>
          </cell>
          <cell r="D64">
            <v>217.35000000000002</v>
          </cell>
          <cell r="E64">
            <v>541.98068659999899</v>
          </cell>
          <cell r="F64" t="str">
            <v xml:space="preserve"> in view of the HC Stay, provision of Rs.4.8 crores PA  - cess charges have not been considered this year.</v>
          </cell>
        </row>
        <row r="65">
          <cell r="B65" t="str">
            <v>h. Packing charges</v>
          </cell>
          <cell r="C65" t="str">
            <v>Rs Lakhs</v>
          </cell>
          <cell r="D65">
            <v>3187.9500000000003</v>
          </cell>
          <cell r="E65">
            <v>2624.7994644999899</v>
          </cell>
          <cell r="F65" t="str">
            <v>bag price is Rs.12/-</v>
          </cell>
        </row>
        <row r="66">
          <cell r="B66" t="str">
            <v>9. Salaries and Wages</v>
          </cell>
          <cell r="D66">
            <v>1845.8770435322447</v>
          </cell>
          <cell r="E66">
            <v>1852.7</v>
          </cell>
        </row>
        <row r="67">
          <cell r="B67" t="str">
            <v>a. Salaries &amp; Wages</v>
          </cell>
          <cell r="C67" t="str">
            <v>Rs Lakhs</v>
          </cell>
          <cell r="D67">
            <v>1429.01</v>
          </cell>
          <cell r="E67">
            <v>1398.3652453</v>
          </cell>
        </row>
        <row r="68">
          <cell r="B68" t="str">
            <v>b. Contract Wages</v>
          </cell>
          <cell r="C68" t="str">
            <v>Rs Lakhs</v>
          </cell>
          <cell r="D68">
            <v>140.81704353224455</v>
          </cell>
          <cell r="E68">
            <v>126.89475470000001</v>
          </cell>
          <cell r="F68" t="str">
            <v xml:space="preserve">100% variable </v>
          </cell>
        </row>
        <row r="69">
          <cell r="B69" t="str">
            <v>c. Benefits</v>
          </cell>
          <cell r="C69" t="str">
            <v>Rs Lakhs</v>
          </cell>
          <cell r="D69">
            <v>128.13999999999999</v>
          </cell>
          <cell r="E69">
            <v>79.66</v>
          </cell>
          <cell r="F69" t="str">
            <v>Gratuity provision.</v>
          </cell>
        </row>
        <row r="70">
          <cell r="B70" t="str">
            <v>d. Welfare expenses</v>
          </cell>
          <cell r="C70" t="str">
            <v>Rs Lakhs</v>
          </cell>
          <cell r="D70">
            <v>147.91</v>
          </cell>
          <cell r="E70">
            <v>247.78</v>
          </cell>
        </row>
        <row r="71">
          <cell r="B71" t="str">
            <v>10. Plant overheads</v>
          </cell>
          <cell r="D71">
            <v>492.29353520500001</v>
          </cell>
          <cell r="E71">
            <v>262.34038729999986</v>
          </cell>
        </row>
        <row r="72">
          <cell r="B72" t="str">
            <v>a. Travel &amp; conveyance</v>
          </cell>
          <cell r="C72" t="str">
            <v>Rs Lakhs</v>
          </cell>
          <cell r="D72">
            <v>52</v>
          </cell>
          <cell r="E72">
            <v>51.579651899999902</v>
          </cell>
          <cell r="F72" t="str">
            <v>excluding Rs.30lakhs relating to salaries basket.</v>
          </cell>
        </row>
        <row r="73">
          <cell r="B73" t="str">
            <v>b. Communication</v>
          </cell>
          <cell r="C73" t="str">
            <v>Rs Lakhs</v>
          </cell>
          <cell r="D73">
            <v>20.293535205000001</v>
          </cell>
          <cell r="E73">
            <v>23.874747300000003</v>
          </cell>
          <cell r="F73" t="str">
            <v>15% reduction</v>
          </cell>
        </row>
        <row r="74">
          <cell r="B74" t="str">
            <v xml:space="preserve">c. R &amp; D Expenses </v>
          </cell>
          <cell r="C74" t="str">
            <v>Rs Lakhs</v>
          </cell>
          <cell r="D74">
            <v>3</v>
          </cell>
          <cell r="E74">
            <v>7</v>
          </cell>
        </row>
        <row r="75">
          <cell r="B75" t="str">
            <v>d. Rent, Rates &amp; Taxes</v>
          </cell>
          <cell r="C75" t="str">
            <v>Rs Lakhs</v>
          </cell>
          <cell r="D75">
            <v>36</v>
          </cell>
          <cell r="E75">
            <v>52.536999999999999</v>
          </cell>
          <cell r="F75" t="str">
            <v>2003-04 amount includes pmt of arrears of Property Tax to Gram Panchyat.</v>
          </cell>
        </row>
        <row r="76">
          <cell r="B76" t="str">
            <v>e. Printing &amp; Stationery</v>
          </cell>
          <cell r="C76" t="str">
            <v>Rs Lakhs</v>
          </cell>
          <cell r="D76">
            <v>9</v>
          </cell>
          <cell r="E76">
            <v>7.2231680999999899</v>
          </cell>
          <cell r="F76" t="str">
            <v>Printing Material for increased training activity</v>
          </cell>
        </row>
        <row r="77">
          <cell r="B77" t="str">
            <v>f. Training &amp; Recruitment</v>
          </cell>
          <cell r="C77" t="str">
            <v>Rs Lakhs</v>
          </cell>
          <cell r="D77">
            <v>12</v>
          </cell>
          <cell r="E77">
            <v>3.1733799999999999</v>
          </cell>
          <cell r="F77" t="str">
            <v>New recruitment proposed and increased training proposed.</v>
          </cell>
        </row>
        <row r="78">
          <cell r="B78" t="str">
            <v>g. Technical consultancy</v>
          </cell>
          <cell r="C78" t="str">
            <v>Rs Lakhs</v>
          </cell>
          <cell r="D78">
            <v>270</v>
          </cell>
          <cell r="E78">
            <v>9.4224399999999999</v>
          </cell>
          <cell r="F78" t="str">
            <v>PSM, TPM, Energy audit, FGTR, Revamp study</v>
          </cell>
        </row>
        <row r="79">
          <cell r="B79" t="str">
            <v>h. Miscellaneous expenses</v>
          </cell>
          <cell r="C79" t="str">
            <v>Rs Lakhs</v>
          </cell>
          <cell r="D79">
            <v>90</v>
          </cell>
          <cell r="E79">
            <v>107.53</v>
          </cell>
          <cell r="F79" t="str">
            <v>15% reduction</v>
          </cell>
        </row>
        <row r="81">
          <cell r="B81" t="str">
            <v>11. Depreciation</v>
          </cell>
          <cell r="C81" t="str">
            <v>Rs Lakhs</v>
          </cell>
          <cell r="D81">
            <v>11470</v>
          </cell>
          <cell r="E81">
            <v>11211.714203399899</v>
          </cell>
          <cell r="F81" t="str">
            <v>Due to increase in  capital additions depreciation will increase</v>
          </cell>
        </row>
        <row r="82">
          <cell r="B82" t="str">
            <v>12. Insurance charges</v>
          </cell>
          <cell r="C82" t="str">
            <v>Rs Lakhs</v>
          </cell>
          <cell r="D82">
            <v>613</v>
          </cell>
          <cell r="E82">
            <v>516.58282999999994</v>
          </cell>
          <cell r="F82" t="str">
            <v>Fire, MBD and inventories etc.</v>
          </cell>
        </row>
        <row r="83">
          <cell r="B83" t="str">
            <v>13. Finance charges</v>
          </cell>
          <cell r="C83" t="str">
            <v>Rs Lakhs</v>
          </cell>
          <cell r="D83">
            <v>6710</v>
          </cell>
          <cell r="E83">
            <v>144.19091409999999</v>
          </cell>
          <cell r="F83" t="str">
            <v>Int. on the basis of total funding</v>
          </cell>
        </row>
        <row r="84">
          <cell r="B84" t="str">
            <v>a.  Int. on Equipment Loans</v>
          </cell>
          <cell r="D84">
            <v>6153</v>
          </cell>
        </row>
        <row r="85">
          <cell r="B85" t="str">
            <v>b.  Interest on Current Assets</v>
          </cell>
          <cell r="D85">
            <v>425</v>
          </cell>
        </row>
        <row r="86">
          <cell r="B86" t="str">
            <v>c.  Bank charges</v>
          </cell>
          <cell r="D86">
            <v>132</v>
          </cell>
        </row>
        <row r="87">
          <cell r="B87" t="str">
            <v xml:space="preserve">14. Catalyst </v>
          </cell>
          <cell r="C87" t="str">
            <v>Rs Lakhs</v>
          </cell>
          <cell r="D87">
            <v>1031</v>
          </cell>
          <cell r="E87">
            <v>67.310519999999997</v>
          </cell>
          <cell r="F87" t="str">
            <v>In view of recent technical snag with the catalyst, additional expenditure during FY 2004-05 considered</v>
          </cell>
        </row>
        <row r="88">
          <cell r="B88" t="str">
            <v>a.  DRE</v>
          </cell>
          <cell r="C88" t="str">
            <v>Rs Lakhs</v>
          </cell>
          <cell r="D88">
            <v>1031</v>
          </cell>
          <cell r="E88">
            <v>32</v>
          </cell>
          <cell r="F88" t="str">
            <v>As per the new Accounting Standard, the total expenditure on catalyst is charged off in the same year.</v>
          </cell>
        </row>
        <row r="89">
          <cell r="B89" t="str">
            <v>b.  New Catalyst</v>
          </cell>
          <cell r="C89" t="str">
            <v>Rs Lakhs</v>
          </cell>
          <cell r="D89">
            <v>0</v>
          </cell>
          <cell r="E89">
            <v>35</v>
          </cell>
        </row>
        <row r="91">
          <cell r="B91" t="str">
            <v>15. Capital Exp.</v>
          </cell>
          <cell r="D91">
            <v>2672</v>
          </cell>
        </row>
        <row r="92">
          <cell r="B92" t="str">
            <v>a.  Normal Capex</v>
          </cell>
          <cell r="C92" t="str">
            <v>Rs Lakhs</v>
          </cell>
          <cell r="D92">
            <v>1025</v>
          </cell>
        </row>
        <row r="93">
          <cell r="B93" t="str">
            <v>b.  Stripper</v>
          </cell>
          <cell r="C93" t="str">
            <v>Rs Lakhs</v>
          </cell>
          <cell r="D93">
            <v>1550</v>
          </cell>
        </row>
        <row r="94">
          <cell r="B94" t="str">
            <v>c.  Guest House</v>
          </cell>
          <cell r="C94" t="str">
            <v>Rs Lakhs</v>
          </cell>
          <cell r="D94">
            <v>82</v>
          </cell>
        </row>
        <row r="95">
          <cell r="B95" t="str">
            <v>d.  GT-C</v>
          </cell>
          <cell r="C95" t="str">
            <v>Rs Lakhs</v>
          </cell>
          <cell r="D95">
            <v>0</v>
          </cell>
          <cell r="F95" t="str">
            <v>Next year Rs 450 lakhs</v>
          </cell>
        </row>
        <row r="96">
          <cell r="B96" t="str">
            <v>e.  Water Regulator</v>
          </cell>
          <cell r="C96" t="str">
            <v>Rs Lakhs</v>
          </cell>
          <cell r="D96">
            <v>15</v>
          </cell>
        </row>
      </sheetData>
      <sheetData sheetId="7">
        <row r="1">
          <cell r="B1" t="str">
            <v>INTERNAL BUDGET PROPOSALS 04-05</v>
          </cell>
        </row>
        <row r="3">
          <cell r="B3" t="str">
            <v>ASSUMPTIONS-  SNB Marketing:</v>
          </cell>
        </row>
        <row r="5">
          <cell r="B5" t="str">
            <v>Sl NO.</v>
          </cell>
          <cell r="C5" t="str">
            <v>Particulars</v>
          </cell>
          <cell r="E5" t="str">
            <v>Proposed 
 04-05</v>
          </cell>
          <cell r="G5" t="str">
            <v>Actuals 
03-04</v>
          </cell>
          <cell r="I5" t="str">
            <v xml:space="preserve">Variance </v>
          </cell>
        </row>
        <row r="6">
          <cell r="I6" t="str">
            <v>Amount</v>
          </cell>
        </row>
        <row r="7">
          <cell r="C7" t="str">
            <v>Assumptions / Parameters</v>
          </cell>
          <cell r="D7" t="str">
            <v>Unit</v>
          </cell>
          <cell r="E7" t="str">
            <v>Quantity</v>
          </cell>
          <cell r="F7" t="str">
            <v>Rs Lakhs</v>
          </cell>
          <cell r="G7" t="str">
            <v>Quantity</v>
          </cell>
          <cell r="H7" t="str">
            <v>Rs Lakhs</v>
          </cell>
          <cell r="I7" t="str">
            <v>Rs Lakhs</v>
          </cell>
        </row>
        <row r="9">
          <cell r="B9" t="str">
            <v>A</v>
          </cell>
          <cell r="C9" t="str">
            <v>Production</v>
          </cell>
          <cell r="D9" t="str">
            <v>MTs</v>
          </cell>
          <cell r="E9">
            <v>1325000</v>
          </cell>
          <cell r="G9">
            <v>1193960</v>
          </cell>
        </row>
        <row r="11">
          <cell r="C11" t="str">
            <v>Plant 1</v>
          </cell>
          <cell r="D11" t="str">
            <v>MTs</v>
          </cell>
          <cell r="E11">
            <v>625000</v>
          </cell>
          <cell r="G11">
            <v>598530</v>
          </cell>
        </row>
        <row r="12">
          <cell r="C12" t="str">
            <v>Plant 2</v>
          </cell>
          <cell r="D12" t="str">
            <v>MTs</v>
          </cell>
          <cell r="E12">
            <v>700000</v>
          </cell>
          <cell r="G12">
            <v>595430</v>
          </cell>
        </row>
        <row r="14">
          <cell r="B14" t="str">
            <v>B</v>
          </cell>
          <cell r="C14" t="str">
            <v>Dispatches</v>
          </cell>
        </row>
        <row r="15">
          <cell r="C15" t="str">
            <v>Assumption - Same as Production</v>
          </cell>
          <cell r="E15">
            <v>1325000</v>
          </cell>
          <cell r="G15">
            <v>1154101.6000000001</v>
          </cell>
        </row>
        <row r="17">
          <cell r="B17" t="str">
            <v>C</v>
          </cell>
          <cell r="C17" t="str">
            <v>Sales - Market</v>
          </cell>
          <cell r="D17" t="str">
            <v>MTs</v>
          </cell>
          <cell r="E17">
            <v>1314600</v>
          </cell>
          <cell r="G17">
            <v>1390559.9850000001</v>
          </cell>
        </row>
        <row r="19">
          <cell r="C19" t="str">
            <v>Sales - I U</v>
          </cell>
          <cell r="E19">
            <v>0</v>
          </cell>
          <cell r="G19">
            <v>39964</v>
          </cell>
          <cell r="H19">
            <v>3307.68</v>
          </cell>
        </row>
        <row r="21">
          <cell r="B21" t="str">
            <v>D</v>
          </cell>
          <cell r="C21" t="str">
            <v>Farm Gate Price</v>
          </cell>
          <cell r="D21" t="str">
            <v>Rs/PMT</v>
          </cell>
          <cell r="E21">
            <v>4650</v>
          </cell>
          <cell r="F21">
            <v>61128.9</v>
          </cell>
          <cell r="G21">
            <v>4650</v>
          </cell>
          <cell r="H21">
            <v>64661.039302500001</v>
          </cell>
        </row>
        <row r="22">
          <cell r="C22" t="str">
            <v>EFS reimbursement - ECA</v>
          </cell>
          <cell r="D22" t="str">
            <v>Rs/PMT</v>
          </cell>
          <cell r="E22">
            <v>530</v>
          </cell>
          <cell r="G22">
            <v>454</v>
          </cell>
        </row>
        <row r="23">
          <cell r="C23" t="str">
            <v>EFS reimbursement - Non-ECA</v>
          </cell>
          <cell r="D23" t="str">
            <v>Rs/PMT</v>
          </cell>
          <cell r="E23">
            <v>430</v>
          </cell>
          <cell r="G23">
            <v>354</v>
          </cell>
        </row>
        <row r="25">
          <cell r="B25" t="str">
            <v>E</v>
          </cell>
          <cell r="C25" t="str">
            <v>Sales Value ( @ Rs.4650 Minus  55 /= PMT)</v>
          </cell>
          <cell r="D25" t="str">
            <v>Rs/PMT</v>
          </cell>
          <cell r="E25">
            <v>4595</v>
          </cell>
          <cell r="F25">
            <v>60405.87</v>
          </cell>
          <cell r="G25">
            <v>4547.8189133998412</v>
          </cell>
          <cell r="H25">
            <v>63240.15</v>
          </cell>
        </row>
        <row r="27">
          <cell r="C27" t="str">
            <v>ECA  ( Regulated : De-regulated Ratio)</v>
          </cell>
        </row>
        <row r="28">
          <cell r="C28" t="str">
            <v>Assumption ( 50 : 50 % of 11.946 LMTs &amp;
 100% on 1.304 LMT)</v>
          </cell>
        </row>
        <row r="29">
          <cell r="C29" t="str">
            <v>ECA  ( Regulated )</v>
          </cell>
          <cell r="D29" t="str">
            <v>MTs</v>
          </cell>
          <cell r="E29">
            <v>717300</v>
          </cell>
          <cell r="G29">
            <v>743481.15</v>
          </cell>
        </row>
        <row r="30">
          <cell r="C30" t="str">
            <v>ECA  ( De-Regulated )</v>
          </cell>
          <cell r="D30" t="str">
            <v>MTs</v>
          </cell>
          <cell r="E30">
            <v>597300</v>
          </cell>
          <cell r="G30">
            <v>410620.45</v>
          </cell>
        </row>
        <row r="31">
          <cell r="C31" t="str">
            <v>Industrial Urea</v>
          </cell>
          <cell r="D31" t="str">
            <v>MTs</v>
          </cell>
          <cell r="E31">
            <v>0</v>
          </cell>
          <cell r="G31">
            <v>39964</v>
          </cell>
        </row>
        <row r="34">
          <cell r="B34" t="str">
            <v>F</v>
          </cell>
          <cell r="C34" t="str">
            <v xml:space="preserve">Rebates &amp; Discounts </v>
          </cell>
          <cell r="D34" t="str">
            <v>Rs/PMT</v>
          </cell>
          <cell r="E34">
            <v>55</v>
          </cell>
          <cell r="F34">
            <v>723.03</v>
          </cell>
          <cell r="G34">
            <v>50.757968560414156</v>
          </cell>
          <cell r="H34">
            <v>705.81999999999994</v>
          </cell>
          <cell r="I34">
            <v>-56.206916574512434</v>
          </cell>
        </row>
        <row r="35">
          <cell r="C35" t="str">
            <v xml:space="preserve">Rebates </v>
          </cell>
          <cell r="D35" t="str">
            <v>Rs/PMT</v>
          </cell>
          <cell r="E35">
            <v>35</v>
          </cell>
          <cell r="F35">
            <v>460.11</v>
          </cell>
          <cell r="G35">
            <v>32.804050520697245</v>
          </cell>
          <cell r="H35">
            <v>456.16</v>
          </cell>
        </row>
        <row r="36">
          <cell r="C36" t="str">
            <v xml:space="preserve">Cash Discounts </v>
          </cell>
          <cell r="D36" t="str">
            <v>Rs/PMT</v>
          </cell>
          <cell r="E36">
            <v>70</v>
          </cell>
          <cell r="F36">
            <v>920.22</v>
          </cell>
          <cell r="G36">
            <v>68.330745185365004</v>
          </cell>
          <cell r="H36">
            <v>950.18</v>
          </cell>
        </row>
        <row r="37">
          <cell r="C37" t="str">
            <v>Overdue Interest</v>
          </cell>
          <cell r="D37" t="str">
            <v>Rs/PMT</v>
          </cell>
          <cell r="E37">
            <v>-50</v>
          </cell>
          <cell r="F37">
            <v>-657.3</v>
          </cell>
          <cell r="G37">
            <v>-50.376827145648079</v>
          </cell>
          <cell r="H37">
            <v>-700.52</v>
          </cell>
        </row>
        <row r="39">
          <cell r="B39" t="str">
            <v>G</v>
          </cell>
          <cell r="C39" t="str">
            <v>Traded Products</v>
          </cell>
          <cell r="F39">
            <v>195.3</v>
          </cell>
          <cell r="H39">
            <v>296</v>
          </cell>
          <cell r="I39">
            <v>-100.69999999999999</v>
          </cell>
        </row>
        <row r="41">
          <cell r="C41" t="str">
            <v>MOP - NIL</v>
          </cell>
        </row>
        <row r="42">
          <cell r="C42" t="str">
            <v xml:space="preserve">Imported Urea - 50000 MTs @ Rs.25/=PMT </v>
          </cell>
          <cell r="D42" t="str">
            <v>Rs Lakhs</v>
          </cell>
          <cell r="F42">
            <v>12.5</v>
          </cell>
        </row>
        <row r="43">
          <cell r="C43" t="str">
            <v>Zinc Sulphate - 7600 MTs @ Rs.1000/=PMT</v>
          </cell>
          <cell r="D43" t="str">
            <v>Rs Lakhs</v>
          </cell>
          <cell r="F43">
            <v>76</v>
          </cell>
        </row>
        <row r="44">
          <cell r="C44" t="str">
            <v>Mahazinc - 136 MTs @ Rs.30000/=PMT)</v>
          </cell>
          <cell r="D44" t="str">
            <v>Rs Lakhs</v>
          </cell>
          <cell r="F44">
            <v>40.799999999999997</v>
          </cell>
        </row>
        <row r="45">
          <cell r="C45" t="str">
            <v>Specialty Fertilizers-550 MT @ Rs.12000/MT</v>
          </cell>
          <cell r="D45" t="str">
            <v>Rs Lakhs</v>
          </cell>
          <cell r="F45">
            <v>66</v>
          </cell>
        </row>
      </sheetData>
      <sheetData sheetId="8"/>
      <sheetData sheetId="9"/>
      <sheetData sheetId="10"/>
      <sheetData sheetId="11">
        <row r="54">
          <cell r="B54" t="str">
            <v>N F C L</v>
          </cell>
          <cell r="H54" t="str">
            <v>Departmental Overhead summary</v>
          </cell>
          <cell r="AE54">
            <v>12</v>
          </cell>
        </row>
        <row r="55">
          <cell r="C55" t="str">
            <v>BUDGET FOR THE YEAR 2004 - 2005</v>
          </cell>
          <cell r="AE55" t="str">
            <v>Rs.in lacs</v>
          </cell>
        </row>
        <row r="56">
          <cell r="C56" t="str">
            <v>SNB</v>
          </cell>
          <cell r="G56" t="str">
            <v>NSB</v>
          </cell>
          <cell r="K56" t="str">
            <v>D I R E C T O R S</v>
          </cell>
          <cell r="P56" t="str">
            <v>S E R V I C E S</v>
          </cell>
          <cell r="AE56" t="str">
            <v>Total</v>
          </cell>
        </row>
        <row r="57">
          <cell r="B57" t="str">
            <v>Account Head</v>
          </cell>
          <cell r="C57">
            <v>202</v>
          </cell>
          <cell r="D57">
            <v>652</v>
          </cell>
          <cell r="E57">
            <v>600</v>
          </cell>
          <cell r="G57">
            <v>1103</v>
          </cell>
          <cell r="H57">
            <v>1104</v>
          </cell>
          <cell r="I57" t="str">
            <v>Total</v>
          </cell>
          <cell r="J57">
            <v>2</v>
          </cell>
          <cell r="K57">
            <v>3</v>
          </cell>
          <cell r="L57">
            <v>5</v>
          </cell>
          <cell r="M57">
            <v>37</v>
          </cell>
          <cell r="N57" t="str">
            <v>Directors</v>
          </cell>
          <cell r="O57">
            <v>34</v>
          </cell>
          <cell r="P57">
            <v>35</v>
          </cell>
          <cell r="Q57">
            <v>36</v>
          </cell>
          <cell r="R57">
            <v>38</v>
          </cell>
          <cell r="S57">
            <v>42</v>
          </cell>
          <cell r="T57">
            <v>44</v>
          </cell>
          <cell r="U57">
            <v>45</v>
          </cell>
          <cell r="V57">
            <v>52</v>
          </cell>
          <cell r="W57">
            <v>53</v>
          </cell>
          <cell r="X57">
            <v>61</v>
          </cell>
          <cell r="Y57">
            <v>65</v>
          </cell>
          <cell r="Z57">
            <v>66</v>
          </cell>
          <cell r="AA57">
            <v>93</v>
          </cell>
          <cell r="AB57">
            <v>94</v>
          </cell>
          <cell r="AC57" t="str">
            <v>Services</v>
          </cell>
          <cell r="AD57" t="str">
            <v>H O</v>
          </cell>
        </row>
        <row r="58">
          <cell r="C58" t="str">
            <v>Plant</v>
          </cell>
          <cell r="D58" t="str">
            <v>Mktg</v>
          </cell>
          <cell r="E58" t="str">
            <v>Finance</v>
          </cell>
          <cell r="F58" t="str">
            <v>Total</v>
          </cell>
          <cell r="G58" t="str">
            <v>Maktg</v>
          </cell>
          <cell r="H58" t="str">
            <v>Finance</v>
          </cell>
          <cell r="J58" t="str">
            <v>CEO</v>
          </cell>
          <cell r="K58" t="str">
            <v>D(BD&amp;SP)</v>
          </cell>
          <cell r="L58" t="str">
            <v>D&amp;COO</v>
          </cell>
          <cell r="M58" t="str">
            <v>D (T)</v>
          </cell>
          <cell r="N58" t="str">
            <v>Sub total</v>
          </cell>
          <cell r="O58" t="str">
            <v>IT</v>
          </cell>
          <cell r="P58" t="str">
            <v>FICC</v>
          </cell>
          <cell r="Q58" t="str">
            <v>Corp Fin</v>
          </cell>
          <cell r="R58" t="str">
            <v>IA</v>
          </cell>
          <cell r="S58" t="str">
            <v>Admin</v>
          </cell>
          <cell r="T58" t="str">
            <v>HPD</v>
          </cell>
          <cell r="U58" t="str">
            <v>CMC</v>
          </cell>
          <cell r="V58" t="str">
            <v>L &amp; S</v>
          </cell>
          <cell r="W58" t="str">
            <v>NISL</v>
          </cell>
          <cell r="X58" t="str">
            <v>Delhi</v>
          </cell>
          <cell r="Y58" t="str">
            <v>Mumbai</v>
          </cell>
          <cell r="Z58" t="str">
            <v>B'lore</v>
          </cell>
          <cell r="AA58" t="str">
            <v>CPC (Corp)</v>
          </cell>
          <cell r="AB58" t="str">
            <v>CPC (Group)</v>
          </cell>
          <cell r="AC58" t="str">
            <v>Subtotal</v>
          </cell>
          <cell r="AD58" t="str">
            <v>TOTAL</v>
          </cell>
        </row>
        <row r="60">
          <cell r="B60" t="str">
            <v>SALARIES &amp; WAGES</v>
          </cell>
        </row>
        <row r="61">
          <cell r="AC61">
            <v>0</v>
          </cell>
        </row>
        <row r="62">
          <cell r="B62" t="str">
            <v>Salaries</v>
          </cell>
          <cell r="C62">
            <v>1429.01</v>
          </cell>
          <cell r="D62">
            <v>419.74</v>
          </cell>
          <cell r="E62">
            <v>68.260000000000005</v>
          </cell>
          <cell r="F62">
            <v>1917.01</v>
          </cell>
          <cell r="G62">
            <v>69.42</v>
          </cell>
          <cell r="H62">
            <v>16.760000000000002</v>
          </cell>
          <cell r="I62">
            <v>86.18</v>
          </cell>
          <cell r="J62">
            <v>95.56</v>
          </cell>
          <cell r="K62">
            <v>12.36</v>
          </cell>
          <cell r="L62">
            <v>43.26</v>
          </cell>
          <cell r="M62">
            <v>42.589999999999996</v>
          </cell>
          <cell r="N62">
            <v>193.77</v>
          </cell>
          <cell r="O62">
            <v>35.840000000000003</v>
          </cell>
          <cell r="P62">
            <v>19.34</v>
          </cell>
          <cell r="Q62">
            <v>92.92</v>
          </cell>
          <cell r="R62">
            <v>24.69</v>
          </cell>
          <cell r="S62">
            <v>27.1</v>
          </cell>
          <cell r="T62">
            <v>28.89</v>
          </cell>
          <cell r="U62">
            <v>9.26</v>
          </cell>
          <cell r="V62">
            <v>25.61</v>
          </cell>
          <cell r="W62">
            <v>5.42</v>
          </cell>
          <cell r="X62">
            <v>12.45</v>
          </cell>
          <cell r="Y62">
            <v>2.68</v>
          </cell>
          <cell r="Z62">
            <v>6.34</v>
          </cell>
          <cell r="AA62">
            <v>65.48</v>
          </cell>
          <cell r="AB62">
            <v>97.23</v>
          </cell>
          <cell r="AC62">
            <v>453.25000000000006</v>
          </cell>
          <cell r="AD62">
            <v>647.0200000000001</v>
          </cell>
          <cell r="AE62">
            <v>2650.21</v>
          </cell>
        </row>
        <row r="63">
          <cell r="B63" t="str">
            <v>Contribution to Funds</v>
          </cell>
          <cell r="C63">
            <v>128.13999999999999</v>
          </cell>
          <cell r="D63">
            <v>48.11</v>
          </cell>
          <cell r="E63">
            <v>5.85</v>
          </cell>
          <cell r="F63">
            <v>182.1</v>
          </cell>
          <cell r="G63">
            <v>5.1899999999999995</v>
          </cell>
          <cell r="H63">
            <v>2.27</v>
          </cell>
          <cell r="I63">
            <v>7.4599999999999991</v>
          </cell>
          <cell r="J63">
            <v>10.27</v>
          </cell>
          <cell r="K63">
            <v>1.99</v>
          </cell>
          <cell r="L63">
            <v>6.92</v>
          </cell>
          <cell r="M63">
            <v>6.2799999999999994</v>
          </cell>
          <cell r="N63">
            <v>25.46</v>
          </cell>
          <cell r="O63">
            <v>1.92</v>
          </cell>
          <cell r="P63">
            <v>1.87</v>
          </cell>
          <cell r="Q63">
            <v>6.63</v>
          </cell>
          <cell r="R63">
            <v>1.94</v>
          </cell>
          <cell r="S63">
            <v>1.5</v>
          </cell>
          <cell r="T63">
            <v>1.5</v>
          </cell>
          <cell r="U63">
            <v>0.55000000000000004</v>
          </cell>
          <cell r="V63">
            <v>1.98</v>
          </cell>
          <cell r="W63">
            <v>0.31</v>
          </cell>
          <cell r="X63">
            <v>0.54</v>
          </cell>
          <cell r="Y63">
            <v>0.15</v>
          </cell>
          <cell r="Z63">
            <v>0.36</v>
          </cell>
          <cell r="AA63">
            <v>5.66</v>
          </cell>
          <cell r="AB63">
            <v>9.9600000000000009</v>
          </cell>
          <cell r="AC63">
            <v>34.869999999999997</v>
          </cell>
          <cell r="AD63">
            <v>60.33</v>
          </cell>
          <cell r="AE63">
            <v>249.89</v>
          </cell>
        </row>
        <row r="64">
          <cell r="B64" t="str">
            <v>Staff Welfare Expenses</v>
          </cell>
          <cell r="C64">
            <v>147.91</v>
          </cell>
          <cell r="D64">
            <v>31.1</v>
          </cell>
          <cell r="E64">
            <v>2</v>
          </cell>
          <cell r="F64">
            <v>181.01</v>
          </cell>
          <cell r="G64">
            <v>1.81</v>
          </cell>
          <cell r="H64">
            <v>0.45</v>
          </cell>
          <cell r="I64">
            <v>2.2600000000000002</v>
          </cell>
          <cell r="J64">
            <v>1.68</v>
          </cell>
          <cell r="K64">
            <v>0</v>
          </cell>
          <cell r="L64">
            <v>0</v>
          </cell>
          <cell r="M64">
            <v>0.47</v>
          </cell>
          <cell r="N64">
            <v>2.15</v>
          </cell>
          <cell r="O64">
            <v>0.87</v>
          </cell>
          <cell r="P64">
            <v>0.03</v>
          </cell>
          <cell r="Q64">
            <v>3.36</v>
          </cell>
          <cell r="R64">
            <v>0.41</v>
          </cell>
          <cell r="S64">
            <v>1.66</v>
          </cell>
          <cell r="T64">
            <v>1.7</v>
          </cell>
          <cell r="U64">
            <v>0.24</v>
          </cell>
          <cell r="V64">
            <v>0.89</v>
          </cell>
          <cell r="W64">
            <v>0.04</v>
          </cell>
          <cell r="X64">
            <v>0.35</v>
          </cell>
          <cell r="Y64">
            <v>0.28999999999999998</v>
          </cell>
          <cell r="Z64">
            <v>0.28999999999999998</v>
          </cell>
          <cell r="AA64">
            <v>0.92</v>
          </cell>
          <cell r="AB64">
            <v>1.04</v>
          </cell>
          <cell r="AC64">
            <v>12.089999999999996</v>
          </cell>
          <cell r="AD64">
            <v>14.239999999999997</v>
          </cell>
          <cell r="AE64">
            <v>197.51</v>
          </cell>
        </row>
        <row r="65">
          <cell r="B65" t="str">
            <v>Contract Wages</v>
          </cell>
          <cell r="C65">
            <v>140.81704353224455</v>
          </cell>
          <cell r="F65">
            <v>140.81704353224455</v>
          </cell>
          <cell r="I65">
            <v>0</v>
          </cell>
          <cell r="N65">
            <v>0</v>
          </cell>
          <cell r="AE65">
            <v>140.81704353224455</v>
          </cell>
        </row>
        <row r="66">
          <cell r="B66" t="str">
            <v>sub total</v>
          </cell>
          <cell r="C66">
            <v>1845.8770435322447</v>
          </cell>
          <cell r="D66">
            <v>498.95000000000005</v>
          </cell>
          <cell r="E66">
            <v>76.11</v>
          </cell>
          <cell r="F66">
            <v>2420.9370435322444</v>
          </cell>
          <cell r="G66">
            <v>76.42</v>
          </cell>
          <cell r="H66">
            <v>19.48</v>
          </cell>
          <cell r="I66">
            <v>95.9</v>
          </cell>
          <cell r="J66">
            <v>107.51</v>
          </cell>
          <cell r="K66">
            <v>14.35</v>
          </cell>
          <cell r="L66">
            <v>50.18</v>
          </cell>
          <cell r="M66">
            <v>49.339999999999996</v>
          </cell>
          <cell r="N66">
            <v>221.38000000000002</v>
          </cell>
          <cell r="O66">
            <v>38.630000000000003</v>
          </cell>
          <cell r="P66">
            <v>21.240000000000002</v>
          </cell>
          <cell r="Q66">
            <v>102.91</v>
          </cell>
          <cell r="R66">
            <v>27.040000000000003</v>
          </cell>
          <cell r="S66">
            <v>30.26</v>
          </cell>
          <cell r="T66">
            <v>32.090000000000003</v>
          </cell>
          <cell r="U66">
            <v>10.050000000000001</v>
          </cell>
          <cell r="V66">
            <v>28.48</v>
          </cell>
          <cell r="W66">
            <v>5.77</v>
          </cell>
          <cell r="X66">
            <v>13.339999999999998</v>
          </cell>
          <cell r="Y66">
            <v>3.12</v>
          </cell>
          <cell r="Z66">
            <v>6.99</v>
          </cell>
          <cell r="AA66">
            <v>72.06</v>
          </cell>
          <cell r="AB66">
            <v>108.23</v>
          </cell>
          <cell r="AC66">
            <v>500.21000000000004</v>
          </cell>
          <cell r="AD66">
            <v>721.59000000000015</v>
          </cell>
          <cell r="AE66">
            <v>3238.4270435322442</v>
          </cell>
        </row>
        <row r="68">
          <cell r="B68" t="str">
            <v>OVERHEADS</v>
          </cell>
        </row>
        <row r="70">
          <cell r="B70" t="str">
            <v>Rent</v>
          </cell>
          <cell r="C70">
            <v>3</v>
          </cell>
          <cell r="D70">
            <v>19</v>
          </cell>
          <cell r="E70">
            <v>0</v>
          </cell>
          <cell r="F70">
            <v>22</v>
          </cell>
          <cell r="G70">
            <v>9.7200000000000006</v>
          </cell>
          <cell r="H70">
            <v>0</v>
          </cell>
          <cell r="I70">
            <v>9.7200000000000006</v>
          </cell>
          <cell r="J70">
            <v>0</v>
          </cell>
          <cell r="K70">
            <v>0</v>
          </cell>
          <cell r="L70">
            <v>0</v>
          </cell>
          <cell r="M70">
            <v>0</v>
          </cell>
          <cell r="N70">
            <v>0</v>
          </cell>
          <cell r="O70">
            <v>0</v>
          </cell>
          <cell r="P70">
            <v>0</v>
          </cell>
          <cell r="Q70">
            <v>0</v>
          </cell>
          <cell r="R70">
            <v>0</v>
          </cell>
          <cell r="S70">
            <v>19</v>
          </cell>
          <cell r="T70">
            <v>0</v>
          </cell>
          <cell r="U70">
            <v>0</v>
          </cell>
          <cell r="V70">
            <v>0</v>
          </cell>
          <cell r="W70">
            <v>0</v>
          </cell>
          <cell r="X70">
            <v>26.4</v>
          </cell>
          <cell r="Y70">
            <v>12</v>
          </cell>
          <cell r="Z70">
            <v>0</v>
          </cell>
          <cell r="AA70">
            <v>0</v>
          </cell>
          <cell r="AB70">
            <v>0</v>
          </cell>
          <cell r="AC70">
            <v>57.4</v>
          </cell>
          <cell r="AD70">
            <v>57.4</v>
          </cell>
          <cell r="AE70">
            <v>89.12</v>
          </cell>
        </row>
        <row r="72">
          <cell r="B72" t="str">
            <v>Rates and Taxes</v>
          </cell>
          <cell r="C72">
            <v>33</v>
          </cell>
          <cell r="D72">
            <v>2</v>
          </cell>
          <cell r="E72">
            <v>0</v>
          </cell>
          <cell r="F72">
            <v>35</v>
          </cell>
          <cell r="G72">
            <v>0</v>
          </cell>
          <cell r="H72">
            <v>0</v>
          </cell>
          <cell r="I72">
            <v>0</v>
          </cell>
          <cell r="J72">
            <v>0</v>
          </cell>
          <cell r="K72">
            <v>0.6</v>
          </cell>
          <cell r="L72">
            <v>0</v>
          </cell>
          <cell r="M72">
            <v>0</v>
          </cell>
          <cell r="N72">
            <v>0.6</v>
          </cell>
          <cell r="O72">
            <v>0</v>
          </cell>
          <cell r="P72">
            <v>0</v>
          </cell>
          <cell r="Q72">
            <v>0</v>
          </cell>
          <cell r="R72">
            <v>0</v>
          </cell>
          <cell r="S72">
            <v>3.3</v>
          </cell>
          <cell r="T72">
            <v>0.2</v>
          </cell>
          <cell r="U72">
            <v>0</v>
          </cell>
          <cell r="V72">
            <v>2.4</v>
          </cell>
          <cell r="W72">
            <v>0</v>
          </cell>
          <cell r="X72">
            <v>7.5</v>
          </cell>
          <cell r="Y72">
            <v>0</v>
          </cell>
          <cell r="Z72">
            <v>0</v>
          </cell>
          <cell r="AA72">
            <v>0</v>
          </cell>
          <cell r="AB72">
            <v>0</v>
          </cell>
          <cell r="AC72">
            <v>13.4</v>
          </cell>
          <cell r="AD72">
            <v>14</v>
          </cell>
          <cell r="AE72">
            <v>49</v>
          </cell>
        </row>
        <row r="74">
          <cell r="B74" t="str">
            <v>Electricy &amp; Water Chgs</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36</v>
          </cell>
          <cell r="T74">
            <v>0</v>
          </cell>
          <cell r="U74">
            <v>0</v>
          </cell>
          <cell r="V74">
            <v>0</v>
          </cell>
          <cell r="W74">
            <v>0</v>
          </cell>
          <cell r="X74">
            <v>1.8</v>
          </cell>
          <cell r="Y74">
            <v>1</v>
          </cell>
          <cell r="Z74">
            <v>0</v>
          </cell>
          <cell r="AA74">
            <v>0</v>
          </cell>
          <cell r="AB74">
            <v>0</v>
          </cell>
          <cell r="AC74">
            <v>38.799999999999997</v>
          </cell>
          <cell r="AD74">
            <v>38.799999999999997</v>
          </cell>
          <cell r="AE74">
            <v>38.799999999999997</v>
          </cell>
        </row>
        <row r="76">
          <cell r="B76" t="str">
            <v>Stores &amp; Spares</v>
          </cell>
          <cell r="C76">
            <v>250</v>
          </cell>
          <cell r="D76">
            <v>0</v>
          </cell>
          <cell r="E76">
            <v>0</v>
          </cell>
          <cell r="F76">
            <v>250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250</v>
          </cell>
        </row>
        <row r="78">
          <cell r="B78" t="str">
            <v>Repairs and Maint.</v>
          </cell>
          <cell r="C78">
            <v>555</v>
          </cell>
          <cell r="D78">
            <v>10</v>
          </cell>
          <cell r="E78">
            <v>0.3</v>
          </cell>
          <cell r="F78">
            <v>565.29999999999995</v>
          </cell>
          <cell r="G78">
            <v>0</v>
          </cell>
          <cell r="H78">
            <v>0.05</v>
          </cell>
          <cell r="I78">
            <v>0.05</v>
          </cell>
          <cell r="J78">
            <v>1</v>
          </cell>
          <cell r="K78">
            <v>0.6</v>
          </cell>
          <cell r="L78">
            <v>0.36</v>
          </cell>
          <cell r="M78">
            <v>0</v>
          </cell>
          <cell r="N78">
            <v>1.96</v>
          </cell>
          <cell r="O78">
            <v>55</v>
          </cell>
          <cell r="P78">
            <v>0</v>
          </cell>
          <cell r="Q78">
            <v>1</v>
          </cell>
          <cell r="R78">
            <v>0</v>
          </cell>
          <cell r="S78">
            <v>12</v>
          </cell>
          <cell r="T78">
            <v>0</v>
          </cell>
          <cell r="U78">
            <v>12</v>
          </cell>
          <cell r="V78">
            <v>0.24</v>
          </cell>
          <cell r="W78">
            <v>0</v>
          </cell>
          <cell r="X78">
            <v>1.2</v>
          </cell>
          <cell r="Y78">
            <v>0.37</v>
          </cell>
          <cell r="Z78">
            <v>1.2</v>
          </cell>
          <cell r="AA78">
            <v>0</v>
          </cell>
          <cell r="AB78">
            <v>0</v>
          </cell>
          <cell r="AC78">
            <v>83.01</v>
          </cell>
          <cell r="AD78">
            <v>84.97</v>
          </cell>
          <cell r="AE78">
            <v>650.31999999999994</v>
          </cell>
        </row>
        <row r="80">
          <cell r="B80" t="str">
            <v>Printing and Stationery</v>
          </cell>
          <cell r="C80">
            <v>9</v>
          </cell>
          <cell r="D80">
            <v>10</v>
          </cell>
          <cell r="E80">
            <v>0.2</v>
          </cell>
          <cell r="F80">
            <v>19.2</v>
          </cell>
          <cell r="G80">
            <v>0</v>
          </cell>
          <cell r="H80">
            <v>0.1</v>
          </cell>
          <cell r="I80">
            <v>0.1</v>
          </cell>
          <cell r="J80">
            <v>2</v>
          </cell>
          <cell r="K80">
            <v>0.6</v>
          </cell>
          <cell r="L80">
            <v>0.36</v>
          </cell>
          <cell r="M80">
            <v>0</v>
          </cell>
          <cell r="N80">
            <v>2.96</v>
          </cell>
          <cell r="O80">
            <v>0.06</v>
          </cell>
          <cell r="P80">
            <v>0</v>
          </cell>
          <cell r="Q80">
            <v>0.3</v>
          </cell>
          <cell r="R80">
            <v>0.06</v>
          </cell>
          <cell r="S80">
            <v>0.6</v>
          </cell>
          <cell r="T80">
            <v>1.2</v>
          </cell>
          <cell r="U80">
            <v>8.6</v>
          </cell>
          <cell r="V80">
            <v>22</v>
          </cell>
          <cell r="W80">
            <v>0</v>
          </cell>
          <cell r="X80">
            <v>0.24</v>
          </cell>
          <cell r="Y80">
            <v>0.09</v>
          </cell>
          <cell r="Z80">
            <v>0.6</v>
          </cell>
          <cell r="AA80">
            <v>0</v>
          </cell>
          <cell r="AB80">
            <v>0</v>
          </cell>
          <cell r="AC80">
            <v>33.750000000000007</v>
          </cell>
          <cell r="AD80">
            <v>36.710000000000008</v>
          </cell>
          <cell r="AE80">
            <v>56.010000000000005</v>
          </cell>
        </row>
        <row r="82">
          <cell r="B82" t="str">
            <v>Post, Telephone, Telex &amp; Fax</v>
          </cell>
          <cell r="C82">
            <v>20.293535205000001</v>
          </cell>
          <cell r="D82">
            <v>45</v>
          </cell>
          <cell r="E82">
            <v>0.6</v>
          </cell>
          <cell r="F82">
            <v>65.893535204999992</v>
          </cell>
          <cell r="G82">
            <v>10</v>
          </cell>
          <cell r="H82">
            <v>0.48</v>
          </cell>
          <cell r="I82">
            <v>10.48</v>
          </cell>
          <cell r="J82">
            <v>11</v>
          </cell>
          <cell r="K82">
            <v>1.8</v>
          </cell>
          <cell r="L82">
            <v>1.5</v>
          </cell>
          <cell r="M82">
            <v>1.5</v>
          </cell>
          <cell r="N82">
            <v>15.8</v>
          </cell>
          <cell r="O82">
            <v>32</v>
          </cell>
          <cell r="P82">
            <v>1.6</v>
          </cell>
          <cell r="Q82">
            <v>1.4500000000000002</v>
          </cell>
          <cell r="R82">
            <v>0.4</v>
          </cell>
          <cell r="S82">
            <v>8</v>
          </cell>
          <cell r="T82">
            <v>0.9</v>
          </cell>
          <cell r="U82">
            <v>0.31</v>
          </cell>
          <cell r="V82">
            <v>30.68</v>
          </cell>
          <cell r="W82">
            <v>0</v>
          </cell>
          <cell r="X82">
            <v>1.8</v>
          </cell>
          <cell r="Y82">
            <v>0.43</v>
          </cell>
          <cell r="Z82">
            <v>2.4</v>
          </cell>
          <cell r="AA82">
            <v>0</v>
          </cell>
          <cell r="AB82">
            <v>0</v>
          </cell>
          <cell r="AC82">
            <v>79.970000000000013</v>
          </cell>
          <cell r="AD82">
            <v>95.77000000000001</v>
          </cell>
          <cell r="AE82">
            <v>172.14353520500001</v>
          </cell>
        </row>
        <row r="84">
          <cell r="B84" t="str">
            <v>Travel &amp; Conveyance</v>
          </cell>
          <cell r="C84">
            <v>52</v>
          </cell>
          <cell r="D84">
            <v>150</v>
          </cell>
          <cell r="E84">
            <v>3.3</v>
          </cell>
          <cell r="F84">
            <v>205.3</v>
          </cell>
          <cell r="G84">
            <v>49.2</v>
          </cell>
          <cell r="H84">
            <v>0.5</v>
          </cell>
          <cell r="I84">
            <v>49.7</v>
          </cell>
          <cell r="J84">
            <v>55</v>
          </cell>
          <cell r="K84">
            <v>12</v>
          </cell>
          <cell r="L84">
            <v>12</v>
          </cell>
          <cell r="M84">
            <v>20</v>
          </cell>
          <cell r="N84">
            <v>99</v>
          </cell>
          <cell r="O84">
            <v>0.18</v>
          </cell>
          <cell r="P84">
            <v>4.2</v>
          </cell>
          <cell r="Q84">
            <v>6</v>
          </cell>
          <cell r="R84">
            <v>4</v>
          </cell>
          <cell r="S84">
            <v>1.2</v>
          </cell>
          <cell r="T84">
            <v>1</v>
          </cell>
          <cell r="U84">
            <v>0.06</v>
          </cell>
          <cell r="V84">
            <v>20.18</v>
          </cell>
          <cell r="W84">
            <v>0</v>
          </cell>
          <cell r="X84">
            <v>3.6</v>
          </cell>
          <cell r="Y84">
            <v>0.85</v>
          </cell>
          <cell r="Z84">
            <v>4.2</v>
          </cell>
          <cell r="AA84">
            <v>0</v>
          </cell>
          <cell r="AB84">
            <v>0</v>
          </cell>
          <cell r="AC84">
            <v>45.47</v>
          </cell>
          <cell r="AD84">
            <v>144.47</v>
          </cell>
          <cell r="AE84">
            <v>399.47</v>
          </cell>
        </row>
        <row r="86">
          <cell r="B86" t="str">
            <v>Advertisement &amp; PR Gifts</v>
          </cell>
          <cell r="C86">
            <v>0</v>
          </cell>
          <cell r="D86">
            <v>265</v>
          </cell>
          <cell r="E86">
            <v>0.25</v>
          </cell>
          <cell r="F86">
            <v>265.25</v>
          </cell>
          <cell r="G86">
            <v>83</v>
          </cell>
          <cell r="H86">
            <v>0.15</v>
          </cell>
          <cell r="I86">
            <v>83.15</v>
          </cell>
          <cell r="J86">
            <v>6.3</v>
          </cell>
          <cell r="K86">
            <v>2.4</v>
          </cell>
          <cell r="L86">
            <v>2.4</v>
          </cell>
          <cell r="M86">
            <v>1.5</v>
          </cell>
          <cell r="N86">
            <v>12.6</v>
          </cell>
          <cell r="O86">
            <v>0</v>
          </cell>
          <cell r="P86">
            <v>0</v>
          </cell>
          <cell r="Q86">
            <v>2</v>
          </cell>
          <cell r="R86">
            <v>0</v>
          </cell>
          <cell r="S86">
            <v>0</v>
          </cell>
          <cell r="T86">
            <v>0</v>
          </cell>
          <cell r="U86">
            <v>0.06</v>
          </cell>
          <cell r="V86">
            <v>1.25</v>
          </cell>
          <cell r="W86">
            <v>0</v>
          </cell>
          <cell r="X86">
            <v>1.2</v>
          </cell>
          <cell r="Y86">
            <v>0</v>
          </cell>
          <cell r="Z86">
            <v>0</v>
          </cell>
          <cell r="AA86">
            <v>0</v>
          </cell>
          <cell r="AB86">
            <v>0</v>
          </cell>
          <cell r="AC86">
            <v>4.51</v>
          </cell>
          <cell r="AD86">
            <v>17.11</v>
          </cell>
          <cell r="AE86">
            <v>365.51</v>
          </cell>
        </row>
        <row r="87">
          <cell r="AG87" t="str">
            <v>Budget</v>
          </cell>
          <cell r="AN87" t="str">
            <v>Rs. Lakhs</v>
          </cell>
        </row>
        <row r="88">
          <cell r="B88" t="str">
            <v>Recruitment &amp; Training</v>
          </cell>
          <cell r="C88">
            <v>12</v>
          </cell>
          <cell r="D88">
            <v>6</v>
          </cell>
          <cell r="E88">
            <v>0.2</v>
          </cell>
          <cell r="F88">
            <v>18.2</v>
          </cell>
          <cell r="G88">
            <v>0</v>
          </cell>
          <cell r="H88">
            <v>0.2</v>
          </cell>
          <cell r="I88">
            <v>0.2</v>
          </cell>
          <cell r="J88" t="str">
            <v>0.00</v>
          </cell>
          <cell r="K88">
            <v>0.24</v>
          </cell>
          <cell r="L88">
            <v>0.2</v>
          </cell>
          <cell r="M88">
            <v>0</v>
          </cell>
          <cell r="N88">
            <v>0.44</v>
          </cell>
          <cell r="O88">
            <v>1</v>
          </cell>
          <cell r="P88">
            <v>0</v>
          </cell>
          <cell r="Q88">
            <v>1.2</v>
          </cell>
          <cell r="R88">
            <v>0.36</v>
          </cell>
          <cell r="S88">
            <v>0</v>
          </cell>
          <cell r="T88">
            <v>19</v>
          </cell>
          <cell r="U88">
            <v>0.06</v>
          </cell>
          <cell r="V88">
            <v>0.5</v>
          </cell>
          <cell r="W88">
            <v>0</v>
          </cell>
          <cell r="X88">
            <v>0</v>
          </cell>
          <cell r="Y88">
            <v>0</v>
          </cell>
          <cell r="Z88">
            <v>0</v>
          </cell>
          <cell r="AA88">
            <v>0</v>
          </cell>
          <cell r="AB88">
            <v>0</v>
          </cell>
          <cell r="AC88">
            <v>22.119999999999997</v>
          </cell>
          <cell r="AD88">
            <v>22.56</v>
          </cell>
          <cell r="AE88">
            <v>40.959999999999994</v>
          </cell>
          <cell r="AG88" t="str">
            <v>Ref.</v>
          </cell>
          <cell r="AH88" t="str">
            <v>Reconciliation</v>
          </cell>
          <cell r="AI88" t="str">
            <v>2004-05</v>
          </cell>
          <cell r="AJ88" t="str">
            <v>2003-04</v>
          </cell>
          <cell r="AK88" t="str">
            <v>Variance</v>
          </cell>
          <cell r="AM88" t="str">
            <v>Remarks</v>
          </cell>
        </row>
        <row r="89">
          <cell r="AG89">
            <v>6</v>
          </cell>
          <cell r="AH89" t="str">
            <v>Increase in cost of RM/P&amp;F</v>
          </cell>
        </row>
        <row r="90">
          <cell r="B90" t="str">
            <v>Professional Charges</v>
          </cell>
          <cell r="C90">
            <v>270</v>
          </cell>
          <cell r="D90">
            <v>2</v>
          </cell>
          <cell r="E90">
            <v>2</v>
          </cell>
          <cell r="F90">
            <v>274</v>
          </cell>
          <cell r="G90">
            <v>0</v>
          </cell>
          <cell r="H90">
            <v>0</v>
          </cell>
          <cell r="I90">
            <v>0</v>
          </cell>
          <cell r="J90">
            <v>140</v>
          </cell>
          <cell r="K90">
            <v>2.4</v>
          </cell>
          <cell r="L90">
            <v>0</v>
          </cell>
          <cell r="M90">
            <v>0.5</v>
          </cell>
          <cell r="N90">
            <v>142.9</v>
          </cell>
          <cell r="O90">
            <v>8</v>
          </cell>
          <cell r="P90">
            <v>0</v>
          </cell>
          <cell r="Q90">
            <v>198</v>
          </cell>
          <cell r="R90">
            <v>0</v>
          </cell>
          <cell r="S90">
            <v>0</v>
          </cell>
          <cell r="T90">
            <v>1</v>
          </cell>
          <cell r="U90">
            <v>0</v>
          </cell>
          <cell r="V90">
            <v>43.9</v>
          </cell>
          <cell r="W90">
            <v>30</v>
          </cell>
          <cell r="X90">
            <v>0</v>
          </cell>
          <cell r="Y90">
            <v>0</v>
          </cell>
          <cell r="Z90">
            <v>0</v>
          </cell>
          <cell r="AA90">
            <v>116.5</v>
          </cell>
          <cell r="AB90">
            <v>0</v>
          </cell>
          <cell r="AC90">
            <v>397.4</v>
          </cell>
          <cell r="AD90">
            <v>540.29999999999995</v>
          </cell>
          <cell r="AE90">
            <v>814.3</v>
          </cell>
          <cell r="AI90" t="str">
            <v>Total cost of RM / P&amp;F</v>
          </cell>
          <cell r="AK90" t="str">
            <v>2004-05</v>
          </cell>
          <cell r="AL90" t="str">
            <v>2003-04</v>
          </cell>
          <cell r="AM90" t="str">
            <v>Differences</v>
          </cell>
        </row>
        <row r="91">
          <cell r="AI91" t="str">
            <v>GAS / Naphtha</v>
          </cell>
          <cell r="AK91">
            <v>61165.06</v>
          </cell>
          <cell r="AL91">
            <v>41050.949999999997</v>
          </cell>
          <cell r="AM91">
            <v>20114.11</v>
          </cell>
        </row>
        <row r="92">
          <cell r="B92" t="str">
            <v>Auditors remuneration</v>
          </cell>
          <cell r="C92">
            <v>0</v>
          </cell>
          <cell r="D92">
            <v>0</v>
          </cell>
          <cell r="E92">
            <v>2</v>
          </cell>
          <cell r="F92">
            <v>2</v>
          </cell>
          <cell r="G92">
            <v>0</v>
          </cell>
          <cell r="H92">
            <v>0</v>
          </cell>
          <cell r="I92">
            <v>0</v>
          </cell>
          <cell r="J92">
            <v>0</v>
          </cell>
          <cell r="K92">
            <v>0</v>
          </cell>
          <cell r="L92">
            <v>0</v>
          </cell>
          <cell r="M92">
            <v>0</v>
          </cell>
          <cell r="N92">
            <v>0</v>
          </cell>
          <cell r="O92">
            <v>0</v>
          </cell>
          <cell r="P92">
            <v>0</v>
          </cell>
          <cell r="Q92">
            <v>30</v>
          </cell>
          <cell r="R92">
            <v>0</v>
          </cell>
          <cell r="S92">
            <v>0</v>
          </cell>
          <cell r="T92">
            <v>0</v>
          </cell>
          <cell r="U92">
            <v>0</v>
          </cell>
          <cell r="V92">
            <v>0</v>
          </cell>
          <cell r="W92">
            <v>0</v>
          </cell>
          <cell r="X92">
            <v>0</v>
          </cell>
          <cell r="Y92">
            <v>0</v>
          </cell>
          <cell r="Z92">
            <v>0</v>
          </cell>
          <cell r="AA92">
            <v>0</v>
          </cell>
          <cell r="AB92">
            <v>0</v>
          </cell>
          <cell r="AC92">
            <v>30</v>
          </cell>
          <cell r="AD92">
            <v>30</v>
          </cell>
          <cell r="AE92">
            <v>32</v>
          </cell>
          <cell r="AI92" t="str">
            <v>Subsidy</v>
          </cell>
          <cell r="AK92">
            <v>45243.214100839999</v>
          </cell>
          <cell r="AL92">
            <v>29370.460000000003</v>
          </cell>
          <cell r="AM92">
            <v>15872.754100839997</v>
          </cell>
        </row>
        <row r="94">
          <cell r="B94" t="str">
            <v>Pantry Expenses</v>
          </cell>
          <cell r="C94">
            <v>0</v>
          </cell>
          <cell r="D94">
            <v>0</v>
          </cell>
          <cell r="E94">
            <v>0.12</v>
          </cell>
          <cell r="F94">
            <v>0.12</v>
          </cell>
          <cell r="G94">
            <v>0</v>
          </cell>
          <cell r="H94">
            <v>0.1</v>
          </cell>
          <cell r="I94">
            <v>0.1</v>
          </cell>
          <cell r="J94">
            <v>1.1000000000000001</v>
          </cell>
          <cell r="K94">
            <v>0.36</v>
          </cell>
          <cell r="L94">
            <v>0.36</v>
          </cell>
          <cell r="M94">
            <v>0</v>
          </cell>
          <cell r="N94">
            <v>1.8199999999999998</v>
          </cell>
          <cell r="O94">
            <v>0</v>
          </cell>
          <cell r="P94">
            <v>0</v>
          </cell>
          <cell r="Q94">
            <v>0.55000000000000004</v>
          </cell>
          <cell r="R94">
            <v>0</v>
          </cell>
          <cell r="S94">
            <v>0.24</v>
          </cell>
          <cell r="T94">
            <v>0</v>
          </cell>
          <cell r="U94">
            <v>0</v>
          </cell>
          <cell r="V94">
            <v>0.12</v>
          </cell>
          <cell r="W94">
            <v>0</v>
          </cell>
          <cell r="X94">
            <v>0.48</v>
          </cell>
          <cell r="Y94">
            <v>0.1</v>
          </cell>
          <cell r="Z94">
            <v>0</v>
          </cell>
          <cell r="AA94">
            <v>0</v>
          </cell>
          <cell r="AB94">
            <v>0</v>
          </cell>
          <cell r="AC94">
            <v>1.4900000000000002</v>
          </cell>
          <cell r="AD94">
            <v>3.31</v>
          </cell>
          <cell r="AE94">
            <v>3.5300000000000002</v>
          </cell>
          <cell r="AI94" t="str">
            <v>Difference</v>
          </cell>
          <cell r="AK94">
            <v>15921.845899159998</v>
          </cell>
          <cell r="AL94">
            <v>11680.489999999994</v>
          </cell>
          <cell r="AM94">
            <v>4241.3558991600039</v>
          </cell>
        </row>
        <row r="96">
          <cell r="B96" t="str">
            <v>Research &amp; Development</v>
          </cell>
          <cell r="C96">
            <v>0</v>
          </cell>
          <cell r="D96">
            <v>0</v>
          </cell>
          <cell r="E96">
            <v>0</v>
          </cell>
          <cell r="F96">
            <v>0</v>
          </cell>
          <cell r="G96">
            <v>0</v>
          </cell>
          <cell r="H96">
            <v>0</v>
          </cell>
          <cell r="I96">
            <v>0</v>
          </cell>
          <cell r="J96">
            <v>174</v>
          </cell>
          <cell r="K96">
            <v>0</v>
          </cell>
          <cell r="L96">
            <v>0</v>
          </cell>
          <cell r="M96">
            <v>0</v>
          </cell>
          <cell r="N96">
            <v>174</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174</v>
          </cell>
          <cell r="AE96">
            <v>174</v>
          </cell>
        </row>
        <row r="98">
          <cell r="B98" t="str">
            <v>Write-offs</v>
          </cell>
          <cell r="D98">
            <v>23.18</v>
          </cell>
          <cell r="F98">
            <v>23.18</v>
          </cell>
          <cell r="I98">
            <v>0</v>
          </cell>
          <cell r="N98">
            <v>0</v>
          </cell>
          <cell r="AD98">
            <v>0</v>
          </cell>
          <cell r="AE98">
            <v>23.18</v>
          </cell>
        </row>
        <row r="99">
          <cell r="AI99" t="str">
            <v>explanation</v>
          </cell>
        </row>
        <row r="100">
          <cell r="B100" t="str">
            <v>Miscellaneous Expenses</v>
          </cell>
          <cell r="C100">
            <v>93</v>
          </cell>
          <cell r="D100">
            <v>48</v>
          </cell>
          <cell r="E100">
            <v>0.5</v>
          </cell>
          <cell r="F100">
            <v>141.5</v>
          </cell>
          <cell r="G100">
            <v>15</v>
          </cell>
          <cell r="H100">
            <v>0.2</v>
          </cell>
          <cell r="I100">
            <v>15.2</v>
          </cell>
          <cell r="J100">
            <v>73.399999999999977</v>
          </cell>
          <cell r="K100">
            <v>3</v>
          </cell>
          <cell r="L100">
            <v>2.4</v>
          </cell>
          <cell r="M100">
            <v>0.7</v>
          </cell>
          <cell r="N100">
            <v>79.499999999999986</v>
          </cell>
          <cell r="O100">
            <v>0.06</v>
          </cell>
          <cell r="P100">
            <v>1.2</v>
          </cell>
          <cell r="Q100">
            <v>3</v>
          </cell>
          <cell r="R100">
            <v>0.18</v>
          </cell>
          <cell r="S100">
            <v>37.5</v>
          </cell>
          <cell r="T100">
            <v>19.84</v>
          </cell>
          <cell r="U100">
            <v>0.06</v>
          </cell>
          <cell r="V100">
            <v>5</v>
          </cell>
          <cell r="W100">
            <v>0</v>
          </cell>
          <cell r="X100">
            <v>4.8</v>
          </cell>
          <cell r="Y100">
            <v>2.41</v>
          </cell>
          <cell r="Z100">
            <v>4.8</v>
          </cell>
          <cell r="AA100">
            <v>0</v>
          </cell>
          <cell r="AB100">
            <v>0</v>
          </cell>
          <cell r="AC100">
            <v>78.849999999999994</v>
          </cell>
          <cell r="AD100">
            <v>158.34999999999997</v>
          </cell>
          <cell r="AE100">
            <v>315.04999999999995</v>
          </cell>
          <cell r="AI100" t="str">
            <v>Revision of Energy norms</v>
          </cell>
        </row>
        <row r="101">
          <cell r="AI101" t="str">
            <v>5.78 / 6.21 to 5.712</v>
          </cell>
          <cell r="AM101">
            <v>1893.9375</v>
          </cell>
        </row>
        <row r="102">
          <cell r="B102" t="str">
            <v>sub total</v>
          </cell>
          <cell r="C102">
            <v>1297.2935352049999</v>
          </cell>
          <cell r="D102">
            <v>580.17999999999995</v>
          </cell>
          <cell r="E102">
            <v>9.4700000000000006</v>
          </cell>
          <cell r="F102">
            <v>1886.943535205</v>
          </cell>
          <cell r="G102">
            <v>166.92000000000002</v>
          </cell>
          <cell r="H102">
            <v>1.7799999999999998</v>
          </cell>
          <cell r="I102">
            <v>168.7</v>
          </cell>
          <cell r="J102">
            <v>463.79999999999995</v>
          </cell>
          <cell r="K102">
            <v>23.999999999999996</v>
          </cell>
          <cell r="L102">
            <v>19.579999999999995</v>
          </cell>
          <cell r="M102">
            <v>24.2</v>
          </cell>
          <cell r="N102">
            <v>531.57999999999993</v>
          </cell>
          <cell r="O102">
            <v>96.300000000000011</v>
          </cell>
          <cell r="P102">
            <v>7.0000000000000009</v>
          </cell>
          <cell r="Q102">
            <v>243.5</v>
          </cell>
          <cell r="R102">
            <v>5</v>
          </cell>
          <cell r="S102">
            <v>117.83999999999999</v>
          </cell>
          <cell r="T102">
            <v>43.14</v>
          </cell>
          <cell r="U102">
            <v>21.149999999999995</v>
          </cell>
          <cell r="V102">
            <v>126.27000000000001</v>
          </cell>
          <cell r="W102">
            <v>30</v>
          </cell>
          <cell r="X102">
            <v>49.019999999999996</v>
          </cell>
          <cell r="Y102">
            <v>17.25</v>
          </cell>
          <cell r="Z102">
            <v>13.2</v>
          </cell>
          <cell r="AA102">
            <v>116.5</v>
          </cell>
          <cell r="AB102">
            <v>0</v>
          </cell>
          <cell r="AC102">
            <v>886.17000000000007</v>
          </cell>
          <cell r="AD102">
            <v>1417.7499999999998</v>
          </cell>
          <cell r="AE102">
            <v>3473.3935352050003</v>
          </cell>
          <cell r="AI102" t="str">
            <v>Rs 170 / MT CC/CRC/SE  reduction</v>
          </cell>
          <cell r="AM102">
            <v>2252.5</v>
          </cell>
        </row>
        <row r="103">
          <cell r="AM103">
            <v>4146.4375</v>
          </cell>
        </row>
        <row r="104">
          <cell r="B104" t="str">
            <v>Insurance</v>
          </cell>
          <cell r="C104">
            <v>613</v>
          </cell>
          <cell r="D104">
            <v>50</v>
          </cell>
          <cell r="E104">
            <v>0</v>
          </cell>
          <cell r="F104">
            <v>663</v>
          </cell>
          <cell r="G104">
            <v>0</v>
          </cell>
          <cell r="H104">
            <v>0</v>
          </cell>
          <cell r="I104">
            <v>0</v>
          </cell>
          <cell r="J104">
            <v>0.28999999999999998</v>
          </cell>
          <cell r="K104">
            <v>0</v>
          </cell>
          <cell r="L104">
            <v>0</v>
          </cell>
          <cell r="M104">
            <v>0</v>
          </cell>
          <cell r="N104">
            <v>0.28999999999999998</v>
          </cell>
          <cell r="O104">
            <v>0</v>
          </cell>
          <cell r="P104">
            <v>0</v>
          </cell>
          <cell r="Q104">
            <v>0</v>
          </cell>
          <cell r="R104">
            <v>0</v>
          </cell>
          <cell r="S104">
            <v>0</v>
          </cell>
          <cell r="T104">
            <v>40.79</v>
          </cell>
          <cell r="U104">
            <v>0</v>
          </cell>
          <cell r="V104">
            <v>0</v>
          </cell>
          <cell r="W104">
            <v>0</v>
          </cell>
          <cell r="X104">
            <v>0.18</v>
          </cell>
          <cell r="Y104">
            <v>0</v>
          </cell>
          <cell r="Z104">
            <v>0</v>
          </cell>
          <cell r="AA104">
            <v>0</v>
          </cell>
          <cell r="AB104">
            <v>0</v>
          </cell>
          <cell r="AC104">
            <v>40.97</v>
          </cell>
          <cell r="AD104">
            <v>41.26</v>
          </cell>
          <cell r="AE104">
            <v>704.26</v>
          </cell>
        </row>
        <row r="105">
          <cell r="AG105">
            <v>7</v>
          </cell>
          <cell r="AH105" t="str">
            <v xml:space="preserve">Power &amp; Fuel </v>
          </cell>
          <cell r="AI105" t="str">
            <v>Breakup between Feed Stock and Power &amp; Fuel to be obtained from Factory - process department.</v>
          </cell>
        </row>
        <row r="106">
          <cell r="F106">
            <v>0</v>
          </cell>
          <cell r="I106">
            <v>0</v>
          </cell>
          <cell r="AE106">
            <v>0</v>
          </cell>
          <cell r="AI106" t="str">
            <v>However based on the past record the ratio is taken at 56:44 between Feedstock &amp; Fuel and worked out the</v>
          </cell>
        </row>
        <row r="107">
          <cell r="F107">
            <v>0</v>
          </cell>
          <cell r="AI107" t="str">
            <v>figures.  Can be corrected on receipt of actual budget work from the Factory.</v>
          </cell>
        </row>
        <row r="108">
          <cell r="B108" t="str">
            <v>Interest &amp; FC</v>
          </cell>
          <cell r="C108">
            <v>6709.6803348177791</v>
          </cell>
          <cell r="D108">
            <v>1653.4955555555562</v>
          </cell>
          <cell r="E108">
            <v>0</v>
          </cell>
          <cell r="F108">
            <v>8363.1758903733353</v>
          </cell>
          <cell r="G108">
            <v>55.637777777777778</v>
          </cell>
          <cell r="H108">
            <v>0</v>
          </cell>
          <cell r="I108">
            <v>55.637777777777778</v>
          </cell>
          <cell r="J108">
            <v>6549.0522499999997</v>
          </cell>
          <cell r="K108">
            <v>0</v>
          </cell>
          <cell r="N108">
            <v>6549.0522499999997</v>
          </cell>
          <cell r="Q108">
            <v>278.18888888888898</v>
          </cell>
          <cell r="AC108">
            <v>278.18888888888898</v>
          </cell>
          <cell r="AD108">
            <v>6827.2411388888886</v>
          </cell>
          <cell r="AE108">
            <v>15246.054807040002</v>
          </cell>
          <cell r="AG108">
            <v>10</v>
          </cell>
          <cell r="AH108" t="str">
            <v>Salaries up by Rs.3.41 cr.</v>
          </cell>
          <cell r="AI108" t="str">
            <v xml:space="preserve">The net Increae is Rs. 2.62 Cr. only. ( including new directors remuneration) </v>
          </cell>
        </row>
        <row r="109">
          <cell r="AH109" t="str">
            <v>Contr. funds up by Rs. 0.71 cr.</v>
          </cell>
          <cell r="AI109" t="str">
            <v>Basket allowances are accounted in overhead expenses accounts during 2003-04 about Rs. 1.00 cr.</v>
          </cell>
        </row>
        <row r="110">
          <cell r="B110" t="str">
            <v>GRAND TOTAL</v>
          </cell>
          <cell r="C110">
            <v>10465.850913555023</v>
          </cell>
          <cell r="D110">
            <v>2782.6255555555563</v>
          </cell>
          <cell r="E110">
            <v>85.58</v>
          </cell>
          <cell r="F110">
            <v>13334.056469110579</v>
          </cell>
          <cell r="G110">
            <v>298.97777777777782</v>
          </cell>
          <cell r="H110">
            <v>21.26</v>
          </cell>
          <cell r="I110">
            <v>320.23777777777781</v>
          </cell>
          <cell r="J110">
            <v>7120.6522499999992</v>
          </cell>
          <cell r="K110">
            <v>38.349999999999994</v>
          </cell>
          <cell r="L110">
            <v>69.759999999999991</v>
          </cell>
          <cell r="M110">
            <v>73.539999999999992</v>
          </cell>
          <cell r="N110">
            <v>7302.3022499999997</v>
          </cell>
          <cell r="O110">
            <v>134.93</v>
          </cell>
          <cell r="P110">
            <v>28.240000000000002</v>
          </cell>
          <cell r="Q110">
            <v>624.59888888888895</v>
          </cell>
          <cell r="R110">
            <v>32.040000000000006</v>
          </cell>
          <cell r="S110">
            <v>148.1</v>
          </cell>
          <cell r="T110">
            <v>116.02000000000001</v>
          </cell>
          <cell r="U110">
            <v>31.199999999999996</v>
          </cell>
          <cell r="V110">
            <v>154.75</v>
          </cell>
          <cell r="W110">
            <v>35.769999999999996</v>
          </cell>
          <cell r="X110">
            <v>62.539999999999992</v>
          </cell>
          <cell r="Y110">
            <v>20.37</v>
          </cell>
          <cell r="Z110">
            <v>20.189999999999998</v>
          </cell>
          <cell r="AA110">
            <v>188.56</v>
          </cell>
          <cell r="AB110">
            <v>108.23</v>
          </cell>
          <cell r="AC110">
            <v>1705.5388888888892</v>
          </cell>
          <cell r="AD110">
            <v>9007.841138888889</v>
          </cell>
          <cell r="AE110">
            <v>22662.135385777248</v>
          </cell>
          <cell r="AH110" t="str">
            <v>Welfare down by  Rs. 1.64cr.</v>
          </cell>
          <cell r="AI110" t="str">
            <v xml:space="preserve">The increase is mainly attributable to normal escalation of 3% and additions to manpower in NSB </v>
          </cell>
        </row>
        <row r="112">
          <cell r="AG112">
            <v>12</v>
          </cell>
          <cell r="AH112" t="str">
            <v>Packing Cost up</v>
          </cell>
          <cell r="AI112" t="str">
            <v>Average packing rate increase by Rs. 0.75 per bag amounting to Rs. 179 lakhs  (Rs 225/pmt)</v>
          </cell>
        </row>
        <row r="113">
          <cell r="AI113" t="str">
            <v>Further production increase from 11.946 lmt to 13.25 lmt amounting to Rs. 313 lakhs.  (Rs 240 /pmt)</v>
          </cell>
        </row>
        <row r="115">
          <cell r="AG115">
            <v>13</v>
          </cell>
          <cell r="AH115" t="str">
            <v>Transport Subsidy up</v>
          </cell>
          <cell r="AI115" t="str">
            <v xml:space="preserve">ECA allocation during 2003-04 was @ 64% and Non-ECA @ 36%. </v>
          </cell>
        </row>
        <row r="116">
          <cell r="AI116" t="str">
            <v xml:space="preserve">Current FY (2004-05)ECA :Non-ECA is at 50:50 </v>
          </cell>
        </row>
        <row r="117">
          <cell r="AI117" t="str">
            <v>Increased Dispatch 130400 mt resulted in Rs. 692 lakhs</v>
          </cell>
        </row>
        <row r="118">
          <cell r="AI118" t="str">
            <v>Change in EFS rate of ECA/Non-ECA  Rs. 904 lakhs</v>
          </cell>
        </row>
        <row r="119">
          <cell r="AI119" t="str">
            <v>Arrears of EFS Rs. 388 lakhs in 2003-04 not there in 2004-05</v>
          </cell>
        </row>
        <row r="121">
          <cell r="AI121" t="str">
            <v>Over all Rs. 1208 lakhs increase in the EFS for 2004-05</v>
          </cell>
        </row>
        <row r="123">
          <cell r="AH123" t="str">
            <v>Handling Cost up by Rs. 0.99 cr.</v>
          </cell>
        </row>
        <row r="124">
          <cell r="AI124" t="str">
            <v>Increased productin by (13.25-11.95) 1.3 lmt resulted in Rs 81 lakhs</v>
          </cell>
        </row>
        <row r="125">
          <cell r="AI125" t="str">
            <v xml:space="preserve">Handling expenses in 2003-04 Rs. 20 lakhs not there in current year, as only contribution is taken from the </v>
          </cell>
        </row>
        <row r="126">
          <cell r="AI126" t="str">
            <v>Trading activity.</v>
          </cell>
        </row>
        <row r="127">
          <cell r="AG127">
            <v>15</v>
          </cell>
          <cell r="AH127" t="str">
            <v>Rent</v>
          </cell>
          <cell r="AI127">
            <v>89.12</v>
          </cell>
          <cell r="AJ127">
            <v>94.54</v>
          </cell>
          <cell r="AK127">
            <v>-5.4200000000000017</v>
          </cell>
        </row>
        <row r="128">
          <cell r="AL128" t="str">
            <v xml:space="preserve">Delhi </v>
          </cell>
          <cell r="AN128">
            <v>3</v>
          </cell>
        </row>
        <row r="129">
          <cell r="AL129" t="str">
            <v xml:space="preserve">MDO-ICICI knowledge park </v>
          </cell>
          <cell r="AN129">
            <v>-6.24</v>
          </cell>
        </row>
        <row r="130">
          <cell r="AJ130" t="str">
            <v>inter change / Sal</v>
          </cell>
          <cell r="AL130" t="str">
            <v>CPC- Executive lease rent</v>
          </cell>
          <cell r="AN130">
            <v>-11.68</v>
          </cell>
        </row>
        <row r="131">
          <cell r="AL131" t="str">
            <v>NSB</v>
          </cell>
          <cell r="AN131">
            <v>9.7200000000000006</v>
          </cell>
        </row>
        <row r="132">
          <cell r="AN132">
            <v>-5.1999999999999993</v>
          </cell>
        </row>
        <row r="133">
          <cell r="AG133">
            <v>15</v>
          </cell>
          <cell r="AH133" t="str">
            <v>Rates &amp; Taxs</v>
          </cell>
          <cell r="AI133">
            <v>49</v>
          </cell>
          <cell r="AJ133">
            <v>63.55</v>
          </cell>
          <cell r="AK133">
            <v>-14.549999999999997</v>
          </cell>
          <cell r="AL133" t="str">
            <v>Plant</v>
          </cell>
          <cell r="AN133">
            <v>-15.88</v>
          </cell>
        </row>
        <row r="134">
          <cell r="AL134" t="str">
            <v xml:space="preserve">Property Tax arrears paid in 2003-04 not required in 2004-05 </v>
          </cell>
        </row>
        <row r="137">
          <cell r="AG137">
            <v>15</v>
          </cell>
          <cell r="AH137" t="str">
            <v>Elec &amp; Water</v>
          </cell>
          <cell r="AI137">
            <v>38.799999999999997</v>
          </cell>
          <cell r="AJ137">
            <v>53.06</v>
          </cell>
          <cell r="AK137">
            <v>-14.260000000000005</v>
          </cell>
          <cell r="AL137" t="str">
            <v>Delhi</v>
          </cell>
          <cell r="AN137">
            <v>0.19</v>
          </cell>
        </row>
        <row r="138">
          <cell r="AL138" t="str">
            <v>MDO - ICICI knowledge park</v>
          </cell>
          <cell r="AN138">
            <v>-0.78</v>
          </cell>
        </row>
        <row r="139">
          <cell r="AL139" t="str">
            <v>Mumbai</v>
          </cell>
          <cell r="AN139">
            <v>0.51</v>
          </cell>
        </row>
        <row r="140">
          <cell r="AL140" t="str">
            <v xml:space="preserve">Corp </v>
          </cell>
          <cell r="AN140">
            <v>-2.29</v>
          </cell>
        </row>
        <row r="141">
          <cell r="AL141" t="str">
            <v>Plant</v>
          </cell>
          <cell r="AN141">
            <v>-1.78</v>
          </cell>
        </row>
        <row r="142">
          <cell r="AL142" t="str">
            <v>Mktg</v>
          </cell>
          <cell r="AN142">
            <v>-10.039999999999999</v>
          </cell>
        </row>
        <row r="143">
          <cell r="AN143">
            <v>-14.19</v>
          </cell>
        </row>
        <row r="144">
          <cell r="AG144">
            <v>15</v>
          </cell>
          <cell r="AH144" t="str">
            <v xml:space="preserve">Repairs &amp; Maint. to Buildings </v>
          </cell>
          <cell r="AI144">
            <v>36.25</v>
          </cell>
          <cell r="AJ144">
            <v>21.06</v>
          </cell>
          <cell r="AK144">
            <v>15.190000000000001</v>
          </cell>
          <cell r="AL144" t="str">
            <v>Buildings</v>
          </cell>
        </row>
        <row r="145">
          <cell r="AI145">
            <v>216.68</v>
          </cell>
          <cell r="AJ145">
            <v>351.6</v>
          </cell>
          <cell r="AK145">
            <v>-134.92000000000002</v>
          </cell>
          <cell r="AL145" t="str">
            <v>Plant</v>
          </cell>
        </row>
        <row r="146">
          <cell r="AI146">
            <v>197.39</v>
          </cell>
          <cell r="AJ146">
            <v>187.16</v>
          </cell>
          <cell r="AK146">
            <v>10.22999999999999</v>
          </cell>
          <cell r="AL146" t="str">
            <v>Others</v>
          </cell>
        </row>
        <row r="148">
          <cell r="AG148">
            <v>15</v>
          </cell>
          <cell r="AH148" t="str">
            <v>Printing &amp; Stationery</v>
          </cell>
          <cell r="AI148">
            <v>56.01</v>
          </cell>
          <cell r="AJ148">
            <v>46.25</v>
          </cell>
          <cell r="AK148">
            <v>9.759999999999998</v>
          </cell>
          <cell r="AL148" t="str">
            <v>D(BD&amp;SP)</v>
          </cell>
          <cell r="AN148">
            <v>0.6</v>
          </cell>
        </row>
        <row r="149">
          <cell r="AL149" t="str">
            <v>HPD</v>
          </cell>
          <cell r="AN149">
            <v>1.0999999999999999</v>
          </cell>
        </row>
        <row r="150">
          <cell r="AL150" t="str">
            <v>CMC</v>
          </cell>
          <cell r="AN150">
            <v>2.67</v>
          </cell>
        </row>
        <row r="151">
          <cell r="AL151" t="str">
            <v>Plant</v>
          </cell>
          <cell r="AN151">
            <v>1.7800000000000002</v>
          </cell>
        </row>
        <row r="152">
          <cell r="AL152" t="str">
            <v>Mktg</v>
          </cell>
          <cell r="AN152">
            <v>2.08</v>
          </cell>
        </row>
        <row r="153">
          <cell r="AL153" t="str">
            <v>Legal &amp; Secretarial</v>
          </cell>
          <cell r="AN153">
            <v>1.5299999999999976</v>
          </cell>
        </row>
        <row r="154">
          <cell r="AN154">
            <v>9.759999999999998</v>
          </cell>
        </row>
        <row r="156">
          <cell r="AG156">
            <v>15</v>
          </cell>
          <cell r="AH156" t="str">
            <v>Postages Telephone Telex</v>
          </cell>
          <cell r="AI156">
            <v>172.14353520500003</v>
          </cell>
          <cell r="AJ156">
            <v>158.12</v>
          </cell>
          <cell r="AK156">
            <v>14.02353520500003</v>
          </cell>
          <cell r="AL156" t="str">
            <v>VC &amp; MD</v>
          </cell>
          <cell r="AN156">
            <v>1</v>
          </cell>
        </row>
        <row r="157">
          <cell r="AL157" t="str">
            <v>D(BD&amp;SP)</v>
          </cell>
          <cell r="AN157">
            <v>1.8</v>
          </cell>
        </row>
        <row r="158">
          <cell r="AL158" t="str">
            <v>D&amp;COO</v>
          </cell>
          <cell r="AN158">
            <v>1.5</v>
          </cell>
        </row>
        <row r="159">
          <cell r="AL159" t="str">
            <v>IT</v>
          </cell>
          <cell r="AN159">
            <v>1.6900000000000013</v>
          </cell>
        </row>
        <row r="160">
          <cell r="AL160" t="str">
            <v>L&amp;S</v>
          </cell>
          <cell r="AN160">
            <v>3.2399999999999984</v>
          </cell>
        </row>
        <row r="161">
          <cell r="AL161" t="str">
            <v>MKTG</v>
          </cell>
          <cell r="AN161">
            <v>-1.8099999999999952</v>
          </cell>
        </row>
        <row r="162">
          <cell r="AL162" t="str">
            <v>PLANT</v>
          </cell>
          <cell r="AN162">
            <v>-3.870000000000001</v>
          </cell>
        </row>
        <row r="163">
          <cell r="AL163" t="str">
            <v>NSB</v>
          </cell>
          <cell r="AN163">
            <v>10.37</v>
          </cell>
        </row>
        <row r="164">
          <cell r="AN164">
            <v>13.920000000000003</v>
          </cell>
        </row>
        <row r="165">
          <cell r="AG165">
            <v>15</v>
          </cell>
          <cell r="AH165" t="str">
            <v>Advertisement &amp; Publicity</v>
          </cell>
          <cell r="AI165">
            <v>365.51</v>
          </cell>
          <cell r="AJ165">
            <v>276.04000000000002</v>
          </cell>
          <cell r="AK165">
            <v>89.46999999999997</v>
          </cell>
        </row>
        <row r="166">
          <cell r="AL166" t="str">
            <v>NSB</v>
          </cell>
          <cell r="AN166">
            <v>83.5</v>
          </cell>
        </row>
        <row r="167">
          <cell r="AL167" t="str">
            <v xml:space="preserve">New Directors </v>
          </cell>
          <cell r="AN167">
            <v>4.8</v>
          </cell>
        </row>
        <row r="168">
          <cell r="AL168" t="str">
            <v>Others</v>
          </cell>
          <cell r="AN168">
            <v>1.17</v>
          </cell>
        </row>
        <row r="170">
          <cell r="AN170">
            <v>89.47</v>
          </cell>
        </row>
        <row r="173">
          <cell r="AG173">
            <v>15</v>
          </cell>
          <cell r="AH173" t="str">
            <v xml:space="preserve">Legal &amp; Secretarial </v>
          </cell>
          <cell r="AI173">
            <v>508.29999999999995</v>
          </cell>
          <cell r="AJ173">
            <v>609.1</v>
          </cell>
          <cell r="AK173">
            <v>-100.80000000000007</v>
          </cell>
        </row>
        <row r="174">
          <cell r="AI174">
            <v>48.9</v>
          </cell>
          <cell r="AJ174">
            <v>68</v>
          </cell>
          <cell r="AL174" t="str">
            <v>legal &amp; sec</v>
          </cell>
          <cell r="AN174">
            <v>-19.100000000000001</v>
          </cell>
        </row>
        <row r="175">
          <cell r="AI175">
            <v>116.5</v>
          </cell>
          <cell r="AJ175">
            <v>123</v>
          </cell>
          <cell r="AL175" t="str">
            <v>CPC (corp)</v>
          </cell>
          <cell r="AN175">
            <v>-6.5</v>
          </cell>
        </row>
        <row r="176">
          <cell r="AI176">
            <v>200</v>
          </cell>
          <cell r="AJ176">
            <v>393</v>
          </cell>
          <cell r="AL176" t="str">
            <v>Corp (fin)</v>
          </cell>
          <cell r="AM176" t="str">
            <v>ambit/rabo</v>
          </cell>
          <cell r="AN176">
            <v>-193</v>
          </cell>
        </row>
        <row r="177">
          <cell r="AI177">
            <v>143</v>
          </cell>
          <cell r="AJ177">
            <v>25</v>
          </cell>
          <cell r="AL177" t="str">
            <v>Directors</v>
          </cell>
          <cell r="AM177" t="str">
            <v>Hewit etc.,</v>
          </cell>
          <cell r="AN177">
            <v>118</v>
          </cell>
        </row>
        <row r="178">
          <cell r="AI178">
            <v>508.4</v>
          </cell>
          <cell r="AJ178">
            <v>609</v>
          </cell>
          <cell r="AN178">
            <v>-100.6</v>
          </cell>
        </row>
        <row r="180">
          <cell r="AG180">
            <v>15</v>
          </cell>
          <cell r="AH180" t="str">
            <v>Misc. expenses</v>
          </cell>
          <cell r="AI180">
            <v>315.58</v>
          </cell>
          <cell r="AJ180">
            <v>233.95</v>
          </cell>
          <cell r="AK180">
            <v>81.63</v>
          </cell>
          <cell r="AL180" t="str">
            <v>HPD benefit schemes</v>
          </cell>
          <cell r="AN180">
            <v>16</v>
          </cell>
        </row>
        <row r="181">
          <cell r="AL181" t="str">
            <v>Ikisan</v>
          </cell>
          <cell r="AN181">
            <v>45</v>
          </cell>
        </row>
        <row r="182">
          <cell r="AL182" t="str">
            <v>Directors</v>
          </cell>
          <cell r="AN182">
            <v>5.4</v>
          </cell>
        </row>
        <row r="183">
          <cell r="AL183" t="str">
            <v>NSB</v>
          </cell>
          <cell r="AN183">
            <v>15</v>
          </cell>
        </row>
        <row r="187">
          <cell r="AN187">
            <v>81.400000000000006</v>
          </cell>
        </row>
      </sheetData>
      <sheetData sheetId="12"/>
      <sheetData sheetId="13"/>
      <sheetData sheetId="14"/>
      <sheetData sheetId="15"/>
      <sheetData sheetId="16"/>
      <sheetData sheetId="17"/>
      <sheetData sheetId="18"/>
      <sheetData sheetId="1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nthwise"/>
      <sheetName val="budget"/>
      <sheetName val="2003-04"/>
      <sheetName val="2004-05"/>
      <sheetName val="subsidy"/>
      <sheetName val="SNB-Mfg assump"/>
      <sheetName val="SNB-Mkt assump"/>
      <sheetName val="interest"/>
      <sheetName val="OH summ"/>
      <sheetName val="Overheads"/>
      <sheetName val="Div Summ"/>
      <sheetName val="CAPITAL EXP."/>
      <sheetName val="Cap-MKTG"/>
      <sheetName val="Cap-KKD"/>
      <sheetName val="Cap-NSB"/>
      <sheetName val="Cap-Corp"/>
      <sheetName val="NG &amp; Naphtha Price trends"/>
      <sheetName val="Option-6 (&gt;100% @ 1.90 MMSC (2)"/>
      <sheetName val="border"/>
    </sheetNames>
    <sheetDataSet>
      <sheetData sheetId="0" refreshError="1">
        <row r="2">
          <cell r="B2" t="str">
            <v>Sl No.</v>
          </cell>
        </row>
      </sheetData>
      <sheetData sheetId="1" refreshError="1"/>
      <sheetData sheetId="2" refreshError="1">
        <row r="7">
          <cell r="C7" t="str">
            <v>Sl.</v>
          </cell>
          <cell r="D7" t="str">
            <v>Particulars</v>
          </cell>
          <cell r="E7" t="str">
            <v>SNB</v>
          </cell>
          <cell r="I7" t="str">
            <v>NSB-SF</v>
          </cell>
          <cell r="J7" t="str">
            <v>HO</v>
          </cell>
          <cell r="L7" t="str">
            <v>Budget</v>
          </cell>
          <cell r="M7" t="str">
            <v>SNB</v>
          </cell>
          <cell r="O7" t="str">
            <v>NSB</v>
          </cell>
          <cell r="P7" t="str">
            <v>Corporate</v>
          </cell>
          <cell r="Q7" t="str">
            <v>Budget</v>
          </cell>
          <cell r="R7" t="str">
            <v>Actuals</v>
          </cell>
          <cell r="S7" t="str">
            <v>Budget</v>
          </cell>
          <cell r="T7" t="str">
            <v>Estimated Actuals</v>
          </cell>
          <cell r="U7" t="str">
            <v xml:space="preserve">Variance </v>
          </cell>
        </row>
        <row r="8">
          <cell r="C8" t="str">
            <v>No.</v>
          </cell>
          <cell r="E8" t="str">
            <v>UOM</v>
          </cell>
          <cell r="F8" t="str">
            <v>Rates</v>
          </cell>
          <cell r="G8" t="str">
            <v>Manufacturing</v>
          </cell>
          <cell r="H8" t="str">
            <v>Marketing</v>
          </cell>
          <cell r="J8" t="str">
            <v>Directors</v>
          </cell>
          <cell r="K8" t="str">
            <v>Services</v>
          </cell>
          <cell r="L8" t="str">
            <v>2004-05</v>
          </cell>
          <cell r="M8" t="str">
            <v>Manufacturing</v>
          </cell>
          <cell r="N8" t="str">
            <v>Marketing</v>
          </cell>
          <cell r="Q8" t="str">
            <v>2004-05</v>
          </cell>
          <cell r="R8" t="str">
            <v>2003-04</v>
          </cell>
          <cell r="S8" t="str">
            <v>2003-04</v>
          </cell>
          <cell r="T8" t="str">
            <v>2003-04</v>
          </cell>
        </row>
        <row r="9">
          <cell r="D9" t="str">
            <v>Capacity 100%</v>
          </cell>
          <cell r="L9">
            <v>11.946</v>
          </cell>
          <cell r="R9">
            <v>11.946</v>
          </cell>
        </row>
        <row r="10">
          <cell r="D10" t="str">
            <v>Production (Urea)</v>
          </cell>
          <cell r="E10" t="str">
            <v>LMt</v>
          </cell>
          <cell r="G10">
            <v>13.25</v>
          </cell>
          <cell r="L10">
            <v>13.25</v>
          </cell>
          <cell r="Q10" t="str">
            <v>11.95 L MT</v>
          </cell>
          <cell r="R10">
            <v>11.9396</v>
          </cell>
          <cell r="S10" t="str">
            <v>11.95 L MT</v>
          </cell>
          <cell r="T10" t="str">
            <v>12.00 L MT</v>
          </cell>
          <cell r="U10">
            <v>1.3103999999999996</v>
          </cell>
        </row>
        <row r="11">
          <cell r="D11" t="str">
            <v>Dispatches (Urea)</v>
          </cell>
          <cell r="E11" t="str">
            <v>LMt</v>
          </cell>
          <cell r="L11">
            <v>13.25</v>
          </cell>
          <cell r="R11">
            <v>11.943960000000001</v>
          </cell>
          <cell r="U11">
            <v>1.3060399999999994</v>
          </cell>
        </row>
        <row r="12">
          <cell r="D12" t="str">
            <v>P1</v>
          </cell>
          <cell r="E12" t="str">
            <v>LMt</v>
          </cell>
          <cell r="G12">
            <v>6.25</v>
          </cell>
          <cell r="L12">
            <v>6.25</v>
          </cell>
          <cell r="R12">
            <v>5.98665</v>
          </cell>
          <cell r="U12">
            <v>0.26334999999999997</v>
          </cell>
        </row>
        <row r="13">
          <cell r="D13" t="str">
            <v>P2</v>
          </cell>
          <cell r="E13" t="str">
            <v>LMt</v>
          </cell>
          <cell r="G13">
            <v>7</v>
          </cell>
          <cell r="L13">
            <v>7</v>
          </cell>
          <cell r="R13">
            <v>5.9573099999999997</v>
          </cell>
          <cell r="U13">
            <v>1.0426900000000003</v>
          </cell>
        </row>
        <row r="14">
          <cell r="D14" t="str">
            <v>Sales  (Urea)</v>
          </cell>
          <cell r="E14" t="str">
            <v>LMt</v>
          </cell>
          <cell r="G14">
            <v>0</v>
          </cell>
          <cell r="H14">
            <v>13.146000000000001</v>
          </cell>
          <cell r="L14">
            <v>13.146000000000001</v>
          </cell>
          <cell r="Q14" t="str">
            <v>11.95 L MT</v>
          </cell>
          <cell r="R14">
            <v>14.305249999999999</v>
          </cell>
          <cell r="S14" t="str">
            <v>11.95 L MT</v>
          </cell>
          <cell r="T14" t="str">
            <v>12.00 L MT</v>
          </cell>
          <cell r="U14">
            <v>-1.1592499999999983</v>
          </cell>
        </row>
        <row r="15">
          <cell r="D15" t="str">
            <v>Ammonia</v>
          </cell>
          <cell r="E15" t="str">
            <v>LMt</v>
          </cell>
          <cell r="G15">
            <v>0.04</v>
          </cell>
          <cell r="L15">
            <v>0.04</v>
          </cell>
          <cell r="R15">
            <v>0.21593000000000001</v>
          </cell>
          <cell r="U15">
            <v>-0.17593</v>
          </cell>
        </row>
        <row r="18">
          <cell r="C18">
            <v>1</v>
          </cell>
          <cell r="D18" t="str">
            <v>Sales (net of ST)</v>
          </cell>
          <cell r="F18">
            <v>4650</v>
          </cell>
          <cell r="H18">
            <v>61128.9</v>
          </cell>
          <cell r="I18">
            <v>1930.75</v>
          </cell>
          <cell r="J18">
            <v>0</v>
          </cell>
          <cell r="K18">
            <v>0</v>
          </cell>
          <cell r="L18">
            <v>63059.65</v>
          </cell>
          <cell r="N18">
            <v>0</v>
          </cell>
          <cell r="Q18">
            <v>0</v>
          </cell>
          <cell r="R18">
            <v>68158.559999999998</v>
          </cell>
          <cell r="S18">
            <v>70902.566000000006</v>
          </cell>
          <cell r="T18">
            <v>68331.47</v>
          </cell>
          <cell r="U18">
            <v>-5098.9099999999962</v>
          </cell>
        </row>
        <row r="19">
          <cell r="D19" t="str">
            <v>Less: Rebates</v>
          </cell>
          <cell r="F19">
            <v>-35</v>
          </cell>
          <cell r="H19">
            <v>-460.11</v>
          </cell>
          <cell r="I19">
            <v>-90.92</v>
          </cell>
          <cell r="J19">
            <v>0</v>
          </cell>
          <cell r="K19">
            <v>0</v>
          </cell>
          <cell r="L19">
            <v>-551.03</v>
          </cell>
          <cell r="R19">
            <v>-660.55</v>
          </cell>
          <cell r="U19">
            <v>109.51999999999998</v>
          </cell>
        </row>
        <row r="20">
          <cell r="D20" t="str">
            <v xml:space="preserve"> : Cash Discount</v>
          </cell>
          <cell r="F20">
            <v>-70</v>
          </cell>
          <cell r="H20">
            <v>-920.22</v>
          </cell>
          <cell r="I20">
            <v>0</v>
          </cell>
          <cell r="J20">
            <v>0</v>
          </cell>
          <cell r="K20">
            <v>0</v>
          </cell>
          <cell r="L20">
            <v>-920.22</v>
          </cell>
          <cell r="N20">
            <v>0</v>
          </cell>
          <cell r="Q20">
            <v>0</v>
          </cell>
          <cell r="R20">
            <v>-950.18</v>
          </cell>
          <cell r="S20">
            <v>1875.9202542000003</v>
          </cell>
          <cell r="T20">
            <v>3460.61</v>
          </cell>
          <cell r="U20">
            <v>29.959999999999923</v>
          </cell>
        </row>
        <row r="21">
          <cell r="D21" t="str">
            <v>Net Sales -  Urea</v>
          </cell>
          <cell r="F21">
            <v>4545</v>
          </cell>
          <cell r="H21">
            <v>59748.57</v>
          </cell>
          <cell r="I21">
            <v>1839.83</v>
          </cell>
          <cell r="J21">
            <v>0</v>
          </cell>
          <cell r="K21">
            <v>0</v>
          </cell>
          <cell r="L21">
            <v>61588.4</v>
          </cell>
          <cell r="N21">
            <v>0</v>
          </cell>
          <cell r="Q21">
            <v>0</v>
          </cell>
          <cell r="R21">
            <v>66547.83</v>
          </cell>
          <cell r="S21">
            <v>69026.645745800008</v>
          </cell>
          <cell r="T21">
            <v>64870.86</v>
          </cell>
          <cell r="U21">
            <v>-4959.43</v>
          </cell>
        </row>
        <row r="22">
          <cell r="D22" t="str">
            <v>Ammonia</v>
          </cell>
          <cell r="F22">
            <v>14000</v>
          </cell>
          <cell r="G22">
            <v>560</v>
          </cell>
          <cell r="H22">
            <v>0</v>
          </cell>
          <cell r="I22">
            <v>0</v>
          </cell>
          <cell r="J22">
            <v>0</v>
          </cell>
          <cell r="K22">
            <v>0</v>
          </cell>
          <cell r="L22">
            <v>560</v>
          </cell>
          <cell r="R22">
            <v>2552.85</v>
          </cell>
          <cell r="U22">
            <v>-1992.85</v>
          </cell>
        </row>
        <row r="23">
          <cell r="C23">
            <v>2</v>
          </cell>
          <cell r="D23" t="str">
            <v>Subsidy</v>
          </cell>
        </row>
        <row r="24">
          <cell r="D24" t="str">
            <v>Production (upto 100%)</v>
          </cell>
        </row>
        <row r="25">
          <cell r="D25" t="str">
            <v>Urea -    P1</v>
          </cell>
          <cell r="E25" t="str">
            <v>gcs</v>
          </cell>
          <cell r="F25">
            <v>6693.7839999999997</v>
          </cell>
          <cell r="G25">
            <v>12207.521831999999</v>
          </cell>
          <cell r="H25">
            <v>0</v>
          </cell>
          <cell r="I25">
            <v>0</v>
          </cell>
          <cell r="J25">
            <v>0</v>
          </cell>
          <cell r="K25">
            <v>0</v>
          </cell>
          <cell r="L25">
            <v>12207.521831999999</v>
          </cell>
          <cell r="P25">
            <v>0</v>
          </cell>
          <cell r="Q25">
            <v>0</v>
          </cell>
          <cell r="R25">
            <v>12488.27</v>
          </cell>
          <cell r="S25">
            <v>27995.45</v>
          </cell>
          <cell r="T25">
            <v>24948</v>
          </cell>
          <cell r="U25">
            <v>-280.7481680000019</v>
          </cell>
        </row>
        <row r="26">
          <cell r="D26" t="str">
            <v>P2</v>
          </cell>
          <cell r="E26" t="str">
            <v>gcs</v>
          </cell>
          <cell r="F26">
            <v>9908.680163265306</v>
          </cell>
          <cell r="G26">
            <v>31410.096615183673</v>
          </cell>
          <cell r="H26">
            <v>0</v>
          </cell>
          <cell r="I26">
            <v>0</v>
          </cell>
          <cell r="J26">
            <v>0</v>
          </cell>
          <cell r="K26">
            <v>0</v>
          </cell>
          <cell r="L26">
            <v>31410.096615183673</v>
          </cell>
          <cell r="R26">
            <v>16882.190000000002</v>
          </cell>
          <cell r="U26">
            <v>14527.906615183671</v>
          </cell>
        </row>
        <row r="27">
          <cell r="D27" t="str">
            <v>Production (beyond 100%) (VC+35% contri-4650)</v>
          </cell>
        </row>
        <row r="28">
          <cell r="D28" t="str">
            <v>Urea -    P1</v>
          </cell>
          <cell r="E28" t="str">
            <v>IPP</v>
          </cell>
          <cell r="F28">
            <v>241.75959999999941</v>
          </cell>
          <cell r="G28">
            <v>66.967409199999864</v>
          </cell>
          <cell r="H28">
            <v>0</v>
          </cell>
          <cell r="I28">
            <v>0</v>
          </cell>
          <cell r="J28">
            <v>0</v>
          </cell>
          <cell r="K28">
            <v>0</v>
          </cell>
          <cell r="L28">
            <v>66.967409199999864</v>
          </cell>
          <cell r="R28">
            <v>0</v>
          </cell>
          <cell r="U28">
            <v>66.967409199999864</v>
          </cell>
        </row>
        <row r="29">
          <cell r="D29" t="str">
            <v>P2</v>
          </cell>
          <cell r="E29" t="str">
            <v>IPP</v>
          </cell>
          <cell r="F29">
            <v>2738.9921061224486</v>
          </cell>
          <cell r="G29">
            <v>2812.9448929877549</v>
          </cell>
          <cell r="H29">
            <v>0</v>
          </cell>
          <cell r="I29">
            <v>0</v>
          </cell>
          <cell r="J29">
            <v>0</v>
          </cell>
          <cell r="K29">
            <v>0</v>
          </cell>
          <cell r="L29">
            <v>2812.9448929877549</v>
          </cell>
          <cell r="R29">
            <v>0</v>
          </cell>
          <cell r="U29">
            <v>2812.9448929877549</v>
          </cell>
        </row>
        <row r="30">
          <cell r="D30" t="str">
            <v>Gas Compression Charges</v>
          </cell>
          <cell r="G30">
            <v>400</v>
          </cell>
          <cell r="H30">
            <v>0</v>
          </cell>
          <cell r="I30">
            <v>0</v>
          </cell>
          <cell r="J30">
            <v>0</v>
          </cell>
          <cell r="K30">
            <v>0</v>
          </cell>
          <cell r="L30">
            <v>400</v>
          </cell>
          <cell r="R30">
            <v>0</v>
          </cell>
          <cell r="U30">
            <v>400</v>
          </cell>
        </row>
        <row r="31">
          <cell r="D31" t="str">
            <v>Transport  - ECA</v>
          </cell>
          <cell r="E31" t="str">
            <v>mt</v>
          </cell>
          <cell r="F31">
            <v>530</v>
          </cell>
          <cell r="G31">
            <v>0</v>
          </cell>
          <cell r="H31">
            <v>3856.81</v>
          </cell>
          <cell r="I31">
            <v>0</v>
          </cell>
          <cell r="J31">
            <v>0</v>
          </cell>
          <cell r="K31">
            <v>0</v>
          </cell>
          <cell r="L31">
            <v>3856.81</v>
          </cell>
          <cell r="P31">
            <v>0</v>
          </cell>
          <cell r="Q31">
            <v>0</v>
          </cell>
          <cell r="R31">
            <v>3763.834421</v>
          </cell>
          <cell r="S31">
            <v>4975.509</v>
          </cell>
          <cell r="T31">
            <v>5004</v>
          </cell>
          <cell r="U31">
            <v>92.975578999999925</v>
          </cell>
        </row>
        <row r="32">
          <cell r="D32" t="str">
            <v>Non -ECA</v>
          </cell>
          <cell r="E32" t="str">
            <v>mt</v>
          </cell>
          <cell r="F32">
            <v>430</v>
          </cell>
          <cell r="G32">
            <v>0</v>
          </cell>
          <cell r="H32">
            <v>2568.39</v>
          </cell>
          <cell r="I32">
            <v>0</v>
          </cell>
          <cell r="J32">
            <v>0</v>
          </cell>
          <cell r="K32">
            <v>0</v>
          </cell>
          <cell r="L32">
            <v>2568.39</v>
          </cell>
          <cell r="R32">
            <v>1453.596393</v>
          </cell>
          <cell r="U32">
            <v>1114.7936069999998</v>
          </cell>
        </row>
        <row r="33">
          <cell r="D33" t="str">
            <v>Ammonia Sharing to Govt.</v>
          </cell>
          <cell r="E33" t="str">
            <v>mt</v>
          </cell>
          <cell r="F33">
            <v>928.57142857142912</v>
          </cell>
          <cell r="G33">
            <v>-37.142857142857167</v>
          </cell>
          <cell r="L33">
            <v>-37.142857142857167</v>
          </cell>
          <cell r="R33">
            <v>-207</v>
          </cell>
          <cell r="U33">
            <v>169.85714285714283</v>
          </cell>
        </row>
        <row r="35">
          <cell r="D35" t="str">
            <v>Trading - contribution /sales</v>
          </cell>
          <cell r="G35">
            <v>0</v>
          </cell>
          <cell r="H35">
            <v>195.3</v>
          </cell>
          <cell r="I35">
            <v>0</v>
          </cell>
          <cell r="J35">
            <v>0</v>
          </cell>
          <cell r="K35">
            <v>0</v>
          </cell>
          <cell r="L35">
            <v>195.3</v>
          </cell>
          <cell r="R35">
            <v>3780.51</v>
          </cell>
          <cell r="U35">
            <v>-3585.21</v>
          </cell>
        </row>
        <row r="36">
          <cell r="C36">
            <v>3</v>
          </cell>
          <cell r="D36" t="str">
            <v>Other income</v>
          </cell>
          <cell r="M36">
            <v>0</v>
          </cell>
          <cell r="N36">
            <v>0</v>
          </cell>
          <cell r="P36">
            <v>0</v>
          </cell>
          <cell r="Q36">
            <v>0</v>
          </cell>
          <cell r="S36">
            <v>764.78163830000005</v>
          </cell>
          <cell r="T36">
            <v>1124.3900000000001</v>
          </cell>
          <cell r="U36">
            <v>0</v>
          </cell>
        </row>
        <row r="37">
          <cell r="D37" t="str">
            <v>Co2</v>
          </cell>
          <cell r="G37">
            <v>48</v>
          </cell>
          <cell r="H37">
            <v>0</v>
          </cell>
          <cell r="I37">
            <v>0</v>
          </cell>
          <cell r="J37">
            <v>0</v>
          </cell>
          <cell r="K37">
            <v>0</v>
          </cell>
          <cell r="L37">
            <v>48</v>
          </cell>
          <cell r="R37">
            <v>10.24</v>
          </cell>
          <cell r="U37">
            <v>37.76</v>
          </cell>
        </row>
        <row r="38">
          <cell r="D38" t="str">
            <v>DM water</v>
          </cell>
          <cell r="G38">
            <v>10</v>
          </cell>
          <cell r="H38">
            <v>0</v>
          </cell>
          <cell r="I38">
            <v>0</v>
          </cell>
          <cell r="J38">
            <v>0</v>
          </cell>
          <cell r="K38">
            <v>0</v>
          </cell>
          <cell r="L38">
            <v>10</v>
          </cell>
          <cell r="R38">
            <v>0</v>
          </cell>
          <cell r="U38">
            <v>10</v>
          </cell>
        </row>
        <row r="39">
          <cell r="D39" t="str">
            <v>Sale of Scrap</v>
          </cell>
          <cell r="G39">
            <v>35</v>
          </cell>
          <cell r="H39">
            <v>0</v>
          </cell>
          <cell r="I39">
            <v>0</v>
          </cell>
          <cell r="J39">
            <v>0</v>
          </cell>
          <cell r="K39">
            <v>0</v>
          </cell>
          <cell r="L39">
            <v>35</v>
          </cell>
          <cell r="R39">
            <v>6.67</v>
          </cell>
          <cell r="U39">
            <v>28.33</v>
          </cell>
        </row>
        <row r="40">
          <cell r="D40" t="str">
            <v>Insurance claims</v>
          </cell>
          <cell r="G40">
            <v>0</v>
          </cell>
          <cell r="H40">
            <v>0</v>
          </cell>
          <cell r="I40">
            <v>0</v>
          </cell>
          <cell r="J40">
            <v>0</v>
          </cell>
          <cell r="K40">
            <v>0</v>
          </cell>
          <cell r="L40">
            <v>0</v>
          </cell>
          <cell r="R40">
            <v>106.48</v>
          </cell>
          <cell r="U40">
            <v>-106.48</v>
          </cell>
        </row>
        <row r="41">
          <cell r="D41" t="str">
            <v>Misc</v>
          </cell>
          <cell r="G41">
            <v>30</v>
          </cell>
          <cell r="H41">
            <v>0</v>
          </cell>
          <cell r="I41">
            <v>0</v>
          </cell>
          <cell r="J41">
            <v>0</v>
          </cell>
          <cell r="K41">
            <v>10</v>
          </cell>
          <cell r="L41">
            <v>40</v>
          </cell>
          <cell r="R41">
            <v>193.23</v>
          </cell>
          <cell r="U41">
            <v>-153.22999999999999</v>
          </cell>
        </row>
        <row r="42">
          <cell r="D42" t="str">
            <v>Interest</v>
          </cell>
          <cell r="E42" t="str">
            <v>mt</v>
          </cell>
          <cell r="F42">
            <v>50</v>
          </cell>
          <cell r="G42">
            <v>0</v>
          </cell>
          <cell r="H42">
            <v>657.30000000000007</v>
          </cell>
          <cell r="I42">
            <v>0</v>
          </cell>
          <cell r="J42">
            <v>0</v>
          </cell>
          <cell r="K42">
            <v>10</v>
          </cell>
          <cell r="L42">
            <v>667.30000000000007</v>
          </cell>
          <cell r="R42">
            <v>1037.92</v>
          </cell>
          <cell r="U42">
            <v>-370.62</v>
          </cell>
        </row>
        <row r="43">
          <cell r="D43" t="str">
            <v>Remission of Liability</v>
          </cell>
          <cell r="G43">
            <v>0</v>
          </cell>
          <cell r="H43">
            <v>0</v>
          </cell>
          <cell r="I43">
            <v>0</v>
          </cell>
          <cell r="J43">
            <v>0</v>
          </cell>
          <cell r="K43">
            <v>1440.42</v>
          </cell>
          <cell r="L43">
            <v>1440.42</v>
          </cell>
          <cell r="R43">
            <v>841.01</v>
          </cell>
          <cell r="U43">
            <v>599.41000000000008</v>
          </cell>
        </row>
        <row r="44">
          <cell r="D44" t="str">
            <v>Profit on sale of investment</v>
          </cell>
          <cell r="G44">
            <v>0</v>
          </cell>
          <cell r="H44">
            <v>0</v>
          </cell>
          <cell r="I44">
            <v>0</v>
          </cell>
          <cell r="J44">
            <v>0</v>
          </cell>
          <cell r="K44">
            <v>0</v>
          </cell>
          <cell r="L44">
            <v>0</v>
          </cell>
          <cell r="R44">
            <v>1250.43</v>
          </cell>
          <cell r="U44">
            <v>-1250.43</v>
          </cell>
        </row>
        <row r="45">
          <cell r="D45" t="str">
            <v>Profit on sale of assets</v>
          </cell>
          <cell r="G45">
            <v>0</v>
          </cell>
          <cell r="H45">
            <v>0</v>
          </cell>
          <cell r="I45">
            <v>0</v>
          </cell>
          <cell r="J45">
            <v>0</v>
          </cell>
          <cell r="K45">
            <v>0</v>
          </cell>
          <cell r="L45">
            <v>0</v>
          </cell>
          <cell r="R45">
            <v>119.11</v>
          </cell>
          <cell r="U45">
            <v>-119.11</v>
          </cell>
        </row>
        <row r="46">
          <cell r="D46" t="str">
            <v>Dividend Income</v>
          </cell>
          <cell r="G46">
            <v>0</v>
          </cell>
          <cell r="H46">
            <v>0</v>
          </cell>
          <cell r="I46">
            <v>0</v>
          </cell>
          <cell r="J46">
            <v>0</v>
          </cell>
          <cell r="K46">
            <v>10</v>
          </cell>
          <cell r="L46">
            <v>10</v>
          </cell>
          <cell r="R46">
            <v>46.58</v>
          </cell>
          <cell r="U46">
            <v>-36.58</v>
          </cell>
        </row>
        <row r="47">
          <cell r="D47" t="str">
            <v>Lease Income</v>
          </cell>
          <cell r="G47">
            <v>0</v>
          </cell>
          <cell r="H47">
            <v>0</v>
          </cell>
          <cell r="I47">
            <v>0</v>
          </cell>
          <cell r="J47">
            <v>0</v>
          </cell>
          <cell r="K47">
            <v>615.53</v>
          </cell>
          <cell r="L47">
            <v>615.53</v>
          </cell>
          <cell r="R47">
            <v>618.46</v>
          </cell>
          <cell r="U47">
            <v>-2.9300000000000637</v>
          </cell>
        </row>
        <row r="49">
          <cell r="C49">
            <v>4</v>
          </cell>
          <cell r="D49" t="str">
            <v xml:space="preserve">Total    </v>
          </cell>
          <cell r="G49">
            <v>47543.387892228573</v>
          </cell>
          <cell r="H49">
            <v>67026.37000000001</v>
          </cell>
          <cell r="I49">
            <v>1839.83</v>
          </cell>
          <cell r="J49">
            <v>0</v>
          </cell>
          <cell r="K49">
            <v>2085.9499999999998</v>
          </cell>
          <cell r="L49">
            <v>118495.53789222857</v>
          </cell>
          <cell r="M49">
            <v>0</v>
          </cell>
          <cell r="N49">
            <v>0</v>
          </cell>
          <cell r="P49">
            <v>0</v>
          </cell>
          <cell r="Q49">
            <v>0</v>
          </cell>
          <cell r="R49">
            <v>111492.21081400001</v>
          </cell>
          <cell r="S49">
            <v>102762.3863841</v>
          </cell>
          <cell r="T49">
            <v>95947.25</v>
          </cell>
          <cell r="U49">
            <v>7003.3270782285681</v>
          </cell>
        </row>
        <row r="51">
          <cell r="C51">
            <v>5</v>
          </cell>
          <cell r="D51" t="str">
            <v>Purchases</v>
          </cell>
          <cell r="I51">
            <v>1437.3</v>
          </cell>
          <cell r="J51">
            <v>0</v>
          </cell>
          <cell r="K51">
            <v>0</v>
          </cell>
          <cell r="L51">
            <v>1437.3</v>
          </cell>
          <cell r="Q51">
            <v>0</v>
          </cell>
          <cell r="R51">
            <v>3056.7</v>
          </cell>
          <cell r="S51">
            <v>12101.3855</v>
          </cell>
          <cell r="T51">
            <v>3392.17</v>
          </cell>
          <cell r="U51">
            <v>1619.3999999999999</v>
          </cell>
        </row>
        <row r="52">
          <cell r="C52">
            <v>6</v>
          </cell>
          <cell r="D52" t="str">
            <v>Raw Material consumed</v>
          </cell>
          <cell r="U52">
            <v>0</v>
          </cell>
        </row>
        <row r="53">
          <cell r="D53" t="str">
            <v>Natural Gas</v>
          </cell>
          <cell r="E53" t="str">
            <v>Gcal</v>
          </cell>
          <cell r="F53">
            <v>407</v>
          </cell>
          <cell r="G53">
            <v>11913.83424</v>
          </cell>
          <cell r="H53">
            <v>0</v>
          </cell>
          <cell r="I53">
            <v>0</v>
          </cell>
          <cell r="J53">
            <v>0</v>
          </cell>
          <cell r="K53">
            <v>0</v>
          </cell>
          <cell r="L53">
            <v>11913.83424</v>
          </cell>
          <cell r="M53">
            <v>12221.28</v>
          </cell>
          <cell r="Q53">
            <v>12221.28</v>
          </cell>
          <cell r="R53">
            <v>14552.23</v>
          </cell>
          <cell r="S53">
            <v>13603.202089037788</v>
          </cell>
          <cell r="T53">
            <v>14270.12</v>
          </cell>
          <cell r="U53">
            <v>2638.3957599999994</v>
          </cell>
        </row>
        <row r="54">
          <cell r="D54" t="str">
            <v>Naphtha</v>
          </cell>
          <cell r="E54" t="str">
            <v>Gcal</v>
          </cell>
          <cell r="F54">
            <v>1571.4285714285713</v>
          </cell>
          <cell r="G54">
            <v>19038.272000000001</v>
          </cell>
          <cell r="H54">
            <v>0</v>
          </cell>
          <cell r="I54">
            <v>0</v>
          </cell>
          <cell r="J54">
            <v>0</v>
          </cell>
          <cell r="K54">
            <v>0</v>
          </cell>
          <cell r="L54">
            <v>19038.272000000001</v>
          </cell>
          <cell r="M54">
            <v>10197.700000000001</v>
          </cell>
          <cell r="Q54">
            <v>10197.700000000001</v>
          </cell>
          <cell r="R54">
            <v>5761.21</v>
          </cell>
          <cell r="S54">
            <v>6412.3073635009969</v>
          </cell>
          <cell r="T54">
            <v>6644.63</v>
          </cell>
          <cell r="U54">
            <v>-13277.062000000002</v>
          </cell>
        </row>
        <row r="55">
          <cell r="D55" t="str">
            <v>LSHS</v>
          </cell>
          <cell r="E55" t="str">
            <v>Gcal</v>
          </cell>
          <cell r="F55">
            <v>1395.8333333333335</v>
          </cell>
          <cell r="G55">
            <v>1639.6240000000007</v>
          </cell>
          <cell r="H55">
            <v>0</v>
          </cell>
          <cell r="I55">
            <v>0</v>
          </cell>
          <cell r="J55">
            <v>0</v>
          </cell>
          <cell r="K55">
            <v>0</v>
          </cell>
          <cell r="L55">
            <v>1639.6240000000007</v>
          </cell>
          <cell r="U55">
            <v>-1639.6240000000007</v>
          </cell>
        </row>
        <row r="56">
          <cell r="D56" t="str">
            <v>NG Transportation</v>
          </cell>
          <cell r="G56">
            <v>2504.6485279393542</v>
          </cell>
          <cell r="H56">
            <v>0</v>
          </cell>
          <cell r="I56">
            <v>0</v>
          </cell>
          <cell r="J56">
            <v>0</v>
          </cell>
          <cell r="K56">
            <v>0</v>
          </cell>
          <cell r="L56">
            <v>2504.6485279393542</v>
          </cell>
          <cell r="M56">
            <v>2204.0100000000002</v>
          </cell>
          <cell r="Q56">
            <v>2204.0100000000002</v>
          </cell>
          <cell r="R56">
            <v>2566.69</v>
          </cell>
          <cell r="S56">
            <v>2288.1098725898783</v>
          </cell>
          <cell r="T56">
            <v>2399.71</v>
          </cell>
          <cell r="U56">
            <v>62.041472060645901</v>
          </cell>
        </row>
        <row r="57">
          <cell r="D57" t="str">
            <v>Gas compression charges</v>
          </cell>
          <cell r="G57">
            <v>224.00000000000003</v>
          </cell>
          <cell r="H57">
            <v>0</v>
          </cell>
          <cell r="I57">
            <v>0</v>
          </cell>
          <cell r="J57">
            <v>0</v>
          </cell>
          <cell r="K57">
            <v>0</v>
          </cell>
          <cell r="L57">
            <v>224.00000000000003</v>
          </cell>
          <cell r="R57">
            <v>0</v>
          </cell>
          <cell r="U57">
            <v>-224.00000000000003</v>
          </cell>
        </row>
        <row r="58">
          <cell r="D58" t="str">
            <v>Raw Water</v>
          </cell>
          <cell r="G58">
            <v>250.48</v>
          </cell>
          <cell r="H58">
            <v>0</v>
          </cell>
          <cell r="I58">
            <v>0</v>
          </cell>
          <cell r="J58">
            <v>0</v>
          </cell>
          <cell r="K58">
            <v>0</v>
          </cell>
          <cell r="L58">
            <v>250.48</v>
          </cell>
          <cell r="M58">
            <v>250.48</v>
          </cell>
          <cell r="Q58">
            <v>250.48</v>
          </cell>
          <cell r="R58">
            <v>254.64</v>
          </cell>
          <cell r="S58">
            <v>257.63776574400009</v>
          </cell>
          <cell r="T58">
            <v>256.61</v>
          </cell>
          <cell r="U58">
            <v>4.1599999999999966</v>
          </cell>
        </row>
        <row r="59">
          <cell r="D59" t="str">
            <v>Total</v>
          </cell>
          <cell r="G59">
            <v>35570.85876793936</v>
          </cell>
          <cell r="H59">
            <v>0</v>
          </cell>
          <cell r="I59">
            <v>0</v>
          </cell>
          <cell r="J59">
            <v>0</v>
          </cell>
          <cell r="K59">
            <v>0</v>
          </cell>
          <cell r="L59">
            <v>35570.85876793936</v>
          </cell>
          <cell r="M59">
            <v>24873.470000000005</v>
          </cell>
          <cell r="N59">
            <v>0</v>
          </cell>
          <cell r="P59">
            <v>0</v>
          </cell>
          <cell r="Q59">
            <v>24873.470000000005</v>
          </cell>
          <cell r="R59">
            <v>23134.769999999997</v>
          </cell>
          <cell r="S59">
            <v>22561.257090872659</v>
          </cell>
          <cell r="T59">
            <v>23571.07</v>
          </cell>
          <cell r="U59">
            <v>-12436.088767939356</v>
          </cell>
        </row>
        <row r="60">
          <cell r="C60">
            <v>7</v>
          </cell>
          <cell r="D60" t="str">
            <v>Power &amp; Fuel</v>
          </cell>
          <cell r="U60">
            <v>0</v>
          </cell>
        </row>
        <row r="61">
          <cell r="D61" t="str">
            <v>Natural Gas</v>
          </cell>
          <cell r="E61" t="str">
            <v>Gcal</v>
          </cell>
          <cell r="F61">
            <v>407</v>
          </cell>
          <cell r="G61">
            <v>9360.8697599999996</v>
          </cell>
          <cell r="H61">
            <v>0</v>
          </cell>
          <cell r="I61">
            <v>0</v>
          </cell>
          <cell r="J61">
            <v>0</v>
          </cell>
          <cell r="K61">
            <v>0</v>
          </cell>
          <cell r="L61">
            <v>9360.8697599999996</v>
          </cell>
          <cell r="M61">
            <v>12570.76</v>
          </cell>
          <cell r="Q61">
            <v>12570.76</v>
          </cell>
          <cell r="R61">
            <v>10208.720000000001</v>
          </cell>
          <cell r="S61">
            <v>12236.123964391965</v>
          </cell>
          <cell r="T61">
            <v>9897.2199999999993</v>
          </cell>
          <cell r="U61">
            <v>847.85024000000158</v>
          </cell>
        </row>
        <row r="62">
          <cell r="D62" t="str">
            <v>Naphtha</v>
          </cell>
          <cell r="E62" t="str">
            <v>Gcal</v>
          </cell>
          <cell r="F62">
            <v>1571.4285714285713</v>
          </cell>
          <cell r="G62">
            <v>14958.642285714286</v>
          </cell>
          <cell r="H62">
            <v>0</v>
          </cell>
          <cell r="I62">
            <v>0</v>
          </cell>
          <cell r="J62">
            <v>0</v>
          </cell>
          <cell r="K62">
            <v>0</v>
          </cell>
          <cell r="L62">
            <v>14958.642285714286</v>
          </cell>
          <cell r="M62">
            <v>0</v>
          </cell>
          <cell r="Q62">
            <v>0</v>
          </cell>
          <cell r="R62">
            <v>6141.95</v>
          </cell>
          <cell r="S62">
            <v>0</v>
          </cell>
          <cell r="T62">
            <v>6174.1</v>
          </cell>
          <cell r="U62">
            <v>-8816.6922857142854</v>
          </cell>
        </row>
        <row r="63">
          <cell r="D63" t="str">
            <v>LSHS</v>
          </cell>
          <cell r="E63" t="str">
            <v>Gcal</v>
          </cell>
          <cell r="F63">
            <v>1395.8333333333335</v>
          </cell>
          <cell r="G63">
            <v>1288.2760000000003</v>
          </cell>
          <cell r="H63">
            <v>0</v>
          </cell>
          <cell r="I63">
            <v>0</v>
          </cell>
          <cell r="J63">
            <v>0</v>
          </cell>
          <cell r="K63">
            <v>0</v>
          </cell>
          <cell r="L63">
            <v>1288.2760000000003</v>
          </cell>
          <cell r="U63">
            <v>-1288.2760000000003</v>
          </cell>
        </row>
        <row r="64">
          <cell r="D64" t="str">
            <v>NG Transportation</v>
          </cell>
          <cell r="G64">
            <v>1967.9381290952067</v>
          </cell>
          <cell r="H64">
            <v>0</v>
          </cell>
          <cell r="I64">
            <v>0</v>
          </cell>
          <cell r="J64">
            <v>0</v>
          </cell>
          <cell r="K64">
            <v>0</v>
          </cell>
          <cell r="L64">
            <v>1967.9381290952067</v>
          </cell>
          <cell r="M64">
            <v>2268.58</v>
          </cell>
          <cell r="Q64">
            <v>2268.58</v>
          </cell>
          <cell r="R64">
            <v>1820.15</v>
          </cell>
          <cell r="S64">
            <v>2061.9879412101232</v>
          </cell>
          <cell r="T64">
            <v>1673.42</v>
          </cell>
          <cell r="U64">
            <v>-147.78812909520661</v>
          </cell>
        </row>
        <row r="65">
          <cell r="D65" t="str">
            <v>Gas compression charges</v>
          </cell>
          <cell r="G65">
            <v>176</v>
          </cell>
          <cell r="H65">
            <v>0</v>
          </cell>
          <cell r="I65">
            <v>0</v>
          </cell>
          <cell r="J65">
            <v>0</v>
          </cell>
          <cell r="K65">
            <v>0</v>
          </cell>
          <cell r="L65">
            <v>176</v>
          </cell>
          <cell r="R65">
            <v>0</v>
          </cell>
          <cell r="U65">
            <v>-176</v>
          </cell>
        </row>
        <row r="66">
          <cell r="D66" t="str">
            <v>Purchased Power</v>
          </cell>
          <cell r="G66">
            <v>217.35000000000002</v>
          </cell>
          <cell r="H66">
            <v>0</v>
          </cell>
          <cell r="I66">
            <v>0</v>
          </cell>
          <cell r="J66">
            <v>0</v>
          </cell>
          <cell r="K66">
            <v>0</v>
          </cell>
          <cell r="L66">
            <v>217.35000000000002</v>
          </cell>
          <cell r="M66">
            <v>687.35</v>
          </cell>
          <cell r="Q66">
            <v>687.35</v>
          </cell>
          <cell r="R66">
            <v>541.98</v>
          </cell>
          <cell r="S66">
            <v>227.04240000000004</v>
          </cell>
          <cell r="T66">
            <v>227.29</v>
          </cell>
          <cell r="U66">
            <v>324.63</v>
          </cell>
        </row>
        <row r="67">
          <cell r="D67" t="str">
            <v>Total</v>
          </cell>
          <cell r="G67">
            <v>27969.076174809492</v>
          </cell>
          <cell r="H67">
            <v>0</v>
          </cell>
          <cell r="I67">
            <v>0</v>
          </cell>
          <cell r="J67">
            <v>0</v>
          </cell>
          <cell r="K67">
            <v>0</v>
          </cell>
          <cell r="L67">
            <v>27969.076174809492</v>
          </cell>
          <cell r="M67">
            <v>15526.69</v>
          </cell>
          <cell r="N67">
            <v>0</v>
          </cell>
          <cell r="P67">
            <v>0</v>
          </cell>
          <cell r="Q67">
            <v>15526.69</v>
          </cell>
          <cell r="R67">
            <v>18712.800000000003</v>
          </cell>
          <cell r="S67">
            <v>14525.154305602089</v>
          </cell>
          <cell r="T67">
            <v>17972.03</v>
          </cell>
          <cell r="U67">
            <v>-9256.2761748094908</v>
          </cell>
        </row>
        <row r="68">
          <cell r="C68">
            <v>8</v>
          </cell>
          <cell r="D68" t="str">
            <v>Catalyst charge</v>
          </cell>
          <cell r="G68">
            <v>1031</v>
          </cell>
          <cell r="H68">
            <v>0</v>
          </cell>
          <cell r="I68">
            <v>0</v>
          </cell>
          <cell r="J68">
            <v>0</v>
          </cell>
          <cell r="K68">
            <v>0</v>
          </cell>
          <cell r="L68">
            <v>1031</v>
          </cell>
          <cell r="M68">
            <v>309.11</v>
          </cell>
          <cell r="Q68">
            <v>309.11</v>
          </cell>
          <cell r="R68">
            <v>67.31</v>
          </cell>
          <cell r="S68">
            <v>13.690249999999995</v>
          </cell>
          <cell r="T68">
            <v>24.11</v>
          </cell>
          <cell r="U68">
            <v>-963.69</v>
          </cell>
        </row>
        <row r="69">
          <cell r="C69">
            <v>9</v>
          </cell>
          <cell r="D69" t="str">
            <v>Chemicals &amp; Consumables</v>
          </cell>
          <cell r="G69">
            <v>410</v>
          </cell>
          <cell r="H69">
            <v>0</v>
          </cell>
          <cell r="I69">
            <v>0</v>
          </cell>
          <cell r="J69">
            <v>0</v>
          </cell>
          <cell r="K69">
            <v>0</v>
          </cell>
          <cell r="L69">
            <v>410</v>
          </cell>
          <cell r="M69">
            <v>379.66</v>
          </cell>
          <cell r="Q69">
            <v>379.66</v>
          </cell>
          <cell r="R69">
            <v>357.85</v>
          </cell>
          <cell r="S69">
            <v>424.10570065913049</v>
          </cell>
          <cell r="T69">
            <v>346.39</v>
          </cell>
          <cell r="U69">
            <v>-52.149999999999977</v>
          </cell>
        </row>
        <row r="70">
          <cell r="C70">
            <v>10</v>
          </cell>
          <cell r="D70" t="str">
            <v>Salaries, Wages &amp; Benefits</v>
          </cell>
          <cell r="U70">
            <v>0</v>
          </cell>
        </row>
        <row r="71">
          <cell r="D71" t="str">
            <v>Salaries</v>
          </cell>
          <cell r="G71">
            <v>1429.01</v>
          </cell>
          <cell r="H71">
            <v>488</v>
          </cell>
          <cell r="I71">
            <v>86.18</v>
          </cell>
          <cell r="J71">
            <v>193.77</v>
          </cell>
          <cell r="K71">
            <v>453.25000000000006</v>
          </cell>
          <cell r="L71">
            <v>2650.21</v>
          </cell>
          <cell r="M71">
            <v>0</v>
          </cell>
          <cell r="N71">
            <v>0</v>
          </cell>
          <cell r="P71">
            <v>0</v>
          </cell>
          <cell r="Q71">
            <v>0</v>
          </cell>
          <cell r="R71">
            <v>2308.7199999999998</v>
          </cell>
          <cell r="S71">
            <v>2573.0968084000001</v>
          </cell>
          <cell r="T71">
            <v>2402.9299999999998</v>
          </cell>
          <cell r="U71">
            <v>-341.49000000000024</v>
          </cell>
        </row>
        <row r="72">
          <cell r="D72" t="str">
            <v>Contract Wages</v>
          </cell>
          <cell r="G72">
            <v>140.81704353224455</v>
          </cell>
          <cell r="H72">
            <v>0</v>
          </cell>
          <cell r="I72">
            <v>0</v>
          </cell>
          <cell r="J72">
            <v>0</v>
          </cell>
          <cell r="K72">
            <v>0</v>
          </cell>
          <cell r="L72">
            <v>140.81704353224455</v>
          </cell>
          <cell r="R72">
            <v>126.89</v>
          </cell>
          <cell r="U72">
            <v>-13.927043532244554</v>
          </cell>
        </row>
        <row r="73">
          <cell r="D73" t="str">
            <v>Contribution to Provident &amp; Other Funds</v>
          </cell>
          <cell r="G73">
            <v>128.13999999999999</v>
          </cell>
          <cell r="H73">
            <v>53.96</v>
          </cell>
          <cell r="I73">
            <v>7.4599999999999991</v>
          </cell>
          <cell r="J73">
            <v>25.46</v>
          </cell>
          <cell r="K73">
            <v>34.869999999999997</v>
          </cell>
          <cell r="L73">
            <v>249.89000000000001</v>
          </cell>
          <cell r="M73">
            <v>0</v>
          </cell>
          <cell r="N73">
            <v>0</v>
          </cell>
          <cell r="P73">
            <v>0</v>
          </cell>
          <cell r="Q73">
            <v>0</v>
          </cell>
          <cell r="R73">
            <v>178.59</v>
          </cell>
          <cell r="S73">
            <v>310.35319412799998</v>
          </cell>
          <cell r="T73">
            <v>294.39</v>
          </cell>
          <cell r="U73">
            <v>-71.300000000000011</v>
          </cell>
        </row>
        <row r="74">
          <cell r="D74" t="str">
            <v>Staff Welfare Expenses</v>
          </cell>
          <cell r="G74">
            <v>147.91</v>
          </cell>
          <cell r="H74">
            <v>33.1</v>
          </cell>
          <cell r="I74">
            <v>2.2600000000000002</v>
          </cell>
          <cell r="J74">
            <v>2.15</v>
          </cell>
          <cell r="K74">
            <v>12.089999999999996</v>
          </cell>
          <cell r="L74">
            <v>197.51</v>
          </cell>
          <cell r="M74">
            <v>0</v>
          </cell>
          <cell r="N74">
            <v>0</v>
          </cell>
          <cell r="P74">
            <v>0</v>
          </cell>
          <cell r="Q74">
            <v>0</v>
          </cell>
          <cell r="R74">
            <v>361.87</v>
          </cell>
          <cell r="S74">
            <v>459.31471999999997</v>
          </cell>
          <cell r="T74">
            <v>341.72</v>
          </cell>
          <cell r="U74">
            <v>164.36</v>
          </cell>
        </row>
        <row r="75">
          <cell r="D75" t="str">
            <v>Total</v>
          </cell>
          <cell r="G75">
            <v>1845.8770435322447</v>
          </cell>
          <cell r="H75">
            <v>575.06000000000006</v>
          </cell>
          <cell r="I75">
            <v>95.9</v>
          </cell>
          <cell r="J75">
            <v>221.38000000000002</v>
          </cell>
          <cell r="K75">
            <v>500.21000000000004</v>
          </cell>
          <cell r="L75">
            <v>3238.4270435322442</v>
          </cell>
          <cell r="M75">
            <v>0</v>
          </cell>
          <cell r="N75">
            <v>0</v>
          </cell>
          <cell r="P75">
            <v>0</v>
          </cell>
          <cell r="Q75">
            <v>0</v>
          </cell>
          <cell r="R75">
            <v>2976.0699999999997</v>
          </cell>
          <cell r="S75">
            <v>3342.7647225279998</v>
          </cell>
          <cell r="T75">
            <v>3039.04</v>
          </cell>
          <cell r="U75">
            <v>-262.3570435322448</v>
          </cell>
        </row>
        <row r="76">
          <cell r="C76">
            <v>11</v>
          </cell>
          <cell r="D76" t="str">
            <v>(Increase) / Decrease in Stock</v>
          </cell>
          <cell r="F76">
            <v>4595</v>
          </cell>
          <cell r="H76">
            <v>-477.87999999999636</v>
          </cell>
          <cell r="I76">
            <v>-109.49</v>
          </cell>
          <cell r="J76">
            <v>0</v>
          </cell>
          <cell r="K76">
            <v>0</v>
          </cell>
          <cell r="L76">
            <v>-587.36999999999637</v>
          </cell>
          <cell r="M76">
            <v>0</v>
          </cell>
          <cell r="N76">
            <v>0</v>
          </cell>
          <cell r="Q76">
            <v>0</v>
          </cell>
          <cell r="R76">
            <v>11769.2</v>
          </cell>
          <cell r="S76">
            <v>352.21739050875408</v>
          </cell>
          <cell r="T76">
            <v>-2278.29</v>
          </cell>
          <cell r="U76">
            <v>12356.569999999998</v>
          </cell>
        </row>
        <row r="77">
          <cell r="C77">
            <v>12</v>
          </cell>
          <cell r="D77" t="str">
            <v>Packing Materials consumed</v>
          </cell>
          <cell r="E77" t="str">
            <v>mt</v>
          </cell>
          <cell r="F77">
            <v>240.60000000000002</v>
          </cell>
          <cell r="G77">
            <v>3187.9500000000003</v>
          </cell>
          <cell r="I77">
            <v>37.82</v>
          </cell>
          <cell r="L77">
            <v>3225.7700000000004</v>
          </cell>
          <cell r="M77">
            <v>2617.73</v>
          </cell>
          <cell r="Q77">
            <v>2617.73</v>
          </cell>
          <cell r="R77">
            <v>2689.36</v>
          </cell>
          <cell r="S77">
            <v>2901.3938600000001</v>
          </cell>
          <cell r="T77">
            <v>2651.92</v>
          </cell>
          <cell r="U77">
            <v>-536.41000000000031</v>
          </cell>
        </row>
        <row r="78">
          <cell r="C78">
            <v>13</v>
          </cell>
          <cell r="D78" t="str">
            <v>Transport and Handling Charges</v>
          </cell>
          <cell r="L78">
            <v>0</v>
          </cell>
          <cell r="M78">
            <v>8</v>
          </cell>
          <cell r="N78">
            <v>0</v>
          </cell>
          <cell r="Q78">
            <v>8</v>
          </cell>
          <cell r="R78">
            <v>0</v>
          </cell>
          <cell r="S78">
            <v>7468.4470042499988</v>
          </cell>
          <cell r="T78">
            <v>7514.81</v>
          </cell>
        </row>
        <row r="79">
          <cell r="D79" t="str">
            <v>Primary tpt</v>
          </cell>
          <cell r="E79" t="str">
            <v>mt</v>
          </cell>
          <cell r="F79">
            <v>348</v>
          </cell>
          <cell r="H79">
            <v>4611</v>
          </cell>
          <cell r="I79">
            <v>33.33</v>
          </cell>
          <cell r="J79">
            <v>0</v>
          </cell>
          <cell r="K79">
            <v>0</v>
          </cell>
          <cell r="L79">
            <v>4644.33</v>
          </cell>
          <cell r="R79">
            <v>4550.63</v>
          </cell>
          <cell r="U79">
            <v>-93.699999999999818</v>
          </cell>
        </row>
        <row r="80">
          <cell r="D80" t="str">
            <v>Secondary tpt (on sale)</v>
          </cell>
          <cell r="E80" t="str">
            <v>mt</v>
          </cell>
          <cell r="F80">
            <v>150</v>
          </cell>
          <cell r="H80">
            <v>1971.9</v>
          </cell>
          <cell r="I80">
            <v>40.36</v>
          </cell>
          <cell r="J80">
            <v>0</v>
          </cell>
          <cell r="K80">
            <v>0</v>
          </cell>
          <cell r="L80">
            <v>2012.26</v>
          </cell>
          <cell r="R80">
            <v>3064</v>
          </cell>
          <cell r="U80">
            <v>1051.74</v>
          </cell>
        </row>
        <row r="81">
          <cell r="D81" t="str">
            <v>Handling</v>
          </cell>
          <cell r="E81" t="str">
            <v>mt</v>
          </cell>
          <cell r="F81">
            <v>63</v>
          </cell>
          <cell r="G81">
            <v>8</v>
          </cell>
          <cell r="H81">
            <v>834.75</v>
          </cell>
          <cell r="I81">
            <v>0</v>
          </cell>
          <cell r="J81">
            <v>0</v>
          </cell>
          <cell r="K81">
            <v>0</v>
          </cell>
          <cell r="L81">
            <v>842.75</v>
          </cell>
          <cell r="R81">
            <v>751.7</v>
          </cell>
          <cell r="U81">
            <v>-91.049999999999955</v>
          </cell>
        </row>
        <row r="82">
          <cell r="C82">
            <v>14</v>
          </cell>
          <cell r="D82" t="str">
            <v>Distribution Expenses</v>
          </cell>
          <cell r="E82" t="str">
            <v>mt</v>
          </cell>
          <cell r="F82">
            <v>27</v>
          </cell>
          <cell r="H82">
            <v>357.75</v>
          </cell>
          <cell r="I82">
            <v>7.69</v>
          </cell>
          <cell r="J82">
            <v>0</v>
          </cell>
          <cell r="K82">
            <v>0</v>
          </cell>
          <cell r="L82">
            <v>365.44</v>
          </cell>
          <cell r="M82">
            <v>0</v>
          </cell>
          <cell r="N82">
            <v>0</v>
          </cell>
          <cell r="Q82">
            <v>0</v>
          </cell>
          <cell r="R82">
            <v>754.64</v>
          </cell>
          <cell r="S82">
            <v>653.46</v>
          </cell>
          <cell r="T82">
            <v>825.86</v>
          </cell>
          <cell r="U82">
            <v>389.2</v>
          </cell>
        </row>
        <row r="83">
          <cell r="C83">
            <v>15</v>
          </cell>
          <cell r="D83" t="str">
            <v>Other Expenses</v>
          </cell>
        </row>
        <row r="84">
          <cell r="D84" t="str">
            <v>Rent</v>
          </cell>
          <cell r="G84">
            <v>3</v>
          </cell>
          <cell r="H84">
            <v>19</v>
          </cell>
          <cell r="I84">
            <v>9.7200000000000006</v>
          </cell>
          <cell r="J84">
            <v>0</v>
          </cell>
          <cell r="K84">
            <v>57.4</v>
          </cell>
          <cell r="L84">
            <v>89.12</v>
          </cell>
          <cell r="M84">
            <v>2.34</v>
          </cell>
          <cell r="N84">
            <v>0</v>
          </cell>
          <cell r="P84">
            <v>0</v>
          </cell>
          <cell r="Q84">
            <v>2.34</v>
          </cell>
          <cell r="R84">
            <v>94.54</v>
          </cell>
          <cell r="S84">
            <v>98.726300000000009</v>
          </cell>
          <cell r="T84">
            <v>97.59</v>
          </cell>
          <cell r="U84">
            <v>5.4200000000000017</v>
          </cell>
        </row>
        <row r="85">
          <cell r="D85" t="str">
            <v>Rates and Taxes</v>
          </cell>
          <cell r="G85">
            <v>33</v>
          </cell>
          <cell r="H85">
            <v>2</v>
          </cell>
          <cell r="I85">
            <v>0</v>
          </cell>
          <cell r="J85">
            <v>0.6</v>
          </cell>
          <cell r="K85">
            <v>13.4</v>
          </cell>
          <cell r="L85">
            <v>49</v>
          </cell>
          <cell r="M85">
            <v>34.79</v>
          </cell>
          <cell r="P85">
            <v>0</v>
          </cell>
          <cell r="Q85">
            <v>34.79</v>
          </cell>
          <cell r="R85">
            <v>63.550000000000004</v>
          </cell>
          <cell r="S85">
            <v>45.5212</v>
          </cell>
          <cell r="T85">
            <v>71.95</v>
          </cell>
          <cell r="U85">
            <v>14.550000000000004</v>
          </cell>
        </row>
        <row r="86">
          <cell r="D86" t="str">
            <v>Electricity and Water Charges</v>
          </cell>
          <cell r="G86">
            <v>0</v>
          </cell>
          <cell r="H86">
            <v>0</v>
          </cell>
          <cell r="I86">
            <v>0</v>
          </cell>
          <cell r="J86">
            <v>0</v>
          </cell>
          <cell r="K86">
            <v>38.799999999999997</v>
          </cell>
          <cell r="L86">
            <v>38.799999999999997</v>
          </cell>
          <cell r="M86">
            <v>0</v>
          </cell>
          <cell r="P86">
            <v>0</v>
          </cell>
          <cell r="Q86">
            <v>0</v>
          </cell>
          <cell r="R86">
            <v>53.06</v>
          </cell>
          <cell r="S86">
            <v>45.491</v>
          </cell>
          <cell r="T86">
            <v>55</v>
          </cell>
          <cell r="U86">
            <v>14.260000000000005</v>
          </cell>
        </row>
        <row r="87">
          <cell r="D87" t="str">
            <v xml:space="preserve">Stores and Spares </v>
          </cell>
          <cell r="G87">
            <v>250</v>
          </cell>
          <cell r="H87">
            <v>0</v>
          </cell>
          <cell r="I87">
            <v>0</v>
          </cell>
          <cell r="J87">
            <v>0</v>
          </cell>
          <cell r="K87">
            <v>0</v>
          </cell>
          <cell r="L87">
            <v>250</v>
          </cell>
          <cell r="M87">
            <v>482.38</v>
          </cell>
          <cell r="Q87">
            <v>482.38</v>
          </cell>
          <cell r="R87">
            <v>301.57</v>
          </cell>
          <cell r="S87">
            <v>336.21</v>
          </cell>
          <cell r="T87">
            <v>210.01</v>
          </cell>
          <cell r="U87">
            <v>51.569999999999993</v>
          </cell>
        </row>
        <row r="88">
          <cell r="C88" t="str">
            <v xml:space="preserve"> </v>
          </cell>
          <cell r="D88" t="str">
            <v>Repairs and Maintenance</v>
          </cell>
        </row>
        <row r="89">
          <cell r="D89" t="str">
            <v xml:space="preserve">     Buildings</v>
          </cell>
          <cell r="G89">
            <v>36.25</v>
          </cell>
          <cell r="H89">
            <v>0</v>
          </cell>
          <cell r="I89">
            <v>0</v>
          </cell>
          <cell r="J89">
            <v>0</v>
          </cell>
          <cell r="K89">
            <v>0</v>
          </cell>
          <cell r="L89">
            <v>36.25</v>
          </cell>
          <cell r="M89">
            <v>0</v>
          </cell>
          <cell r="Q89">
            <v>0</v>
          </cell>
          <cell r="R89">
            <v>21.06</v>
          </cell>
          <cell r="S89">
            <v>60.11</v>
          </cell>
          <cell r="T89">
            <v>19.399999999999999</v>
          </cell>
          <cell r="U89">
            <v>-15.190000000000001</v>
          </cell>
        </row>
        <row r="90">
          <cell r="D90" t="str">
            <v xml:space="preserve">     Plant &amp; Machinery</v>
          </cell>
          <cell r="G90">
            <v>416.68</v>
          </cell>
          <cell r="H90">
            <v>0</v>
          </cell>
          <cell r="I90">
            <v>0</v>
          </cell>
          <cell r="J90">
            <v>0</v>
          </cell>
          <cell r="K90">
            <v>0</v>
          </cell>
          <cell r="L90">
            <v>416.68</v>
          </cell>
          <cell r="M90">
            <v>60.17</v>
          </cell>
          <cell r="Q90">
            <v>60.17</v>
          </cell>
          <cell r="R90">
            <v>351.6</v>
          </cell>
          <cell r="S90">
            <v>259.41000000000003</v>
          </cell>
          <cell r="T90">
            <v>204.39</v>
          </cell>
          <cell r="U90">
            <v>-65.079999999999984</v>
          </cell>
        </row>
        <row r="91">
          <cell r="D91" t="str">
            <v xml:space="preserve">     Others</v>
          </cell>
          <cell r="G91">
            <v>102.07</v>
          </cell>
          <cell r="H91">
            <v>10.3</v>
          </cell>
          <cell r="I91">
            <v>0.05</v>
          </cell>
          <cell r="J91">
            <v>1.96</v>
          </cell>
          <cell r="K91">
            <v>83.01</v>
          </cell>
          <cell r="L91">
            <v>197.39</v>
          </cell>
          <cell r="M91">
            <v>504.84</v>
          </cell>
          <cell r="N91">
            <v>0</v>
          </cell>
          <cell r="P91">
            <v>0</v>
          </cell>
          <cell r="Q91">
            <v>504.84</v>
          </cell>
          <cell r="R91">
            <v>187.16</v>
          </cell>
          <cell r="S91">
            <v>269.70499999999998</v>
          </cell>
          <cell r="T91">
            <v>186.72</v>
          </cell>
          <cell r="U91">
            <v>-10.22999999999999</v>
          </cell>
        </row>
        <row r="92">
          <cell r="G92">
            <v>555</v>
          </cell>
          <cell r="H92">
            <v>10.3</v>
          </cell>
          <cell r="I92">
            <v>0.05</v>
          </cell>
          <cell r="J92">
            <v>1.96</v>
          </cell>
          <cell r="K92">
            <v>83.01</v>
          </cell>
          <cell r="L92">
            <v>650.31999999999994</v>
          </cell>
          <cell r="M92">
            <v>565.01</v>
          </cell>
          <cell r="N92">
            <v>0</v>
          </cell>
          <cell r="P92">
            <v>0</v>
          </cell>
          <cell r="Q92">
            <v>565.01</v>
          </cell>
          <cell r="R92">
            <v>559.82000000000005</v>
          </cell>
          <cell r="S92">
            <v>589.22500000000002</v>
          </cell>
          <cell r="T92">
            <v>410.51</v>
          </cell>
          <cell r="U92">
            <v>-90.499999999999972</v>
          </cell>
        </row>
        <row r="93">
          <cell r="D93" t="str">
            <v>Insurance</v>
          </cell>
          <cell r="G93">
            <v>613</v>
          </cell>
          <cell r="H93">
            <v>50</v>
          </cell>
          <cell r="I93">
            <v>0</v>
          </cell>
          <cell r="J93">
            <v>0.28999999999999998</v>
          </cell>
          <cell r="K93">
            <v>40.97</v>
          </cell>
          <cell r="L93">
            <v>704.26</v>
          </cell>
          <cell r="M93">
            <v>0</v>
          </cell>
          <cell r="N93">
            <v>0</v>
          </cell>
          <cell r="P93">
            <v>0</v>
          </cell>
          <cell r="Q93">
            <v>0</v>
          </cell>
          <cell r="R93">
            <v>602.03000000000009</v>
          </cell>
          <cell r="S93">
            <v>590.10863071141546</v>
          </cell>
          <cell r="T93">
            <v>479.12</v>
          </cell>
          <cell r="U93">
            <v>-102.2299999999999</v>
          </cell>
        </row>
        <row r="94">
          <cell r="D94" t="str">
            <v>Printing &amp; Stationery</v>
          </cell>
          <cell r="G94">
            <v>9</v>
          </cell>
          <cell r="H94">
            <v>10.199999999999999</v>
          </cell>
          <cell r="I94">
            <v>0.1</v>
          </cell>
          <cell r="J94">
            <v>2.96</v>
          </cell>
          <cell r="K94">
            <v>33.750000000000007</v>
          </cell>
          <cell r="L94">
            <v>56.010000000000005</v>
          </cell>
          <cell r="M94">
            <v>8.19</v>
          </cell>
          <cell r="N94">
            <v>0</v>
          </cell>
          <cell r="P94">
            <v>0</v>
          </cell>
          <cell r="Q94">
            <v>8.19</v>
          </cell>
          <cell r="R94">
            <v>46.25</v>
          </cell>
          <cell r="S94">
            <v>86.933799999999991</v>
          </cell>
          <cell r="T94">
            <v>51.97</v>
          </cell>
          <cell r="U94">
            <v>-9.7600000000000051</v>
          </cell>
        </row>
        <row r="95">
          <cell r="D95" t="str">
            <v>Postage, Telephone and Telex</v>
          </cell>
          <cell r="G95">
            <v>20.293535205000001</v>
          </cell>
          <cell r="H95">
            <v>45.6</v>
          </cell>
          <cell r="I95">
            <v>10.48</v>
          </cell>
          <cell r="J95">
            <v>15.8</v>
          </cell>
          <cell r="K95">
            <v>79.970000000000013</v>
          </cell>
          <cell r="L95">
            <v>172.14353520500003</v>
          </cell>
          <cell r="M95">
            <v>19.07</v>
          </cell>
          <cell r="N95">
            <v>0</v>
          </cell>
          <cell r="P95">
            <v>0</v>
          </cell>
          <cell r="Q95">
            <v>19.07</v>
          </cell>
          <cell r="R95">
            <v>158.12</v>
          </cell>
          <cell r="S95">
            <v>170.5676</v>
          </cell>
          <cell r="T95">
            <v>153.28</v>
          </cell>
          <cell r="U95">
            <v>-14.02353520500003</v>
          </cell>
        </row>
        <row r="96">
          <cell r="D96" t="str">
            <v>Travelling and Conveyance</v>
          </cell>
          <cell r="G96">
            <v>52</v>
          </cell>
          <cell r="H96">
            <v>153.30000000000001</v>
          </cell>
          <cell r="I96">
            <v>49.7</v>
          </cell>
          <cell r="J96">
            <v>99</v>
          </cell>
          <cell r="K96">
            <v>45.47</v>
          </cell>
          <cell r="L96">
            <v>399.47</v>
          </cell>
          <cell r="M96">
            <v>60.17</v>
          </cell>
          <cell r="N96">
            <v>0</v>
          </cell>
          <cell r="P96">
            <v>0</v>
          </cell>
          <cell r="Q96">
            <v>60.17</v>
          </cell>
          <cell r="R96">
            <v>393.67</v>
          </cell>
          <cell r="S96">
            <v>419.76540000000006</v>
          </cell>
          <cell r="T96">
            <v>363.28</v>
          </cell>
          <cell r="U96">
            <v>-5.8000000000000114</v>
          </cell>
        </row>
        <row r="97">
          <cell r="D97" t="str">
            <v>Advt, Publicity, Market Research</v>
          </cell>
          <cell r="G97">
            <v>0</v>
          </cell>
          <cell r="H97">
            <v>265.25</v>
          </cell>
          <cell r="I97">
            <v>83.15</v>
          </cell>
          <cell r="J97">
            <v>12.6</v>
          </cell>
          <cell r="K97">
            <v>4.51</v>
          </cell>
          <cell r="L97">
            <v>365.51</v>
          </cell>
          <cell r="M97">
            <v>0</v>
          </cell>
          <cell r="N97">
            <v>0</v>
          </cell>
          <cell r="P97">
            <v>0</v>
          </cell>
          <cell r="Q97">
            <v>0</v>
          </cell>
          <cell r="R97">
            <v>276.02999999999997</v>
          </cell>
          <cell r="S97">
            <v>310.03310000000005</v>
          </cell>
          <cell r="T97">
            <v>204.52</v>
          </cell>
          <cell r="U97">
            <v>-89.480000000000018</v>
          </cell>
        </row>
        <row r="98">
          <cell r="D98" t="str">
            <v>Employee Recruitment and Training</v>
          </cell>
          <cell r="G98">
            <v>12</v>
          </cell>
          <cell r="H98">
            <v>6.2</v>
          </cell>
          <cell r="I98">
            <v>0.2</v>
          </cell>
          <cell r="J98">
            <v>0.44</v>
          </cell>
          <cell r="K98">
            <v>22.119999999999997</v>
          </cell>
          <cell r="L98">
            <v>40.959999999999994</v>
          </cell>
          <cell r="M98">
            <v>10</v>
          </cell>
          <cell r="N98">
            <v>0</v>
          </cell>
          <cell r="P98">
            <v>0</v>
          </cell>
          <cell r="Q98">
            <v>10</v>
          </cell>
          <cell r="R98">
            <v>10.24</v>
          </cell>
          <cell r="S98">
            <v>54.45</v>
          </cell>
          <cell r="T98">
            <v>6.31</v>
          </cell>
          <cell r="U98">
            <v>-30.719999999999992</v>
          </cell>
        </row>
        <row r="99">
          <cell r="D99" t="str">
            <v>Legal, Secretarial and Prof. Charges</v>
          </cell>
          <cell r="G99">
            <v>0</v>
          </cell>
          <cell r="H99">
            <v>4</v>
          </cell>
          <cell r="I99">
            <v>0</v>
          </cell>
          <cell r="J99">
            <v>142.9</v>
          </cell>
          <cell r="K99">
            <v>361.4</v>
          </cell>
          <cell r="L99">
            <v>508.29999999999995</v>
          </cell>
          <cell r="M99">
            <v>26.27</v>
          </cell>
          <cell r="N99">
            <v>0</v>
          </cell>
          <cell r="P99">
            <v>-84</v>
          </cell>
          <cell r="Q99">
            <v>-57.730000000000004</v>
          </cell>
          <cell r="R99">
            <v>609.1</v>
          </cell>
          <cell r="S99">
            <v>802.28</v>
          </cell>
          <cell r="T99">
            <v>646.45000000000005</v>
          </cell>
          <cell r="U99">
            <v>100.80000000000007</v>
          </cell>
        </row>
        <row r="100">
          <cell r="D100" t="str">
            <v>Technical Consultancy</v>
          </cell>
          <cell r="G100">
            <v>270</v>
          </cell>
          <cell r="H100">
            <v>0</v>
          </cell>
          <cell r="I100">
            <v>0</v>
          </cell>
          <cell r="J100">
            <v>0</v>
          </cell>
          <cell r="K100">
            <v>0</v>
          </cell>
          <cell r="L100">
            <v>270</v>
          </cell>
          <cell r="R100">
            <v>9.42</v>
          </cell>
          <cell r="U100">
            <v>-260.58</v>
          </cell>
        </row>
        <row r="101">
          <cell r="D101" t="str">
            <v>Share Registry Expenses</v>
          </cell>
          <cell r="G101">
            <v>0</v>
          </cell>
          <cell r="H101">
            <v>0</v>
          </cell>
          <cell r="I101">
            <v>0</v>
          </cell>
          <cell r="J101">
            <v>0</v>
          </cell>
          <cell r="K101">
            <v>30</v>
          </cell>
          <cell r="L101">
            <v>30</v>
          </cell>
          <cell r="P101">
            <v>84</v>
          </cell>
          <cell r="Q101">
            <v>84</v>
          </cell>
          <cell r="R101">
            <v>69.87</v>
          </cell>
          <cell r="S101">
            <v>110.4</v>
          </cell>
          <cell r="T101">
            <v>84.48</v>
          </cell>
          <cell r="U101">
            <v>39.870000000000005</v>
          </cell>
        </row>
        <row r="102">
          <cell r="D102" t="str">
            <v>Directors sitting Fees</v>
          </cell>
          <cell r="G102">
            <v>0</v>
          </cell>
          <cell r="H102">
            <v>0</v>
          </cell>
          <cell r="I102">
            <v>0</v>
          </cell>
          <cell r="J102">
            <v>0</v>
          </cell>
          <cell r="K102">
            <v>6</v>
          </cell>
          <cell r="L102">
            <v>6</v>
          </cell>
          <cell r="P102">
            <v>6</v>
          </cell>
          <cell r="Q102">
            <v>6</v>
          </cell>
          <cell r="R102">
            <v>3.7</v>
          </cell>
          <cell r="S102">
            <v>9</v>
          </cell>
          <cell r="T102">
            <v>3.47</v>
          </cell>
          <cell r="U102">
            <v>-2.2999999999999998</v>
          </cell>
        </row>
        <row r="103">
          <cell r="D103" t="str">
            <v>Research &amp; Development -(NARDI+Brahma)</v>
          </cell>
          <cell r="G103">
            <v>3</v>
          </cell>
          <cell r="H103">
            <v>0</v>
          </cell>
          <cell r="I103">
            <v>0</v>
          </cell>
          <cell r="J103">
            <v>174</v>
          </cell>
          <cell r="K103">
            <v>0</v>
          </cell>
          <cell r="L103">
            <v>177</v>
          </cell>
          <cell r="P103">
            <v>0</v>
          </cell>
          <cell r="Q103">
            <v>0</v>
          </cell>
          <cell r="R103">
            <v>38.869999999999997</v>
          </cell>
          <cell r="S103">
            <v>54.16</v>
          </cell>
          <cell r="T103">
            <v>60.91</v>
          </cell>
          <cell r="U103">
            <v>-138.13</v>
          </cell>
        </row>
        <row r="104">
          <cell r="D104" t="str">
            <v>Auditore's Remuneration</v>
          </cell>
          <cell r="G104">
            <v>0</v>
          </cell>
          <cell r="H104">
            <v>2</v>
          </cell>
          <cell r="I104">
            <v>0</v>
          </cell>
          <cell r="J104">
            <v>0</v>
          </cell>
          <cell r="K104">
            <v>30</v>
          </cell>
          <cell r="L104">
            <v>32</v>
          </cell>
          <cell r="M104">
            <v>0.75</v>
          </cell>
          <cell r="P104">
            <v>0</v>
          </cell>
          <cell r="Q104">
            <v>0.75</v>
          </cell>
          <cell r="R104">
            <v>27.75</v>
          </cell>
          <cell r="S104">
            <v>27.88</v>
          </cell>
          <cell r="T104">
            <v>25.07</v>
          </cell>
          <cell r="U104">
            <v>-4.25</v>
          </cell>
        </row>
        <row r="105">
          <cell r="D105" t="str">
            <v>Donations</v>
          </cell>
          <cell r="G105">
            <v>0</v>
          </cell>
          <cell r="H105">
            <v>0</v>
          </cell>
          <cell r="I105">
            <v>0</v>
          </cell>
          <cell r="J105">
            <v>0</v>
          </cell>
          <cell r="K105">
            <v>0</v>
          </cell>
          <cell r="L105">
            <v>0</v>
          </cell>
          <cell r="P105">
            <v>0</v>
          </cell>
          <cell r="Q105">
            <v>0</v>
          </cell>
          <cell r="R105">
            <v>0</v>
          </cell>
          <cell r="S105">
            <v>8.6</v>
          </cell>
          <cell r="T105">
            <v>3.41</v>
          </cell>
          <cell r="U105">
            <v>0</v>
          </cell>
        </row>
        <row r="106">
          <cell r="D106" t="str">
            <v>Write Offs</v>
          </cell>
          <cell r="G106">
            <v>23.18</v>
          </cell>
          <cell r="H106">
            <v>0</v>
          </cell>
          <cell r="I106">
            <v>0</v>
          </cell>
          <cell r="J106">
            <v>0</v>
          </cell>
          <cell r="K106">
            <v>0</v>
          </cell>
          <cell r="L106">
            <v>23.18</v>
          </cell>
          <cell r="P106">
            <v>0</v>
          </cell>
          <cell r="Q106">
            <v>0</v>
          </cell>
          <cell r="R106">
            <v>141.97</v>
          </cell>
          <cell r="U106">
            <v>118.78999999999999</v>
          </cell>
        </row>
        <row r="107">
          <cell r="D107" t="str">
            <v>Miscellaneous Expenses</v>
          </cell>
          <cell r="G107">
            <v>90</v>
          </cell>
          <cell r="H107">
            <v>48.62</v>
          </cell>
          <cell r="I107">
            <v>15.299999999999999</v>
          </cell>
          <cell r="J107">
            <v>81.319999999999979</v>
          </cell>
          <cell r="K107">
            <v>80.339999999999989</v>
          </cell>
          <cell r="L107">
            <v>315.58</v>
          </cell>
          <cell r="M107">
            <v>90.61</v>
          </cell>
          <cell r="N107">
            <v>0</v>
          </cell>
          <cell r="P107">
            <v>-6</v>
          </cell>
          <cell r="Q107">
            <v>84.61</v>
          </cell>
          <cell r="R107">
            <v>233.95</v>
          </cell>
          <cell r="S107">
            <v>482.20749999999998</v>
          </cell>
          <cell r="T107">
            <v>-180.05</v>
          </cell>
          <cell r="U107">
            <v>-81.63</v>
          </cell>
        </row>
        <row r="108">
          <cell r="D108" t="str">
            <v>Total</v>
          </cell>
          <cell r="G108">
            <v>1933.473535205</v>
          </cell>
          <cell r="H108">
            <v>616.47</v>
          </cell>
          <cell r="I108">
            <v>168.70000000000002</v>
          </cell>
          <cell r="J108">
            <v>531.87</v>
          </cell>
          <cell r="K108">
            <v>927.1400000000001</v>
          </cell>
          <cell r="L108">
            <v>4177.6535352050005</v>
          </cell>
          <cell r="M108">
            <v>1299.58</v>
          </cell>
          <cell r="N108">
            <v>0</v>
          </cell>
          <cell r="P108">
            <v>0</v>
          </cell>
          <cell r="Q108">
            <v>1299.58</v>
          </cell>
          <cell r="R108">
            <v>3693.5099999999993</v>
          </cell>
          <cell r="S108">
            <v>4241.5595307114154</v>
          </cell>
          <cell r="T108">
            <v>2747.2799999999993</v>
          </cell>
          <cell r="U108">
            <v>-484.14353520499992</v>
          </cell>
        </row>
        <row r="109">
          <cell r="C109">
            <v>16</v>
          </cell>
          <cell r="D109" t="str">
            <v>Interest &amp; Financing charges</v>
          </cell>
          <cell r="U109">
            <v>0</v>
          </cell>
        </row>
        <row r="110">
          <cell r="D110" t="str">
            <v>Term Loans</v>
          </cell>
          <cell r="G110">
            <v>4629.4807570400008</v>
          </cell>
          <cell r="H110">
            <v>0</v>
          </cell>
          <cell r="I110">
            <v>0</v>
          </cell>
          <cell r="J110">
            <v>3111.1660299999999</v>
          </cell>
          <cell r="K110">
            <v>0</v>
          </cell>
          <cell r="L110">
            <v>7740.6467870400011</v>
          </cell>
          <cell r="P110">
            <v>7877</v>
          </cell>
          <cell r="Q110">
            <v>7877</v>
          </cell>
          <cell r="R110">
            <v>12799.29</v>
          </cell>
          <cell r="S110">
            <v>11901.66</v>
          </cell>
          <cell r="T110">
            <v>7877</v>
          </cell>
          <cell r="U110">
            <v>5058.6432129599998</v>
          </cell>
        </row>
        <row r="111">
          <cell r="D111" t="str">
            <v>Debentures</v>
          </cell>
          <cell r="G111">
            <v>1523.8217999999999</v>
          </cell>
          <cell r="H111">
            <v>0</v>
          </cell>
          <cell r="I111">
            <v>0</v>
          </cell>
          <cell r="J111">
            <v>1796.40608</v>
          </cell>
          <cell r="K111">
            <v>0</v>
          </cell>
          <cell r="L111">
            <v>3320.2278799999999</v>
          </cell>
          <cell r="P111">
            <v>3356</v>
          </cell>
          <cell r="Q111">
            <v>3356</v>
          </cell>
          <cell r="R111">
            <v>5922.44</v>
          </cell>
          <cell r="S111">
            <v>4913.8</v>
          </cell>
          <cell r="T111">
            <v>3356</v>
          </cell>
          <cell r="U111">
            <v>2602.2121199999997</v>
          </cell>
        </row>
        <row r="112">
          <cell r="D112" t="str">
            <v>MTL</v>
          </cell>
          <cell r="G112">
            <v>0</v>
          </cell>
          <cell r="H112">
            <v>0</v>
          </cell>
          <cell r="I112">
            <v>0</v>
          </cell>
          <cell r="J112">
            <v>1641.4801399999999</v>
          </cell>
          <cell r="K112">
            <v>0</v>
          </cell>
          <cell r="L112">
            <v>1641.4801399999999</v>
          </cell>
          <cell r="R112">
            <v>3296.49</v>
          </cell>
          <cell r="U112">
            <v>1655.0098599999999</v>
          </cell>
        </row>
        <row r="113">
          <cell r="D113" t="str">
            <v>CC</v>
          </cell>
          <cell r="G113">
            <v>556.37777777777774</v>
          </cell>
          <cell r="H113">
            <v>1653.4955555555557</v>
          </cell>
          <cell r="I113">
            <v>55.637777777777778</v>
          </cell>
          <cell r="J113">
            <v>0</v>
          </cell>
          <cell r="K113">
            <v>278.18888888888887</v>
          </cell>
          <cell r="L113">
            <v>2543.7000000000003</v>
          </cell>
          <cell r="M113">
            <v>15.16</v>
          </cell>
          <cell r="N113">
            <v>0</v>
          </cell>
          <cell r="P113">
            <v>3840.06</v>
          </cell>
          <cell r="Q113">
            <v>3855.22</v>
          </cell>
          <cell r="R113">
            <v>3555.58</v>
          </cell>
          <cell r="S113">
            <v>9524.5450166666669</v>
          </cell>
          <cell r="T113">
            <v>6751.57</v>
          </cell>
          <cell r="U113">
            <v>1011.8799999999997</v>
          </cell>
        </row>
        <row r="114">
          <cell r="D114" t="str">
            <v>Total</v>
          </cell>
          <cell r="G114">
            <v>6709.6803348177782</v>
          </cell>
          <cell r="H114">
            <v>1653.4955555555557</v>
          </cell>
          <cell r="I114">
            <v>55.637777777777778</v>
          </cell>
          <cell r="J114">
            <v>6549.0522499999997</v>
          </cell>
          <cell r="K114">
            <v>278.18888888888887</v>
          </cell>
          <cell r="L114">
            <v>15246.054807040002</v>
          </cell>
          <cell r="M114">
            <v>15.16</v>
          </cell>
          <cell r="N114">
            <v>0</v>
          </cell>
          <cell r="P114">
            <v>15073.06</v>
          </cell>
          <cell r="Q114">
            <v>15088.22</v>
          </cell>
          <cell r="R114">
            <v>25573.800000000003</v>
          </cell>
          <cell r="S114">
            <v>26340.005016666666</v>
          </cell>
          <cell r="T114">
            <v>17984.57</v>
          </cell>
          <cell r="U114">
            <v>10327.745192959999</v>
          </cell>
        </row>
        <row r="116">
          <cell r="C116">
            <v>17</v>
          </cell>
          <cell r="D116" t="str">
            <v>Depreciation</v>
          </cell>
          <cell r="G116">
            <v>11470</v>
          </cell>
          <cell r="H116">
            <v>25</v>
          </cell>
          <cell r="I116">
            <v>0.6</v>
          </cell>
          <cell r="J116">
            <v>0</v>
          </cell>
          <cell r="K116">
            <v>916.39</v>
          </cell>
          <cell r="L116">
            <v>12411.99</v>
          </cell>
          <cell r="M116">
            <v>11248.6</v>
          </cell>
          <cell r="N116">
            <v>0</v>
          </cell>
          <cell r="P116">
            <v>916.39</v>
          </cell>
          <cell r="Q116">
            <v>12164.99</v>
          </cell>
          <cell r="R116">
            <v>12163.609999999999</v>
          </cell>
          <cell r="S116">
            <v>12037.402753400005</v>
          </cell>
          <cell r="T116">
            <v>12186.61</v>
          </cell>
          <cell r="U116">
            <v>-248.38000000000102</v>
          </cell>
        </row>
        <row r="117">
          <cell r="U117">
            <v>0</v>
          </cell>
        </row>
        <row r="118">
          <cell r="C118">
            <v>18</v>
          </cell>
          <cell r="D118" t="str">
            <v xml:space="preserve">Total    </v>
          </cell>
          <cell r="G118">
            <v>90135.915856303851</v>
          </cell>
          <cell r="H118">
            <v>10167.54555555556</v>
          </cell>
          <cell r="I118">
            <v>1767.8477777777775</v>
          </cell>
          <cell r="J118">
            <v>7302.3022499999997</v>
          </cell>
          <cell r="K118">
            <v>2621.9288888888887</v>
          </cell>
          <cell r="L118">
            <v>111995.5403285261</v>
          </cell>
          <cell r="M118">
            <v>56278</v>
          </cell>
          <cell r="N118">
            <v>0</v>
          </cell>
          <cell r="P118">
            <v>15989.449999999999</v>
          </cell>
          <cell r="Q118">
            <v>72267.45</v>
          </cell>
          <cell r="R118">
            <v>113315.95</v>
          </cell>
          <cell r="S118">
            <v>106962.84312519875</v>
          </cell>
          <cell r="T118">
            <v>89977.569999999992</v>
          </cell>
          <cell r="U118">
            <v>1320.4096714739114</v>
          </cell>
        </row>
        <row r="119">
          <cell r="U119">
            <v>0</v>
          </cell>
        </row>
        <row r="120">
          <cell r="C120">
            <v>19</v>
          </cell>
          <cell r="D120" t="str">
            <v>Transfer Pricing</v>
          </cell>
          <cell r="G120">
            <v>49648.461494304225</v>
          </cell>
          <cell r="H120">
            <v>-49648.461494304225</v>
          </cell>
        </row>
        <row r="122">
          <cell r="C122">
            <v>20</v>
          </cell>
          <cell r="D122" t="str">
            <v>P B T</v>
          </cell>
          <cell r="G122">
            <v>7055.9335302289473</v>
          </cell>
          <cell r="H122">
            <v>7210.3629501402247</v>
          </cell>
          <cell r="I122">
            <v>71.98222222222239</v>
          </cell>
          <cell r="J122">
            <v>-7302.3022499999997</v>
          </cell>
          <cell r="K122">
            <v>-535.97888888888883</v>
          </cell>
          <cell r="L122">
            <v>6499.9975637024763</v>
          </cell>
          <cell r="M122">
            <v>-56278</v>
          </cell>
          <cell r="N122">
            <v>0</v>
          </cell>
          <cell r="P122">
            <v>-15989.449999999999</v>
          </cell>
          <cell r="Q122">
            <v>-72267.45</v>
          </cell>
          <cell r="R122">
            <v>-1823.7391859999916</v>
          </cell>
          <cell r="S122">
            <v>-4200.4567410987511</v>
          </cell>
          <cell r="T122">
            <v>5969.6800000000076</v>
          </cell>
          <cell r="U122">
            <v>8323.7367497024788</v>
          </cell>
        </row>
        <row r="124">
          <cell r="C124">
            <v>21</v>
          </cell>
          <cell r="D124" t="str">
            <v>Margin</v>
          </cell>
          <cell r="G124">
            <v>0.14841040664210445</v>
          </cell>
          <cell r="H124">
            <v>0.10757501786446474</v>
          </cell>
          <cell r="I124">
            <v>3.9124387700071414E-2</v>
          </cell>
          <cell r="L124">
            <v>5.4854365652267929E-2</v>
          </cell>
          <cell r="R124">
            <v>-1.6357547963978359E-2</v>
          </cell>
          <cell r="U124">
            <v>1.1885403404302941</v>
          </cell>
        </row>
        <row r="126">
          <cell r="D126" t="str">
            <v>EBIDTA</v>
          </cell>
          <cell r="L126">
            <v>31291.792370742478</v>
          </cell>
          <cell r="M126">
            <v>-45014.239999999998</v>
          </cell>
          <cell r="N126">
            <v>0</v>
          </cell>
          <cell r="O126">
            <v>0</v>
          </cell>
          <cell r="P126">
            <v>0</v>
          </cell>
          <cell r="Q126">
            <v>-45014.239999999998</v>
          </cell>
          <cell r="R126">
            <v>31683.540814000011</v>
          </cell>
          <cell r="S126">
            <v>34176.951028967916</v>
          </cell>
          <cell r="T126">
            <v>36140.860000000008</v>
          </cell>
          <cell r="U126">
            <v>19766.981942662478</v>
          </cell>
        </row>
        <row r="128">
          <cell r="D128" t="str">
            <v>The profit margin on the total SNB business is 14.78%.  The same has been distributed equally between Manufacturing &amp; Marketing activities.</v>
          </cell>
        </row>
        <row r="133">
          <cell r="L133" t="str">
            <v>Rs Lakhs</v>
          </cell>
        </row>
        <row r="134">
          <cell r="D134" t="str">
            <v>Details of Transfer Pricing</v>
          </cell>
          <cell r="F134" t="str">
            <v>%</v>
          </cell>
          <cell r="G134" t="str">
            <v>Rs. / MT</v>
          </cell>
          <cell r="L134">
            <v>14266.296480369141</v>
          </cell>
          <cell r="R134" t="str">
            <v>SNB profit</v>
          </cell>
        </row>
        <row r="135">
          <cell r="D135" t="str">
            <v>Cost per Unit</v>
          </cell>
          <cell r="E135" t="str">
            <v>mt</v>
          </cell>
          <cell r="G135">
            <v>6802.7106306644419</v>
          </cell>
          <cell r="L135">
            <v>114569.75789222858</v>
          </cell>
          <cell r="R135" t="str">
            <v>SNB Income</v>
          </cell>
        </row>
        <row r="136">
          <cell r="D136" t="str">
            <v xml:space="preserve">Add: Margin </v>
          </cell>
          <cell r="E136" t="str">
            <v>%</v>
          </cell>
          <cell r="F136">
            <v>7.1115673774157298E-2</v>
          </cell>
          <cell r="G136">
            <v>483.77934999032431</v>
          </cell>
          <cell r="L136">
            <v>100303.46141185943</v>
          </cell>
          <cell r="R136" t="str">
            <v>SNB cost of production</v>
          </cell>
        </row>
        <row r="137">
          <cell r="D137" t="str">
            <v>Less: Subsidy</v>
          </cell>
          <cell r="E137" t="str">
            <v>mt</v>
          </cell>
          <cell r="G137">
            <v>3539.4362829714287</v>
          </cell>
          <cell r="L137">
            <v>0.1422313475483146</v>
          </cell>
          <cell r="R137" t="str">
            <v>% of profit on cost of sales</v>
          </cell>
        </row>
        <row r="138">
          <cell r="D138" t="str">
            <v>Transfer Price to Mktg</v>
          </cell>
          <cell r="E138" t="str">
            <v>mt</v>
          </cell>
          <cell r="G138">
            <v>3747.0536976833378</v>
          </cell>
          <cell r="L138">
            <v>7.1115673774157298E-2</v>
          </cell>
          <cell r="R138" t="str">
            <v>Mktg %</v>
          </cell>
        </row>
      </sheetData>
      <sheetData sheetId="3" refreshError="1"/>
      <sheetData sheetId="4" refreshError="1"/>
      <sheetData sheetId="5" refreshError="1"/>
      <sheetData sheetId="6" refreshError="1">
        <row r="4">
          <cell r="B4" t="str">
            <v>INTERNAL BUDGET PROPOSALS 04-05</v>
          </cell>
        </row>
        <row r="6">
          <cell r="B6" t="str">
            <v>ASSUMPTIONS-  SNB Manufacturing:</v>
          </cell>
        </row>
        <row r="8">
          <cell r="B8" t="str">
            <v>ITEM</v>
          </cell>
          <cell r="C8" t="str">
            <v>UoM</v>
          </cell>
          <cell r="D8" t="str">
            <v>Proposed 
 04-05</v>
          </cell>
          <cell r="E8" t="str">
            <v>Actuals 
03-04</v>
          </cell>
          <cell r="F8" t="str">
            <v>Remarks (2004-05)</v>
          </cell>
        </row>
        <row r="9">
          <cell r="B9" t="str">
            <v>1. Production</v>
          </cell>
        </row>
        <row r="10">
          <cell r="B10" t="str">
            <v>Urea</v>
          </cell>
        </row>
        <row r="11">
          <cell r="B11" t="str">
            <v>a. Plant I</v>
          </cell>
          <cell r="C11" t="str">
            <v>MT</v>
          </cell>
          <cell r="D11">
            <v>625000</v>
          </cell>
          <cell r="E11">
            <v>598530</v>
          </cell>
        </row>
        <row r="12">
          <cell r="B12" t="str">
            <v>b. Plant II</v>
          </cell>
          <cell r="C12" t="str">
            <v>MT</v>
          </cell>
          <cell r="D12">
            <v>700000</v>
          </cell>
          <cell r="E12">
            <v>595430</v>
          </cell>
          <cell r="F12" t="str">
            <v>41.4 : 5.2 : 53.3  Gas : LSHS : Naphtha Ratio</v>
          </cell>
        </row>
        <row r="13">
          <cell r="B13" t="str">
            <v>c. Stream days</v>
          </cell>
          <cell r="C13" t="str">
            <v>Days</v>
          </cell>
          <cell r="D13">
            <v>330</v>
          </cell>
          <cell r="E13">
            <v>313.13125000000002</v>
          </cell>
        </row>
        <row r="14">
          <cell r="B14" t="str">
            <v>d. Energy consumption</v>
          </cell>
          <cell r="C14" t="str">
            <v>MMKCAL</v>
          </cell>
          <cell r="D14">
            <v>5.7119999999999997</v>
          </cell>
          <cell r="E14">
            <v>5.7538376656739505</v>
          </cell>
          <cell r="F14" t="str">
            <v>Reimbursement norm : 5.712</v>
          </cell>
        </row>
        <row r="15">
          <cell r="B15" t="str">
            <v>Ammonia</v>
          </cell>
        </row>
        <row r="16">
          <cell r="B16" t="str">
            <v>a. Plant I</v>
          </cell>
          <cell r="C16" t="str">
            <v>MT</v>
          </cell>
          <cell r="D16">
            <v>2000</v>
          </cell>
          <cell r="F16" t="str">
            <v>Profit share to GOI</v>
          </cell>
        </row>
        <row r="17">
          <cell r="B17" t="str">
            <v>b. Plant II</v>
          </cell>
          <cell r="C17" t="str">
            <v>MT</v>
          </cell>
          <cell r="D17">
            <v>2000</v>
          </cell>
          <cell r="F17">
            <v>0.65</v>
          </cell>
        </row>
        <row r="18">
          <cell r="B18" t="str">
            <v>c. Energy consumption</v>
          </cell>
          <cell r="C18" t="str">
            <v>MMKCAL</v>
          </cell>
          <cell r="D18">
            <v>8</v>
          </cell>
          <cell r="F18" t="str">
            <v>NFCL share Rs. 500 /-MT</v>
          </cell>
        </row>
        <row r="19">
          <cell r="B19" t="str">
            <v>2. Gas availability</v>
          </cell>
          <cell r="C19" t="str">
            <v>MMSCMD</v>
          </cell>
          <cell r="D19">
            <v>1.8</v>
          </cell>
          <cell r="E19">
            <v>2.1032048660717297</v>
          </cell>
          <cell r="F19" t="str">
            <v>@ 8800 KCAL</v>
          </cell>
        </row>
        <row r="21">
          <cell r="B21" t="str">
            <v>3. Gas Price</v>
          </cell>
        </row>
        <row r="22">
          <cell r="B22" t="str">
            <v>a. Controlled price</v>
          </cell>
          <cell r="C22" t="str">
            <v>Rs/Gcal</v>
          </cell>
          <cell r="D22">
            <v>356</v>
          </cell>
          <cell r="E22">
            <v>356</v>
          </cell>
          <cell r="F22" t="str">
            <v>Weighted Average Rate 
Rs. 407/MMkcl</v>
          </cell>
        </row>
        <row r="23">
          <cell r="B23" t="str">
            <v>b. De-controlled price</v>
          </cell>
          <cell r="C23" t="str">
            <v>Rs/Gcal</v>
          </cell>
          <cell r="D23">
            <v>711</v>
          </cell>
          <cell r="E23">
            <v>711</v>
          </cell>
        </row>
        <row r="24">
          <cell r="B24" t="str">
            <v>c. Transport Charges</v>
          </cell>
          <cell r="C24" t="str">
            <v>Rs.Lakhs</v>
          </cell>
          <cell r="D24">
            <v>4472.5866570345606</v>
          </cell>
          <cell r="E24">
            <v>4386.8326366000001</v>
          </cell>
        </row>
        <row r="25">
          <cell r="B25" t="str">
            <v>d. Gas Compression charges</v>
          </cell>
          <cell r="C25" t="str">
            <v>Rs. Lakhs</v>
          </cell>
          <cell r="D25">
            <v>400</v>
          </cell>
          <cell r="E25">
            <v>0</v>
          </cell>
          <cell r="F25" t="str">
            <v>assumed pass through</v>
          </cell>
        </row>
        <row r="27">
          <cell r="B27" t="str">
            <v>4.a. Naphtha</v>
          </cell>
          <cell r="C27" t="str">
            <v>MT</v>
          </cell>
          <cell r="D27">
            <v>206041.90476190476</v>
          </cell>
          <cell r="E27">
            <v>84338.652999999991</v>
          </cell>
          <cell r="F27" t="str">
            <v>CV 10500 KCAL / MT</v>
          </cell>
        </row>
        <row r="28">
          <cell r="B28" t="str">
            <v>Naphtha Price / MT</v>
          </cell>
          <cell r="C28" t="str">
            <v>Rs.</v>
          </cell>
          <cell r="D28">
            <v>16500</v>
          </cell>
        </row>
        <row r="30">
          <cell r="B30" t="str">
            <v>4.b. LSHS</v>
          </cell>
          <cell r="C30" t="str">
            <v>MT</v>
          </cell>
          <cell r="D30">
            <v>21850</v>
          </cell>
          <cell r="F30" t="str">
            <v>CV 9600 KCAL /MT</v>
          </cell>
        </row>
        <row r="31">
          <cell r="B31" t="str">
            <v>LSHS Price / MT</v>
          </cell>
          <cell r="C31" t="str">
            <v>Rs.</v>
          </cell>
          <cell r="D31">
            <v>13400</v>
          </cell>
        </row>
        <row r="33">
          <cell r="B33" t="str">
            <v xml:space="preserve">5. Fixed  Concession </v>
          </cell>
        </row>
        <row r="34">
          <cell r="B34" t="str">
            <v>a. Plant I</v>
          </cell>
        </row>
        <row r="35">
          <cell r="B35" t="str">
            <v>Upto 100% capacity</v>
          </cell>
          <cell r="C35" t="str">
            <v>Rs/MT</v>
          </cell>
          <cell r="D35">
            <v>4138</v>
          </cell>
          <cell r="E35">
            <v>4308</v>
          </cell>
        </row>
        <row r="36">
          <cell r="B36" t="str">
            <v>Beyond 100% capacity</v>
          </cell>
          <cell r="C36" t="str">
            <v>Rs/MT</v>
          </cell>
          <cell r="D36">
            <v>2335.9755999999998</v>
          </cell>
          <cell r="E36">
            <v>0</v>
          </cell>
          <cell r="F36" t="str">
            <v>IPP assumed @ Rs. 9012/mt</v>
          </cell>
        </row>
        <row r="38">
          <cell r="B38" t="str">
            <v>b. Plant II</v>
          </cell>
        </row>
        <row r="39">
          <cell r="B39" t="str">
            <v>Upto 100% capacity</v>
          </cell>
          <cell r="C39" t="str">
            <v>Rs/MT</v>
          </cell>
          <cell r="D39">
            <v>3511</v>
          </cell>
          <cell r="E39">
            <v>3681</v>
          </cell>
        </row>
        <row r="40">
          <cell r="B40" t="str">
            <v>Beyond 100% capacity</v>
          </cell>
          <cell r="C40" t="str">
            <v>Rs/MT</v>
          </cell>
          <cell r="D40">
            <v>991.31194285714287</v>
          </cell>
          <cell r="E40">
            <v>0</v>
          </cell>
          <cell r="F40" t="str">
            <v>IPP assumed @ Rs. 9012/mt</v>
          </cell>
        </row>
        <row r="41">
          <cell r="B41" t="str">
            <v>6. Variable concession</v>
          </cell>
        </row>
        <row r="42">
          <cell r="B42" t="str">
            <v>a. Plant I</v>
          </cell>
        </row>
        <row r="43">
          <cell r="B43" t="str">
            <v>i. Gas</v>
          </cell>
          <cell r="C43" t="str">
            <v>Rs/MT</v>
          </cell>
          <cell r="D43">
            <v>2324.7840000000001</v>
          </cell>
          <cell r="E43">
            <v>2342</v>
          </cell>
          <cell r="F43" t="str">
            <v>GCS price - Plant 1</v>
          </cell>
        </row>
        <row r="44">
          <cell r="B44" t="str">
            <v>ii. Packing</v>
          </cell>
          <cell r="C44" t="str">
            <v>Rs/MT</v>
          </cell>
          <cell r="D44">
            <v>218</v>
          </cell>
          <cell r="E44">
            <v>218</v>
          </cell>
        </row>
        <row r="45">
          <cell r="B45" t="str">
            <v>iii. Water</v>
          </cell>
          <cell r="C45" t="str">
            <v>Rs/MT</v>
          </cell>
          <cell r="D45">
            <v>13</v>
          </cell>
          <cell r="E45">
            <v>13</v>
          </cell>
          <cell r="F45">
            <v>6693.7839999999997</v>
          </cell>
        </row>
        <row r="46">
          <cell r="B46" t="str">
            <v>b. Plant II</v>
          </cell>
        </row>
        <row r="47">
          <cell r="B47" t="str">
            <v>i. Gas/Naphtha</v>
          </cell>
          <cell r="C47" t="str">
            <v>Rs/MT</v>
          </cell>
          <cell r="D47">
            <v>6166.680163265306</v>
          </cell>
          <cell r="E47">
            <v>3646</v>
          </cell>
          <cell r="F47" t="str">
            <v>GCS price - Plant 2</v>
          </cell>
        </row>
        <row r="48">
          <cell r="B48" t="str">
            <v>ii. Packing</v>
          </cell>
          <cell r="C48" t="str">
            <v>Rs/MT</v>
          </cell>
          <cell r="D48">
            <v>218</v>
          </cell>
          <cell r="E48">
            <v>218</v>
          </cell>
        </row>
        <row r="49">
          <cell r="B49" t="str">
            <v>iii. Water</v>
          </cell>
          <cell r="C49" t="str">
            <v>Rs/MT</v>
          </cell>
          <cell r="D49">
            <v>13</v>
          </cell>
          <cell r="E49">
            <v>13</v>
          </cell>
          <cell r="F49">
            <v>9908.680163265306</v>
          </cell>
        </row>
        <row r="50">
          <cell r="B50" t="str">
            <v>7. Miscellaneous Income</v>
          </cell>
        </row>
        <row r="51">
          <cell r="B51" t="str">
            <v xml:space="preserve">a. Ammonia </v>
          </cell>
          <cell r="C51" t="str">
            <v>Rs Lakhs</v>
          </cell>
          <cell r="D51">
            <v>560</v>
          </cell>
          <cell r="E51">
            <v>2552.8456350000001</v>
          </cell>
          <cell r="F51" t="str">
            <v>Profit sharing - 65% to Govt</v>
          </cell>
        </row>
        <row r="52">
          <cell r="B52" t="str">
            <v>b. CO2</v>
          </cell>
          <cell r="C52" t="str">
            <v>Rs Lakhs</v>
          </cell>
          <cell r="D52">
            <v>48</v>
          </cell>
          <cell r="E52">
            <v>10</v>
          </cell>
          <cell r="F52" t="str">
            <v>(6000 mt sale proposed)</v>
          </cell>
        </row>
        <row r="53">
          <cell r="B53" t="str">
            <v>c. DM water</v>
          </cell>
          <cell r="C53" t="str">
            <v>Rs Lakhs</v>
          </cell>
          <cell r="D53">
            <v>10</v>
          </cell>
          <cell r="E53">
            <v>0</v>
          </cell>
          <cell r="F53" t="str">
            <v>(subject to legal clearance)</v>
          </cell>
        </row>
        <row r="54">
          <cell r="B54" t="str">
            <v>d. Nitrogen</v>
          </cell>
          <cell r="C54" t="str">
            <v>Rs Lakhs</v>
          </cell>
          <cell r="D54">
            <v>0</v>
          </cell>
          <cell r="E54">
            <v>0</v>
          </cell>
        </row>
        <row r="55">
          <cell r="B55" t="str">
            <v>e. Scrap sales</v>
          </cell>
          <cell r="C55" t="str">
            <v>Rs Lakhs</v>
          </cell>
          <cell r="D55">
            <v>35</v>
          </cell>
          <cell r="E55">
            <v>45.344260999999896</v>
          </cell>
        </row>
        <row r="56">
          <cell r="B56" t="str">
            <v>f. Other misc. income</v>
          </cell>
          <cell r="C56" t="str">
            <v>Rs Lakhs</v>
          </cell>
          <cell r="D56">
            <v>30</v>
          </cell>
          <cell r="E56">
            <v>41.181640799999997</v>
          </cell>
        </row>
        <row r="57">
          <cell r="B57" t="str">
            <v>8. Manufacturing  Expenses</v>
          </cell>
          <cell r="D57">
            <v>4878.7800000000007</v>
          </cell>
          <cell r="E57">
            <v>4524.2692875999892</v>
          </cell>
        </row>
        <row r="58">
          <cell r="B58" t="str">
            <v>a. Repairs &amp; Maintenance</v>
          </cell>
          <cell r="C58" t="str">
            <v>Rs Lakhs</v>
          </cell>
          <cell r="D58">
            <v>355</v>
          </cell>
          <cell r="E58">
            <v>261.91000000000003</v>
          </cell>
          <cell r="F58" t="str">
            <v>Buildg Rs. 36.25, Plant Rs. 216.68 lakh, Others Rs. 102.27 lakhs.</v>
          </cell>
        </row>
        <row r="59">
          <cell r="B59" t="str">
            <v>b. Stores &amp; Spares</v>
          </cell>
          <cell r="C59" t="str">
            <v>Rs Lakhs</v>
          </cell>
          <cell r="D59">
            <v>250</v>
          </cell>
          <cell r="E59">
            <v>214.92</v>
          </cell>
        </row>
        <row r="60">
          <cell r="B60" t="str">
            <v>c. Chem.&amp; consumables</v>
          </cell>
          <cell r="C60" t="str">
            <v>Rs Lakhs</v>
          </cell>
          <cell r="D60">
            <v>410</v>
          </cell>
          <cell r="E60">
            <v>357.55977259999997</v>
          </cell>
          <cell r="F60" t="str">
            <v>30:70%  Fixed /Variable</v>
          </cell>
        </row>
        <row r="61">
          <cell r="B61" t="str">
            <v>d. ATA expenses</v>
          </cell>
          <cell r="C61" t="str">
            <v>Rs Lakhs</v>
          </cell>
          <cell r="D61">
            <v>200</v>
          </cell>
          <cell r="E61">
            <v>260.35000000000002</v>
          </cell>
          <cell r="F61" t="str">
            <v>In case of emergency, funds to be allocated on case to case basis</v>
          </cell>
        </row>
        <row r="62">
          <cell r="B62" t="str">
            <v>e. Carriage inwards</v>
          </cell>
          <cell r="C62" t="str">
            <v>Rs Lakhs</v>
          </cell>
          <cell r="D62">
            <v>8</v>
          </cell>
          <cell r="E62">
            <v>8.1142038999999997</v>
          </cell>
        </row>
        <row r="63">
          <cell r="B63" t="str">
            <v>f. Water charges</v>
          </cell>
          <cell r="C63" t="str">
            <v>Rs Lakhs</v>
          </cell>
          <cell r="D63">
            <v>250.48</v>
          </cell>
          <cell r="E63">
            <v>254.63516000000001</v>
          </cell>
        </row>
        <row r="64">
          <cell r="B64" t="str">
            <v>g. Grid charges/Duty Charges</v>
          </cell>
          <cell r="C64" t="str">
            <v>Rs Lakhs</v>
          </cell>
          <cell r="D64">
            <v>217.35000000000002</v>
          </cell>
          <cell r="E64">
            <v>541.98068659999899</v>
          </cell>
          <cell r="F64" t="str">
            <v xml:space="preserve"> in view of the HC Stay, provision of Rs.4.8 crores PA  - cess charges have not been considered this year.</v>
          </cell>
        </row>
        <row r="65">
          <cell r="B65" t="str">
            <v>h. Packing charges</v>
          </cell>
          <cell r="C65" t="str">
            <v>Rs Lakhs</v>
          </cell>
          <cell r="D65">
            <v>3187.9500000000003</v>
          </cell>
          <cell r="E65">
            <v>2624.7994644999899</v>
          </cell>
          <cell r="F65" t="str">
            <v>bag price is Rs.12/-</v>
          </cell>
        </row>
        <row r="66">
          <cell r="B66" t="str">
            <v>9. Salaries and Wages</v>
          </cell>
          <cell r="D66">
            <v>1845.8770435322447</v>
          </cell>
          <cell r="E66">
            <v>1852.7</v>
          </cell>
        </row>
        <row r="67">
          <cell r="B67" t="str">
            <v>a. Salaries &amp; Wages</v>
          </cell>
          <cell r="C67" t="str">
            <v>Rs Lakhs</v>
          </cell>
          <cell r="D67">
            <v>1429.01</v>
          </cell>
          <cell r="E67">
            <v>1398.3652453</v>
          </cell>
        </row>
        <row r="68">
          <cell r="B68" t="str">
            <v>b. Contract Wages</v>
          </cell>
          <cell r="C68" t="str">
            <v>Rs Lakhs</v>
          </cell>
          <cell r="D68">
            <v>140.81704353224455</v>
          </cell>
          <cell r="E68">
            <v>126.89475470000001</v>
          </cell>
          <cell r="F68" t="str">
            <v xml:space="preserve">100% variable </v>
          </cell>
        </row>
        <row r="69">
          <cell r="B69" t="str">
            <v>c. Benefits</v>
          </cell>
          <cell r="C69" t="str">
            <v>Rs Lakhs</v>
          </cell>
          <cell r="D69">
            <v>128.13999999999999</v>
          </cell>
          <cell r="E69">
            <v>79.66</v>
          </cell>
          <cell r="F69" t="str">
            <v>Gratuity provision.</v>
          </cell>
        </row>
        <row r="70">
          <cell r="B70" t="str">
            <v>d. Welfare expenses</v>
          </cell>
          <cell r="C70" t="str">
            <v>Rs Lakhs</v>
          </cell>
          <cell r="D70">
            <v>147.91</v>
          </cell>
          <cell r="E70">
            <v>247.78</v>
          </cell>
        </row>
        <row r="71">
          <cell r="B71" t="str">
            <v>10. Plant overheads</v>
          </cell>
          <cell r="D71">
            <v>492.29353520500001</v>
          </cell>
          <cell r="E71">
            <v>262.34038729999986</v>
          </cell>
        </row>
        <row r="72">
          <cell r="B72" t="str">
            <v>a. Travel &amp; conveyance</v>
          </cell>
          <cell r="C72" t="str">
            <v>Rs Lakhs</v>
          </cell>
          <cell r="D72">
            <v>52</v>
          </cell>
          <cell r="E72">
            <v>51.579651899999902</v>
          </cell>
          <cell r="F72" t="str">
            <v>excluding Rs.30lakhs relating to salaries basket.</v>
          </cell>
        </row>
        <row r="73">
          <cell r="B73" t="str">
            <v>b. Communication</v>
          </cell>
          <cell r="C73" t="str">
            <v>Rs Lakhs</v>
          </cell>
          <cell r="D73">
            <v>20.293535205000001</v>
          </cell>
          <cell r="E73">
            <v>23.874747300000003</v>
          </cell>
          <cell r="F73" t="str">
            <v>15% reduction</v>
          </cell>
        </row>
        <row r="74">
          <cell r="B74" t="str">
            <v xml:space="preserve">c. R &amp; D Expenses </v>
          </cell>
          <cell r="C74" t="str">
            <v>Rs Lakhs</v>
          </cell>
          <cell r="D74">
            <v>3</v>
          </cell>
          <cell r="E74">
            <v>7</v>
          </cell>
        </row>
        <row r="75">
          <cell r="B75" t="str">
            <v>d. Rent, Rates &amp; Taxes</v>
          </cell>
          <cell r="C75" t="str">
            <v>Rs Lakhs</v>
          </cell>
          <cell r="D75">
            <v>36</v>
          </cell>
          <cell r="E75">
            <v>52.536999999999999</v>
          </cell>
          <cell r="F75" t="str">
            <v>2003-04 amount includes pmt of arrears of Property Tax to Gram Panchyat.</v>
          </cell>
        </row>
        <row r="76">
          <cell r="B76" t="str">
            <v>e. Printing &amp; Stationery</v>
          </cell>
          <cell r="C76" t="str">
            <v>Rs Lakhs</v>
          </cell>
          <cell r="D76">
            <v>9</v>
          </cell>
          <cell r="E76">
            <v>7.2231680999999899</v>
          </cell>
          <cell r="F76" t="str">
            <v>Printing Material for increased training activity</v>
          </cell>
        </row>
        <row r="77">
          <cell r="B77" t="str">
            <v>f. Training &amp; Recruitment</v>
          </cell>
          <cell r="C77" t="str">
            <v>Rs Lakhs</v>
          </cell>
          <cell r="D77">
            <v>12</v>
          </cell>
          <cell r="E77">
            <v>3.1733799999999999</v>
          </cell>
          <cell r="F77" t="str">
            <v>New recruitment proposed and increased training proposed.</v>
          </cell>
        </row>
        <row r="78">
          <cell r="B78" t="str">
            <v>g. Technical consultancy</v>
          </cell>
          <cell r="C78" t="str">
            <v>Rs Lakhs</v>
          </cell>
          <cell r="D78">
            <v>270</v>
          </cell>
          <cell r="E78">
            <v>9.4224399999999999</v>
          </cell>
          <cell r="F78" t="str">
            <v>PSM, TPM, Energy audit, FGTR, Revamp study</v>
          </cell>
        </row>
        <row r="79">
          <cell r="B79" t="str">
            <v>h. Miscellaneous expenses</v>
          </cell>
          <cell r="C79" t="str">
            <v>Rs Lakhs</v>
          </cell>
          <cell r="D79">
            <v>90</v>
          </cell>
          <cell r="E79">
            <v>107.53</v>
          </cell>
          <cell r="F79" t="str">
            <v>15% reduction</v>
          </cell>
        </row>
        <row r="81">
          <cell r="B81" t="str">
            <v>11. Depreciation</v>
          </cell>
          <cell r="C81" t="str">
            <v>Rs Lakhs</v>
          </cell>
          <cell r="D81">
            <v>11470</v>
          </cell>
          <cell r="E81">
            <v>11211.714203399899</v>
          </cell>
          <cell r="F81" t="str">
            <v>Due to increase in  capital additions depreciation will increase</v>
          </cell>
        </row>
        <row r="82">
          <cell r="B82" t="str">
            <v>12. Insurance charges</v>
          </cell>
          <cell r="C82" t="str">
            <v>Rs Lakhs</v>
          </cell>
          <cell r="D82">
            <v>613</v>
          </cell>
          <cell r="E82">
            <v>516.58282999999994</v>
          </cell>
          <cell r="F82" t="str">
            <v>Fire, MBD and inventories etc.</v>
          </cell>
        </row>
        <row r="83">
          <cell r="B83" t="str">
            <v>13. Finance charges</v>
          </cell>
          <cell r="C83" t="str">
            <v>Rs Lakhs</v>
          </cell>
          <cell r="D83">
            <v>6710</v>
          </cell>
          <cell r="E83">
            <v>144.19091409999999</v>
          </cell>
          <cell r="F83" t="str">
            <v>Int. on the basis of total funding</v>
          </cell>
        </row>
        <row r="84">
          <cell r="B84" t="str">
            <v>a.  Int. on Equipment Loans</v>
          </cell>
          <cell r="D84">
            <v>6153</v>
          </cell>
        </row>
        <row r="85">
          <cell r="B85" t="str">
            <v>b.  Interest on Current Assets</v>
          </cell>
          <cell r="D85">
            <v>425</v>
          </cell>
        </row>
        <row r="86">
          <cell r="B86" t="str">
            <v>c.  Bank charges</v>
          </cell>
          <cell r="D86">
            <v>132</v>
          </cell>
        </row>
        <row r="87">
          <cell r="B87" t="str">
            <v xml:space="preserve">14. Catalyst </v>
          </cell>
          <cell r="C87" t="str">
            <v>Rs Lakhs</v>
          </cell>
          <cell r="D87">
            <v>1031</v>
          </cell>
          <cell r="E87">
            <v>67.310519999999997</v>
          </cell>
          <cell r="F87" t="str">
            <v>In view of recent technical snag with the catalyst, additional expenditure during FY 2004-05 considered</v>
          </cell>
        </row>
        <row r="88">
          <cell r="B88" t="str">
            <v>a.  DRE</v>
          </cell>
          <cell r="C88" t="str">
            <v>Rs Lakhs</v>
          </cell>
          <cell r="D88">
            <v>1031</v>
          </cell>
          <cell r="E88">
            <v>32</v>
          </cell>
          <cell r="F88" t="str">
            <v>As per the new Accounting Standard, the total expenditure on catalyst is charged off in the same year.</v>
          </cell>
        </row>
        <row r="89">
          <cell r="B89" t="str">
            <v>b.  New Catalyst</v>
          </cell>
          <cell r="C89" t="str">
            <v>Rs Lakhs</v>
          </cell>
          <cell r="D89">
            <v>0</v>
          </cell>
          <cell r="E89">
            <v>35</v>
          </cell>
        </row>
        <row r="91">
          <cell r="B91" t="str">
            <v>15. Capital Exp.</v>
          </cell>
          <cell r="D91">
            <v>2672</v>
          </cell>
        </row>
        <row r="92">
          <cell r="B92" t="str">
            <v>a.  Normal Capex</v>
          </cell>
          <cell r="C92" t="str">
            <v>Rs Lakhs</v>
          </cell>
          <cell r="D92">
            <v>1025</v>
          </cell>
        </row>
        <row r="93">
          <cell r="B93" t="str">
            <v>b.  Stripper</v>
          </cell>
          <cell r="C93" t="str">
            <v>Rs Lakhs</v>
          </cell>
          <cell r="D93">
            <v>1550</v>
          </cell>
        </row>
        <row r="94">
          <cell r="B94" t="str">
            <v>c.  Guest House</v>
          </cell>
          <cell r="C94" t="str">
            <v>Rs Lakhs</v>
          </cell>
          <cell r="D94">
            <v>82</v>
          </cell>
        </row>
        <row r="95">
          <cell r="B95" t="str">
            <v>d.  GT-C</v>
          </cell>
          <cell r="C95" t="str">
            <v>Rs Lakhs</v>
          </cell>
          <cell r="D95">
            <v>0</v>
          </cell>
          <cell r="F95" t="str">
            <v>Next year Rs 450 lakhs</v>
          </cell>
        </row>
        <row r="96">
          <cell r="B96" t="str">
            <v>e.  Water Regulator</v>
          </cell>
          <cell r="C96" t="str">
            <v>Rs Lakhs</v>
          </cell>
          <cell r="D96">
            <v>15</v>
          </cell>
        </row>
      </sheetData>
      <sheetData sheetId="7" refreshError="1">
        <row r="1">
          <cell r="B1" t="str">
            <v>INTERNAL BUDGET PROPOSALS 04-05</v>
          </cell>
        </row>
        <row r="3">
          <cell r="B3" t="str">
            <v>ASSUMPTIONS-  SNB Marketing:</v>
          </cell>
        </row>
        <row r="5">
          <cell r="B5" t="str">
            <v>Sl NO.</v>
          </cell>
          <cell r="C5" t="str">
            <v>Particulars</v>
          </cell>
          <cell r="E5" t="str">
            <v>Proposed 
 04-05</v>
          </cell>
          <cell r="G5" t="str">
            <v>Actuals 
03-04</v>
          </cell>
          <cell r="I5" t="str">
            <v xml:space="preserve">Variance </v>
          </cell>
        </row>
        <row r="6">
          <cell r="I6" t="str">
            <v>Amount</v>
          </cell>
        </row>
        <row r="7">
          <cell r="C7" t="str">
            <v>Assumptions / Parameters</v>
          </cell>
          <cell r="D7" t="str">
            <v>Unit</v>
          </cell>
          <cell r="E7" t="str">
            <v>Quantity</v>
          </cell>
          <cell r="F7" t="str">
            <v>Rs Lakhs</v>
          </cell>
          <cell r="G7" t="str">
            <v>Quantity</v>
          </cell>
          <cell r="H7" t="str">
            <v>Rs Lakhs</v>
          </cell>
          <cell r="I7" t="str">
            <v>Rs Lakhs</v>
          </cell>
        </row>
        <row r="9">
          <cell r="B9" t="str">
            <v>A</v>
          </cell>
          <cell r="C9" t="str">
            <v>Production</v>
          </cell>
          <cell r="D9" t="str">
            <v>MTs</v>
          </cell>
          <cell r="E9">
            <v>1325000</v>
          </cell>
          <cell r="G9">
            <v>1193960</v>
          </cell>
        </row>
        <row r="11">
          <cell r="C11" t="str">
            <v>Plant 1</v>
          </cell>
          <cell r="D11" t="str">
            <v>MTs</v>
          </cell>
          <cell r="E11">
            <v>625000</v>
          </cell>
          <cell r="G11">
            <v>598530</v>
          </cell>
        </row>
        <row r="12">
          <cell r="C12" t="str">
            <v>Plant 2</v>
          </cell>
          <cell r="D12" t="str">
            <v>MTs</v>
          </cell>
          <cell r="E12">
            <v>700000</v>
          </cell>
          <cell r="G12">
            <v>595430</v>
          </cell>
        </row>
        <row r="14">
          <cell r="B14" t="str">
            <v>B</v>
          </cell>
          <cell r="C14" t="str">
            <v>Dispatches</v>
          </cell>
        </row>
        <row r="15">
          <cell r="C15" t="str">
            <v>Assumption - Same as Production</v>
          </cell>
          <cell r="E15">
            <v>1325000</v>
          </cell>
          <cell r="G15">
            <v>1154101.6000000001</v>
          </cell>
        </row>
        <row r="17">
          <cell r="B17" t="str">
            <v>C</v>
          </cell>
          <cell r="C17" t="str">
            <v>Sales - Market</v>
          </cell>
          <cell r="D17" t="str">
            <v>MTs</v>
          </cell>
          <cell r="E17">
            <v>1314600</v>
          </cell>
          <cell r="G17">
            <v>1390559.9850000001</v>
          </cell>
        </row>
        <row r="19">
          <cell r="C19" t="str">
            <v>Sales - I U</v>
          </cell>
          <cell r="E19">
            <v>0</v>
          </cell>
          <cell r="G19">
            <v>39964</v>
          </cell>
          <cell r="H19">
            <v>3307.68</v>
          </cell>
        </row>
        <row r="21">
          <cell r="B21" t="str">
            <v>D</v>
          </cell>
          <cell r="C21" t="str">
            <v>Farm Gate Price</v>
          </cell>
          <cell r="D21" t="str">
            <v>Rs/PMT</v>
          </cell>
          <cell r="E21">
            <v>4650</v>
          </cell>
          <cell r="F21">
            <v>61128.9</v>
          </cell>
          <cell r="G21">
            <v>4650</v>
          </cell>
          <cell r="H21">
            <v>64661.039302500001</v>
          </cell>
        </row>
        <row r="22">
          <cell r="C22" t="str">
            <v>EFS reimbursement - ECA</v>
          </cell>
          <cell r="D22" t="str">
            <v>Rs/PMT</v>
          </cell>
          <cell r="E22">
            <v>530</v>
          </cell>
          <cell r="G22">
            <v>454</v>
          </cell>
        </row>
        <row r="23">
          <cell r="C23" t="str">
            <v>EFS reimbursement - Non-ECA</v>
          </cell>
          <cell r="D23" t="str">
            <v>Rs/PMT</v>
          </cell>
          <cell r="E23">
            <v>430</v>
          </cell>
          <cell r="G23">
            <v>354</v>
          </cell>
        </row>
        <row r="25">
          <cell r="B25" t="str">
            <v>E</v>
          </cell>
          <cell r="C25" t="str">
            <v>Sales Value ( @ Rs.4650 Minus  55 /= PMT)</v>
          </cell>
          <cell r="D25" t="str">
            <v>Rs/PMT</v>
          </cell>
          <cell r="E25">
            <v>4595</v>
          </cell>
          <cell r="F25">
            <v>60405.87</v>
          </cell>
          <cell r="G25">
            <v>4547.8189133998412</v>
          </cell>
          <cell r="H25">
            <v>63240.15</v>
          </cell>
        </row>
        <row r="27">
          <cell r="C27" t="str">
            <v>ECA  ( Regulated : De-regulated Ratio)</v>
          </cell>
        </row>
        <row r="28">
          <cell r="C28" t="str">
            <v>Assumption ( 50 : 50 % of 11.946 LMTs &amp;
 100% on 1.304 LMT)</v>
          </cell>
        </row>
        <row r="29">
          <cell r="C29" t="str">
            <v>ECA  ( Regulated )</v>
          </cell>
          <cell r="D29" t="str">
            <v>MTs</v>
          </cell>
          <cell r="E29">
            <v>717300</v>
          </cell>
          <cell r="G29">
            <v>743481.15</v>
          </cell>
        </row>
        <row r="30">
          <cell r="C30" t="str">
            <v>ECA  ( De-Regulated )</v>
          </cell>
          <cell r="D30" t="str">
            <v>MTs</v>
          </cell>
          <cell r="E30">
            <v>597300</v>
          </cell>
          <cell r="G30">
            <v>410620.45</v>
          </cell>
        </row>
        <row r="31">
          <cell r="C31" t="str">
            <v>Industrial Urea</v>
          </cell>
          <cell r="D31" t="str">
            <v>MTs</v>
          </cell>
          <cell r="E31">
            <v>0</v>
          </cell>
          <cell r="G31">
            <v>39964</v>
          </cell>
        </row>
        <row r="34">
          <cell r="B34" t="str">
            <v>F</v>
          </cell>
          <cell r="C34" t="str">
            <v xml:space="preserve">Rebates &amp; Discounts </v>
          </cell>
          <cell r="D34" t="str">
            <v>Rs/PMT</v>
          </cell>
          <cell r="E34">
            <v>55</v>
          </cell>
          <cell r="F34">
            <v>723.03</v>
          </cell>
          <cell r="G34">
            <v>50.757968560414156</v>
          </cell>
          <cell r="H34">
            <v>705.81999999999994</v>
          </cell>
          <cell r="I34">
            <v>-56.206916574512434</v>
          </cell>
        </row>
        <row r="35">
          <cell r="C35" t="str">
            <v xml:space="preserve">Rebates </v>
          </cell>
          <cell r="D35" t="str">
            <v>Rs/PMT</v>
          </cell>
          <cell r="E35">
            <v>35</v>
          </cell>
          <cell r="F35">
            <v>460.11</v>
          </cell>
          <cell r="G35">
            <v>32.804050520697245</v>
          </cell>
          <cell r="H35">
            <v>456.16</v>
          </cell>
        </row>
        <row r="36">
          <cell r="C36" t="str">
            <v xml:space="preserve">Cash Discounts </v>
          </cell>
          <cell r="D36" t="str">
            <v>Rs/PMT</v>
          </cell>
          <cell r="E36">
            <v>70</v>
          </cell>
          <cell r="F36">
            <v>920.22</v>
          </cell>
          <cell r="G36">
            <v>68.330745185365004</v>
          </cell>
          <cell r="H36">
            <v>950.18</v>
          </cell>
        </row>
        <row r="37">
          <cell r="C37" t="str">
            <v>Overdue Interest</v>
          </cell>
          <cell r="D37" t="str">
            <v>Rs/PMT</v>
          </cell>
          <cell r="E37">
            <v>-50</v>
          </cell>
          <cell r="F37">
            <v>-657.3</v>
          </cell>
          <cell r="G37">
            <v>-50.376827145648079</v>
          </cell>
          <cell r="H37">
            <v>-700.52</v>
          </cell>
        </row>
        <row r="39">
          <cell r="B39" t="str">
            <v>G</v>
          </cell>
          <cell r="C39" t="str">
            <v>Traded Products</v>
          </cell>
          <cell r="F39">
            <v>195.3</v>
          </cell>
          <cell r="H39">
            <v>296</v>
          </cell>
          <cell r="I39">
            <v>-100.69999999999999</v>
          </cell>
        </row>
        <row r="41">
          <cell r="C41" t="str">
            <v>MOP - NIL</v>
          </cell>
        </row>
        <row r="42">
          <cell r="C42" t="str">
            <v xml:space="preserve">Imported Urea - 50000 MTs @ Rs.25/=PMT </v>
          </cell>
          <cell r="D42" t="str">
            <v>Rs Lakhs</v>
          </cell>
          <cell r="F42">
            <v>12.5</v>
          </cell>
        </row>
        <row r="43">
          <cell r="C43" t="str">
            <v>Zinc Sulphate - 7600 MTs @ Rs.1000/=PMT</v>
          </cell>
          <cell r="D43" t="str">
            <v>Rs Lakhs</v>
          </cell>
          <cell r="F43">
            <v>76</v>
          </cell>
        </row>
        <row r="44">
          <cell r="C44" t="str">
            <v>Mahazinc - 136 MTs @ Rs.30000/=PMT)</v>
          </cell>
          <cell r="D44" t="str">
            <v>Rs Lakhs</v>
          </cell>
          <cell r="F44">
            <v>40.799999999999997</v>
          </cell>
        </row>
        <row r="45">
          <cell r="C45" t="str">
            <v>Specialty Fertilizers-550 MT @ Rs.12000/MT</v>
          </cell>
          <cell r="D45" t="str">
            <v>Rs Lakhs</v>
          </cell>
          <cell r="F45">
            <v>66</v>
          </cell>
        </row>
      </sheetData>
      <sheetData sheetId="8" refreshError="1"/>
      <sheetData sheetId="9" refreshError="1"/>
      <sheetData sheetId="10" refreshError="1"/>
      <sheetData sheetId="11" refreshError="1">
        <row r="54">
          <cell r="B54" t="str">
            <v>N F C L</v>
          </cell>
          <cell r="H54" t="str">
            <v>Departmental Overhead summary</v>
          </cell>
          <cell r="AE54">
            <v>12</v>
          </cell>
        </row>
        <row r="55">
          <cell r="C55" t="str">
            <v>BUDGET FOR THE YEAR 2004 - 2005</v>
          </cell>
          <cell r="AE55" t="str">
            <v>Rs.in lacs</v>
          </cell>
        </row>
        <row r="56">
          <cell r="C56" t="str">
            <v>SNB</v>
          </cell>
          <cell r="G56" t="str">
            <v>NSB</v>
          </cell>
          <cell r="K56" t="str">
            <v>D I R E C T O R S</v>
          </cell>
          <cell r="P56" t="str">
            <v>S E R V I C E S</v>
          </cell>
          <cell r="AE56" t="str">
            <v>Total</v>
          </cell>
        </row>
        <row r="57">
          <cell r="B57" t="str">
            <v>Account Head</v>
          </cell>
          <cell r="C57">
            <v>202</v>
          </cell>
          <cell r="D57">
            <v>652</v>
          </cell>
          <cell r="E57">
            <v>600</v>
          </cell>
          <cell r="G57">
            <v>1103</v>
          </cell>
          <cell r="H57">
            <v>1104</v>
          </cell>
          <cell r="I57" t="str">
            <v>Total</v>
          </cell>
          <cell r="J57">
            <v>2</v>
          </cell>
          <cell r="K57">
            <v>3</v>
          </cell>
          <cell r="L57">
            <v>5</v>
          </cell>
          <cell r="M57">
            <v>37</v>
          </cell>
          <cell r="N57" t="str">
            <v>Directors</v>
          </cell>
          <cell r="O57">
            <v>34</v>
          </cell>
          <cell r="P57">
            <v>35</v>
          </cell>
          <cell r="Q57">
            <v>36</v>
          </cell>
          <cell r="R57">
            <v>38</v>
          </cell>
          <cell r="S57">
            <v>42</v>
          </cell>
          <cell r="T57">
            <v>44</v>
          </cell>
          <cell r="U57">
            <v>45</v>
          </cell>
          <cell r="V57">
            <v>52</v>
          </cell>
          <cell r="W57">
            <v>53</v>
          </cell>
          <cell r="X57">
            <v>61</v>
          </cell>
          <cell r="Y57">
            <v>65</v>
          </cell>
          <cell r="Z57">
            <v>66</v>
          </cell>
          <cell r="AA57">
            <v>93</v>
          </cell>
          <cell r="AB57">
            <v>94</v>
          </cell>
          <cell r="AC57" t="str">
            <v>Services</v>
          </cell>
          <cell r="AD57" t="str">
            <v>H O</v>
          </cell>
        </row>
        <row r="58">
          <cell r="C58" t="str">
            <v>Plant</v>
          </cell>
          <cell r="D58" t="str">
            <v>Mktg</v>
          </cell>
          <cell r="E58" t="str">
            <v>Finance</v>
          </cell>
          <cell r="F58" t="str">
            <v>Total</v>
          </cell>
          <cell r="G58" t="str">
            <v>Maktg</v>
          </cell>
          <cell r="H58" t="str">
            <v>Finance</v>
          </cell>
          <cell r="J58" t="str">
            <v>CEO</v>
          </cell>
          <cell r="K58" t="str">
            <v>D(BD&amp;SP)</v>
          </cell>
          <cell r="L58" t="str">
            <v>D&amp;COO</v>
          </cell>
          <cell r="M58" t="str">
            <v>D (T)</v>
          </cell>
          <cell r="N58" t="str">
            <v>Sub total</v>
          </cell>
          <cell r="O58" t="str">
            <v>IT</v>
          </cell>
          <cell r="P58" t="str">
            <v>FICC</v>
          </cell>
          <cell r="Q58" t="str">
            <v>Corp Fin</v>
          </cell>
          <cell r="R58" t="str">
            <v>IA</v>
          </cell>
          <cell r="S58" t="str">
            <v>Admin</v>
          </cell>
          <cell r="T58" t="str">
            <v>HPD</v>
          </cell>
          <cell r="U58" t="str">
            <v>CMC</v>
          </cell>
          <cell r="V58" t="str">
            <v>L &amp; S</v>
          </cell>
          <cell r="W58" t="str">
            <v>NISL</v>
          </cell>
          <cell r="X58" t="str">
            <v>Delhi</v>
          </cell>
          <cell r="Y58" t="str">
            <v>Mumbai</v>
          </cell>
          <cell r="Z58" t="str">
            <v>B'lore</v>
          </cell>
          <cell r="AA58" t="str">
            <v>CPC (Corp)</v>
          </cell>
          <cell r="AB58" t="str">
            <v>CPC (Group)</v>
          </cell>
          <cell r="AC58" t="str">
            <v>Subtotal</v>
          </cell>
          <cell r="AD58" t="str">
            <v>TOTAL</v>
          </cell>
        </row>
        <row r="60">
          <cell r="B60" t="str">
            <v>SALARIES &amp; WAGES</v>
          </cell>
        </row>
        <row r="61">
          <cell r="AC61">
            <v>0</v>
          </cell>
        </row>
        <row r="62">
          <cell r="B62" t="str">
            <v>Salaries</v>
          </cell>
          <cell r="C62">
            <v>1429.01</v>
          </cell>
          <cell r="D62">
            <v>419.74</v>
          </cell>
          <cell r="E62">
            <v>68.260000000000005</v>
          </cell>
          <cell r="F62">
            <v>1917.01</v>
          </cell>
          <cell r="G62">
            <v>69.42</v>
          </cell>
          <cell r="H62">
            <v>16.760000000000002</v>
          </cell>
          <cell r="I62">
            <v>86.18</v>
          </cell>
          <cell r="J62">
            <v>95.56</v>
          </cell>
          <cell r="K62">
            <v>12.36</v>
          </cell>
          <cell r="L62">
            <v>43.26</v>
          </cell>
          <cell r="M62">
            <v>42.589999999999996</v>
          </cell>
          <cell r="N62">
            <v>193.77</v>
          </cell>
          <cell r="O62">
            <v>35.840000000000003</v>
          </cell>
          <cell r="P62">
            <v>19.34</v>
          </cell>
          <cell r="Q62">
            <v>92.92</v>
          </cell>
          <cell r="R62">
            <v>24.69</v>
          </cell>
          <cell r="S62">
            <v>27.1</v>
          </cell>
          <cell r="T62">
            <v>28.89</v>
          </cell>
          <cell r="U62">
            <v>9.26</v>
          </cell>
          <cell r="V62">
            <v>25.61</v>
          </cell>
          <cell r="W62">
            <v>5.42</v>
          </cell>
          <cell r="X62">
            <v>12.45</v>
          </cell>
          <cell r="Y62">
            <v>2.68</v>
          </cell>
          <cell r="Z62">
            <v>6.34</v>
          </cell>
          <cell r="AA62">
            <v>65.48</v>
          </cell>
          <cell r="AB62">
            <v>97.23</v>
          </cell>
          <cell r="AC62">
            <v>453.25000000000006</v>
          </cell>
          <cell r="AD62">
            <v>647.0200000000001</v>
          </cell>
          <cell r="AE62">
            <v>2650.21</v>
          </cell>
        </row>
        <row r="63">
          <cell r="B63" t="str">
            <v>Contribution to Funds</v>
          </cell>
          <cell r="C63">
            <v>128.13999999999999</v>
          </cell>
          <cell r="D63">
            <v>48.11</v>
          </cell>
          <cell r="E63">
            <v>5.85</v>
          </cell>
          <cell r="F63">
            <v>182.1</v>
          </cell>
          <cell r="G63">
            <v>5.1899999999999995</v>
          </cell>
          <cell r="H63">
            <v>2.27</v>
          </cell>
          <cell r="I63">
            <v>7.4599999999999991</v>
          </cell>
          <cell r="J63">
            <v>10.27</v>
          </cell>
          <cell r="K63">
            <v>1.99</v>
          </cell>
          <cell r="L63">
            <v>6.92</v>
          </cell>
          <cell r="M63">
            <v>6.2799999999999994</v>
          </cell>
          <cell r="N63">
            <v>25.46</v>
          </cell>
          <cell r="O63">
            <v>1.92</v>
          </cell>
          <cell r="P63">
            <v>1.87</v>
          </cell>
          <cell r="Q63">
            <v>6.63</v>
          </cell>
          <cell r="R63">
            <v>1.94</v>
          </cell>
          <cell r="S63">
            <v>1.5</v>
          </cell>
          <cell r="T63">
            <v>1.5</v>
          </cell>
          <cell r="U63">
            <v>0.55000000000000004</v>
          </cell>
          <cell r="V63">
            <v>1.98</v>
          </cell>
          <cell r="W63">
            <v>0.31</v>
          </cell>
          <cell r="X63">
            <v>0.54</v>
          </cell>
          <cell r="Y63">
            <v>0.15</v>
          </cell>
          <cell r="Z63">
            <v>0.36</v>
          </cell>
          <cell r="AA63">
            <v>5.66</v>
          </cell>
          <cell r="AB63">
            <v>9.9600000000000009</v>
          </cell>
          <cell r="AC63">
            <v>34.869999999999997</v>
          </cell>
          <cell r="AD63">
            <v>60.33</v>
          </cell>
          <cell r="AE63">
            <v>249.89</v>
          </cell>
        </row>
        <row r="64">
          <cell r="B64" t="str">
            <v>Staff Welfare Expenses</v>
          </cell>
          <cell r="C64">
            <v>147.91</v>
          </cell>
          <cell r="D64">
            <v>31.1</v>
          </cell>
          <cell r="E64">
            <v>2</v>
          </cell>
          <cell r="F64">
            <v>181.01</v>
          </cell>
          <cell r="G64">
            <v>1.81</v>
          </cell>
          <cell r="H64">
            <v>0.45</v>
          </cell>
          <cell r="I64">
            <v>2.2600000000000002</v>
          </cell>
          <cell r="J64">
            <v>1.68</v>
          </cell>
          <cell r="K64">
            <v>0</v>
          </cell>
          <cell r="L64">
            <v>0</v>
          </cell>
          <cell r="M64">
            <v>0.47</v>
          </cell>
          <cell r="N64">
            <v>2.15</v>
          </cell>
          <cell r="O64">
            <v>0.87</v>
          </cell>
          <cell r="P64">
            <v>0.03</v>
          </cell>
          <cell r="Q64">
            <v>3.36</v>
          </cell>
          <cell r="R64">
            <v>0.41</v>
          </cell>
          <cell r="S64">
            <v>1.66</v>
          </cell>
          <cell r="T64">
            <v>1.7</v>
          </cell>
          <cell r="U64">
            <v>0.24</v>
          </cell>
          <cell r="V64">
            <v>0.89</v>
          </cell>
          <cell r="W64">
            <v>0.04</v>
          </cell>
          <cell r="X64">
            <v>0.35</v>
          </cell>
          <cell r="Y64">
            <v>0.28999999999999998</v>
          </cell>
          <cell r="Z64">
            <v>0.28999999999999998</v>
          </cell>
          <cell r="AA64">
            <v>0.92</v>
          </cell>
          <cell r="AB64">
            <v>1.04</v>
          </cell>
          <cell r="AC64">
            <v>12.089999999999996</v>
          </cell>
          <cell r="AD64">
            <v>14.239999999999997</v>
          </cell>
          <cell r="AE64">
            <v>197.51</v>
          </cell>
        </row>
        <row r="65">
          <cell r="B65" t="str">
            <v>Contract Wages</v>
          </cell>
          <cell r="C65">
            <v>140.81704353224455</v>
          </cell>
          <cell r="F65">
            <v>140.81704353224455</v>
          </cell>
          <cell r="I65">
            <v>0</v>
          </cell>
          <cell r="N65">
            <v>0</v>
          </cell>
          <cell r="AE65">
            <v>140.81704353224455</v>
          </cell>
        </row>
        <row r="66">
          <cell r="B66" t="str">
            <v>sub total</v>
          </cell>
          <cell r="C66">
            <v>1845.8770435322447</v>
          </cell>
          <cell r="D66">
            <v>498.95000000000005</v>
          </cell>
          <cell r="E66">
            <v>76.11</v>
          </cell>
          <cell r="F66">
            <v>2420.9370435322444</v>
          </cell>
          <cell r="G66">
            <v>76.42</v>
          </cell>
          <cell r="H66">
            <v>19.48</v>
          </cell>
          <cell r="I66">
            <v>95.9</v>
          </cell>
          <cell r="J66">
            <v>107.51</v>
          </cell>
          <cell r="K66">
            <v>14.35</v>
          </cell>
          <cell r="L66">
            <v>50.18</v>
          </cell>
          <cell r="M66">
            <v>49.339999999999996</v>
          </cell>
          <cell r="N66">
            <v>221.38000000000002</v>
          </cell>
          <cell r="O66">
            <v>38.630000000000003</v>
          </cell>
          <cell r="P66">
            <v>21.240000000000002</v>
          </cell>
          <cell r="Q66">
            <v>102.91</v>
          </cell>
          <cell r="R66">
            <v>27.040000000000003</v>
          </cell>
          <cell r="S66">
            <v>30.26</v>
          </cell>
          <cell r="T66">
            <v>32.090000000000003</v>
          </cell>
          <cell r="U66">
            <v>10.050000000000001</v>
          </cell>
          <cell r="V66">
            <v>28.48</v>
          </cell>
          <cell r="W66">
            <v>5.77</v>
          </cell>
          <cell r="X66">
            <v>13.339999999999998</v>
          </cell>
          <cell r="Y66">
            <v>3.12</v>
          </cell>
          <cell r="Z66">
            <v>6.99</v>
          </cell>
          <cell r="AA66">
            <v>72.06</v>
          </cell>
          <cell r="AB66">
            <v>108.23</v>
          </cell>
          <cell r="AC66">
            <v>500.21000000000004</v>
          </cell>
          <cell r="AD66">
            <v>721.59000000000015</v>
          </cell>
          <cell r="AE66">
            <v>3238.4270435322442</v>
          </cell>
        </row>
        <row r="68">
          <cell r="B68" t="str">
            <v>OVERHEADS</v>
          </cell>
        </row>
        <row r="70">
          <cell r="B70" t="str">
            <v>Rent</v>
          </cell>
          <cell r="C70">
            <v>3</v>
          </cell>
          <cell r="D70">
            <v>19</v>
          </cell>
          <cell r="E70">
            <v>0</v>
          </cell>
          <cell r="F70">
            <v>22</v>
          </cell>
          <cell r="G70">
            <v>9.7200000000000006</v>
          </cell>
          <cell r="H70">
            <v>0</v>
          </cell>
          <cell r="I70">
            <v>9.7200000000000006</v>
          </cell>
          <cell r="J70">
            <v>0</v>
          </cell>
          <cell r="K70">
            <v>0</v>
          </cell>
          <cell r="L70">
            <v>0</v>
          </cell>
          <cell r="M70">
            <v>0</v>
          </cell>
          <cell r="N70">
            <v>0</v>
          </cell>
          <cell r="O70">
            <v>0</v>
          </cell>
          <cell r="P70">
            <v>0</v>
          </cell>
          <cell r="Q70">
            <v>0</v>
          </cell>
          <cell r="R70">
            <v>0</v>
          </cell>
          <cell r="S70">
            <v>19</v>
          </cell>
          <cell r="T70">
            <v>0</v>
          </cell>
          <cell r="U70">
            <v>0</v>
          </cell>
          <cell r="V70">
            <v>0</v>
          </cell>
          <cell r="W70">
            <v>0</v>
          </cell>
          <cell r="X70">
            <v>26.4</v>
          </cell>
          <cell r="Y70">
            <v>12</v>
          </cell>
          <cell r="Z70">
            <v>0</v>
          </cell>
          <cell r="AA70">
            <v>0</v>
          </cell>
          <cell r="AB70">
            <v>0</v>
          </cell>
          <cell r="AC70">
            <v>57.4</v>
          </cell>
          <cell r="AD70">
            <v>57.4</v>
          </cell>
          <cell r="AE70">
            <v>89.12</v>
          </cell>
        </row>
        <row r="72">
          <cell r="B72" t="str">
            <v>Rates and Taxes</v>
          </cell>
          <cell r="C72">
            <v>33</v>
          </cell>
          <cell r="D72">
            <v>2</v>
          </cell>
          <cell r="E72">
            <v>0</v>
          </cell>
          <cell r="F72">
            <v>35</v>
          </cell>
          <cell r="G72">
            <v>0</v>
          </cell>
          <cell r="H72">
            <v>0</v>
          </cell>
          <cell r="I72">
            <v>0</v>
          </cell>
          <cell r="J72">
            <v>0</v>
          </cell>
          <cell r="K72">
            <v>0.6</v>
          </cell>
          <cell r="L72">
            <v>0</v>
          </cell>
          <cell r="M72">
            <v>0</v>
          </cell>
          <cell r="N72">
            <v>0.6</v>
          </cell>
          <cell r="O72">
            <v>0</v>
          </cell>
          <cell r="P72">
            <v>0</v>
          </cell>
          <cell r="Q72">
            <v>0</v>
          </cell>
          <cell r="R72">
            <v>0</v>
          </cell>
          <cell r="S72">
            <v>3.3</v>
          </cell>
          <cell r="T72">
            <v>0.2</v>
          </cell>
          <cell r="U72">
            <v>0</v>
          </cell>
          <cell r="V72">
            <v>2.4</v>
          </cell>
          <cell r="W72">
            <v>0</v>
          </cell>
          <cell r="X72">
            <v>7.5</v>
          </cell>
          <cell r="Y72">
            <v>0</v>
          </cell>
          <cell r="Z72">
            <v>0</v>
          </cell>
          <cell r="AA72">
            <v>0</v>
          </cell>
          <cell r="AB72">
            <v>0</v>
          </cell>
          <cell r="AC72">
            <v>13.4</v>
          </cell>
          <cell r="AD72">
            <v>14</v>
          </cell>
          <cell r="AE72">
            <v>49</v>
          </cell>
        </row>
        <row r="74">
          <cell r="B74" t="str">
            <v>Electricy &amp; Water Chgs</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36</v>
          </cell>
          <cell r="T74">
            <v>0</v>
          </cell>
          <cell r="U74">
            <v>0</v>
          </cell>
          <cell r="V74">
            <v>0</v>
          </cell>
          <cell r="W74">
            <v>0</v>
          </cell>
          <cell r="X74">
            <v>1.8</v>
          </cell>
          <cell r="Y74">
            <v>1</v>
          </cell>
          <cell r="Z74">
            <v>0</v>
          </cell>
          <cell r="AA74">
            <v>0</v>
          </cell>
          <cell r="AB74">
            <v>0</v>
          </cell>
          <cell r="AC74">
            <v>38.799999999999997</v>
          </cell>
          <cell r="AD74">
            <v>38.799999999999997</v>
          </cell>
          <cell r="AE74">
            <v>38.799999999999997</v>
          </cell>
        </row>
        <row r="76">
          <cell r="B76" t="str">
            <v>Stores &amp; Spares</v>
          </cell>
          <cell r="C76">
            <v>250</v>
          </cell>
          <cell r="D76">
            <v>0</v>
          </cell>
          <cell r="E76">
            <v>0</v>
          </cell>
          <cell r="F76">
            <v>250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250</v>
          </cell>
        </row>
        <row r="78">
          <cell r="B78" t="str">
            <v>Repairs and Maint.</v>
          </cell>
          <cell r="C78">
            <v>555</v>
          </cell>
          <cell r="D78">
            <v>10</v>
          </cell>
          <cell r="E78">
            <v>0.3</v>
          </cell>
          <cell r="F78">
            <v>565.29999999999995</v>
          </cell>
          <cell r="G78">
            <v>0</v>
          </cell>
          <cell r="H78">
            <v>0.05</v>
          </cell>
          <cell r="I78">
            <v>0.05</v>
          </cell>
          <cell r="J78">
            <v>1</v>
          </cell>
          <cell r="K78">
            <v>0.6</v>
          </cell>
          <cell r="L78">
            <v>0.36</v>
          </cell>
          <cell r="M78">
            <v>0</v>
          </cell>
          <cell r="N78">
            <v>1.96</v>
          </cell>
          <cell r="O78">
            <v>55</v>
          </cell>
          <cell r="P78">
            <v>0</v>
          </cell>
          <cell r="Q78">
            <v>1</v>
          </cell>
          <cell r="R78">
            <v>0</v>
          </cell>
          <cell r="S78">
            <v>12</v>
          </cell>
          <cell r="T78">
            <v>0</v>
          </cell>
          <cell r="U78">
            <v>12</v>
          </cell>
          <cell r="V78">
            <v>0.24</v>
          </cell>
          <cell r="W78">
            <v>0</v>
          </cell>
          <cell r="X78">
            <v>1.2</v>
          </cell>
          <cell r="Y78">
            <v>0.37</v>
          </cell>
          <cell r="Z78">
            <v>1.2</v>
          </cell>
          <cell r="AA78">
            <v>0</v>
          </cell>
          <cell r="AB78">
            <v>0</v>
          </cell>
          <cell r="AC78">
            <v>83.01</v>
          </cell>
          <cell r="AD78">
            <v>84.97</v>
          </cell>
          <cell r="AE78">
            <v>650.31999999999994</v>
          </cell>
        </row>
        <row r="80">
          <cell r="B80" t="str">
            <v>Printing and Stationery</v>
          </cell>
          <cell r="C80">
            <v>9</v>
          </cell>
          <cell r="D80">
            <v>10</v>
          </cell>
          <cell r="E80">
            <v>0.2</v>
          </cell>
          <cell r="F80">
            <v>19.2</v>
          </cell>
          <cell r="G80">
            <v>0</v>
          </cell>
          <cell r="H80">
            <v>0.1</v>
          </cell>
          <cell r="I80">
            <v>0.1</v>
          </cell>
          <cell r="J80">
            <v>2</v>
          </cell>
          <cell r="K80">
            <v>0.6</v>
          </cell>
          <cell r="L80">
            <v>0.36</v>
          </cell>
          <cell r="M80">
            <v>0</v>
          </cell>
          <cell r="N80">
            <v>2.96</v>
          </cell>
          <cell r="O80">
            <v>0.06</v>
          </cell>
          <cell r="P80">
            <v>0</v>
          </cell>
          <cell r="Q80">
            <v>0.3</v>
          </cell>
          <cell r="R80">
            <v>0.06</v>
          </cell>
          <cell r="S80">
            <v>0.6</v>
          </cell>
          <cell r="T80">
            <v>1.2</v>
          </cell>
          <cell r="U80">
            <v>8.6</v>
          </cell>
          <cell r="V80">
            <v>22</v>
          </cell>
          <cell r="W80">
            <v>0</v>
          </cell>
          <cell r="X80">
            <v>0.24</v>
          </cell>
          <cell r="Y80">
            <v>0.09</v>
          </cell>
          <cell r="Z80">
            <v>0.6</v>
          </cell>
          <cell r="AA80">
            <v>0</v>
          </cell>
          <cell r="AB80">
            <v>0</v>
          </cell>
          <cell r="AC80">
            <v>33.750000000000007</v>
          </cell>
          <cell r="AD80">
            <v>36.710000000000008</v>
          </cell>
          <cell r="AE80">
            <v>56.010000000000005</v>
          </cell>
        </row>
        <row r="82">
          <cell r="B82" t="str">
            <v>Post, Telephone, Telex &amp; Fax</v>
          </cell>
          <cell r="C82">
            <v>20.293535205000001</v>
          </cell>
          <cell r="D82">
            <v>45</v>
          </cell>
          <cell r="E82">
            <v>0.6</v>
          </cell>
          <cell r="F82">
            <v>65.893535204999992</v>
          </cell>
          <cell r="G82">
            <v>10</v>
          </cell>
          <cell r="H82">
            <v>0.48</v>
          </cell>
          <cell r="I82">
            <v>10.48</v>
          </cell>
          <cell r="J82">
            <v>11</v>
          </cell>
          <cell r="K82">
            <v>1.8</v>
          </cell>
          <cell r="L82">
            <v>1.5</v>
          </cell>
          <cell r="M82">
            <v>1.5</v>
          </cell>
          <cell r="N82">
            <v>15.8</v>
          </cell>
          <cell r="O82">
            <v>32</v>
          </cell>
          <cell r="P82">
            <v>1.6</v>
          </cell>
          <cell r="Q82">
            <v>1.4500000000000002</v>
          </cell>
          <cell r="R82">
            <v>0.4</v>
          </cell>
          <cell r="S82">
            <v>8</v>
          </cell>
          <cell r="T82">
            <v>0.9</v>
          </cell>
          <cell r="U82">
            <v>0.31</v>
          </cell>
          <cell r="V82">
            <v>30.68</v>
          </cell>
          <cell r="W82">
            <v>0</v>
          </cell>
          <cell r="X82">
            <v>1.8</v>
          </cell>
          <cell r="Y82">
            <v>0.43</v>
          </cell>
          <cell r="Z82">
            <v>2.4</v>
          </cell>
          <cell r="AA82">
            <v>0</v>
          </cell>
          <cell r="AB82">
            <v>0</v>
          </cell>
          <cell r="AC82">
            <v>79.970000000000013</v>
          </cell>
          <cell r="AD82">
            <v>95.77000000000001</v>
          </cell>
          <cell r="AE82">
            <v>172.14353520500001</v>
          </cell>
        </row>
        <row r="84">
          <cell r="B84" t="str">
            <v>Travel &amp; Conveyance</v>
          </cell>
          <cell r="C84">
            <v>52</v>
          </cell>
          <cell r="D84">
            <v>150</v>
          </cell>
          <cell r="E84">
            <v>3.3</v>
          </cell>
          <cell r="F84">
            <v>205.3</v>
          </cell>
          <cell r="G84">
            <v>49.2</v>
          </cell>
          <cell r="H84">
            <v>0.5</v>
          </cell>
          <cell r="I84">
            <v>49.7</v>
          </cell>
          <cell r="J84">
            <v>55</v>
          </cell>
          <cell r="K84">
            <v>12</v>
          </cell>
          <cell r="L84">
            <v>12</v>
          </cell>
          <cell r="M84">
            <v>20</v>
          </cell>
          <cell r="N84">
            <v>99</v>
          </cell>
          <cell r="O84">
            <v>0.18</v>
          </cell>
          <cell r="P84">
            <v>4.2</v>
          </cell>
          <cell r="Q84">
            <v>6</v>
          </cell>
          <cell r="R84">
            <v>4</v>
          </cell>
          <cell r="S84">
            <v>1.2</v>
          </cell>
          <cell r="T84">
            <v>1</v>
          </cell>
          <cell r="U84">
            <v>0.06</v>
          </cell>
          <cell r="V84">
            <v>20.18</v>
          </cell>
          <cell r="W84">
            <v>0</v>
          </cell>
          <cell r="X84">
            <v>3.6</v>
          </cell>
          <cell r="Y84">
            <v>0.85</v>
          </cell>
          <cell r="Z84">
            <v>4.2</v>
          </cell>
          <cell r="AA84">
            <v>0</v>
          </cell>
          <cell r="AB84">
            <v>0</v>
          </cell>
          <cell r="AC84">
            <v>45.47</v>
          </cell>
          <cell r="AD84">
            <v>144.47</v>
          </cell>
          <cell r="AE84">
            <v>399.47</v>
          </cell>
        </row>
        <row r="86">
          <cell r="B86" t="str">
            <v>Advertisement &amp; PR Gifts</v>
          </cell>
          <cell r="C86">
            <v>0</v>
          </cell>
          <cell r="D86">
            <v>265</v>
          </cell>
          <cell r="E86">
            <v>0.25</v>
          </cell>
          <cell r="F86">
            <v>265.25</v>
          </cell>
          <cell r="G86">
            <v>83</v>
          </cell>
          <cell r="H86">
            <v>0.15</v>
          </cell>
          <cell r="I86">
            <v>83.15</v>
          </cell>
          <cell r="J86">
            <v>6.3</v>
          </cell>
          <cell r="K86">
            <v>2.4</v>
          </cell>
          <cell r="L86">
            <v>2.4</v>
          </cell>
          <cell r="M86">
            <v>1.5</v>
          </cell>
          <cell r="N86">
            <v>12.6</v>
          </cell>
          <cell r="O86">
            <v>0</v>
          </cell>
          <cell r="P86">
            <v>0</v>
          </cell>
          <cell r="Q86">
            <v>2</v>
          </cell>
          <cell r="R86">
            <v>0</v>
          </cell>
          <cell r="S86">
            <v>0</v>
          </cell>
          <cell r="T86">
            <v>0</v>
          </cell>
          <cell r="U86">
            <v>0.06</v>
          </cell>
          <cell r="V86">
            <v>1.25</v>
          </cell>
          <cell r="W86">
            <v>0</v>
          </cell>
          <cell r="X86">
            <v>1.2</v>
          </cell>
          <cell r="Y86">
            <v>0</v>
          </cell>
          <cell r="Z86">
            <v>0</v>
          </cell>
          <cell r="AA86">
            <v>0</v>
          </cell>
          <cell r="AB86">
            <v>0</v>
          </cell>
          <cell r="AC86">
            <v>4.51</v>
          </cell>
          <cell r="AD86">
            <v>17.11</v>
          </cell>
          <cell r="AE86">
            <v>365.51</v>
          </cell>
        </row>
        <row r="87">
          <cell r="AG87" t="str">
            <v>Budget</v>
          </cell>
          <cell r="AN87" t="str">
            <v>Rs. Lakhs</v>
          </cell>
        </row>
        <row r="88">
          <cell r="B88" t="str">
            <v>Recruitment &amp; Training</v>
          </cell>
          <cell r="C88">
            <v>12</v>
          </cell>
          <cell r="D88">
            <v>6</v>
          </cell>
          <cell r="E88">
            <v>0.2</v>
          </cell>
          <cell r="F88">
            <v>18.2</v>
          </cell>
          <cell r="G88">
            <v>0</v>
          </cell>
          <cell r="H88">
            <v>0.2</v>
          </cell>
          <cell r="I88">
            <v>0.2</v>
          </cell>
          <cell r="J88" t="str">
            <v>0.00</v>
          </cell>
          <cell r="K88">
            <v>0.24</v>
          </cell>
          <cell r="L88">
            <v>0.2</v>
          </cell>
          <cell r="M88">
            <v>0</v>
          </cell>
          <cell r="N88">
            <v>0.44</v>
          </cell>
          <cell r="O88">
            <v>1</v>
          </cell>
          <cell r="P88">
            <v>0</v>
          </cell>
          <cell r="Q88">
            <v>1.2</v>
          </cell>
          <cell r="R88">
            <v>0.36</v>
          </cell>
          <cell r="S88">
            <v>0</v>
          </cell>
          <cell r="T88">
            <v>19</v>
          </cell>
          <cell r="U88">
            <v>0.06</v>
          </cell>
          <cell r="V88">
            <v>0.5</v>
          </cell>
          <cell r="W88">
            <v>0</v>
          </cell>
          <cell r="X88">
            <v>0</v>
          </cell>
          <cell r="Y88">
            <v>0</v>
          </cell>
          <cell r="Z88">
            <v>0</v>
          </cell>
          <cell r="AA88">
            <v>0</v>
          </cell>
          <cell r="AB88">
            <v>0</v>
          </cell>
          <cell r="AC88">
            <v>22.119999999999997</v>
          </cell>
          <cell r="AD88">
            <v>22.56</v>
          </cell>
          <cell r="AE88">
            <v>40.959999999999994</v>
          </cell>
          <cell r="AG88" t="str">
            <v>Ref.</v>
          </cell>
          <cell r="AH88" t="str">
            <v>Reconciliation</v>
          </cell>
          <cell r="AI88" t="str">
            <v>2004-05</v>
          </cell>
          <cell r="AJ88" t="str">
            <v>2003-04</v>
          </cell>
          <cell r="AK88" t="str">
            <v>Variance</v>
          </cell>
          <cell r="AM88" t="str">
            <v>Remarks</v>
          </cell>
        </row>
        <row r="89">
          <cell r="AG89">
            <v>6</v>
          </cell>
          <cell r="AH89" t="str">
            <v>Increase in cost of RM/P&amp;F</v>
          </cell>
        </row>
        <row r="90">
          <cell r="B90" t="str">
            <v>Professional Charges</v>
          </cell>
          <cell r="C90">
            <v>270</v>
          </cell>
          <cell r="D90">
            <v>2</v>
          </cell>
          <cell r="E90">
            <v>2</v>
          </cell>
          <cell r="F90">
            <v>274</v>
          </cell>
          <cell r="G90">
            <v>0</v>
          </cell>
          <cell r="H90">
            <v>0</v>
          </cell>
          <cell r="I90">
            <v>0</v>
          </cell>
          <cell r="J90">
            <v>140</v>
          </cell>
          <cell r="K90">
            <v>2.4</v>
          </cell>
          <cell r="L90">
            <v>0</v>
          </cell>
          <cell r="M90">
            <v>0.5</v>
          </cell>
          <cell r="N90">
            <v>142.9</v>
          </cell>
          <cell r="O90">
            <v>8</v>
          </cell>
          <cell r="P90">
            <v>0</v>
          </cell>
          <cell r="Q90">
            <v>198</v>
          </cell>
          <cell r="R90">
            <v>0</v>
          </cell>
          <cell r="S90">
            <v>0</v>
          </cell>
          <cell r="T90">
            <v>1</v>
          </cell>
          <cell r="U90">
            <v>0</v>
          </cell>
          <cell r="V90">
            <v>43.9</v>
          </cell>
          <cell r="W90">
            <v>30</v>
          </cell>
          <cell r="X90">
            <v>0</v>
          </cell>
          <cell r="Y90">
            <v>0</v>
          </cell>
          <cell r="Z90">
            <v>0</v>
          </cell>
          <cell r="AA90">
            <v>116.5</v>
          </cell>
          <cell r="AB90">
            <v>0</v>
          </cell>
          <cell r="AC90">
            <v>397.4</v>
          </cell>
          <cell r="AD90">
            <v>540.29999999999995</v>
          </cell>
          <cell r="AE90">
            <v>814.3</v>
          </cell>
          <cell r="AI90" t="str">
            <v>Total cost of RM / P&amp;F</v>
          </cell>
          <cell r="AK90" t="str">
            <v>2004-05</v>
          </cell>
          <cell r="AL90" t="str">
            <v>2003-04</v>
          </cell>
          <cell r="AM90" t="str">
            <v>Differences</v>
          </cell>
        </row>
        <row r="91">
          <cell r="AI91" t="str">
            <v>GAS / Naphtha</v>
          </cell>
          <cell r="AK91">
            <v>61165.06</v>
          </cell>
          <cell r="AL91">
            <v>41050.949999999997</v>
          </cell>
          <cell r="AM91">
            <v>20114.11</v>
          </cell>
        </row>
        <row r="92">
          <cell r="B92" t="str">
            <v>Auditors remuneration</v>
          </cell>
          <cell r="C92">
            <v>0</v>
          </cell>
          <cell r="D92">
            <v>0</v>
          </cell>
          <cell r="E92">
            <v>2</v>
          </cell>
          <cell r="F92">
            <v>2</v>
          </cell>
          <cell r="G92">
            <v>0</v>
          </cell>
          <cell r="H92">
            <v>0</v>
          </cell>
          <cell r="I92">
            <v>0</v>
          </cell>
          <cell r="J92">
            <v>0</v>
          </cell>
          <cell r="K92">
            <v>0</v>
          </cell>
          <cell r="L92">
            <v>0</v>
          </cell>
          <cell r="M92">
            <v>0</v>
          </cell>
          <cell r="N92">
            <v>0</v>
          </cell>
          <cell r="O92">
            <v>0</v>
          </cell>
          <cell r="P92">
            <v>0</v>
          </cell>
          <cell r="Q92">
            <v>30</v>
          </cell>
          <cell r="R92">
            <v>0</v>
          </cell>
          <cell r="S92">
            <v>0</v>
          </cell>
          <cell r="T92">
            <v>0</v>
          </cell>
          <cell r="U92">
            <v>0</v>
          </cell>
          <cell r="V92">
            <v>0</v>
          </cell>
          <cell r="W92">
            <v>0</v>
          </cell>
          <cell r="X92">
            <v>0</v>
          </cell>
          <cell r="Y92">
            <v>0</v>
          </cell>
          <cell r="Z92">
            <v>0</v>
          </cell>
          <cell r="AA92">
            <v>0</v>
          </cell>
          <cell r="AB92">
            <v>0</v>
          </cell>
          <cell r="AC92">
            <v>30</v>
          </cell>
          <cell r="AD92">
            <v>30</v>
          </cell>
          <cell r="AE92">
            <v>32</v>
          </cell>
          <cell r="AI92" t="str">
            <v>Subsidy</v>
          </cell>
          <cell r="AK92">
            <v>45243.214100839999</v>
          </cell>
          <cell r="AL92">
            <v>29370.460000000003</v>
          </cell>
          <cell r="AM92">
            <v>15872.754100839997</v>
          </cell>
        </row>
        <row r="94">
          <cell r="B94" t="str">
            <v>Pantry Expenses</v>
          </cell>
          <cell r="C94">
            <v>0</v>
          </cell>
          <cell r="D94">
            <v>0</v>
          </cell>
          <cell r="E94">
            <v>0.12</v>
          </cell>
          <cell r="F94">
            <v>0.12</v>
          </cell>
          <cell r="G94">
            <v>0</v>
          </cell>
          <cell r="H94">
            <v>0.1</v>
          </cell>
          <cell r="I94">
            <v>0.1</v>
          </cell>
          <cell r="J94">
            <v>1.1000000000000001</v>
          </cell>
          <cell r="K94">
            <v>0.36</v>
          </cell>
          <cell r="L94">
            <v>0.36</v>
          </cell>
          <cell r="M94">
            <v>0</v>
          </cell>
          <cell r="N94">
            <v>1.8199999999999998</v>
          </cell>
          <cell r="O94">
            <v>0</v>
          </cell>
          <cell r="P94">
            <v>0</v>
          </cell>
          <cell r="Q94">
            <v>0.55000000000000004</v>
          </cell>
          <cell r="R94">
            <v>0</v>
          </cell>
          <cell r="S94">
            <v>0.24</v>
          </cell>
          <cell r="T94">
            <v>0</v>
          </cell>
          <cell r="U94">
            <v>0</v>
          </cell>
          <cell r="V94">
            <v>0.12</v>
          </cell>
          <cell r="W94">
            <v>0</v>
          </cell>
          <cell r="X94">
            <v>0.48</v>
          </cell>
          <cell r="Y94">
            <v>0.1</v>
          </cell>
          <cell r="Z94">
            <v>0</v>
          </cell>
          <cell r="AA94">
            <v>0</v>
          </cell>
          <cell r="AB94">
            <v>0</v>
          </cell>
          <cell r="AC94">
            <v>1.4900000000000002</v>
          </cell>
          <cell r="AD94">
            <v>3.31</v>
          </cell>
          <cell r="AE94">
            <v>3.5300000000000002</v>
          </cell>
          <cell r="AI94" t="str">
            <v>Difference</v>
          </cell>
          <cell r="AK94">
            <v>15921.845899159998</v>
          </cell>
          <cell r="AL94">
            <v>11680.489999999994</v>
          </cell>
          <cell r="AM94">
            <v>4241.3558991600039</v>
          </cell>
        </row>
        <row r="96">
          <cell r="B96" t="str">
            <v>Research &amp; Development</v>
          </cell>
          <cell r="C96">
            <v>0</v>
          </cell>
          <cell r="D96">
            <v>0</v>
          </cell>
          <cell r="E96">
            <v>0</v>
          </cell>
          <cell r="F96">
            <v>0</v>
          </cell>
          <cell r="G96">
            <v>0</v>
          </cell>
          <cell r="H96">
            <v>0</v>
          </cell>
          <cell r="I96">
            <v>0</v>
          </cell>
          <cell r="J96">
            <v>174</v>
          </cell>
          <cell r="K96">
            <v>0</v>
          </cell>
          <cell r="L96">
            <v>0</v>
          </cell>
          <cell r="M96">
            <v>0</v>
          </cell>
          <cell r="N96">
            <v>174</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174</v>
          </cell>
          <cell r="AE96">
            <v>174</v>
          </cell>
        </row>
        <row r="98">
          <cell r="B98" t="str">
            <v>Write-offs</v>
          </cell>
          <cell r="D98">
            <v>23.18</v>
          </cell>
          <cell r="F98">
            <v>23.18</v>
          </cell>
          <cell r="I98">
            <v>0</v>
          </cell>
          <cell r="N98">
            <v>0</v>
          </cell>
          <cell r="AD98">
            <v>0</v>
          </cell>
          <cell r="AE98">
            <v>23.18</v>
          </cell>
        </row>
        <row r="99">
          <cell r="AI99" t="str">
            <v>explanation</v>
          </cell>
        </row>
        <row r="100">
          <cell r="B100" t="str">
            <v>Miscellaneous Expenses</v>
          </cell>
          <cell r="C100">
            <v>93</v>
          </cell>
          <cell r="D100">
            <v>48</v>
          </cell>
          <cell r="E100">
            <v>0.5</v>
          </cell>
          <cell r="F100">
            <v>141.5</v>
          </cell>
          <cell r="G100">
            <v>15</v>
          </cell>
          <cell r="H100">
            <v>0.2</v>
          </cell>
          <cell r="I100">
            <v>15.2</v>
          </cell>
          <cell r="J100">
            <v>73.399999999999977</v>
          </cell>
          <cell r="K100">
            <v>3</v>
          </cell>
          <cell r="L100">
            <v>2.4</v>
          </cell>
          <cell r="M100">
            <v>0.7</v>
          </cell>
          <cell r="N100">
            <v>79.499999999999986</v>
          </cell>
          <cell r="O100">
            <v>0.06</v>
          </cell>
          <cell r="P100">
            <v>1.2</v>
          </cell>
          <cell r="Q100">
            <v>3</v>
          </cell>
          <cell r="R100">
            <v>0.18</v>
          </cell>
          <cell r="S100">
            <v>37.5</v>
          </cell>
          <cell r="T100">
            <v>19.84</v>
          </cell>
          <cell r="U100">
            <v>0.06</v>
          </cell>
          <cell r="V100">
            <v>5</v>
          </cell>
          <cell r="W100">
            <v>0</v>
          </cell>
          <cell r="X100">
            <v>4.8</v>
          </cell>
          <cell r="Y100">
            <v>2.41</v>
          </cell>
          <cell r="Z100">
            <v>4.8</v>
          </cell>
          <cell r="AA100">
            <v>0</v>
          </cell>
          <cell r="AB100">
            <v>0</v>
          </cell>
          <cell r="AC100">
            <v>78.849999999999994</v>
          </cell>
          <cell r="AD100">
            <v>158.34999999999997</v>
          </cell>
          <cell r="AE100">
            <v>315.04999999999995</v>
          </cell>
          <cell r="AI100" t="str">
            <v>Revision of Energy norms</v>
          </cell>
        </row>
        <row r="101">
          <cell r="AI101" t="str">
            <v>5.78 / 6.21 to 5.712</v>
          </cell>
          <cell r="AM101">
            <v>1893.9375</v>
          </cell>
        </row>
        <row r="102">
          <cell r="B102" t="str">
            <v>sub total</v>
          </cell>
          <cell r="C102">
            <v>1297.2935352049999</v>
          </cell>
          <cell r="D102">
            <v>580.17999999999995</v>
          </cell>
          <cell r="E102">
            <v>9.4700000000000006</v>
          </cell>
          <cell r="F102">
            <v>1886.943535205</v>
          </cell>
          <cell r="G102">
            <v>166.92000000000002</v>
          </cell>
          <cell r="H102">
            <v>1.7799999999999998</v>
          </cell>
          <cell r="I102">
            <v>168.7</v>
          </cell>
          <cell r="J102">
            <v>463.79999999999995</v>
          </cell>
          <cell r="K102">
            <v>23.999999999999996</v>
          </cell>
          <cell r="L102">
            <v>19.579999999999995</v>
          </cell>
          <cell r="M102">
            <v>24.2</v>
          </cell>
          <cell r="N102">
            <v>531.57999999999993</v>
          </cell>
          <cell r="O102">
            <v>96.300000000000011</v>
          </cell>
          <cell r="P102">
            <v>7.0000000000000009</v>
          </cell>
          <cell r="Q102">
            <v>243.5</v>
          </cell>
          <cell r="R102">
            <v>5</v>
          </cell>
          <cell r="S102">
            <v>117.83999999999999</v>
          </cell>
          <cell r="T102">
            <v>43.14</v>
          </cell>
          <cell r="U102">
            <v>21.149999999999995</v>
          </cell>
          <cell r="V102">
            <v>126.27000000000001</v>
          </cell>
          <cell r="W102">
            <v>30</v>
          </cell>
          <cell r="X102">
            <v>49.019999999999996</v>
          </cell>
          <cell r="Y102">
            <v>17.25</v>
          </cell>
          <cell r="Z102">
            <v>13.2</v>
          </cell>
          <cell r="AA102">
            <v>116.5</v>
          </cell>
          <cell r="AB102">
            <v>0</v>
          </cell>
          <cell r="AC102">
            <v>886.17000000000007</v>
          </cell>
          <cell r="AD102">
            <v>1417.7499999999998</v>
          </cell>
          <cell r="AE102">
            <v>3473.3935352050003</v>
          </cell>
          <cell r="AI102" t="str">
            <v>Rs 170 / MT CC/CRC/SE  reduction</v>
          </cell>
          <cell r="AM102">
            <v>2252.5</v>
          </cell>
        </row>
        <row r="103">
          <cell r="AM103">
            <v>4146.4375</v>
          </cell>
        </row>
        <row r="104">
          <cell r="B104" t="str">
            <v>Insurance</v>
          </cell>
          <cell r="C104">
            <v>613</v>
          </cell>
          <cell r="D104">
            <v>50</v>
          </cell>
          <cell r="E104">
            <v>0</v>
          </cell>
          <cell r="F104">
            <v>663</v>
          </cell>
          <cell r="G104">
            <v>0</v>
          </cell>
          <cell r="H104">
            <v>0</v>
          </cell>
          <cell r="I104">
            <v>0</v>
          </cell>
          <cell r="J104">
            <v>0.28999999999999998</v>
          </cell>
          <cell r="K104">
            <v>0</v>
          </cell>
          <cell r="L104">
            <v>0</v>
          </cell>
          <cell r="M104">
            <v>0</v>
          </cell>
          <cell r="N104">
            <v>0.28999999999999998</v>
          </cell>
          <cell r="O104">
            <v>0</v>
          </cell>
          <cell r="P104">
            <v>0</v>
          </cell>
          <cell r="Q104">
            <v>0</v>
          </cell>
          <cell r="R104">
            <v>0</v>
          </cell>
          <cell r="S104">
            <v>0</v>
          </cell>
          <cell r="T104">
            <v>40.79</v>
          </cell>
          <cell r="U104">
            <v>0</v>
          </cell>
          <cell r="V104">
            <v>0</v>
          </cell>
          <cell r="W104">
            <v>0</v>
          </cell>
          <cell r="X104">
            <v>0.18</v>
          </cell>
          <cell r="Y104">
            <v>0</v>
          </cell>
          <cell r="Z104">
            <v>0</v>
          </cell>
          <cell r="AA104">
            <v>0</v>
          </cell>
          <cell r="AB104">
            <v>0</v>
          </cell>
          <cell r="AC104">
            <v>40.97</v>
          </cell>
          <cell r="AD104">
            <v>41.26</v>
          </cell>
          <cell r="AE104">
            <v>704.26</v>
          </cell>
        </row>
        <row r="105">
          <cell r="AG105">
            <v>7</v>
          </cell>
          <cell r="AH105" t="str">
            <v xml:space="preserve">Power &amp; Fuel </v>
          </cell>
          <cell r="AI105" t="str">
            <v>Breakup between Feed Stock and Power &amp; Fuel to be obtained from Factory - process department.</v>
          </cell>
        </row>
        <row r="106">
          <cell r="F106">
            <v>0</v>
          </cell>
          <cell r="I106">
            <v>0</v>
          </cell>
          <cell r="AE106">
            <v>0</v>
          </cell>
          <cell r="AI106" t="str">
            <v>However based on the past record the ratio is taken at 56:44 between Feedstock &amp; Fuel and worked out the</v>
          </cell>
        </row>
        <row r="107">
          <cell r="F107">
            <v>0</v>
          </cell>
          <cell r="AI107" t="str">
            <v>figures.  Can be corrected on receipt of actual budget work from the Factory.</v>
          </cell>
        </row>
        <row r="108">
          <cell r="B108" t="str">
            <v>Interest &amp; FC</v>
          </cell>
          <cell r="C108">
            <v>6709.6803348177791</v>
          </cell>
          <cell r="D108">
            <v>1653.4955555555562</v>
          </cell>
          <cell r="E108">
            <v>0</v>
          </cell>
          <cell r="F108">
            <v>8363.1758903733353</v>
          </cell>
          <cell r="G108">
            <v>55.637777777777778</v>
          </cell>
          <cell r="H108">
            <v>0</v>
          </cell>
          <cell r="I108">
            <v>55.637777777777778</v>
          </cell>
          <cell r="J108">
            <v>6549.0522499999997</v>
          </cell>
          <cell r="K108">
            <v>0</v>
          </cell>
          <cell r="N108">
            <v>6549.0522499999997</v>
          </cell>
          <cell r="Q108">
            <v>278.18888888888898</v>
          </cell>
          <cell r="AC108">
            <v>278.18888888888898</v>
          </cell>
          <cell r="AD108">
            <v>6827.2411388888886</v>
          </cell>
          <cell r="AE108">
            <v>15246.054807040002</v>
          </cell>
          <cell r="AG108">
            <v>10</v>
          </cell>
          <cell r="AH108" t="str">
            <v>Salaries up by Rs.3.41 cr.</v>
          </cell>
          <cell r="AI108" t="str">
            <v xml:space="preserve">The net Increae is Rs. 2.62 Cr. only. ( including new directors remuneration) </v>
          </cell>
        </row>
        <row r="109">
          <cell r="AH109" t="str">
            <v>Contr. funds up by Rs. 0.71 cr.</v>
          </cell>
          <cell r="AI109" t="str">
            <v>Basket allowances are accounted in overhead expenses accounts during 2003-04 about Rs. 1.00 cr.</v>
          </cell>
        </row>
        <row r="110">
          <cell r="B110" t="str">
            <v>GRAND TOTAL</v>
          </cell>
          <cell r="C110">
            <v>10465.850913555023</v>
          </cell>
          <cell r="D110">
            <v>2782.6255555555563</v>
          </cell>
          <cell r="E110">
            <v>85.58</v>
          </cell>
          <cell r="F110">
            <v>13334.056469110579</v>
          </cell>
          <cell r="G110">
            <v>298.97777777777782</v>
          </cell>
          <cell r="H110">
            <v>21.26</v>
          </cell>
          <cell r="I110">
            <v>320.23777777777781</v>
          </cell>
          <cell r="J110">
            <v>7120.6522499999992</v>
          </cell>
          <cell r="K110">
            <v>38.349999999999994</v>
          </cell>
          <cell r="L110">
            <v>69.759999999999991</v>
          </cell>
          <cell r="M110">
            <v>73.539999999999992</v>
          </cell>
          <cell r="N110">
            <v>7302.3022499999997</v>
          </cell>
          <cell r="O110">
            <v>134.93</v>
          </cell>
          <cell r="P110">
            <v>28.240000000000002</v>
          </cell>
          <cell r="Q110">
            <v>624.59888888888895</v>
          </cell>
          <cell r="R110">
            <v>32.040000000000006</v>
          </cell>
          <cell r="S110">
            <v>148.1</v>
          </cell>
          <cell r="T110">
            <v>116.02000000000001</v>
          </cell>
          <cell r="U110">
            <v>31.199999999999996</v>
          </cell>
          <cell r="V110">
            <v>154.75</v>
          </cell>
          <cell r="W110">
            <v>35.769999999999996</v>
          </cell>
          <cell r="X110">
            <v>62.539999999999992</v>
          </cell>
          <cell r="Y110">
            <v>20.37</v>
          </cell>
          <cell r="Z110">
            <v>20.189999999999998</v>
          </cell>
          <cell r="AA110">
            <v>188.56</v>
          </cell>
          <cell r="AB110">
            <v>108.23</v>
          </cell>
          <cell r="AC110">
            <v>1705.5388888888892</v>
          </cell>
          <cell r="AD110">
            <v>9007.841138888889</v>
          </cell>
          <cell r="AE110">
            <v>22662.135385777248</v>
          </cell>
          <cell r="AH110" t="str">
            <v>Welfare down by  Rs. 1.64cr.</v>
          </cell>
          <cell r="AI110" t="str">
            <v xml:space="preserve">The increase is mainly attributable to normal escalation of 3% and additions to manpower in NSB </v>
          </cell>
        </row>
        <row r="112">
          <cell r="AG112">
            <v>12</v>
          </cell>
          <cell r="AH112" t="str">
            <v>Packing Cost up</v>
          </cell>
          <cell r="AI112" t="str">
            <v>Average packing rate increase by Rs. 0.75 per bag amounting to Rs. 179 lakhs  (Rs 225/pmt)</v>
          </cell>
        </row>
        <row r="113">
          <cell r="AI113" t="str">
            <v>Further production increase from 11.946 lmt to 13.25 lmt amounting to Rs. 313 lakhs.  (Rs 240 /pmt)</v>
          </cell>
        </row>
        <row r="115">
          <cell r="AG115">
            <v>13</v>
          </cell>
          <cell r="AH115" t="str">
            <v>Transport Subsidy up</v>
          </cell>
          <cell r="AI115" t="str">
            <v xml:space="preserve">ECA allocation during 2003-04 was @ 64% and Non-ECA @ 36%. </v>
          </cell>
        </row>
        <row r="116">
          <cell r="AI116" t="str">
            <v xml:space="preserve">Current FY (2004-05)ECA :Non-ECA is at 50:50 </v>
          </cell>
        </row>
        <row r="117">
          <cell r="AI117" t="str">
            <v>Increased Dispatch 130400 mt resulted in Rs. 692 lakhs</v>
          </cell>
        </row>
        <row r="118">
          <cell r="AI118" t="str">
            <v>Change in EFS rate of ECA/Non-ECA  Rs. 904 lakhs</v>
          </cell>
        </row>
        <row r="119">
          <cell r="AI119" t="str">
            <v>Arrears of EFS Rs. 388 lakhs in 2003-04 not there in 2004-05</v>
          </cell>
        </row>
        <row r="121">
          <cell r="AI121" t="str">
            <v>Over all Rs. 1208 lakhs increase in the EFS for 2004-05</v>
          </cell>
        </row>
        <row r="123">
          <cell r="AH123" t="str">
            <v>Handling Cost up by Rs. 0.99 cr.</v>
          </cell>
        </row>
        <row r="124">
          <cell r="AI124" t="str">
            <v>Increased productin by (13.25-11.95) 1.3 lmt resulted in Rs 81 lakhs</v>
          </cell>
        </row>
        <row r="125">
          <cell r="AI125" t="str">
            <v xml:space="preserve">Handling expenses in 2003-04 Rs. 20 lakhs not there in current year, as only contribution is taken from the </v>
          </cell>
        </row>
        <row r="126">
          <cell r="AI126" t="str">
            <v>Trading activity.</v>
          </cell>
        </row>
        <row r="127">
          <cell r="AG127">
            <v>15</v>
          </cell>
          <cell r="AH127" t="str">
            <v>Rent</v>
          </cell>
          <cell r="AI127">
            <v>89.12</v>
          </cell>
          <cell r="AJ127">
            <v>94.54</v>
          </cell>
          <cell r="AK127">
            <v>-5.4200000000000017</v>
          </cell>
        </row>
        <row r="128">
          <cell r="AL128" t="str">
            <v xml:space="preserve">Delhi </v>
          </cell>
          <cell r="AN128">
            <v>3</v>
          </cell>
        </row>
        <row r="129">
          <cell r="AL129" t="str">
            <v xml:space="preserve">MDO-ICICI knowledge park </v>
          </cell>
          <cell r="AN129">
            <v>-6.24</v>
          </cell>
        </row>
        <row r="130">
          <cell r="AJ130" t="str">
            <v>inter change / Sal</v>
          </cell>
          <cell r="AL130" t="str">
            <v>CPC- Executive lease rent</v>
          </cell>
          <cell r="AN130">
            <v>-11.68</v>
          </cell>
        </row>
        <row r="131">
          <cell r="AL131" t="str">
            <v>NSB</v>
          </cell>
          <cell r="AN131">
            <v>9.7200000000000006</v>
          </cell>
        </row>
        <row r="132">
          <cell r="AN132">
            <v>-5.1999999999999993</v>
          </cell>
        </row>
        <row r="133">
          <cell r="AG133">
            <v>15</v>
          </cell>
          <cell r="AH133" t="str">
            <v>Rates &amp; Taxs</v>
          </cell>
          <cell r="AI133">
            <v>49</v>
          </cell>
          <cell r="AJ133">
            <v>63.55</v>
          </cell>
          <cell r="AK133">
            <v>-14.549999999999997</v>
          </cell>
          <cell r="AL133" t="str">
            <v>Plant</v>
          </cell>
          <cell r="AN133">
            <v>-15.88</v>
          </cell>
        </row>
        <row r="134">
          <cell r="AL134" t="str">
            <v xml:space="preserve">Property Tax arrears paid in 2003-04 not required in 2004-05 </v>
          </cell>
        </row>
        <row r="137">
          <cell r="AG137">
            <v>15</v>
          </cell>
          <cell r="AH137" t="str">
            <v>Elec &amp; Water</v>
          </cell>
          <cell r="AI137">
            <v>38.799999999999997</v>
          </cell>
          <cell r="AJ137">
            <v>53.06</v>
          </cell>
          <cell r="AK137">
            <v>-14.260000000000005</v>
          </cell>
          <cell r="AL137" t="str">
            <v>Delhi</v>
          </cell>
          <cell r="AN137">
            <v>0.19</v>
          </cell>
        </row>
        <row r="138">
          <cell r="AL138" t="str">
            <v>MDO - ICICI knowledge park</v>
          </cell>
          <cell r="AN138">
            <v>-0.78</v>
          </cell>
        </row>
        <row r="139">
          <cell r="AL139" t="str">
            <v>Mumbai</v>
          </cell>
          <cell r="AN139">
            <v>0.51</v>
          </cell>
        </row>
        <row r="140">
          <cell r="AL140" t="str">
            <v xml:space="preserve">Corp </v>
          </cell>
          <cell r="AN140">
            <v>-2.29</v>
          </cell>
        </row>
        <row r="141">
          <cell r="AL141" t="str">
            <v>Plant</v>
          </cell>
          <cell r="AN141">
            <v>-1.78</v>
          </cell>
        </row>
        <row r="142">
          <cell r="AL142" t="str">
            <v>Mktg</v>
          </cell>
          <cell r="AN142">
            <v>-10.039999999999999</v>
          </cell>
        </row>
        <row r="143">
          <cell r="AN143">
            <v>-14.19</v>
          </cell>
        </row>
        <row r="144">
          <cell r="AG144">
            <v>15</v>
          </cell>
          <cell r="AH144" t="str">
            <v xml:space="preserve">Repairs &amp; Maint. to Buildings </v>
          </cell>
          <cell r="AI144">
            <v>36.25</v>
          </cell>
          <cell r="AJ144">
            <v>21.06</v>
          </cell>
          <cell r="AK144">
            <v>15.190000000000001</v>
          </cell>
          <cell r="AL144" t="str">
            <v>Buildings</v>
          </cell>
        </row>
        <row r="145">
          <cell r="AI145">
            <v>216.68</v>
          </cell>
          <cell r="AJ145">
            <v>351.6</v>
          </cell>
          <cell r="AK145">
            <v>-134.92000000000002</v>
          </cell>
          <cell r="AL145" t="str">
            <v>Plant</v>
          </cell>
        </row>
        <row r="146">
          <cell r="AI146">
            <v>197.39</v>
          </cell>
          <cell r="AJ146">
            <v>187.16</v>
          </cell>
          <cell r="AK146">
            <v>10.22999999999999</v>
          </cell>
          <cell r="AL146" t="str">
            <v>Others</v>
          </cell>
        </row>
        <row r="148">
          <cell r="AG148">
            <v>15</v>
          </cell>
          <cell r="AH148" t="str">
            <v>Printing &amp; Stationery</v>
          </cell>
          <cell r="AI148">
            <v>56.01</v>
          </cell>
          <cell r="AJ148">
            <v>46.25</v>
          </cell>
          <cell r="AK148">
            <v>9.759999999999998</v>
          </cell>
          <cell r="AL148" t="str">
            <v>D(BD&amp;SP)</v>
          </cell>
          <cell r="AN148">
            <v>0.6</v>
          </cell>
        </row>
        <row r="149">
          <cell r="AL149" t="str">
            <v>HPD</v>
          </cell>
          <cell r="AN149">
            <v>1.0999999999999999</v>
          </cell>
        </row>
        <row r="150">
          <cell r="AL150" t="str">
            <v>CMC</v>
          </cell>
          <cell r="AN150">
            <v>2.67</v>
          </cell>
        </row>
        <row r="151">
          <cell r="AL151" t="str">
            <v>Plant</v>
          </cell>
          <cell r="AN151">
            <v>1.7800000000000002</v>
          </cell>
        </row>
        <row r="152">
          <cell r="AL152" t="str">
            <v>Mktg</v>
          </cell>
          <cell r="AN152">
            <v>2.08</v>
          </cell>
        </row>
        <row r="153">
          <cell r="AL153" t="str">
            <v>Legal &amp; Secretarial</v>
          </cell>
          <cell r="AN153">
            <v>1.5299999999999976</v>
          </cell>
        </row>
        <row r="154">
          <cell r="AN154">
            <v>9.759999999999998</v>
          </cell>
        </row>
        <row r="156">
          <cell r="AG156">
            <v>15</v>
          </cell>
          <cell r="AH156" t="str">
            <v>Postages Telephone Telex</v>
          </cell>
          <cell r="AI156">
            <v>172.14353520500003</v>
          </cell>
          <cell r="AJ156">
            <v>158.12</v>
          </cell>
          <cell r="AK156">
            <v>14.02353520500003</v>
          </cell>
          <cell r="AL156" t="str">
            <v>VC &amp; MD</v>
          </cell>
          <cell r="AN156">
            <v>1</v>
          </cell>
        </row>
        <row r="157">
          <cell r="AL157" t="str">
            <v>D(BD&amp;SP)</v>
          </cell>
          <cell r="AN157">
            <v>1.8</v>
          </cell>
        </row>
        <row r="158">
          <cell r="AL158" t="str">
            <v>D&amp;COO</v>
          </cell>
          <cell r="AN158">
            <v>1.5</v>
          </cell>
        </row>
        <row r="159">
          <cell r="AL159" t="str">
            <v>IT</v>
          </cell>
          <cell r="AN159">
            <v>1.6900000000000013</v>
          </cell>
        </row>
        <row r="160">
          <cell r="AL160" t="str">
            <v>L&amp;S</v>
          </cell>
          <cell r="AN160">
            <v>3.2399999999999984</v>
          </cell>
        </row>
        <row r="161">
          <cell r="AL161" t="str">
            <v>MKTG</v>
          </cell>
          <cell r="AN161">
            <v>-1.8099999999999952</v>
          </cell>
        </row>
        <row r="162">
          <cell r="AL162" t="str">
            <v>PLANT</v>
          </cell>
          <cell r="AN162">
            <v>-3.870000000000001</v>
          </cell>
        </row>
        <row r="163">
          <cell r="AL163" t="str">
            <v>NSB</v>
          </cell>
          <cell r="AN163">
            <v>10.37</v>
          </cell>
        </row>
        <row r="164">
          <cell r="AN164">
            <v>13.920000000000003</v>
          </cell>
        </row>
        <row r="165">
          <cell r="AG165">
            <v>15</v>
          </cell>
          <cell r="AH165" t="str">
            <v>Advertisement &amp; Publicity</v>
          </cell>
          <cell r="AI165">
            <v>365.51</v>
          </cell>
          <cell r="AJ165">
            <v>276.04000000000002</v>
          </cell>
          <cell r="AK165">
            <v>89.46999999999997</v>
          </cell>
        </row>
        <row r="166">
          <cell r="AL166" t="str">
            <v>NSB</v>
          </cell>
          <cell r="AN166">
            <v>83.5</v>
          </cell>
        </row>
        <row r="167">
          <cell r="AL167" t="str">
            <v xml:space="preserve">New Directors </v>
          </cell>
          <cell r="AN167">
            <v>4.8</v>
          </cell>
        </row>
        <row r="168">
          <cell r="AL168" t="str">
            <v>Others</v>
          </cell>
          <cell r="AN168">
            <v>1.17</v>
          </cell>
        </row>
        <row r="170">
          <cell r="AN170">
            <v>89.47</v>
          </cell>
        </row>
        <row r="173">
          <cell r="AG173">
            <v>15</v>
          </cell>
          <cell r="AH173" t="str">
            <v xml:space="preserve">Legal &amp; Secretarial </v>
          </cell>
          <cell r="AI173">
            <v>508.29999999999995</v>
          </cell>
          <cell r="AJ173">
            <v>609.1</v>
          </cell>
          <cell r="AK173">
            <v>-100.80000000000007</v>
          </cell>
        </row>
        <row r="174">
          <cell r="AI174">
            <v>48.9</v>
          </cell>
          <cell r="AJ174">
            <v>68</v>
          </cell>
          <cell r="AL174" t="str">
            <v>legal &amp; sec</v>
          </cell>
          <cell r="AN174">
            <v>-19.100000000000001</v>
          </cell>
        </row>
        <row r="175">
          <cell r="AI175">
            <v>116.5</v>
          </cell>
          <cell r="AJ175">
            <v>123</v>
          </cell>
          <cell r="AL175" t="str">
            <v>CPC (corp)</v>
          </cell>
          <cell r="AN175">
            <v>-6.5</v>
          </cell>
        </row>
        <row r="176">
          <cell r="AI176">
            <v>200</v>
          </cell>
          <cell r="AJ176">
            <v>393</v>
          </cell>
          <cell r="AL176" t="str">
            <v>Corp (fin)</v>
          </cell>
          <cell r="AM176" t="str">
            <v>ambit/rabo</v>
          </cell>
          <cell r="AN176">
            <v>-193</v>
          </cell>
        </row>
        <row r="177">
          <cell r="AI177">
            <v>143</v>
          </cell>
          <cell r="AJ177">
            <v>25</v>
          </cell>
          <cell r="AL177" t="str">
            <v>Directors</v>
          </cell>
          <cell r="AM177" t="str">
            <v>Hewit etc.,</v>
          </cell>
          <cell r="AN177">
            <v>118</v>
          </cell>
        </row>
        <row r="178">
          <cell r="AI178">
            <v>508.4</v>
          </cell>
          <cell r="AJ178">
            <v>609</v>
          </cell>
          <cell r="AN178">
            <v>-100.6</v>
          </cell>
        </row>
        <row r="180">
          <cell r="AG180">
            <v>15</v>
          </cell>
          <cell r="AH180" t="str">
            <v>Misc. expenses</v>
          </cell>
          <cell r="AI180">
            <v>315.58</v>
          </cell>
          <cell r="AJ180">
            <v>233.95</v>
          </cell>
          <cell r="AK180">
            <v>81.63</v>
          </cell>
          <cell r="AL180" t="str">
            <v>HPD benefit schemes</v>
          </cell>
          <cell r="AN180">
            <v>16</v>
          </cell>
        </row>
        <row r="181">
          <cell r="AL181" t="str">
            <v>Ikisan</v>
          </cell>
          <cell r="AN181">
            <v>45</v>
          </cell>
        </row>
        <row r="182">
          <cell r="AL182" t="str">
            <v>Directors</v>
          </cell>
          <cell r="AN182">
            <v>5.4</v>
          </cell>
        </row>
        <row r="183">
          <cell r="AL183" t="str">
            <v>NSB</v>
          </cell>
          <cell r="AN183">
            <v>15</v>
          </cell>
        </row>
        <row r="187">
          <cell r="AN187">
            <v>81.400000000000006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ssumptions-1"/>
      <sheetName val="Assumptions-2"/>
      <sheetName val="Corp Office Format"/>
      <sheetName val="Executive Summary"/>
      <sheetName val="Working for Tech data"/>
      <sheetName val="Tech Data "/>
      <sheetName val="Tech Data Feed &amp; Fuel"/>
      <sheetName val="NG Basic price basic"/>
      <sheetName val="NG, Naphtha &amp; LSHS"/>
      <sheetName val="Estimated cost VC"/>
      <sheetName val="Power &amp; Water"/>
      <sheetName val="Packing Material"/>
      <sheetName val="NG Basic price working"/>
      <sheetName val="Factory cost budget month wise"/>
      <sheetName val="Insurance"/>
      <sheetName val="Chem"/>
      <sheetName val="Depreciation"/>
      <sheetName val="Fixed Cost"/>
      <sheetName val="Other Income"/>
      <sheetName val="sal int details"/>
      <sheetName val="Inv Change"/>
      <sheetName val="salary"/>
      <sheetName val="catalyst"/>
      <sheetName val="NG -Feed Fuel "/>
      <sheetName val="Variable Cost"/>
      <sheetName val="Operations Report- MIS"/>
      <sheetName val="Account Code-wise workings"/>
    </sheetNames>
    <sheetDataSet>
      <sheetData sheetId="0"/>
      <sheetData sheetId="1"/>
      <sheetData sheetId="2"/>
      <sheetData sheetId="3"/>
      <sheetData sheetId="4"/>
      <sheetData sheetId="5"/>
      <sheetData sheetId="6"/>
      <sheetData sheetId="7"/>
      <sheetData sheetId="8"/>
      <sheetData sheetId="9">
        <row r="2">
          <cell r="B2" t="str">
            <v>Natural Gas , Naphtha &amp; LSHS Variable Cost Budget 2010-11</v>
          </cell>
        </row>
        <row r="3">
          <cell r="F3" t="str">
            <v>Rs. Lakhs</v>
          </cell>
        </row>
        <row r="4">
          <cell r="B4" t="str">
            <v>Description</v>
          </cell>
          <cell r="C4" t="str">
            <v>UOM</v>
          </cell>
          <cell r="D4" t="str">
            <v>Budget 2010-2011</v>
          </cell>
          <cell r="E4" t="str">
            <v xml:space="preserve"> Estimated Actuals 2009-2010</v>
          </cell>
          <cell r="F4" t="str">
            <v>Budget 2009-2010</v>
          </cell>
        </row>
        <row r="5">
          <cell r="B5" t="str">
            <v>Production Urea</v>
          </cell>
        </row>
        <row r="6">
          <cell r="B6" t="str">
            <v>Plant-1</v>
          </cell>
          <cell r="C6" t="str">
            <v>MT</v>
          </cell>
          <cell r="D6">
            <v>813750</v>
          </cell>
          <cell r="E6">
            <v>758838</v>
          </cell>
          <cell r="F6">
            <v>760110</v>
          </cell>
        </row>
        <row r="7">
          <cell r="B7" t="str">
            <v>Plant-2</v>
          </cell>
          <cell r="C7" t="str">
            <v>MT</v>
          </cell>
          <cell r="D7">
            <v>798350</v>
          </cell>
          <cell r="E7">
            <v>723200.00000100001</v>
          </cell>
          <cell r="F7">
            <v>724690</v>
          </cell>
        </row>
        <row r="8">
          <cell r="B8" t="str">
            <v>Total Production</v>
          </cell>
          <cell r="C8" t="str">
            <v>MT</v>
          </cell>
          <cell r="D8">
            <v>1612100</v>
          </cell>
          <cell r="E8">
            <v>1482038.000001</v>
          </cell>
          <cell r="F8">
            <v>1484800</v>
          </cell>
        </row>
        <row r="9">
          <cell r="B9" t="str">
            <v>Variable Cost:</v>
          </cell>
        </row>
        <row r="10">
          <cell r="B10" t="str">
            <v xml:space="preserve">NG </v>
          </cell>
        </row>
        <row r="11">
          <cell r="B11" t="str">
            <v xml:space="preserve">  Plant-1</v>
          </cell>
          <cell r="C11" t="str">
            <v>Rs. Lakhs</v>
          </cell>
          <cell r="D11">
            <v>31708.999626084616</v>
          </cell>
          <cell r="E11">
            <v>20472.416038729243</v>
          </cell>
          <cell r="F11">
            <v>30822.84</v>
          </cell>
        </row>
        <row r="12">
          <cell r="B12" t="str">
            <v xml:space="preserve"> Plant-2</v>
          </cell>
          <cell r="C12" t="str">
            <v>Rs. Lakhs</v>
          </cell>
          <cell r="D12">
            <v>41213.1435186487</v>
          </cell>
          <cell r="E12">
            <v>33314.565998278325</v>
          </cell>
          <cell r="F12">
            <v>29007.599999999999</v>
          </cell>
        </row>
        <row r="13">
          <cell r="B13" t="str">
            <v>NG Transportation</v>
          </cell>
          <cell r="C13" t="str">
            <v>Rs. Lakhs</v>
          </cell>
        </row>
        <row r="14">
          <cell r="B14" t="str">
            <v xml:space="preserve">  Plant-1</v>
          </cell>
          <cell r="C14" t="str">
            <v>Rs. Lakhs</v>
          </cell>
          <cell r="D14">
            <v>3546.1878923262107</v>
          </cell>
          <cell r="E14">
            <v>2988.1904760984116</v>
          </cell>
          <cell r="F14">
            <v>3624.27</v>
          </cell>
        </row>
        <row r="15">
          <cell r="B15" t="str">
            <v xml:space="preserve"> Plant-2</v>
          </cell>
          <cell r="C15" t="str">
            <v>Rs. Lakhs</v>
          </cell>
          <cell r="D15">
            <v>5927.7044322786296</v>
          </cell>
          <cell r="E15">
            <v>4819.5085560509015</v>
          </cell>
          <cell r="F15">
            <v>3407.44</v>
          </cell>
        </row>
        <row r="16">
          <cell r="B16" t="str">
            <v xml:space="preserve">Naphtha </v>
          </cell>
        </row>
        <row r="17">
          <cell r="B17" t="str">
            <v xml:space="preserve"> Plant-2</v>
          </cell>
          <cell r="C17" t="str">
            <v>Rs. Lakhs</v>
          </cell>
          <cell r="D17">
            <v>0</v>
          </cell>
          <cell r="E17">
            <v>5533.9210925999996</v>
          </cell>
          <cell r="F17">
            <v>3174.34</v>
          </cell>
        </row>
        <row r="18">
          <cell r="B18" t="str">
            <v xml:space="preserve">LSHS </v>
          </cell>
        </row>
        <row r="19">
          <cell r="B19" t="str">
            <v>Plant-2</v>
          </cell>
          <cell r="C19" t="str">
            <v>Rs. Lakhs</v>
          </cell>
          <cell r="E19">
            <v>362.6278949</v>
          </cell>
        </row>
        <row r="20">
          <cell r="B20" t="str">
            <v>FO</v>
          </cell>
        </row>
        <row r="21">
          <cell r="B21" t="str">
            <v>Plant-2</v>
          </cell>
          <cell r="C21" t="str">
            <v>Rs. Lakhs</v>
          </cell>
          <cell r="E21">
            <v>0.3</v>
          </cell>
        </row>
        <row r="22">
          <cell r="B22" t="str">
            <v>Total Variable Cost</v>
          </cell>
          <cell r="C22" t="str">
            <v>Rs. Lakhs</v>
          </cell>
          <cell r="D22">
            <v>82396.035469338152</v>
          </cell>
          <cell r="E22">
            <v>67491.530056656877</v>
          </cell>
          <cell r="F22">
            <v>70036.489999999991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NLY-01-02-QTR "/>
      <sheetName val="Gas Tot"/>
      <sheetName val="age aug'04 - inv Dt - Report"/>
      <sheetName val="bsheet"/>
      <sheetName val="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NLY-01-02-QTR "/>
      <sheetName val="Gas Tot"/>
      <sheetName val="age aug'04 - inv Dt - Report"/>
      <sheetName val="bsheet"/>
      <sheetName val="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NLY-01-02-QTR "/>
      <sheetName val="Gas Tot"/>
      <sheetName val="age aug'04 - inv Dt - Report"/>
      <sheetName val="bsheet"/>
      <sheetName val="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Table"/>
      <sheetName val="MasterControl"/>
      <sheetName val="Assumptions"/>
      <sheetName val="Financials"/>
      <sheetName val="Schedules"/>
      <sheetName val="Project Indicators"/>
      <sheetName val="Debt Profile"/>
      <sheetName val="Operating Expenses"/>
      <sheetName val="Traffic and Toll"/>
      <sheetName val="Historical Data sheets"/>
      <sheetName val="Past Capex"/>
      <sheetName val="Past Traffic Data"/>
      <sheetName val="S4A Financials"/>
      <sheetName val="Points of Discussion"/>
    </sheetNames>
    <sheetDataSet>
      <sheetData sheetId="0"/>
      <sheetData sheetId="1">
        <row r="3">
          <cell r="D3">
            <v>1</v>
          </cell>
        </row>
        <row r="6">
          <cell r="E6">
            <v>4</v>
          </cell>
        </row>
        <row r="70">
          <cell r="E70">
            <v>1</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mm"/>
      <sheetName val="Prfrmnc-for Prstn."/>
      <sheetName val="for Month"/>
      <sheetName val="04 Vs 05"/>
      <sheetName val="B Vs A"/>
      <sheetName val="QTR"/>
      <sheetName val="Performnc (3)"/>
      <sheetName val="LUCK"/>
      <sheetName val="CFO profit reco"/>
      <sheetName val="Analysis"/>
      <sheetName val="Profit recon with budget"/>
      <sheetName val="Profit recon with budget (2)"/>
      <sheetName val="Upto Sept '06 Sub Bud Vs Act"/>
      <sheetName val="Sub Bud Vs Ac Final"/>
      <sheetName val="Monthwise Budget 2006-07"/>
      <sheetName val="MI Operation"/>
      <sheetName val="MI Operation for slides"/>
      <sheetName val="energy loss reco"/>
      <sheetName val="Bud Vs act "/>
      <sheetName val="act Vs act"/>
      <sheetName val="cdr"/>
      <sheetName val="Value added"/>
    </sheetNames>
    <sheetDataSet>
      <sheetData sheetId="0"/>
      <sheetData sheetId="1"/>
      <sheetData sheetId="2"/>
      <sheetData sheetId="3"/>
      <sheetData sheetId="4"/>
      <sheetData sheetId="5"/>
      <sheetData sheetId="6"/>
      <sheetData sheetId="7"/>
      <sheetData sheetId="8"/>
      <sheetData sheetId="9" refreshError="1">
        <row r="2">
          <cell r="B2" t="str">
            <v>N F C L</v>
          </cell>
        </row>
        <row r="3">
          <cell r="B3" t="str">
            <v>VARIANCE  ANALYSIS   SEPTEMBER' 06</v>
          </cell>
        </row>
        <row r="7">
          <cell r="B7" t="str">
            <v>A.</v>
          </cell>
          <cell r="C7" t="str">
            <v>H I G H L I G H T S  :</v>
          </cell>
        </row>
        <row r="10">
          <cell r="C10" t="str">
            <v>l</v>
          </cell>
        </row>
        <row r="13">
          <cell r="C13" t="str">
            <v>l</v>
          </cell>
        </row>
        <row r="16">
          <cell r="C16" t="str">
            <v>l</v>
          </cell>
        </row>
        <row r="19">
          <cell r="C19" t="str">
            <v>l</v>
          </cell>
        </row>
        <row r="21">
          <cell r="C21" t="str">
            <v>l</v>
          </cell>
        </row>
        <row r="24">
          <cell r="C24" t="str">
            <v>l</v>
          </cell>
        </row>
        <row r="26">
          <cell r="C26" t="str">
            <v>l</v>
          </cell>
        </row>
        <row r="28">
          <cell r="C28" t="str">
            <v>l</v>
          </cell>
        </row>
        <row r="30">
          <cell r="C30" t="str">
            <v>l</v>
          </cell>
        </row>
        <row r="32">
          <cell r="C32" t="str">
            <v>l</v>
          </cell>
        </row>
        <row r="34">
          <cell r="C34" t="str">
            <v>l</v>
          </cell>
        </row>
        <row r="38">
          <cell r="C38" t="str">
            <v>l</v>
          </cell>
        </row>
        <row r="45">
          <cell r="B45" t="str">
            <v>A</v>
          </cell>
          <cell r="C45" t="str">
            <v>Q U A N T I T A T I V E   D E T A I L S :</v>
          </cell>
        </row>
        <row r="46">
          <cell r="Z46" t="str">
            <v>Rs. Crs</v>
          </cell>
        </row>
        <row r="47">
          <cell r="B47" t="str">
            <v>Particulars</v>
          </cell>
          <cell r="F47" t="str">
            <v>BUDGET : SEPTEMBER '06</v>
          </cell>
          <cell r="L47" t="str">
            <v>ACTUALS : SEPTEMBER '06</v>
          </cell>
          <cell r="R47" t="str">
            <v>V A R I A N C E</v>
          </cell>
          <cell r="Z47" t="str">
            <v>ACTUALS</v>
          </cell>
        </row>
        <row r="48">
          <cell r="F48" t="str">
            <v xml:space="preserve">UREA </v>
          </cell>
          <cell r="G48" t="str">
            <v>MI</v>
          </cell>
          <cell r="H48" t="str">
            <v>TRADING</v>
          </cell>
          <cell r="I48" t="str">
            <v>CORP.</v>
          </cell>
          <cell r="J48" t="str">
            <v>TOTAL</v>
          </cell>
          <cell r="K48">
            <v>0</v>
          </cell>
          <cell r="L48" t="str">
            <v xml:space="preserve">UREA </v>
          </cell>
          <cell r="M48" t="str">
            <v>MI</v>
          </cell>
          <cell r="N48" t="str">
            <v>TRADING</v>
          </cell>
          <cell r="O48" t="str">
            <v>CORP.</v>
          </cell>
          <cell r="P48" t="str">
            <v>TOTAL</v>
          </cell>
          <cell r="Q48">
            <v>0</v>
          </cell>
          <cell r="R48" t="str">
            <v xml:space="preserve">UREA </v>
          </cell>
          <cell r="S48" t="str">
            <v>MI</v>
          </cell>
          <cell r="T48" t="str">
            <v>TRADING</v>
          </cell>
          <cell r="U48" t="str">
            <v>CORP.</v>
          </cell>
          <cell r="V48" t="str">
            <v>TOTAL</v>
          </cell>
          <cell r="Z48" t="str">
            <v>SEP '05</v>
          </cell>
        </row>
        <row r="50">
          <cell r="B50">
            <v>1</v>
          </cell>
          <cell r="C50" t="str">
            <v>PRODUCTION - Lakh Tons</v>
          </cell>
        </row>
        <row r="52">
          <cell r="C52" t="str">
            <v>a.</v>
          </cell>
          <cell r="D52" t="str">
            <v xml:space="preserve">Plant.1   </v>
          </cell>
          <cell r="E52" t="str">
            <v>.  .  .</v>
          </cell>
          <cell r="F52">
            <v>0.6452</v>
          </cell>
          <cell r="G52">
            <v>0</v>
          </cell>
          <cell r="H52">
            <v>0</v>
          </cell>
          <cell r="I52">
            <v>0</v>
          </cell>
          <cell r="J52">
            <v>0.6452</v>
          </cell>
          <cell r="L52">
            <v>0.64509000000000016</v>
          </cell>
          <cell r="M52">
            <v>0</v>
          </cell>
          <cell r="N52">
            <v>0</v>
          </cell>
          <cell r="O52">
            <v>0</v>
          </cell>
          <cell r="P52">
            <v>0.64509000000000016</v>
          </cell>
          <cell r="R52">
            <v>-1.0999999999983245E-4</v>
          </cell>
          <cell r="T52">
            <v>0</v>
          </cell>
          <cell r="U52">
            <v>0</v>
          </cell>
          <cell r="V52">
            <v>-1.0999999999983245E-4</v>
          </cell>
          <cell r="X52">
            <v>1.52</v>
          </cell>
          <cell r="Z52">
            <v>0.64259999999999984</v>
          </cell>
        </row>
        <row r="53">
          <cell r="C53" t="str">
            <v>b.</v>
          </cell>
          <cell r="D53" t="str">
            <v xml:space="preserve">Plant.2   </v>
          </cell>
          <cell r="E53" t="str">
            <v>.  .  .</v>
          </cell>
          <cell r="F53">
            <v>0.61635000000000018</v>
          </cell>
          <cell r="G53">
            <v>0</v>
          </cell>
          <cell r="H53">
            <v>0</v>
          </cell>
          <cell r="I53">
            <v>0</v>
          </cell>
          <cell r="J53">
            <v>0.61635000000000018</v>
          </cell>
          <cell r="L53">
            <v>0.55993000000000004</v>
          </cell>
          <cell r="M53">
            <v>0</v>
          </cell>
          <cell r="N53">
            <v>0</v>
          </cell>
          <cell r="O53">
            <v>0</v>
          </cell>
          <cell r="P53">
            <v>0.55993000000000004</v>
          </cell>
          <cell r="R53">
            <v>-5.6420000000000137E-2</v>
          </cell>
          <cell r="T53">
            <v>0</v>
          </cell>
          <cell r="U53">
            <v>0</v>
          </cell>
          <cell r="V53">
            <v>-5.6420000000000137E-2</v>
          </cell>
          <cell r="X53">
            <v>1.63</v>
          </cell>
          <cell r="Z53">
            <v>0.62089999999999979</v>
          </cell>
        </row>
        <row r="56">
          <cell r="D56" t="str">
            <v>T o t a l</v>
          </cell>
          <cell r="F56">
            <v>1.2615500000000002</v>
          </cell>
          <cell r="G56">
            <v>0</v>
          </cell>
          <cell r="H56">
            <v>0</v>
          </cell>
          <cell r="I56">
            <v>0</v>
          </cell>
          <cell r="J56">
            <v>1.2615500000000002</v>
          </cell>
          <cell r="L56">
            <v>1.2050200000000002</v>
          </cell>
          <cell r="M56">
            <v>0</v>
          </cell>
          <cell r="N56">
            <v>0</v>
          </cell>
          <cell r="O56">
            <v>0</v>
          </cell>
          <cell r="P56">
            <v>1.2050200000000002</v>
          </cell>
          <cell r="R56">
            <v>-5.6529999999999969E-2</v>
          </cell>
          <cell r="T56">
            <v>0</v>
          </cell>
          <cell r="U56">
            <v>0</v>
          </cell>
          <cell r="V56">
            <v>-5.6529999999999969E-2</v>
          </cell>
          <cell r="X56">
            <v>3.15</v>
          </cell>
          <cell r="Z56">
            <v>1.2634999999999996</v>
          </cell>
        </row>
        <row r="58">
          <cell r="B58">
            <v>2</v>
          </cell>
          <cell r="C58" t="str">
            <v>ENERGY-(MMKCal.)-Per Ton</v>
          </cell>
        </row>
        <row r="60">
          <cell r="C60" t="str">
            <v>c</v>
          </cell>
          <cell r="D60" t="str">
            <v xml:space="preserve">Energy P1  </v>
          </cell>
          <cell r="F60">
            <v>5.5350000000000001</v>
          </cell>
          <cell r="H60">
            <v>0</v>
          </cell>
          <cell r="I60">
            <v>0</v>
          </cell>
          <cell r="J60">
            <v>5.5350000000000001</v>
          </cell>
          <cell r="L60">
            <v>5.5225026151119492</v>
          </cell>
          <cell r="N60">
            <v>0</v>
          </cell>
          <cell r="O60">
            <v>0</v>
          </cell>
          <cell r="P60">
            <v>5.5225026151119492</v>
          </cell>
          <cell r="R60">
            <v>1.2497384888050966E-2</v>
          </cell>
          <cell r="T60">
            <v>0</v>
          </cell>
          <cell r="U60">
            <v>0</v>
          </cell>
          <cell r="V60">
            <v>1.2497384888050966E-2</v>
          </cell>
          <cell r="X60">
            <v>5.93</v>
          </cell>
          <cell r="Z60">
            <v>5.5389999999999997</v>
          </cell>
        </row>
        <row r="61">
          <cell r="C61" t="str">
            <v>d</v>
          </cell>
          <cell r="D61" t="str">
            <v xml:space="preserve">Energy P2  </v>
          </cell>
          <cell r="F61">
            <v>5.5500050624695767</v>
          </cell>
          <cell r="H61">
            <v>0</v>
          </cell>
          <cell r="I61">
            <v>0</v>
          </cell>
          <cell r="J61">
            <v>5.5500050624695767</v>
          </cell>
          <cell r="L61">
            <v>5.5551883301083578</v>
          </cell>
          <cell r="N61">
            <v>0</v>
          </cell>
          <cell r="O61">
            <v>0</v>
          </cell>
          <cell r="P61">
            <v>5.5551883301083578</v>
          </cell>
          <cell r="R61">
            <v>-5.183267638781075E-3</v>
          </cell>
          <cell r="T61">
            <v>0</v>
          </cell>
          <cell r="U61">
            <v>0</v>
          </cell>
          <cell r="V61">
            <v>-5.183267638781075E-3</v>
          </cell>
          <cell r="X61">
            <v>5.87</v>
          </cell>
          <cell r="Z61">
            <v>5.5789999999999997</v>
          </cell>
        </row>
        <row r="62">
          <cell r="C62" t="str">
            <v>e</v>
          </cell>
          <cell r="D62" t="str">
            <v xml:space="preserve">Complex </v>
          </cell>
          <cell r="F62">
            <v>5.5423309581491997</v>
          </cell>
          <cell r="H62">
            <v>0</v>
          </cell>
          <cell r="I62">
            <v>0</v>
          </cell>
          <cell r="J62">
            <v>5.5423309581491997</v>
          </cell>
          <cell r="L62">
            <v>5.5376905060996</v>
          </cell>
          <cell r="N62">
            <v>0</v>
          </cell>
          <cell r="O62">
            <v>0</v>
          </cell>
          <cell r="P62">
            <v>5.5376905060996</v>
          </cell>
          <cell r="R62">
            <v>4.6404520495997303E-3</v>
          </cell>
          <cell r="T62">
            <v>0</v>
          </cell>
          <cell r="U62">
            <v>0</v>
          </cell>
          <cell r="V62">
            <v>4.6404520495997303E-3</v>
          </cell>
          <cell r="Z62">
            <v>5.5486565096952907</v>
          </cell>
        </row>
        <row r="65">
          <cell r="B65">
            <v>3</v>
          </cell>
          <cell r="C65" t="str">
            <v>S A L E S - Lakh Tons</v>
          </cell>
        </row>
        <row r="67">
          <cell r="C67" t="str">
            <v>a.</v>
          </cell>
          <cell r="D67" t="str">
            <v>ECA  Urea</v>
          </cell>
          <cell r="E67" t="str">
            <v>.  .  .</v>
          </cell>
          <cell r="F67">
            <v>2.335</v>
          </cell>
          <cell r="G67">
            <v>0</v>
          </cell>
          <cell r="H67">
            <v>0</v>
          </cell>
          <cell r="I67">
            <v>0</v>
          </cell>
          <cell r="J67">
            <v>2.335</v>
          </cell>
          <cell r="L67">
            <v>1.2591430000000008</v>
          </cell>
          <cell r="M67">
            <v>0</v>
          </cell>
          <cell r="N67">
            <v>0</v>
          </cell>
          <cell r="O67">
            <v>0</v>
          </cell>
          <cell r="P67">
            <v>1.2591430000000008</v>
          </cell>
          <cell r="R67">
            <v>-1.0758569999999992</v>
          </cell>
          <cell r="T67">
            <v>0</v>
          </cell>
          <cell r="U67">
            <v>0</v>
          </cell>
          <cell r="V67">
            <v>-1.0758569999999992</v>
          </cell>
          <cell r="X67">
            <v>0.57999999999999996</v>
          </cell>
          <cell r="Z67">
            <v>1.5063000000000004</v>
          </cell>
        </row>
        <row r="68">
          <cell r="C68" t="str">
            <v>b.</v>
          </cell>
          <cell r="D68" t="str">
            <v>Imported/ Traded Urea</v>
          </cell>
          <cell r="E68" t="str">
            <v>.  .  .</v>
          </cell>
          <cell r="F68">
            <v>0.18999999999999997</v>
          </cell>
          <cell r="G68">
            <v>0</v>
          </cell>
          <cell r="H68">
            <v>0</v>
          </cell>
          <cell r="I68">
            <v>0</v>
          </cell>
          <cell r="J68">
            <v>0.18999999999999997</v>
          </cell>
          <cell r="L68">
            <v>1.4866475000000001</v>
          </cell>
          <cell r="M68">
            <v>0</v>
          </cell>
          <cell r="N68">
            <v>0</v>
          </cell>
          <cell r="O68">
            <v>0</v>
          </cell>
          <cell r="P68">
            <v>1.4866475000000001</v>
          </cell>
          <cell r="R68">
            <v>1.2966475000000002</v>
          </cell>
          <cell r="T68">
            <v>0</v>
          </cell>
          <cell r="U68">
            <v>0</v>
          </cell>
          <cell r="V68">
            <v>1.2966475000000002</v>
          </cell>
          <cell r="X68">
            <v>0</v>
          </cell>
          <cell r="Z68">
            <v>0</v>
          </cell>
        </row>
        <row r="69">
          <cell r="C69" t="str">
            <v>c.</v>
          </cell>
          <cell r="D69" t="str">
            <v>Ammonia</v>
          </cell>
          <cell r="E69" t="str">
            <v>.  .  .</v>
          </cell>
          <cell r="F69">
            <v>0</v>
          </cell>
          <cell r="G69">
            <v>0</v>
          </cell>
          <cell r="H69">
            <v>0</v>
          </cell>
          <cell r="I69">
            <v>0</v>
          </cell>
          <cell r="J69">
            <v>0</v>
          </cell>
          <cell r="L69">
            <v>0</v>
          </cell>
          <cell r="M69">
            <v>0</v>
          </cell>
          <cell r="N69">
            <v>0</v>
          </cell>
          <cell r="O69">
            <v>0</v>
          </cell>
          <cell r="P69">
            <v>0</v>
          </cell>
          <cell r="R69">
            <v>0</v>
          </cell>
          <cell r="T69">
            <v>0</v>
          </cell>
          <cell r="U69">
            <v>0</v>
          </cell>
          <cell r="V69">
            <v>0</v>
          </cell>
          <cell r="Z69">
            <v>0</v>
          </cell>
        </row>
        <row r="70">
          <cell r="Z70">
            <v>1.5063000000000004</v>
          </cell>
        </row>
        <row r="71">
          <cell r="D71" t="str">
            <v>T o t a l</v>
          </cell>
          <cell r="F71">
            <v>2.5249999999999999</v>
          </cell>
          <cell r="G71">
            <v>0</v>
          </cell>
          <cell r="H71">
            <v>0</v>
          </cell>
          <cell r="I71">
            <v>0</v>
          </cell>
          <cell r="J71">
            <v>2.5249999999999999</v>
          </cell>
          <cell r="L71">
            <v>2.7457905000000009</v>
          </cell>
          <cell r="M71">
            <v>0</v>
          </cell>
          <cell r="N71">
            <v>0</v>
          </cell>
          <cell r="O71">
            <v>0</v>
          </cell>
          <cell r="P71">
            <v>2.7457905000000009</v>
          </cell>
          <cell r="R71">
            <v>0.220790500000001</v>
          </cell>
          <cell r="T71">
            <v>0</v>
          </cell>
          <cell r="U71">
            <v>0</v>
          </cell>
          <cell r="V71">
            <v>0.220790500000001</v>
          </cell>
          <cell r="X71">
            <v>0.57999999999999996</v>
          </cell>
          <cell r="Z71">
            <v>1.5063000000000004</v>
          </cell>
        </row>
        <row r="76">
          <cell r="F76" t="str">
            <v>l</v>
          </cell>
          <cell r="H76" t="str">
            <v>Decerease in production by 3136 MT (Plant I +2285 MT, Plant II -5421 MT)over budget.</v>
          </cell>
        </row>
        <row r="77">
          <cell r="F77" t="str">
            <v>l</v>
          </cell>
          <cell r="H77" t="str">
            <v>Energy in plant 1 is less by 0.012 MMKcal /MT, in plant 2 more by 0.005 MMKcal/MT over budget</v>
          </cell>
        </row>
        <row r="78">
          <cell r="F78" t="str">
            <v>l</v>
          </cell>
          <cell r="H78" t="str">
            <v xml:space="preserve">Sales quantiy is decreased by 16150 MT over budget (Mfg.Urea -73884 MT &amp; Pool Urea 57734 MT) </v>
          </cell>
        </row>
        <row r="82">
          <cell r="B82" t="str">
            <v>B</v>
          </cell>
          <cell r="C82" t="str">
            <v>I N C O M E   D E T A I L S :</v>
          </cell>
          <cell r="Z82" t="str">
            <v>Rs. Cr.</v>
          </cell>
        </row>
        <row r="84">
          <cell r="B84" t="str">
            <v>Particulars</v>
          </cell>
          <cell r="F84" t="str">
            <v>BUDGET : SEPTEMBER '06</v>
          </cell>
          <cell r="L84" t="str">
            <v>ACTUALS : SEPTEMBER '06</v>
          </cell>
          <cell r="R84" t="str">
            <v>V A R I A N C E</v>
          </cell>
          <cell r="Z84" t="str">
            <v>ACTUALS</v>
          </cell>
        </row>
        <row r="85">
          <cell r="F85" t="str">
            <v xml:space="preserve">UREA </v>
          </cell>
          <cell r="G85" t="str">
            <v>MI</v>
          </cell>
          <cell r="H85" t="str">
            <v>TRADING</v>
          </cell>
          <cell r="I85" t="str">
            <v>CORP.</v>
          </cell>
          <cell r="J85" t="str">
            <v>TOTAL</v>
          </cell>
          <cell r="K85">
            <v>0</v>
          </cell>
          <cell r="L85" t="str">
            <v xml:space="preserve">UREA </v>
          </cell>
          <cell r="M85" t="str">
            <v>MI</v>
          </cell>
          <cell r="N85" t="str">
            <v>TRADING</v>
          </cell>
          <cell r="O85" t="str">
            <v>CORP.</v>
          </cell>
          <cell r="P85" t="str">
            <v>TOTAL</v>
          </cell>
          <cell r="Q85">
            <v>0</v>
          </cell>
          <cell r="R85" t="str">
            <v xml:space="preserve">UREA </v>
          </cell>
          <cell r="S85" t="str">
            <v>MI</v>
          </cell>
          <cell r="T85" t="str">
            <v>TRADING</v>
          </cell>
          <cell r="U85" t="str">
            <v>CORP.</v>
          </cell>
          <cell r="V85" t="str">
            <v>TOTAL</v>
          </cell>
          <cell r="Z85" t="str">
            <v>SEP '05</v>
          </cell>
        </row>
        <row r="88">
          <cell r="B88">
            <v>4</v>
          </cell>
          <cell r="C88" t="str">
            <v>a.</v>
          </cell>
          <cell r="D88" t="str">
            <v>Sales</v>
          </cell>
          <cell r="E88" t="str">
            <v>.  .  .</v>
          </cell>
          <cell r="F88">
            <v>108.57749999999999</v>
          </cell>
          <cell r="G88">
            <v>2.4811034119999995</v>
          </cell>
          <cell r="H88">
            <v>24.047139999999999</v>
          </cell>
          <cell r="I88">
            <v>0</v>
          </cell>
          <cell r="J88">
            <v>135.10574341199998</v>
          </cell>
          <cell r="L88">
            <v>58.55324945000001</v>
          </cell>
          <cell r="M88">
            <v>2.5086000000000013</v>
          </cell>
          <cell r="N88">
            <v>77.190359999999998</v>
          </cell>
          <cell r="O88">
            <v>0</v>
          </cell>
          <cell r="P88">
            <v>138.25220945000001</v>
          </cell>
          <cell r="R88">
            <v>-50.024250549999977</v>
          </cell>
          <cell r="S88">
            <v>2.7496588000001765E-2</v>
          </cell>
          <cell r="T88">
            <v>53.143219999999999</v>
          </cell>
          <cell r="U88">
            <v>0</v>
          </cell>
          <cell r="V88">
            <v>3.1464660380000282</v>
          </cell>
          <cell r="X88">
            <v>26.8</v>
          </cell>
          <cell r="Z88">
            <v>82.110000000000014</v>
          </cell>
        </row>
        <row r="89">
          <cell r="C89" t="str">
            <v>b.</v>
          </cell>
          <cell r="D89" t="str">
            <v>Subsidy</v>
          </cell>
          <cell r="E89" t="str">
            <v>.  .  .</v>
          </cell>
          <cell r="F89">
            <v>79.072479280171478</v>
          </cell>
          <cell r="G89">
            <v>0</v>
          </cell>
          <cell r="H89">
            <v>0</v>
          </cell>
          <cell r="I89">
            <v>0</v>
          </cell>
          <cell r="J89">
            <v>79.072479280171478</v>
          </cell>
          <cell r="L89">
            <v>61.091235524485057</v>
          </cell>
          <cell r="M89">
            <v>0</v>
          </cell>
          <cell r="N89">
            <v>4.7999999999999154E-3</v>
          </cell>
          <cell r="O89">
            <v>0</v>
          </cell>
          <cell r="P89">
            <v>61.09603552448506</v>
          </cell>
          <cell r="R89">
            <v>-17.981243755686421</v>
          </cell>
          <cell r="S89">
            <v>0</v>
          </cell>
          <cell r="T89">
            <v>4.7999999999999154E-3</v>
          </cell>
          <cell r="U89">
            <v>0</v>
          </cell>
          <cell r="V89">
            <v>-17.976443755686422</v>
          </cell>
          <cell r="X89">
            <v>97.16</v>
          </cell>
          <cell r="Z89">
            <v>50.78000000000003</v>
          </cell>
        </row>
        <row r="90">
          <cell r="C90" t="str">
            <v>c.</v>
          </cell>
          <cell r="D90" t="str">
            <v>Ammonia Sales</v>
          </cell>
          <cell r="E90" t="str">
            <v>.  .  .</v>
          </cell>
          <cell r="F90">
            <v>0</v>
          </cell>
          <cell r="G90">
            <v>0</v>
          </cell>
          <cell r="H90">
            <v>0</v>
          </cell>
          <cell r="I90">
            <v>0</v>
          </cell>
          <cell r="J90">
            <v>0</v>
          </cell>
          <cell r="L90">
            <v>0</v>
          </cell>
          <cell r="M90">
            <v>0</v>
          </cell>
          <cell r="N90">
            <v>0</v>
          </cell>
          <cell r="O90">
            <v>0</v>
          </cell>
          <cell r="P90">
            <v>0</v>
          </cell>
          <cell r="R90">
            <v>0</v>
          </cell>
          <cell r="S90">
            <v>0</v>
          </cell>
          <cell r="T90">
            <v>0</v>
          </cell>
          <cell r="U90">
            <v>0</v>
          </cell>
          <cell r="V90">
            <v>0</v>
          </cell>
          <cell r="X90">
            <v>0</v>
          </cell>
          <cell r="Z90">
            <v>0</v>
          </cell>
        </row>
        <row r="91">
          <cell r="C91" t="str">
            <v>d.</v>
          </cell>
          <cell r="D91" t="str">
            <v>Traded Urea</v>
          </cell>
          <cell r="E91" t="str">
            <v>.  .  .</v>
          </cell>
          <cell r="F91">
            <v>0</v>
          </cell>
          <cell r="G91">
            <v>0</v>
          </cell>
          <cell r="H91">
            <v>0</v>
          </cell>
          <cell r="I91">
            <v>0</v>
          </cell>
          <cell r="J91">
            <v>0</v>
          </cell>
          <cell r="L91">
            <v>0</v>
          </cell>
          <cell r="M91">
            <v>0</v>
          </cell>
          <cell r="N91">
            <v>0</v>
          </cell>
          <cell r="O91">
            <v>0</v>
          </cell>
          <cell r="P91">
            <v>0</v>
          </cell>
          <cell r="R91">
            <v>0</v>
          </cell>
          <cell r="S91">
            <v>0</v>
          </cell>
          <cell r="T91">
            <v>0</v>
          </cell>
          <cell r="U91">
            <v>0</v>
          </cell>
          <cell r="V91">
            <v>0</v>
          </cell>
          <cell r="X91">
            <v>7.08</v>
          </cell>
          <cell r="Z91">
            <v>-7.08</v>
          </cell>
        </row>
        <row r="92">
          <cell r="C92" t="str">
            <v>d.</v>
          </cell>
          <cell r="D92" t="str">
            <v>SNB Trading</v>
          </cell>
          <cell r="E92" t="str">
            <v>.  .  .</v>
          </cell>
          <cell r="F92">
            <v>0</v>
          </cell>
          <cell r="G92">
            <v>0</v>
          </cell>
          <cell r="H92">
            <v>0</v>
          </cell>
          <cell r="I92">
            <v>0</v>
          </cell>
          <cell r="J92">
            <v>0</v>
          </cell>
          <cell r="L92">
            <v>0</v>
          </cell>
          <cell r="M92">
            <v>0</v>
          </cell>
          <cell r="N92">
            <v>0</v>
          </cell>
          <cell r="O92">
            <v>0</v>
          </cell>
          <cell r="P92">
            <v>0</v>
          </cell>
          <cell r="R92">
            <v>0</v>
          </cell>
          <cell r="S92">
            <v>0</v>
          </cell>
          <cell r="T92">
            <v>0</v>
          </cell>
          <cell r="U92">
            <v>0</v>
          </cell>
          <cell r="V92">
            <v>0</v>
          </cell>
          <cell r="X92">
            <v>2.35</v>
          </cell>
          <cell r="Z92">
            <v>-2.35</v>
          </cell>
        </row>
        <row r="93">
          <cell r="C93" t="str">
            <v>e.</v>
          </cell>
          <cell r="D93" t="str">
            <v>NSB - M I Sales</v>
          </cell>
          <cell r="E93" t="str">
            <v>.  .  .</v>
          </cell>
          <cell r="F93">
            <v>0</v>
          </cell>
          <cell r="G93">
            <v>0</v>
          </cell>
          <cell r="H93">
            <v>0</v>
          </cell>
          <cell r="I93">
            <v>0</v>
          </cell>
          <cell r="J93">
            <v>0</v>
          </cell>
          <cell r="L93">
            <v>0</v>
          </cell>
          <cell r="M93">
            <v>0</v>
          </cell>
          <cell r="N93">
            <v>0</v>
          </cell>
          <cell r="O93">
            <v>0</v>
          </cell>
          <cell r="P93">
            <v>0</v>
          </cell>
          <cell r="R93">
            <v>0</v>
          </cell>
          <cell r="S93">
            <v>0</v>
          </cell>
          <cell r="T93">
            <v>0</v>
          </cell>
          <cell r="U93">
            <v>0</v>
          </cell>
          <cell r="V93">
            <v>0</v>
          </cell>
          <cell r="Z93">
            <v>0</v>
          </cell>
        </row>
        <row r="94">
          <cell r="C94" t="str">
            <v>f.</v>
          </cell>
          <cell r="D94" t="str">
            <v>NSB - SPF Trading</v>
          </cell>
          <cell r="E94" t="str">
            <v>.  .  .</v>
          </cell>
          <cell r="F94">
            <v>0</v>
          </cell>
          <cell r="G94">
            <v>0</v>
          </cell>
          <cell r="H94">
            <v>0</v>
          </cell>
          <cell r="I94">
            <v>0</v>
          </cell>
          <cell r="J94">
            <v>0</v>
          </cell>
          <cell r="L94">
            <v>0</v>
          </cell>
          <cell r="M94">
            <v>0</v>
          </cell>
          <cell r="N94">
            <v>0</v>
          </cell>
          <cell r="O94">
            <v>0</v>
          </cell>
          <cell r="P94">
            <v>0</v>
          </cell>
          <cell r="R94">
            <v>0</v>
          </cell>
          <cell r="S94">
            <v>0</v>
          </cell>
          <cell r="T94">
            <v>0</v>
          </cell>
          <cell r="U94">
            <v>0</v>
          </cell>
          <cell r="V94">
            <v>0</v>
          </cell>
          <cell r="X94">
            <v>0.09</v>
          </cell>
          <cell r="Z94">
            <v>-0.09</v>
          </cell>
        </row>
        <row r="95">
          <cell r="C95" t="str">
            <v>h.</v>
          </cell>
          <cell r="D95" t="str">
            <v>Others</v>
          </cell>
          <cell r="F95">
            <v>0</v>
          </cell>
          <cell r="G95">
            <v>0</v>
          </cell>
          <cell r="H95">
            <v>0</v>
          </cell>
          <cell r="I95">
            <v>0</v>
          </cell>
          <cell r="Z95">
            <v>0</v>
          </cell>
        </row>
        <row r="96">
          <cell r="Z96">
            <v>0</v>
          </cell>
        </row>
        <row r="97">
          <cell r="F97">
            <v>187.64997928017146</v>
          </cell>
          <cell r="G97">
            <v>2.4811034119999995</v>
          </cell>
          <cell r="H97">
            <v>24.047139999999999</v>
          </cell>
          <cell r="I97">
            <v>0</v>
          </cell>
          <cell r="J97">
            <v>214.17822269217146</v>
          </cell>
          <cell r="L97">
            <v>119.64448497448507</v>
          </cell>
          <cell r="M97">
            <v>2.5086000000000013</v>
          </cell>
          <cell r="N97">
            <v>77.195160000000001</v>
          </cell>
          <cell r="O97">
            <v>0</v>
          </cell>
          <cell r="P97">
            <v>199.34824497448506</v>
          </cell>
          <cell r="R97">
            <v>-68.005494305686398</v>
          </cell>
          <cell r="S97">
            <v>2.7496588000001765E-2</v>
          </cell>
          <cell r="T97">
            <v>53.148020000000002</v>
          </cell>
          <cell r="U97">
            <v>0</v>
          </cell>
          <cell r="V97">
            <v>-14.82997771768639</v>
          </cell>
          <cell r="X97">
            <v>133.47999999999999</v>
          </cell>
          <cell r="Z97">
            <v>132.89000000000004</v>
          </cell>
        </row>
        <row r="98">
          <cell r="Z98">
            <v>0</v>
          </cell>
        </row>
        <row r="99">
          <cell r="C99" t="str">
            <v xml:space="preserve">Less : </v>
          </cell>
          <cell r="Z99">
            <v>0</v>
          </cell>
        </row>
        <row r="100">
          <cell r="Z100">
            <v>0</v>
          </cell>
        </row>
        <row r="101">
          <cell r="C101" t="str">
            <v>g.</v>
          </cell>
          <cell r="D101" t="str">
            <v>Discounts</v>
          </cell>
          <cell r="E101" t="str">
            <v>.  .  .</v>
          </cell>
          <cell r="F101">
            <v>1.3370500000000001</v>
          </cell>
          <cell r="G101">
            <v>0.14266344618999993</v>
          </cell>
          <cell r="H101">
            <v>0</v>
          </cell>
          <cell r="I101">
            <v>0</v>
          </cell>
          <cell r="J101">
            <v>1.4797134461899999</v>
          </cell>
          <cell r="L101">
            <v>0.95991340000000003</v>
          </cell>
          <cell r="M101">
            <v>9.3899999999999983E-2</v>
          </cell>
          <cell r="N101">
            <v>0.79524519999999965</v>
          </cell>
          <cell r="O101">
            <v>0</v>
          </cell>
          <cell r="P101">
            <v>1.8490585999999998</v>
          </cell>
          <cell r="R101">
            <v>0.37713660000000004</v>
          </cell>
          <cell r="S101">
            <v>4.8763446189999948E-2</v>
          </cell>
          <cell r="T101">
            <v>-0.79524519999999965</v>
          </cell>
          <cell r="U101">
            <v>0</v>
          </cell>
          <cell r="V101">
            <v>-0.36934515380999966</v>
          </cell>
          <cell r="X101">
            <v>0</v>
          </cell>
          <cell r="Z101">
            <v>1.99</v>
          </cell>
        </row>
        <row r="102">
          <cell r="Z102">
            <v>0</v>
          </cell>
        </row>
        <row r="103">
          <cell r="C103" t="str">
            <v>T o t a l   I n c o m e</v>
          </cell>
          <cell r="F103">
            <v>186.31292928017146</v>
          </cell>
          <cell r="G103">
            <v>2.3384399658099997</v>
          </cell>
          <cell r="H103">
            <v>24.047139999999999</v>
          </cell>
          <cell r="I103">
            <v>0</v>
          </cell>
          <cell r="J103">
            <v>212.69850924598146</v>
          </cell>
          <cell r="L103">
            <v>118.68457157448506</v>
          </cell>
          <cell r="M103">
            <v>2.4147000000000012</v>
          </cell>
          <cell r="N103">
            <v>76.399914800000005</v>
          </cell>
          <cell r="O103">
            <v>0</v>
          </cell>
          <cell r="P103">
            <v>197.49918637448505</v>
          </cell>
          <cell r="R103">
            <v>-67.628357705686398</v>
          </cell>
          <cell r="S103">
            <v>7.6260034190001491E-2</v>
          </cell>
          <cell r="T103">
            <v>52.352774800000006</v>
          </cell>
          <cell r="U103">
            <v>0</v>
          </cell>
          <cell r="V103">
            <v>-15.199322871496392</v>
          </cell>
          <cell r="X103" t="e">
            <v>#REF!</v>
          </cell>
          <cell r="Z103">
            <v>130.90000000000003</v>
          </cell>
        </row>
        <row r="107">
          <cell r="F107" t="str">
            <v>l</v>
          </cell>
          <cell r="H107" t="str">
            <v>Decrease in total income is mainly due to lower Urea sales of 16150 MT. (Mfg .Urea -73884 MT &amp; Pool Urea  57734)</v>
          </cell>
        </row>
        <row r="108">
          <cell r="F108" t="str">
            <v>l</v>
          </cell>
        </row>
        <row r="113">
          <cell r="F113" t="str">
            <v>l</v>
          </cell>
          <cell r="H113" t="str">
            <v>Subsidy income is more compared to budget is due to stage III effect not considered in actuals &amp; lower despatches by 3136 MT.</v>
          </cell>
        </row>
        <row r="120">
          <cell r="B120" t="str">
            <v>C.</v>
          </cell>
          <cell r="C120" t="str">
            <v>C O S T   O F   S A L E S :</v>
          </cell>
          <cell r="Z120" t="str">
            <v>Rs. Cr.</v>
          </cell>
        </row>
        <row r="122">
          <cell r="B122" t="str">
            <v>Particulars</v>
          </cell>
          <cell r="F122" t="str">
            <v>BUDGET : SEPTEMBER '06</v>
          </cell>
          <cell r="L122" t="str">
            <v>ACTUALS : SEPTEMBER '06</v>
          </cell>
          <cell r="R122" t="str">
            <v>V A R I A N C E</v>
          </cell>
          <cell r="Z122" t="str">
            <v>ACTUALS</v>
          </cell>
        </row>
        <row r="123">
          <cell r="F123" t="str">
            <v xml:space="preserve">UREA </v>
          </cell>
          <cell r="G123" t="str">
            <v>MI</v>
          </cell>
          <cell r="H123" t="str">
            <v>TRADING</v>
          </cell>
          <cell r="I123" t="str">
            <v>CORP.</v>
          </cell>
          <cell r="J123" t="str">
            <v>TOTAL</v>
          </cell>
          <cell r="K123">
            <v>0</v>
          </cell>
          <cell r="L123" t="str">
            <v xml:space="preserve">UREA </v>
          </cell>
          <cell r="M123" t="str">
            <v>MI</v>
          </cell>
          <cell r="N123" t="str">
            <v>TRADING</v>
          </cell>
          <cell r="O123" t="str">
            <v>CORP.</v>
          </cell>
          <cell r="P123" t="str">
            <v>TOTAL</v>
          </cell>
          <cell r="Q123">
            <v>0</v>
          </cell>
          <cell r="R123" t="str">
            <v xml:space="preserve">UREA </v>
          </cell>
          <cell r="S123" t="str">
            <v>MI</v>
          </cell>
          <cell r="T123" t="str">
            <v>TRADING</v>
          </cell>
          <cell r="U123" t="str">
            <v>CORP.</v>
          </cell>
          <cell r="V123" t="str">
            <v>TOTAL</v>
          </cell>
          <cell r="Z123" t="str">
            <v>SEP '05</v>
          </cell>
        </row>
        <row r="125">
          <cell r="B125">
            <v>5</v>
          </cell>
          <cell r="C125" t="str">
            <v>Manufacturing Expenses</v>
          </cell>
        </row>
        <row r="126">
          <cell r="C126" t="str">
            <v>a.</v>
          </cell>
          <cell r="D126" t="str">
            <v xml:space="preserve">Gas </v>
          </cell>
          <cell r="E126" t="str">
            <v>.  .  .</v>
          </cell>
          <cell r="F126">
            <v>24.180357041460027</v>
          </cell>
          <cell r="G126">
            <v>0</v>
          </cell>
          <cell r="H126">
            <v>0</v>
          </cell>
          <cell r="I126">
            <v>0</v>
          </cell>
          <cell r="J126">
            <v>24.180357041460027</v>
          </cell>
          <cell r="L126">
            <v>25.489999999999995</v>
          </cell>
          <cell r="M126">
            <v>0</v>
          </cell>
          <cell r="N126">
            <v>0</v>
          </cell>
          <cell r="O126">
            <v>0</v>
          </cell>
          <cell r="P126">
            <v>25.489999999999995</v>
          </cell>
          <cell r="R126">
            <v>-1.3096429585399676</v>
          </cell>
          <cell r="S126">
            <v>0</v>
          </cell>
          <cell r="T126">
            <v>0</v>
          </cell>
          <cell r="U126">
            <v>0</v>
          </cell>
          <cell r="V126">
            <v>-1.3096429585399676</v>
          </cell>
          <cell r="X126">
            <v>73.430000000000007</v>
          </cell>
          <cell r="Z126">
            <v>24.519999999999996</v>
          </cell>
        </row>
        <row r="127">
          <cell r="C127" t="str">
            <v>b.</v>
          </cell>
          <cell r="D127" t="str">
            <v>Naphtha</v>
          </cell>
          <cell r="E127" t="str">
            <v>.  .  .</v>
          </cell>
          <cell r="F127">
            <v>67.271175835999998</v>
          </cell>
          <cell r="G127">
            <v>0</v>
          </cell>
          <cell r="H127">
            <v>0</v>
          </cell>
          <cell r="I127">
            <v>0</v>
          </cell>
          <cell r="J127">
            <v>67.271175835999998</v>
          </cell>
          <cell r="L127">
            <v>54.529999999999973</v>
          </cell>
          <cell r="M127">
            <v>0</v>
          </cell>
          <cell r="N127">
            <v>0</v>
          </cell>
          <cell r="O127">
            <v>0</v>
          </cell>
          <cell r="P127">
            <v>54.529999999999973</v>
          </cell>
          <cell r="R127">
            <v>12.741175836000025</v>
          </cell>
          <cell r="S127">
            <v>0</v>
          </cell>
          <cell r="T127">
            <v>0</v>
          </cell>
          <cell r="U127">
            <v>0</v>
          </cell>
          <cell r="V127">
            <v>12.741175836000025</v>
          </cell>
          <cell r="X127">
            <v>36.299999999999997</v>
          </cell>
          <cell r="Z127">
            <v>43.94</v>
          </cell>
        </row>
        <row r="128">
          <cell r="C128" t="str">
            <v>c.</v>
          </cell>
          <cell r="D128" t="str">
            <v>Polypropoline</v>
          </cell>
          <cell r="E128" t="str">
            <v>.  .  .</v>
          </cell>
          <cell r="F128">
            <v>0</v>
          </cell>
          <cell r="G128">
            <v>0.92964413935800039</v>
          </cell>
          <cell r="H128">
            <v>0</v>
          </cell>
          <cell r="I128">
            <v>0</v>
          </cell>
          <cell r="J128">
            <v>0.92964413935800039</v>
          </cell>
          <cell r="L128">
            <v>0</v>
          </cell>
          <cell r="M128">
            <v>0.73799999999999999</v>
          </cell>
          <cell r="N128">
            <v>0</v>
          </cell>
          <cell r="O128">
            <v>0</v>
          </cell>
          <cell r="P128">
            <v>0.73799999999999999</v>
          </cell>
          <cell r="R128">
            <v>0</v>
          </cell>
          <cell r="S128">
            <v>0.1916441393580004</v>
          </cell>
          <cell r="T128">
            <v>0</v>
          </cell>
          <cell r="U128">
            <v>0</v>
          </cell>
          <cell r="V128">
            <v>0.1916441393580004</v>
          </cell>
          <cell r="X128">
            <v>36.299999999999997</v>
          </cell>
          <cell r="Z128">
            <v>0.64999999999999991</v>
          </cell>
        </row>
        <row r="129">
          <cell r="C129" t="str">
            <v>d.</v>
          </cell>
          <cell r="D129" t="str">
            <v>LSHS</v>
          </cell>
          <cell r="E129" t="str">
            <v>.  .  .</v>
          </cell>
          <cell r="F129">
            <v>0</v>
          </cell>
          <cell r="G129">
            <v>0</v>
          </cell>
          <cell r="H129">
            <v>0</v>
          </cell>
          <cell r="I129">
            <v>0</v>
          </cell>
          <cell r="J129">
            <v>0</v>
          </cell>
          <cell r="L129">
            <v>5.65</v>
          </cell>
          <cell r="M129">
            <v>0</v>
          </cell>
          <cell r="N129">
            <v>0</v>
          </cell>
          <cell r="O129">
            <v>0</v>
          </cell>
          <cell r="P129">
            <v>5.65</v>
          </cell>
          <cell r="R129">
            <v>-5.65</v>
          </cell>
          <cell r="S129">
            <v>0</v>
          </cell>
          <cell r="T129">
            <v>0</v>
          </cell>
          <cell r="U129">
            <v>0</v>
          </cell>
          <cell r="V129">
            <v>-5.65</v>
          </cell>
          <cell r="Z129">
            <v>0</v>
          </cell>
        </row>
        <row r="130">
          <cell r="C130" t="str">
            <v>e.</v>
          </cell>
          <cell r="D130" t="str">
            <v>Water charges</v>
          </cell>
          <cell r="E130" t="str">
            <v>.  .  .</v>
          </cell>
          <cell r="F130">
            <v>0.21990089925000023</v>
          </cell>
          <cell r="G130">
            <v>0</v>
          </cell>
          <cell r="H130">
            <v>0</v>
          </cell>
          <cell r="I130">
            <v>0</v>
          </cell>
          <cell r="J130">
            <v>0.21990089925000023</v>
          </cell>
          <cell r="L130">
            <v>0.21999999999999997</v>
          </cell>
          <cell r="M130">
            <v>0</v>
          </cell>
          <cell r="N130">
            <v>0</v>
          </cell>
          <cell r="O130">
            <v>0</v>
          </cell>
          <cell r="P130">
            <v>0.21999999999999997</v>
          </cell>
          <cell r="R130">
            <v>-9.9100749999747606E-5</v>
          </cell>
          <cell r="S130">
            <v>0</v>
          </cell>
          <cell r="T130">
            <v>0</v>
          </cell>
          <cell r="U130">
            <v>0</v>
          </cell>
          <cell r="V130">
            <v>-9.9100749999747606E-5</v>
          </cell>
          <cell r="X130">
            <v>0.65</v>
          </cell>
          <cell r="Z130">
            <v>0.20999999999999996</v>
          </cell>
        </row>
        <row r="131">
          <cell r="C131" t="str">
            <v>f.</v>
          </cell>
          <cell r="D131" t="str">
            <v>Power charges</v>
          </cell>
          <cell r="E131" t="str">
            <v>.  .  .</v>
          </cell>
          <cell r="F131">
            <v>0.64019000000000048</v>
          </cell>
          <cell r="G131">
            <v>2.8885700000000014E-2</v>
          </cell>
          <cell r="H131">
            <v>0</v>
          </cell>
          <cell r="I131">
            <v>0</v>
          </cell>
          <cell r="J131">
            <v>0.6690757000000005</v>
          </cell>
          <cell r="L131">
            <v>0.60999999999999988</v>
          </cell>
          <cell r="M131">
            <v>4.0599999999999997E-2</v>
          </cell>
          <cell r="N131">
            <v>0</v>
          </cell>
          <cell r="O131">
            <v>0</v>
          </cell>
          <cell r="P131">
            <v>0.65059999999999985</v>
          </cell>
          <cell r="R131">
            <v>3.0190000000000605E-2</v>
          </cell>
          <cell r="S131">
            <v>-1.1714299999999983E-2</v>
          </cell>
          <cell r="T131">
            <v>0</v>
          </cell>
          <cell r="U131">
            <v>0</v>
          </cell>
          <cell r="V131">
            <v>1.8475700000000622E-2</v>
          </cell>
          <cell r="X131">
            <v>0.59</v>
          </cell>
          <cell r="Z131">
            <v>0.66999999999999993</v>
          </cell>
        </row>
        <row r="132">
          <cell r="C132" t="str">
            <v>g.</v>
          </cell>
          <cell r="D132" t="str">
            <v>Catalyst</v>
          </cell>
          <cell r="E132" t="str">
            <v>.  .  .</v>
          </cell>
          <cell r="F132">
            <v>0.44556050999999997</v>
          </cell>
          <cell r="G132">
            <v>0</v>
          </cell>
          <cell r="H132">
            <v>0</v>
          </cell>
          <cell r="I132">
            <v>0</v>
          </cell>
          <cell r="J132">
            <v>0.44556050999999997</v>
          </cell>
          <cell r="L132">
            <v>0.34000000000000008</v>
          </cell>
          <cell r="M132">
            <v>0</v>
          </cell>
          <cell r="N132">
            <v>0</v>
          </cell>
          <cell r="O132">
            <v>0</v>
          </cell>
          <cell r="P132">
            <v>0.34000000000000008</v>
          </cell>
          <cell r="R132">
            <v>0.10556050999999989</v>
          </cell>
          <cell r="S132">
            <v>0</v>
          </cell>
          <cell r="T132">
            <v>0</v>
          </cell>
          <cell r="U132">
            <v>0</v>
          </cell>
          <cell r="V132">
            <v>0.10556050999999989</v>
          </cell>
          <cell r="X132">
            <v>0.09</v>
          </cell>
          <cell r="Z132">
            <v>0.45999999999999996</v>
          </cell>
        </row>
        <row r="133">
          <cell r="C133" t="str">
            <v>h.</v>
          </cell>
          <cell r="D133" t="str">
            <v>Chemicals &amp; Consumables</v>
          </cell>
          <cell r="E133" t="str">
            <v>.  .  .</v>
          </cell>
          <cell r="F133">
            <v>0.31469869649724069</v>
          </cell>
          <cell r="G133">
            <v>2E-3</v>
          </cell>
          <cell r="H133">
            <v>0</v>
          </cell>
          <cell r="I133">
            <v>0</v>
          </cell>
          <cell r="J133">
            <v>0.31669869649724069</v>
          </cell>
          <cell r="L133">
            <v>0.39000000000000012</v>
          </cell>
          <cell r="M133">
            <v>0</v>
          </cell>
          <cell r="N133">
            <v>-2.9999999999999997E-4</v>
          </cell>
          <cell r="O133">
            <v>0.03</v>
          </cell>
          <cell r="P133">
            <v>0.41970000000000007</v>
          </cell>
          <cell r="R133">
            <v>-7.5301303502759431E-2</v>
          </cell>
          <cell r="S133">
            <v>2E-3</v>
          </cell>
          <cell r="T133">
            <v>2.9999999999999997E-4</v>
          </cell>
          <cell r="U133">
            <v>-0.03</v>
          </cell>
          <cell r="V133">
            <v>-0.10300130350275943</v>
          </cell>
          <cell r="X133">
            <v>0.95</v>
          </cell>
          <cell r="Z133">
            <v>0.6599999999999997</v>
          </cell>
        </row>
        <row r="134">
          <cell r="C134" t="str">
            <v>i.</v>
          </cell>
          <cell r="D134" t="str">
            <v>Packing Material</v>
          </cell>
          <cell r="E134" t="str">
            <v>.  .  .</v>
          </cell>
          <cell r="F134">
            <v>3.3185829679999976</v>
          </cell>
          <cell r="G134">
            <v>6.841349999999996E-3</v>
          </cell>
          <cell r="H134">
            <v>0.75616000000000017</v>
          </cell>
          <cell r="I134">
            <v>0</v>
          </cell>
          <cell r="J134">
            <v>4.0815843179999982</v>
          </cell>
          <cell r="L134">
            <v>3.4800000000000004</v>
          </cell>
          <cell r="M134">
            <v>0</v>
          </cell>
          <cell r="N134">
            <v>3.6438699999999997</v>
          </cell>
          <cell r="O134">
            <v>0</v>
          </cell>
          <cell r="P134">
            <v>7.1238700000000001</v>
          </cell>
          <cell r="R134">
            <v>-0.16141703200000279</v>
          </cell>
          <cell r="S134">
            <v>6.841349999999996E-3</v>
          </cell>
          <cell r="T134">
            <v>-2.8877099999999993</v>
          </cell>
          <cell r="U134">
            <v>0</v>
          </cell>
          <cell r="V134">
            <v>-3.0422856820000019</v>
          </cell>
          <cell r="X134">
            <v>6.86</v>
          </cell>
          <cell r="Z134">
            <v>2.7199999999999989</v>
          </cell>
        </row>
        <row r="135">
          <cell r="C135" t="str">
            <v>j.</v>
          </cell>
          <cell r="D135" t="str">
            <v xml:space="preserve">Trading Purchases </v>
          </cell>
          <cell r="E135" t="str">
            <v>.  .  .</v>
          </cell>
          <cell r="F135">
            <v>0</v>
          </cell>
          <cell r="G135">
            <v>0.75017353458599967</v>
          </cell>
          <cell r="H135">
            <v>20.034537500000006</v>
          </cell>
          <cell r="I135">
            <v>0</v>
          </cell>
          <cell r="J135">
            <v>20.784711034586007</v>
          </cell>
          <cell r="L135">
            <v>0</v>
          </cell>
          <cell r="M135">
            <v>0.62930000000000019</v>
          </cell>
          <cell r="N135">
            <v>42.624599999999987</v>
          </cell>
          <cell r="O135">
            <v>0</v>
          </cell>
          <cell r="P135">
            <v>43.253899999999987</v>
          </cell>
          <cell r="R135">
            <v>0</v>
          </cell>
          <cell r="S135">
            <v>0.12087353458599948</v>
          </cell>
          <cell r="T135">
            <v>-22.590062499999981</v>
          </cell>
          <cell r="U135">
            <v>0</v>
          </cell>
          <cell r="V135">
            <v>-22.469188965413981</v>
          </cell>
          <cell r="X135">
            <v>4.4400000000000004</v>
          </cell>
          <cell r="Z135">
            <v>9.7799999999999994</v>
          </cell>
        </row>
        <row r="136">
          <cell r="C136" t="str">
            <v>k.</v>
          </cell>
          <cell r="D136" t="str">
            <v xml:space="preserve"> (Incr.) / Decr. in stock</v>
          </cell>
          <cell r="F136">
            <v>49.917285</v>
          </cell>
          <cell r="G136">
            <v>-2.7957677410600068E-2</v>
          </cell>
          <cell r="H136">
            <v>-1.5868375000000006</v>
          </cell>
          <cell r="I136">
            <v>0</v>
          </cell>
          <cell r="J136">
            <v>48.302489822589401</v>
          </cell>
          <cell r="L136">
            <v>3.5947999999999993</v>
          </cell>
          <cell r="M136">
            <v>0.33010000000000006</v>
          </cell>
          <cell r="N136">
            <v>22.152999999999999</v>
          </cell>
          <cell r="O136">
            <v>0</v>
          </cell>
          <cell r="P136">
            <v>26.0779</v>
          </cell>
          <cell r="R136">
            <v>46.322485</v>
          </cell>
          <cell r="S136">
            <v>-0.35805767741060013</v>
          </cell>
          <cell r="T136">
            <v>-23.7398375</v>
          </cell>
          <cell r="U136">
            <v>0</v>
          </cell>
          <cell r="V136">
            <v>22.224589822589401</v>
          </cell>
          <cell r="Z136">
            <v>17.64</v>
          </cell>
        </row>
        <row r="137">
          <cell r="Z137">
            <v>0</v>
          </cell>
        </row>
        <row r="138">
          <cell r="D138" t="str">
            <v>i. Urea / M I</v>
          </cell>
          <cell r="E138" t="str">
            <v>.  .  .</v>
          </cell>
          <cell r="F138">
            <v>0</v>
          </cell>
          <cell r="G138">
            <v>0</v>
          </cell>
          <cell r="H138">
            <v>0</v>
          </cell>
          <cell r="I138">
            <v>0</v>
          </cell>
          <cell r="J138">
            <v>0</v>
          </cell>
          <cell r="L138">
            <v>0</v>
          </cell>
          <cell r="M138">
            <v>0</v>
          </cell>
          <cell r="N138">
            <v>0</v>
          </cell>
          <cell r="O138">
            <v>0</v>
          </cell>
          <cell r="P138">
            <v>0</v>
          </cell>
          <cell r="R138">
            <v>0</v>
          </cell>
          <cell r="S138">
            <v>0</v>
          </cell>
          <cell r="T138">
            <v>0</v>
          </cell>
          <cell r="U138">
            <v>0</v>
          </cell>
          <cell r="V138">
            <v>0</v>
          </cell>
          <cell r="X138">
            <v>-112.24</v>
          </cell>
          <cell r="Z138">
            <v>0</v>
          </cell>
        </row>
        <row r="139">
          <cell r="D139" t="str">
            <v>ii. Ammonia</v>
          </cell>
          <cell r="E139" t="str">
            <v>.  .  .</v>
          </cell>
          <cell r="F139">
            <v>0</v>
          </cell>
          <cell r="G139">
            <v>0</v>
          </cell>
          <cell r="H139">
            <v>0</v>
          </cell>
          <cell r="I139">
            <v>0</v>
          </cell>
          <cell r="J139">
            <v>0</v>
          </cell>
          <cell r="L139">
            <v>0</v>
          </cell>
          <cell r="M139">
            <v>0</v>
          </cell>
          <cell r="N139">
            <v>0</v>
          </cell>
          <cell r="O139">
            <v>0</v>
          </cell>
          <cell r="P139">
            <v>0</v>
          </cell>
          <cell r="R139">
            <v>0</v>
          </cell>
          <cell r="S139">
            <v>0</v>
          </cell>
          <cell r="T139">
            <v>0</v>
          </cell>
          <cell r="U139">
            <v>0</v>
          </cell>
          <cell r="V139">
            <v>0</v>
          </cell>
          <cell r="X139">
            <v>0.8</v>
          </cell>
          <cell r="Z139">
            <v>0</v>
          </cell>
        </row>
        <row r="140">
          <cell r="D140" t="str">
            <v>iii. Traded products</v>
          </cell>
          <cell r="E140" t="str">
            <v>.  .  .</v>
          </cell>
          <cell r="F140">
            <v>0</v>
          </cell>
          <cell r="G140">
            <v>0</v>
          </cell>
          <cell r="H140">
            <v>0</v>
          </cell>
          <cell r="I140">
            <v>0</v>
          </cell>
          <cell r="J140">
            <v>0</v>
          </cell>
          <cell r="L140">
            <v>0</v>
          </cell>
          <cell r="M140">
            <v>0</v>
          </cell>
          <cell r="N140">
            <v>0</v>
          </cell>
          <cell r="O140">
            <v>0</v>
          </cell>
          <cell r="P140">
            <v>0</v>
          </cell>
          <cell r="R140">
            <v>0</v>
          </cell>
          <cell r="S140">
            <v>0</v>
          </cell>
          <cell r="T140">
            <v>0</v>
          </cell>
          <cell r="U140">
            <v>0</v>
          </cell>
          <cell r="V140">
            <v>0</v>
          </cell>
          <cell r="X140">
            <v>-2.08</v>
          </cell>
          <cell r="Z140">
            <v>0</v>
          </cell>
        </row>
        <row r="141">
          <cell r="Z141">
            <v>0</v>
          </cell>
        </row>
        <row r="142">
          <cell r="F142">
            <v>146.30775095120728</v>
          </cell>
          <cell r="G142">
            <v>1.6895870465334</v>
          </cell>
          <cell r="H142">
            <v>19.203860000000006</v>
          </cell>
          <cell r="I142">
            <v>0</v>
          </cell>
          <cell r="J142">
            <v>167.20119799774068</v>
          </cell>
          <cell r="L142">
            <v>94.304799999999972</v>
          </cell>
          <cell r="M142">
            <v>1.7380000000000002</v>
          </cell>
          <cell r="N142">
            <v>68.421169999999989</v>
          </cell>
          <cell r="O142">
            <v>0.03</v>
          </cell>
          <cell r="P142">
            <v>164.49396999999996</v>
          </cell>
          <cell r="R142">
            <v>52.00295095120731</v>
          </cell>
          <cell r="S142">
            <v>-4.8412953466600239E-2</v>
          </cell>
          <cell r="T142">
            <v>-49.217309999999983</v>
          </cell>
          <cell r="U142">
            <v>-0.03</v>
          </cell>
          <cell r="V142">
            <v>2.7072279977407248</v>
          </cell>
          <cell r="X142">
            <v>46.090000000000018</v>
          </cell>
          <cell r="Z142">
            <v>101.24999999999999</v>
          </cell>
        </row>
        <row r="146">
          <cell r="B146">
            <v>6</v>
          </cell>
          <cell r="C146" t="str">
            <v>Transp, Handling &amp; Distrbn.</v>
          </cell>
        </row>
        <row r="148">
          <cell r="C148" t="str">
            <v>a.</v>
          </cell>
          <cell r="D148" t="str">
            <v>Transport</v>
          </cell>
          <cell r="E148" t="str">
            <v>.  .  .</v>
          </cell>
          <cell r="F148">
            <v>10.107199999999999</v>
          </cell>
          <cell r="G148">
            <v>8.4183838769159969E-2</v>
          </cell>
          <cell r="H148">
            <v>1.3327</v>
          </cell>
          <cell r="I148">
            <v>0</v>
          </cell>
          <cell r="J148">
            <v>11.524083838769158</v>
          </cell>
          <cell r="L148">
            <v>8.132625400000002</v>
          </cell>
          <cell r="M148">
            <v>4.720000000000002E-2</v>
          </cell>
          <cell r="N148">
            <v>0.66065540000000089</v>
          </cell>
          <cell r="O148">
            <v>0</v>
          </cell>
          <cell r="P148">
            <v>8.8404808000000035</v>
          </cell>
          <cell r="R148">
            <v>1.9745745999999968</v>
          </cell>
          <cell r="S148">
            <v>3.6983838769159949E-2</v>
          </cell>
          <cell r="T148">
            <v>0.6720445999999991</v>
          </cell>
          <cell r="U148">
            <v>0</v>
          </cell>
          <cell r="V148">
            <v>2.6836030387691561</v>
          </cell>
          <cell r="X148">
            <v>11.18</v>
          </cell>
          <cell r="Z148">
            <v>3.8100000000000023</v>
          </cell>
        </row>
        <row r="149">
          <cell r="C149" t="str">
            <v>b.</v>
          </cell>
          <cell r="D149" t="str">
            <v>Handling</v>
          </cell>
          <cell r="E149" t="str">
            <v>.  .  .</v>
          </cell>
          <cell r="F149">
            <v>0.69000000000000039</v>
          </cell>
          <cell r="G149">
            <v>0</v>
          </cell>
          <cell r="H149">
            <v>0.85780000000000001</v>
          </cell>
          <cell r="I149">
            <v>0</v>
          </cell>
          <cell r="J149">
            <v>1.5478000000000005</v>
          </cell>
          <cell r="L149">
            <v>0.6219139509999998</v>
          </cell>
          <cell r="M149">
            <v>1.3799999999999986E-2</v>
          </cell>
          <cell r="N149">
            <v>3.7240000000000002</v>
          </cell>
          <cell r="O149">
            <v>0</v>
          </cell>
          <cell r="P149">
            <v>4.3597139509999998</v>
          </cell>
          <cell r="R149">
            <v>6.8086049000000592E-2</v>
          </cell>
          <cell r="S149">
            <v>-1.3799999999999986E-2</v>
          </cell>
          <cell r="T149">
            <v>-2.8662000000000001</v>
          </cell>
          <cell r="U149">
            <v>0</v>
          </cell>
          <cell r="V149">
            <v>-2.8119139509999993</v>
          </cell>
          <cell r="X149">
            <v>1.41</v>
          </cell>
          <cell r="Z149">
            <v>0.87000000000000011</v>
          </cell>
        </row>
        <row r="150">
          <cell r="C150" t="str">
            <v>c.</v>
          </cell>
          <cell r="D150" t="str">
            <v>Distribution</v>
          </cell>
          <cell r="E150" t="str">
            <v>.  .  .</v>
          </cell>
          <cell r="F150">
            <v>0.41000000000000014</v>
          </cell>
          <cell r="G150">
            <v>0</v>
          </cell>
          <cell r="H150">
            <v>0.1</v>
          </cell>
          <cell r="I150">
            <v>0</v>
          </cell>
          <cell r="J150">
            <v>0.51000000000000012</v>
          </cell>
          <cell r="L150">
            <v>0.47579999999999978</v>
          </cell>
          <cell r="M150">
            <v>9.7000000000000003E-3</v>
          </cell>
          <cell r="N150">
            <v>7.6399999999999982E-2</v>
          </cell>
          <cell r="O150">
            <v>0</v>
          </cell>
          <cell r="P150">
            <v>0.56189999999999973</v>
          </cell>
          <cell r="R150">
            <v>-6.5799999999999637E-2</v>
          </cell>
          <cell r="S150">
            <v>-9.7000000000000003E-3</v>
          </cell>
          <cell r="T150">
            <v>2.3600000000000024E-2</v>
          </cell>
          <cell r="U150">
            <v>0</v>
          </cell>
          <cell r="V150">
            <v>-5.1899999999999613E-2</v>
          </cell>
          <cell r="X150">
            <v>2</v>
          </cell>
          <cell r="Z150">
            <v>0.49000000000000021</v>
          </cell>
        </row>
        <row r="152">
          <cell r="F152">
            <v>11.2072</v>
          </cell>
          <cell r="G152">
            <v>8.4183838769159969E-2</v>
          </cell>
          <cell r="H152">
            <v>2.2905000000000002</v>
          </cell>
          <cell r="I152">
            <v>0</v>
          </cell>
          <cell r="J152">
            <v>13.58188383876916</v>
          </cell>
          <cell r="L152">
            <v>9.2303393510000014</v>
          </cell>
          <cell r="M152">
            <v>7.0700000000000013E-2</v>
          </cell>
          <cell r="N152">
            <v>4.4610554000000011</v>
          </cell>
          <cell r="O152">
            <v>0</v>
          </cell>
          <cell r="P152">
            <v>13.762094751000003</v>
          </cell>
          <cell r="R152">
            <v>1.9768606489999989</v>
          </cell>
          <cell r="S152">
            <v>1.3483838769159956E-2</v>
          </cell>
          <cell r="T152">
            <v>-2.1705554000000009</v>
          </cell>
          <cell r="U152">
            <v>0</v>
          </cell>
          <cell r="V152">
            <v>-0.18021091223084196</v>
          </cell>
          <cell r="X152">
            <v>14.59</v>
          </cell>
          <cell r="Z152">
            <v>5.1700000000000026</v>
          </cell>
        </row>
        <row r="156">
          <cell r="C156" t="str">
            <v>l</v>
          </cell>
        </row>
        <row r="158">
          <cell r="C158" t="str">
            <v>l</v>
          </cell>
        </row>
        <row r="160">
          <cell r="C160" t="str">
            <v>l</v>
          </cell>
        </row>
        <row r="163">
          <cell r="C163" t="str">
            <v>l</v>
          </cell>
        </row>
        <row r="165">
          <cell r="C165" t="str">
            <v>l</v>
          </cell>
        </row>
        <row r="169">
          <cell r="F169" t="str">
            <v>l</v>
          </cell>
          <cell r="G169" t="str">
            <v>Increase in energy cost is mainly due to increase in Naphtha by Rs.7119 per MT over budget  &amp; usage of LSHS by 2324 MT @ Rs.23275 per MT &amp; N.G. excess consumption by 2.89 MMSM3</v>
          </cell>
        </row>
        <row r="170">
          <cell r="F170" t="str">
            <v>l</v>
          </cell>
          <cell r="G170" t="str">
            <v xml:space="preserve">Increase in packing material cost is due to lower consumption of bags </v>
          </cell>
        </row>
        <row r="171">
          <cell r="F171" t="str">
            <v>l</v>
          </cell>
          <cell r="G171" t="str">
            <v>Increase in trading purchases due to more purchase of Pool Urea over budget &amp; Mixtures in Aug'06</v>
          </cell>
        </row>
        <row r="172">
          <cell r="F172" t="str">
            <v>l</v>
          </cell>
          <cell r="G172" t="str">
            <v>Increase in packing material cost is mainly due to more pool urea sale by 57734 MT over budget</v>
          </cell>
        </row>
        <row r="175">
          <cell r="B175" t="str">
            <v>D.</v>
          </cell>
          <cell r="C175" t="str">
            <v>E X P E N S E S :</v>
          </cell>
          <cell r="Z175" t="str">
            <v>Rs. Cr.</v>
          </cell>
        </row>
        <row r="177">
          <cell r="B177" t="str">
            <v>Particulars</v>
          </cell>
          <cell r="F177" t="str">
            <v>BUDGET : SEPTEMBER '06</v>
          </cell>
          <cell r="L177" t="str">
            <v>ACTUALS : SEPTEMBER '06</v>
          </cell>
          <cell r="R177" t="str">
            <v>V A R I A N C E</v>
          </cell>
          <cell r="Z177" t="str">
            <v>ACTUALS</v>
          </cell>
        </row>
        <row r="178">
          <cell r="F178" t="str">
            <v xml:space="preserve">UREA </v>
          </cell>
          <cell r="G178" t="str">
            <v>MI</v>
          </cell>
          <cell r="H178" t="str">
            <v>TRADING</v>
          </cell>
          <cell r="I178" t="str">
            <v>CORP.</v>
          </cell>
          <cell r="J178" t="str">
            <v>TOTAL</v>
          </cell>
          <cell r="K178">
            <v>0</v>
          </cell>
          <cell r="L178" t="str">
            <v xml:space="preserve">UREA </v>
          </cell>
          <cell r="M178" t="str">
            <v>MI</v>
          </cell>
          <cell r="N178" t="str">
            <v>TRADING</v>
          </cell>
          <cell r="O178" t="str">
            <v>CORP.</v>
          </cell>
          <cell r="P178" t="str">
            <v>TOTAL</v>
          </cell>
          <cell r="Q178">
            <v>0</v>
          </cell>
          <cell r="R178" t="str">
            <v xml:space="preserve">UREA </v>
          </cell>
          <cell r="S178" t="str">
            <v>MI</v>
          </cell>
          <cell r="T178" t="str">
            <v>TRADING</v>
          </cell>
          <cell r="U178" t="str">
            <v>CORP.</v>
          </cell>
          <cell r="V178" t="str">
            <v>TOTAL</v>
          </cell>
          <cell r="Z178" t="str">
            <v>SEP '05</v>
          </cell>
        </row>
        <row r="180">
          <cell r="B180">
            <v>7</v>
          </cell>
          <cell r="C180" t="str">
            <v>Salaries &amp; Wages</v>
          </cell>
        </row>
        <row r="182">
          <cell r="C182" t="str">
            <v>a.</v>
          </cell>
          <cell r="D182" t="str">
            <v>Salaries</v>
          </cell>
          <cell r="E182" t="str">
            <v>.  .  .</v>
          </cell>
          <cell r="F182">
            <v>2.2308980580000028</v>
          </cell>
          <cell r="G182">
            <v>0.18049166666666683</v>
          </cell>
          <cell r="H182">
            <v>0.10500000000000004</v>
          </cell>
          <cell r="I182">
            <v>1.2406054166666669</v>
          </cell>
          <cell r="J182">
            <v>3.7569951413333365</v>
          </cell>
          <cell r="L182">
            <v>2.2000000000000011</v>
          </cell>
          <cell r="M182">
            <v>7.4399999999999966E-2</v>
          </cell>
          <cell r="N182">
            <v>0.13746999999999998</v>
          </cell>
          <cell r="O182">
            <v>0.95000000000000018</v>
          </cell>
          <cell r="P182">
            <v>3.361870000000001</v>
          </cell>
          <cell r="R182">
            <v>3.0898058000001782E-2</v>
          </cell>
          <cell r="S182">
            <v>0.10609166666666686</v>
          </cell>
          <cell r="T182">
            <v>-3.2469999999999943E-2</v>
          </cell>
          <cell r="U182">
            <v>0.29060541666666673</v>
          </cell>
          <cell r="V182">
            <v>0.39512514133333543</v>
          </cell>
          <cell r="X182">
            <v>6.35</v>
          </cell>
          <cell r="Z182">
            <v>3.094000000000003</v>
          </cell>
        </row>
        <row r="183">
          <cell r="C183" t="str">
            <v>b.</v>
          </cell>
          <cell r="D183" t="str">
            <v>PF &amp; other contbns.</v>
          </cell>
          <cell r="E183" t="str">
            <v>.  .  .</v>
          </cell>
          <cell r="F183">
            <v>0.22095822239999996</v>
          </cell>
          <cell r="G183">
            <v>9.4749999999999973E-3</v>
          </cell>
          <cell r="H183">
            <v>1.4999999999999999E-2</v>
          </cell>
          <cell r="I183">
            <v>0.1659445833333334</v>
          </cell>
          <cell r="J183">
            <v>0.41137780573333338</v>
          </cell>
          <cell r="L183">
            <v>0.25</v>
          </cell>
          <cell r="M183">
            <v>3.9000000000000007E-3</v>
          </cell>
          <cell r="N183">
            <v>1.3099999999999994E-2</v>
          </cell>
          <cell r="O183">
            <v>0.12</v>
          </cell>
          <cell r="P183">
            <v>0.38700000000000001</v>
          </cell>
          <cell r="R183">
            <v>-2.904177760000004E-2</v>
          </cell>
          <cell r="S183">
            <v>5.5749999999999966E-3</v>
          </cell>
          <cell r="T183">
            <v>1.9000000000000059E-3</v>
          </cell>
          <cell r="U183">
            <v>4.59445833333334E-2</v>
          </cell>
          <cell r="V183">
            <v>2.4377805733333362E-2</v>
          </cell>
          <cell r="X183">
            <v>0.73</v>
          </cell>
          <cell r="Z183">
            <v>0.30200000000000005</v>
          </cell>
        </row>
        <row r="184">
          <cell r="C184" t="str">
            <v>c.</v>
          </cell>
          <cell r="D184" t="str">
            <v>Staff welfare exp.</v>
          </cell>
          <cell r="E184" t="str">
            <v>.  .  .</v>
          </cell>
          <cell r="X184">
            <v>0.69</v>
          </cell>
          <cell r="Z184">
            <v>2.56</v>
          </cell>
        </row>
        <row r="186">
          <cell r="F186">
            <v>2.451856280400003</v>
          </cell>
          <cell r="G186">
            <v>0.18996666666666684</v>
          </cell>
          <cell r="H186">
            <v>0.12000000000000004</v>
          </cell>
          <cell r="I186">
            <v>1.4065500000000002</v>
          </cell>
          <cell r="J186">
            <v>4.1683729470666702</v>
          </cell>
          <cell r="L186">
            <v>2.4500000000000011</v>
          </cell>
          <cell r="M186">
            <v>7.8299999999999967E-2</v>
          </cell>
          <cell r="N186">
            <v>0.15056999999999998</v>
          </cell>
          <cell r="O186">
            <v>1.0700000000000003</v>
          </cell>
          <cell r="P186">
            <v>3.7488700000000015</v>
          </cell>
          <cell r="R186">
            <v>1.8562804000019639E-3</v>
          </cell>
          <cell r="S186">
            <v>0.11166666666666687</v>
          </cell>
          <cell r="T186">
            <v>-3.0569999999999944E-2</v>
          </cell>
          <cell r="U186">
            <v>0.3365499999999999</v>
          </cell>
          <cell r="V186">
            <v>0.4195029470666688</v>
          </cell>
          <cell r="X186">
            <v>7.77</v>
          </cell>
          <cell r="Z186">
            <v>3.396000000000003</v>
          </cell>
        </row>
        <row r="188">
          <cell r="B188">
            <v>8</v>
          </cell>
          <cell r="C188" t="str">
            <v>Overheads</v>
          </cell>
        </row>
        <row r="190">
          <cell r="C190" t="str">
            <v>a.</v>
          </cell>
          <cell r="D190" t="str">
            <v>Rents, Rates &amp; Taxes</v>
          </cell>
          <cell r="E190" t="str">
            <v>.  .  .</v>
          </cell>
          <cell r="F190">
            <v>6.4033333333333387E-2</v>
          </cell>
          <cell r="G190">
            <v>1.4825000000000005E-2</v>
          </cell>
          <cell r="H190">
            <v>5.0000000000000044E-3</v>
          </cell>
          <cell r="I190">
            <v>0.20142499999999997</v>
          </cell>
          <cell r="J190">
            <v>0.28528333333333333</v>
          </cell>
          <cell r="L190">
            <v>0.21000000000000002</v>
          </cell>
          <cell r="M190">
            <v>7.1000000000000091E-3</v>
          </cell>
          <cell r="N190">
            <v>4.5999999999999999E-3</v>
          </cell>
          <cell r="O190">
            <v>0.19999999999999996</v>
          </cell>
          <cell r="P190">
            <v>0.42169999999999996</v>
          </cell>
          <cell r="R190">
            <v>-0.14596666666666663</v>
          </cell>
          <cell r="S190">
            <v>7.7249999999999958E-3</v>
          </cell>
          <cell r="T190">
            <v>4.0000000000000452E-4</v>
          </cell>
          <cell r="U190">
            <v>1.4250000000000096E-3</v>
          </cell>
          <cell r="V190">
            <v>-0.13641666666666663</v>
          </cell>
          <cell r="X190">
            <v>0.34</v>
          </cell>
          <cell r="Z190">
            <v>0.55999999999999983</v>
          </cell>
        </row>
        <row r="191">
          <cell r="C191" t="str">
            <v>b.</v>
          </cell>
          <cell r="D191" t="str">
            <v>Stores &amp; Spares</v>
          </cell>
          <cell r="E191" t="str">
            <v>.  .  .</v>
          </cell>
          <cell r="F191">
            <v>0.37750000000000039</v>
          </cell>
          <cell r="G191">
            <v>1.354166666666666E-2</v>
          </cell>
          <cell r="H191">
            <v>0</v>
          </cell>
          <cell r="I191">
            <v>0</v>
          </cell>
          <cell r="J191">
            <v>0.39104166666666706</v>
          </cell>
          <cell r="L191">
            <v>-0.10999999999999943</v>
          </cell>
          <cell r="M191">
            <v>1.09E-2</v>
          </cell>
          <cell r="N191">
            <v>0</v>
          </cell>
          <cell r="O191">
            <v>0</v>
          </cell>
          <cell r="P191">
            <v>-9.9099999999999439E-2</v>
          </cell>
          <cell r="R191">
            <v>0.48749999999999982</v>
          </cell>
          <cell r="S191">
            <v>2.6416666666666602E-3</v>
          </cell>
          <cell r="T191">
            <v>0</v>
          </cell>
          <cell r="U191">
            <v>0</v>
          </cell>
          <cell r="V191">
            <v>0.49014166666666648</v>
          </cell>
          <cell r="X191">
            <v>0.76</v>
          </cell>
          <cell r="Z191">
            <v>1.6280000000000006</v>
          </cell>
        </row>
        <row r="192">
          <cell r="C192" t="str">
            <v>c.</v>
          </cell>
          <cell r="D192" t="str">
            <v>Rep &amp; Maintenance</v>
          </cell>
          <cell r="E192" t="str">
            <v>.  .  .</v>
          </cell>
          <cell r="F192">
            <v>0.30185833333333356</v>
          </cell>
          <cell r="G192">
            <v>8.0799999999999983E-2</v>
          </cell>
          <cell r="H192">
            <v>2E-3</v>
          </cell>
          <cell r="I192">
            <v>0.10763333333333325</v>
          </cell>
          <cell r="J192">
            <v>0.49229166666666679</v>
          </cell>
          <cell r="L192">
            <v>0.25999999999999979</v>
          </cell>
          <cell r="M192">
            <v>1.7699999999999994E-2</v>
          </cell>
          <cell r="N192">
            <v>2.9999999999999992E-4</v>
          </cell>
          <cell r="O192">
            <v>0.41679999999999995</v>
          </cell>
          <cell r="P192">
            <v>0.69479999999999975</v>
          </cell>
          <cell r="R192">
            <v>4.1858333333333775E-2</v>
          </cell>
          <cell r="S192">
            <v>6.3099999999999989E-2</v>
          </cell>
          <cell r="T192">
            <v>1.7000000000000001E-3</v>
          </cell>
          <cell r="U192">
            <v>-0.3091666666666667</v>
          </cell>
          <cell r="V192">
            <v>-0.20250833333333293</v>
          </cell>
          <cell r="X192">
            <v>1.27</v>
          </cell>
          <cell r="Z192">
            <v>0.12999999999999901</v>
          </cell>
        </row>
        <row r="193">
          <cell r="C193" t="str">
            <v>d.</v>
          </cell>
          <cell r="D193" t="str">
            <v>Insurance charges</v>
          </cell>
          <cell r="E193" t="str">
            <v>.  .  .</v>
          </cell>
          <cell r="F193">
            <v>0.7315333333333327</v>
          </cell>
          <cell r="G193">
            <v>5.9250000000000032E-3</v>
          </cell>
          <cell r="H193">
            <v>3.2999999999999974E-3</v>
          </cell>
          <cell r="I193">
            <v>4.0233333333333343E-2</v>
          </cell>
          <cell r="J193">
            <v>0.78099166666666597</v>
          </cell>
          <cell r="L193">
            <v>0.66649999999999965</v>
          </cell>
          <cell r="M193">
            <v>7.999999999999995E-4</v>
          </cell>
          <cell r="N193">
            <v>1.2800000000000006E-2</v>
          </cell>
          <cell r="O193">
            <v>0</v>
          </cell>
          <cell r="P193">
            <v>0.6800999999999997</v>
          </cell>
          <cell r="R193">
            <v>6.5033333333333054E-2</v>
          </cell>
          <cell r="S193">
            <v>5.1250000000000037E-3</v>
          </cell>
          <cell r="T193">
            <v>-9.5000000000000084E-3</v>
          </cell>
          <cell r="U193">
            <v>4.0233333333333343E-2</v>
          </cell>
          <cell r="V193">
            <v>0.10089166666666639</v>
          </cell>
          <cell r="X193">
            <v>1.45</v>
          </cell>
          <cell r="Z193">
            <v>0.77710000000000035</v>
          </cell>
        </row>
        <row r="194">
          <cell r="C194" t="str">
            <v>e.</v>
          </cell>
          <cell r="D194" t="str">
            <v>Travelling &amp; Conv.</v>
          </cell>
          <cell r="E194" t="str">
            <v>.  .  .</v>
          </cell>
          <cell r="F194">
            <v>0.20213333333333328</v>
          </cell>
          <cell r="G194">
            <v>0.03</v>
          </cell>
          <cell r="H194">
            <v>4.9399999999999999E-2</v>
          </cell>
          <cell r="I194">
            <v>0.25597499999999984</v>
          </cell>
          <cell r="J194">
            <v>0.53750833333333314</v>
          </cell>
          <cell r="L194">
            <v>0.23999999999999988</v>
          </cell>
          <cell r="M194">
            <v>3.5900000000000015E-2</v>
          </cell>
          <cell r="N194">
            <v>3.8800000000000001E-2</v>
          </cell>
          <cell r="O194">
            <v>0.34000000000000008</v>
          </cell>
          <cell r="P194">
            <v>0.65470000000000006</v>
          </cell>
          <cell r="R194">
            <v>-3.7866666666666604E-2</v>
          </cell>
          <cell r="S194">
            <v>-5.9000000000000163E-3</v>
          </cell>
          <cell r="T194">
            <v>1.0599999999999998E-2</v>
          </cell>
          <cell r="U194">
            <v>-8.4025000000000238E-2</v>
          </cell>
          <cell r="V194">
            <v>-0.11719166666666686</v>
          </cell>
          <cell r="X194">
            <v>0.69</v>
          </cell>
          <cell r="Z194">
            <v>0.48999999999999977</v>
          </cell>
        </row>
        <row r="195">
          <cell r="C195" t="str">
            <v>f.</v>
          </cell>
          <cell r="D195" t="str">
            <v>Professional Charges</v>
          </cell>
          <cell r="E195" t="str">
            <v>.  .  .</v>
          </cell>
          <cell r="F195">
            <v>3.3850000000000047E-2</v>
          </cell>
          <cell r="G195">
            <v>4.1666666666666657E-3</v>
          </cell>
          <cell r="H195">
            <v>2.4999999999999996E-3</v>
          </cell>
          <cell r="I195">
            <v>1.7419833333333319</v>
          </cell>
          <cell r="J195">
            <v>1.7824999999999986</v>
          </cell>
          <cell r="L195">
            <v>-3.0000000000000027E-2</v>
          </cell>
          <cell r="M195">
            <v>0</v>
          </cell>
          <cell r="N195">
            <v>3.0000000000000027E-3</v>
          </cell>
          <cell r="O195">
            <v>0.48450000000000015</v>
          </cell>
          <cell r="P195">
            <v>0.45750000000000013</v>
          </cell>
          <cell r="R195">
            <v>6.3850000000000073E-2</v>
          </cell>
          <cell r="S195">
            <v>4.1666666666666657E-3</v>
          </cell>
          <cell r="T195">
            <v>-5.0000000000000305E-4</v>
          </cell>
          <cell r="U195">
            <v>1.2574833333333317</v>
          </cell>
          <cell r="V195">
            <v>1.3249999999999984</v>
          </cell>
          <cell r="X195">
            <v>1.42</v>
          </cell>
          <cell r="Z195">
            <v>1.81</v>
          </cell>
        </row>
        <row r="196">
          <cell r="C196" t="str">
            <v>g.</v>
          </cell>
          <cell r="D196" t="str">
            <v>Advt. &amp; Publicity</v>
          </cell>
          <cell r="E196" t="str">
            <v>.  .  .</v>
          </cell>
          <cell r="F196">
            <v>0.22916666666666652</v>
          </cell>
          <cell r="G196">
            <v>2.0833333333333343E-2</v>
          </cell>
          <cell r="H196">
            <v>4.9999999999999989E-2</v>
          </cell>
          <cell r="I196">
            <v>3.2274999999999998E-2</v>
          </cell>
          <cell r="J196">
            <v>0.33227499999999982</v>
          </cell>
          <cell r="L196">
            <v>0.35000000000000003</v>
          </cell>
          <cell r="M196">
            <v>2.6600000000000013E-2</v>
          </cell>
          <cell r="N196">
            <v>5.9499999999999997E-2</v>
          </cell>
          <cell r="O196">
            <v>1.0000000000000009E-2</v>
          </cell>
          <cell r="P196">
            <v>0.44610000000000005</v>
          </cell>
          <cell r="R196">
            <v>-0.12083333333333351</v>
          </cell>
          <cell r="S196">
            <v>-5.7666666666666699E-3</v>
          </cell>
          <cell r="T196">
            <v>-9.5000000000000084E-3</v>
          </cell>
          <cell r="U196">
            <v>2.2274999999999989E-2</v>
          </cell>
          <cell r="V196">
            <v>-0.1138250000000002</v>
          </cell>
          <cell r="X196">
            <v>0.31</v>
          </cell>
          <cell r="Z196">
            <v>0.37000000000000011</v>
          </cell>
        </row>
        <row r="197">
          <cell r="C197" t="str">
            <v>h.</v>
          </cell>
          <cell r="D197" t="str">
            <v xml:space="preserve">Misc. exp </v>
          </cell>
          <cell r="E197" t="str">
            <v>.  .  .</v>
          </cell>
          <cell r="F197">
            <v>0.1684833333333331</v>
          </cell>
          <cell r="G197">
            <v>4.0866666666666662E-2</v>
          </cell>
          <cell r="H197">
            <v>1.6499999999999987E-2</v>
          </cell>
          <cell r="I197">
            <v>1.0774393916666671</v>
          </cell>
          <cell r="J197">
            <v>1.3032893916666668</v>
          </cell>
          <cell r="L197">
            <v>0.28000000000000003</v>
          </cell>
          <cell r="M197">
            <v>0.43200000000000005</v>
          </cell>
          <cell r="N197">
            <v>1.0479999999999989E-2</v>
          </cell>
          <cell r="O197">
            <v>0.80709999999999971</v>
          </cell>
          <cell r="P197">
            <v>1.5295799999999997</v>
          </cell>
          <cell r="R197">
            <v>-0.11151666666666693</v>
          </cell>
          <cell r="S197">
            <v>-0.39113333333333339</v>
          </cell>
          <cell r="T197">
            <v>6.0199999999999976E-3</v>
          </cell>
          <cell r="U197">
            <v>0.27033939166666743</v>
          </cell>
          <cell r="V197">
            <v>-0.22629060833333281</v>
          </cell>
          <cell r="X197">
            <v>1.5</v>
          </cell>
          <cell r="Z197">
            <v>0.63000000000000078</v>
          </cell>
        </row>
        <row r="198">
          <cell r="F198">
            <v>2.1085583333333329</v>
          </cell>
          <cell r="G198">
            <v>0.21095833333333333</v>
          </cell>
          <cell r="H198">
            <v>0.12869999999999998</v>
          </cell>
          <cell r="I198">
            <v>3.456964391666665</v>
          </cell>
          <cell r="J198">
            <v>5.9051810583333317</v>
          </cell>
          <cell r="L198">
            <v>1.8664999999999998</v>
          </cell>
          <cell r="M198">
            <v>0.53100000000000014</v>
          </cell>
          <cell r="N198">
            <v>0.12947999999999998</v>
          </cell>
          <cell r="O198">
            <v>2.2584</v>
          </cell>
          <cell r="P198">
            <v>4.78538</v>
          </cell>
          <cell r="R198">
            <v>0.24205833333333304</v>
          </cell>
          <cell r="S198">
            <v>-0.32004166666666678</v>
          </cell>
          <cell r="T198">
            <v>-7.8000000000000291E-4</v>
          </cell>
          <cell r="U198">
            <v>1.1985643916666651</v>
          </cell>
          <cell r="V198">
            <v>1.1198010583333318</v>
          </cell>
          <cell r="X198">
            <v>7.7399999999999993</v>
          </cell>
          <cell r="Z198">
            <v>6.3951000000000002</v>
          </cell>
        </row>
        <row r="200">
          <cell r="B200">
            <v>9</v>
          </cell>
          <cell r="C200" t="str">
            <v>Total   Expenditure</v>
          </cell>
          <cell r="E200" t="str">
            <v>.  .  .</v>
          </cell>
          <cell r="F200">
            <v>162.0753655649406</v>
          </cell>
          <cell r="G200">
            <v>2.17469588530256</v>
          </cell>
          <cell r="H200">
            <v>21.743060000000007</v>
          </cell>
          <cell r="I200">
            <v>4.8635143916666657</v>
          </cell>
          <cell r="J200">
            <v>190.85663584190985</v>
          </cell>
          <cell r="L200">
            <v>107.85163935099997</v>
          </cell>
          <cell r="M200">
            <v>2.4180000000000001</v>
          </cell>
          <cell r="N200">
            <v>73.162275399999999</v>
          </cell>
          <cell r="O200">
            <v>3.3584000000000005</v>
          </cell>
          <cell r="P200">
            <v>186.79031475099998</v>
          </cell>
          <cell r="R200">
            <v>54.223726213940623</v>
          </cell>
          <cell r="S200">
            <v>-0.24330411469744018</v>
          </cell>
          <cell r="T200">
            <v>-51.419215399999992</v>
          </cell>
          <cell r="U200">
            <v>1.5051143916666652</v>
          </cell>
          <cell r="V200">
            <v>4.0663210909098586</v>
          </cell>
          <cell r="X200" t="e">
            <v>#REF!</v>
          </cell>
          <cell r="Z200">
            <v>119.59599999999999</v>
          </cell>
        </row>
        <row r="203">
          <cell r="C203" t="str">
            <v>l</v>
          </cell>
        </row>
        <row r="207">
          <cell r="C207" t="str">
            <v>l</v>
          </cell>
        </row>
        <row r="211">
          <cell r="F211" t="str">
            <v>l</v>
          </cell>
          <cell r="G211" t="str">
            <v>Saving in salaries is due to accounting of Performace incentive / PMS on monthly basis, whereas the same is provided in budget during April'06/July'06</v>
          </cell>
        </row>
        <row r="212">
          <cell r="F212" t="str">
            <v>l</v>
          </cell>
          <cell r="G212" t="str">
            <v>Saving in Overheads is mainly on account of temporary saving in Professional charges by Rs.1.1 Crs.</v>
          </cell>
        </row>
        <row r="213">
          <cell r="F213" t="str">
            <v>l</v>
          </cell>
          <cell r="G213" t="str">
            <v>Increase in R&amp;M, Stores and spares expenditure is due to replaement of catalyst tubes which was approved in Capital budget</v>
          </cell>
        </row>
        <row r="215">
          <cell r="Z215" t="str">
            <v>Rs. Cr.</v>
          </cell>
        </row>
        <row r="216">
          <cell r="B216" t="str">
            <v>Particulars</v>
          </cell>
          <cell r="F216" t="str">
            <v>BUDGET : SEPTEMBER '06</v>
          </cell>
          <cell r="L216" t="str">
            <v>ACTUALS : SEPTEMBER '06</v>
          </cell>
          <cell r="R216" t="str">
            <v>V A R I A N C E</v>
          </cell>
          <cell r="Z216" t="str">
            <v>ACTUALS</v>
          </cell>
        </row>
        <row r="217">
          <cell r="F217" t="str">
            <v xml:space="preserve">UREA </v>
          </cell>
          <cell r="G217" t="str">
            <v>MI</v>
          </cell>
          <cell r="H217" t="str">
            <v>TRADING</v>
          </cell>
          <cell r="I217" t="str">
            <v>CORP.</v>
          </cell>
          <cell r="J217" t="str">
            <v>TOTAL</v>
          </cell>
          <cell r="K217">
            <v>0</v>
          </cell>
          <cell r="L217" t="str">
            <v xml:space="preserve">UREA </v>
          </cell>
          <cell r="M217" t="str">
            <v>MI</v>
          </cell>
          <cell r="N217" t="str">
            <v>TRADING</v>
          </cell>
          <cell r="O217" t="str">
            <v>CORP.</v>
          </cell>
          <cell r="P217" t="str">
            <v>TOTAL</v>
          </cell>
          <cell r="Q217">
            <v>0</v>
          </cell>
          <cell r="R217" t="str">
            <v xml:space="preserve">UREA </v>
          </cell>
          <cell r="S217" t="str">
            <v>MI</v>
          </cell>
          <cell r="T217" t="str">
            <v>TRADING</v>
          </cell>
          <cell r="U217" t="str">
            <v>CORP.</v>
          </cell>
          <cell r="V217" t="str">
            <v>TOTAL</v>
          </cell>
          <cell r="Z217" t="str">
            <v>SEP '05</v>
          </cell>
        </row>
        <row r="220">
          <cell r="B220">
            <v>10</v>
          </cell>
          <cell r="C220" t="str">
            <v>E B I D T A</v>
          </cell>
          <cell r="E220" t="str">
            <v>.  .  .</v>
          </cell>
          <cell r="F220">
            <v>24.237563715230863</v>
          </cell>
          <cell r="G220">
            <v>0.16374408050743972</v>
          </cell>
          <cell r="H220">
            <v>2.3040799999999919</v>
          </cell>
          <cell r="I220">
            <v>-4.8635143916666657</v>
          </cell>
          <cell r="J220">
            <v>21.841873404071627</v>
          </cell>
          <cell r="L220">
            <v>10.832932223485088</v>
          </cell>
          <cell r="M220">
            <v>-3.2999999999989704E-3</v>
          </cell>
          <cell r="N220">
            <v>3.2376394000000062</v>
          </cell>
          <cell r="O220">
            <v>-3.3584000000000005</v>
          </cell>
          <cell r="P220">
            <v>10.708871623485095</v>
          </cell>
          <cell r="R220">
            <v>-13.404631491745775</v>
          </cell>
          <cell r="S220">
            <v>-0.16704408050743869</v>
          </cell>
          <cell r="T220">
            <v>0.93355940000001425</v>
          </cell>
          <cell r="U220">
            <v>1.5051143916666652</v>
          </cell>
          <cell r="V220">
            <v>-11.133001780586532</v>
          </cell>
          <cell r="X220" t="e">
            <v>#REF!</v>
          </cell>
          <cell r="Z220">
            <v>23.178899999999885</v>
          </cell>
        </row>
        <row r="226">
          <cell r="C226" t="str">
            <v>l</v>
          </cell>
        </row>
        <row r="227">
          <cell r="T227" t="str">
            <v>Rs. Cr.</v>
          </cell>
        </row>
        <row r="228">
          <cell r="N228" t="str">
            <v>Factors favourable</v>
          </cell>
          <cell r="R228" t="str">
            <v>Factors Un-favourable</v>
          </cell>
        </row>
        <row r="229">
          <cell r="N229" t="str">
            <v>over CDR Package</v>
          </cell>
          <cell r="R229" t="str">
            <v>over CDR Package</v>
          </cell>
        </row>
        <row r="230">
          <cell r="E230" t="str">
            <v>a.</v>
          </cell>
          <cell r="F230" t="str">
            <v xml:space="preserve">Contribution from addl. production * </v>
          </cell>
        </row>
        <row r="231">
          <cell r="E231" t="str">
            <v>b.</v>
          </cell>
          <cell r="F231" t="str">
            <v>Energy consumption loss</v>
          </cell>
        </row>
        <row r="232">
          <cell r="E232" t="str">
            <v>c.</v>
          </cell>
          <cell r="F232" t="str">
            <v>Contribution from Imported Urea</v>
          </cell>
        </row>
        <row r="233">
          <cell r="E233" t="str">
            <v>d.</v>
          </cell>
          <cell r="F233" t="str">
            <v>Contribution from Spl. Ferts.</v>
          </cell>
        </row>
        <row r="234">
          <cell r="E234" t="str">
            <v>e.</v>
          </cell>
          <cell r="F234" t="str">
            <v>Contribution from Zinc</v>
          </cell>
        </row>
        <row r="235">
          <cell r="E235" t="str">
            <v>f.</v>
          </cell>
          <cell r="F235" t="str">
            <v>Savings in discounts</v>
          </cell>
        </row>
        <row r="236">
          <cell r="E236" t="str">
            <v>g.</v>
          </cell>
          <cell r="F236" t="str">
            <v>Catalyst contamination</v>
          </cell>
        </row>
        <row r="237">
          <cell r="E237" t="str">
            <v>h.</v>
          </cell>
          <cell r="F237" t="str">
            <v>Packing under-recovery</v>
          </cell>
        </row>
        <row r="238">
          <cell r="E238" t="str">
            <v>i.</v>
          </cell>
          <cell r="F238" t="str">
            <v>Savings in salaries</v>
          </cell>
        </row>
        <row r="239">
          <cell r="E239" t="str">
            <v>j.</v>
          </cell>
          <cell r="F239" t="str">
            <v>Savings in transport</v>
          </cell>
        </row>
        <row r="240">
          <cell r="E240" t="str">
            <v>k.</v>
          </cell>
          <cell r="F240" t="str">
            <v>Increase in overheads - stores w/o.</v>
          </cell>
        </row>
        <row r="241">
          <cell r="E241" t="str">
            <v>l.</v>
          </cell>
          <cell r="F241" t="str">
            <v>Reversal of pr. yr. Interest</v>
          </cell>
        </row>
        <row r="242">
          <cell r="E242" t="str">
            <v>m.</v>
          </cell>
          <cell r="F242" t="str">
            <v>Reversal of excess provisions</v>
          </cell>
        </row>
        <row r="243">
          <cell r="E243" t="str">
            <v>n.</v>
          </cell>
          <cell r="F243" t="str">
            <v>Capital gains on sale of DGH</v>
          </cell>
        </row>
        <row r="244">
          <cell r="J244" t="str">
            <v>T O T A L</v>
          </cell>
          <cell r="N244">
            <v>0</v>
          </cell>
          <cell r="R244">
            <v>0</v>
          </cell>
          <cell r="V244">
            <v>0</v>
          </cell>
        </row>
        <row r="246">
          <cell r="E246" t="str">
            <v>*</v>
          </cell>
          <cell r="F246" t="str">
            <v>Excluding freight differential yet to be notified.</v>
          </cell>
        </row>
        <row r="248">
          <cell r="D248" t="str">
            <v>l  However, it was less than pr. yr. by Rs.40.55 Cr. due to the following reasons :</v>
          </cell>
        </row>
        <row r="249">
          <cell r="R249" t="str">
            <v>Energy norm - MMK Cal./Ton</v>
          </cell>
        </row>
        <row r="250">
          <cell r="E250" t="str">
            <v xml:space="preserve">GCS Impact for FY 2004-05 </v>
          </cell>
          <cell r="N250" t="str">
            <v>Rs. Cr.</v>
          </cell>
          <cell r="T250" t="str">
            <v xml:space="preserve">P.1 </v>
          </cell>
          <cell r="V250" t="str">
            <v>P.2</v>
          </cell>
        </row>
        <row r="251">
          <cell r="R251" t="str">
            <v>FY 03-04</v>
          </cell>
        </row>
        <row r="252">
          <cell r="E252" t="str">
            <v>a.</v>
          </cell>
          <cell r="F252" t="str">
            <v xml:space="preserve">CRC reduction </v>
          </cell>
          <cell r="R252" t="str">
            <v>FY 04-05</v>
          </cell>
        </row>
        <row r="253">
          <cell r="E253" t="str">
            <v>b.</v>
          </cell>
          <cell r="F253" t="str">
            <v>Gas transp. under-recovery</v>
          </cell>
          <cell r="T253">
            <v>0</v>
          </cell>
          <cell r="V253">
            <v>0</v>
          </cell>
        </row>
        <row r="254">
          <cell r="E254" t="str">
            <v>c.</v>
          </cell>
          <cell r="F254" t="str">
            <v>Packing under-recovery</v>
          </cell>
          <cell r="T254" t="str">
            <v xml:space="preserve">@ </v>
          </cell>
          <cell r="V254" t="str">
            <v xml:space="preserve">@ </v>
          </cell>
        </row>
        <row r="255">
          <cell r="E255" t="str">
            <v>d.</v>
          </cell>
          <cell r="F255" t="str">
            <v>Change in energy norm</v>
          </cell>
          <cell r="T255" t="str">
            <v xml:space="preserve">Rs.413 </v>
          </cell>
          <cell r="V255" t="str">
            <v xml:space="preserve">Rs.1029 </v>
          </cell>
        </row>
        <row r="256">
          <cell r="E256" t="str">
            <v>T O T A L</v>
          </cell>
          <cell r="T256" t="str">
            <v xml:space="preserve">or </v>
          </cell>
          <cell r="V256" t="str">
            <v xml:space="preserve">or </v>
          </cell>
        </row>
        <row r="257">
          <cell r="T257" t="str">
            <v>Rs.1.67 Cr.</v>
          </cell>
          <cell r="V257" t="str">
            <v>Rs.30.57 Cr.</v>
          </cell>
        </row>
        <row r="259">
          <cell r="D259" t="str">
            <v>If the GCS impact was not there, EBIDTA would have been higher by Rs.6.06 Cr. over pr. yr.</v>
          </cell>
        </row>
        <row r="264">
          <cell r="B264">
            <v>11</v>
          </cell>
          <cell r="C264" t="str">
            <v>MISC.  INCOME</v>
          </cell>
          <cell r="E264" t="str">
            <v>.  .  .</v>
          </cell>
        </row>
        <row r="266">
          <cell r="C266" t="str">
            <v>h.</v>
          </cell>
          <cell r="D266" t="str">
            <v>Lease income</v>
          </cell>
          <cell r="E266" t="str">
            <v>.  .  .</v>
          </cell>
          <cell r="F266">
            <v>0</v>
          </cell>
          <cell r="G266">
            <v>0</v>
          </cell>
          <cell r="H266">
            <v>0</v>
          </cell>
          <cell r="I266">
            <v>0.11499999999999999</v>
          </cell>
          <cell r="J266">
            <v>0.11499999999999999</v>
          </cell>
          <cell r="L266">
            <v>0</v>
          </cell>
          <cell r="M266">
            <v>0</v>
          </cell>
          <cell r="N266">
            <v>0</v>
          </cell>
          <cell r="O266">
            <v>0</v>
          </cell>
          <cell r="P266">
            <v>0</v>
          </cell>
          <cell r="R266">
            <v>0</v>
          </cell>
          <cell r="S266">
            <v>0</v>
          </cell>
          <cell r="T266">
            <v>0</v>
          </cell>
          <cell r="U266">
            <v>-0.11499999999999999</v>
          </cell>
          <cell r="V266">
            <v>-0.11499999999999999</v>
          </cell>
          <cell r="X266">
            <v>1.63</v>
          </cell>
          <cell r="Z266">
            <v>0.20000000000000018</v>
          </cell>
        </row>
        <row r="267">
          <cell r="C267" t="str">
            <v>i.</v>
          </cell>
          <cell r="D267" t="str">
            <v>Interest / Dividends</v>
          </cell>
          <cell r="E267" t="str">
            <v>.  .  .</v>
          </cell>
          <cell r="F267">
            <v>0</v>
          </cell>
          <cell r="G267">
            <v>0</v>
          </cell>
          <cell r="H267">
            <v>0</v>
          </cell>
          <cell r="I267">
            <v>1.0000000000000002E-2</v>
          </cell>
          <cell r="J267">
            <v>1.0000000000000002E-2</v>
          </cell>
          <cell r="L267">
            <v>0.12000000000000002</v>
          </cell>
          <cell r="M267">
            <v>2.5999999999999999E-3</v>
          </cell>
          <cell r="N267">
            <v>0</v>
          </cell>
          <cell r="O267">
            <v>8.0000000000000016E-2</v>
          </cell>
          <cell r="P267">
            <v>0.20260000000000006</v>
          </cell>
          <cell r="R267">
            <v>0.12000000000000002</v>
          </cell>
          <cell r="S267">
            <v>2.5999999999999999E-3</v>
          </cell>
          <cell r="T267">
            <v>0</v>
          </cell>
          <cell r="U267">
            <v>7.0000000000000007E-2</v>
          </cell>
          <cell r="V267">
            <v>0.19260000000000005</v>
          </cell>
          <cell r="X267">
            <v>7.0000000000000007E-2</v>
          </cell>
          <cell r="Z267">
            <v>0.9800000000000002</v>
          </cell>
        </row>
        <row r="268">
          <cell r="C268" t="str">
            <v>j.</v>
          </cell>
          <cell r="D268" t="str">
            <v>Others</v>
          </cell>
          <cell r="E268" t="str">
            <v>.  .  .</v>
          </cell>
          <cell r="F268">
            <v>6.3299999999999967E-2</v>
          </cell>
          <cell r="G268">
            <v>0</v>
          </cell>
          <cell r="H268">
            <v>0</v>
          </cell>
          <cell r="I268">
            <v>1.0000000000000002E-2</v>
          </cell>
          <cell r="J268">
            <v>7.3299999999999976E-2</v>
          </cell>
          <cell r="L268">
            <v>0.75</v>
          </cell>
          <cell r="M268">
            <v>-2.3E-3</v>
          </cell>
          <cell r="N268">
            <v>1.566E-2</v>
          </cell>
          <cell r="O268">
            <v>2.0000000000000462E-2</v>
          </cell>
          <cell r="P268">
            <v>0.7833600000000005</v>
          </cell>
          <cell r="R268">
            <v>0.68670000000000009</v>
          </cell>
          <cell r="S268">
            <v>-2.3E-3</v>
          </cell>
          <cell r="T268">
            <v>1.566E-2</v>
          </cell>
          <cell r="U268">
            <v>1.000000000000046E-2</v>
          </cell>
          <cell r="V268">
            <v>0.71006000000000058</v>
          </cell>
          <cell r="X268">
            <v>0.31</v>
          </cell>
          <cell r="Z268">
            <v>0.27999999999999992</v>
          </cell>
        </row>
        <row r="269">
          <cell r="F269">
            <v>6.3299999999999967E-2</v>
          </cell>
          <cell r="G269">
            <v>0</v>
          </cell>
          <cell r="H269">
            <v>0</v>
          </cell>
          <cell r="I269">
            <v>0.13500000000000001</v>
          </cell>
          <cell r="J269">
            <v>0.19829999999999998</v>
          </cell>
          <cell r="L269">
            <v>0.87</v>
          </cell>
          <cell r="M269">
            <v>2.9999999999999992E-4</v>
          </cell>
          <cell r="N269">
            <v>1.566E-2</v>
          </cell>
          <cell r="O269">
            <v>0.10000000000000048</v>
          </cell>
          <cell r="P269">
            <v>0.98596000000000061</v>
          </cell>
          <cell r="R269">
            <v>0.80670000000000008</v>
          </cell>
          <cell r="S269">
            <v>2.9999999999999992E-4</v>
          </cell>
          <cell r="T269">
            <v>1.566E-2</v>
          </cell>
          <cell r="U269">
            <v>-3.4999999999999525E-2</v>
          </cell>
          <cell r="V269">
            <v>0.78766000000000069</v>
          </cell>
          <cell r="Z269">
            <v>1.4600000000000004</v>
          </cell>
        </row>
        <row r="270">
          <cell r="F270" t="str">
            <v>l</v>
          </cell>
          <cell r="G270" t="str">
            <v>Increase in Miscellaneous income is mainly on account of written back of UTI interest provisions of Rs.6.50 Crs.</v>
          </cell>
        </row>
        <row r="272">
          <cell r="Z272" t="str">
            <v>Rs Cr.</v>
          </cell>
        </row>
        <row r="273">
          <cell r="B273" t="str">
            <v>Particulars</v>
          </cell>
          <cell r="F273" t="str">
            <v>BUDGET : SEPTEMBER '06</v>
          </cell>
          <cell r="L273" t="str">
            <v>ACTUALS : SEPTEMBER '06</v>
          </cell>
          <cell r="R273" t="str">
            <v>V A R I A N C E</v>
          </cell>
          <cell r="Z273" t="str">
            <v>ACTUALS</v>
          </cell>
        </row>
        <row r="274">
          <cell r="F274" t="str">
            <v xml:space="preserve">UREA </v>
          </cell>
          <cell r="G274" t="str">
            <v>MI</v>
          </cell>
          <cell r="H274" t="str">
            <v>TRADING</v>
          </cell>
          <cell r="I274" t="str">
            <v>CORP.</v>
          </cell>
          <cell r="J274" t="str">
            <v>TOTAL</v>
          </cell>
          <cell r="K274">
            <v>0</v>
          </cell>
          <cell r="L274" t="str">
            <v xml:space="preserve">UREA </v>
          </cell>
          <cell r="M274" t="str">
            <v>MI</v>
          </cell>
          <cell r="N274" t="str">
            <v>TRADING</v>
          </cell>
          <cell r="O274" t="str">
            <v>CORP.</v>
          </cell>
          <cell r="P274" t="str">
            <v>TOTAL</v>
          </cell>
          <cell r="Q274">
            <v>0</v>
          </cell>
          <cell r="R274" t="str">
            <v xml:space="preserve">UREA </v>
          </cell>
          <cell r="S274" t="str">
            <v>MI</v>
          </cell>
          <cell r="T274" t="str">
            <v>TRADING</v>
          </cell>
          <cell r="U274" t="str">
            <v>CORP.</v>
          </cell>
          <cell r="V274" t="str">
            <v>TOTAL</v>
          </cell>
          <cell r="Z274" t="str">
            <v>SEP '05</v>
          </cell>
        </row>
        <row r="276">
          <cell r="B276">
            <v>12</v>
          </cell>
          <cell r="C276" t="str">
            <v>FINANCE  CHARGES</v>
          </cell>
        </row>
        <row r="278">
          <cell r="C278" t="str">
            <v>a.</v>
          </cell>
          <cell r="D278" t="str">
            <v>Financial Institutions</v>
          </cell>
          <cell r="E278" t="str">
            <v>.  .  .</v>
          </cell>
          <cell r="F278">
            <v>4.3302999999999976</v>
          </cell>
          <cell r="G278">
            <v>0</v>
          </cell>
          <cell r="H278">
            <v>0</v>
          </cell>
          <cell r="I278">
            <v>4.0468000000000011</v>
          </cell>
          <cell r="J278">
            <v>8.3770999999999987</v>
          </cell>
          <cell r="L278">
            <v>4.002200000000002</v>
          </cell>
          <cell r="M278">
            <v>0</v>
          </cell>
          <cell r="N278">
            <v>0</v>
          </cell>
          <cell r="O278">
            <v>3.7114000000000011</v>
          </cell>
          <cell r="P278">
            <v>7.7136000000000031</v>
          </cell>
          <cell r="R278">
            <v>0.32809999999999562</v>
          </cell>
          <cell r="S278">
            <v>0</v>
          </cell>
          <cell r="T278">
            <v>0</v>
          </cell>
          <cell r="U278">
            <v>0.33539999999999992</v>
          </cell>
          <cell r="V278">
            <v>0.66349999999999554</v>
          </cell>
          <cell r="X278">
            <v>42.98</v>
          </cell>
          <cell r="Z278">
            <v>9.3510000000000062</v>
          </cell>
        </row>
        <row r="279">
          <cell r="C279" t="str">
            <v>b.</v>
          </cell>
          <cell r="D279" t="str">
            <v>STLs / MTLs</v>
          </cell>
          <cell r="E279" t="str">
            <v>.  .  .</v>
          </cell>
          <cell r="F279">
            <v>0</v>
          </cell>
          <cell r="G279">
            <v>0</v>
          </cell>
          <cell r="H279">
            <v>0</v>
          </cell>
          <cell r="I279">
            <v>0.96319999999999961</v>
          </cell>
          <cell r="J279">
            <v>0.96319999999999961</v>
          </cell>
          <cell r="L279">
            <v>0</v>
          </cell>
          <cell r="M279">
            <v>0</v>
          </cell>
          <cell r="N279">
            <v>0</v>
          </cell>
          <cell r="O279">
            <v>1.2809999999999997</v>
          </cell>
          <cell r="P279">
            <v>1.2809999999999997</v>
          </cell>
          <cell r="R279">
            <v>0</v>
          </cell>
          <cell r="S279">
            <v>0</v>
          </cell>
          <cell r="T279">
            <v>0</v>
          </cell>
          <cell r="U279">
            <v>-0.31780000000000008</v>
          </cell>
          <cell r="V279">
            <v>-0.31780000000000008</v>
          </cell>
          <cell r="X279">
            <v>12.86</v>
          </cell>
          <cell r="Z279">
            <v>1</v>
          </cell>
        </row>
        <row r="280">
          <cell r="C280" t="str">
            <v>c.</v>
          </cell>
          <cell r="D280" t="str">
            <v>Working Capital Banks</v>
          </cell>
          <cell r="E280" t="str">
            <v>.  .  .</v>
          </cell>
          <cell r="F280">
            <v>0.89430000000000032</v>
          </cell>
          <cell r="G280">
            <v>0</v>
          </cell>
          <cell r="H280">
            <v>3.0100000000000016E-2</v>
          </cell>
          <cell r="I280">
            <v>0</v>
          </cell>
          <cell r="J280">
            <v>0.92440000000000033</v>
          </cell>
          <cell r="L280">
            <v>1.0806000000000004</v>
          </cell>
          <cell r="M280">
            <v>9.1200000000000003E-2</v>
          </cell>
          <cell r="N280">
            <v>1.7800000000000038E-3</v>
          </cell>
          <cell r="O280">
            <v>-0.19904299999999997</v>
          </cell>
          <cell r="P280">
            <v>0.97453700000000032</v>
          </cell>
          <cell r="R280">
            <v>-0.18630000000000013</v>
          </cell>
          <cell r="S280">
            <v>-9.1200000000000003E-2</v>
          </cell>
          <cell r="T280">
            <v>2.8320000000000012E-2</v>
          </cell>
          <cell r="U280">
            <v>0.19904299999999997</v>
          </cell>
          <cell r="V280">
            <v>-5.0137000000000154E-2</v>
          </cell>
          <cell r="X280">
            <v>7.39</v>
          </cell>
          <cell r="Z280">
            <v>9.9999999999997868E-3</v>
          </cell>
        </row>
        <row r="281">
          <cell r="C281" t="str">
            <v>f.</v>
          </cell>
          <cell r="D281" t="str">
            <v>GAIL / HPCL / Water etc.</v>
          </cell>
          <cell r="E281" t="str">
            <v>.  .  .</v>
          </cell>
          <cell r="F281">
            <v>0</v>
          </cell>
          <cell r="G281">
            <v>0</v>
          </cell>
          <cell r="H281">
            <v>0</v>
          </cell>
          <cell r="I281">
            <v>0</v>
          </cell>
          <cell r="J281">
            <v>0</v>
          </cell>
          <cell r="L281">
            <v>0.28610000000000002</v>
          </cell>
          <cell r="M281">
            <v>0</v>
          </cell>
          <cell r="N281">
            <v>0</v>
          </cell>
          <cell r="O281">
            <v>0</v>
          </cell>
          <cell r="P281">
            <v>0.28610000000000002</v>
          </cell>
          <cell r="R281">
            <v>-0.28610000000000002</v>
          </cell>
          <cell r="S281">
            <v>0</v>
          </cell>
          <cell r="T281">
            <v>0</v>
          </cell>
          <cell r="U281">
            <v>0</v>
          </cell>
          <cell r="V281">
            <v>-0.28610000000000002</v>
          </cell>
          <cell r="X281">
            <v>0.31000000000000016</v>
          </cell>
          <cell r="Z281">
            <v>-0.64</v>
          </cell>
        </row>
        <row r="282">
          <cell r="C282" t="str">
            <v>g.</v>
          </cell>
          <cell r="D282" t="str">
            <v>Dealer deposits</v>
          </cell>
          <cell r="E282" t="str">
            <v>.  .  .</v>
          </cell>
          <cell r="F282">
            <v>4.6700000000000019E-2</v>
          </cell>
          <cell r="G282">
            <v>0</v>
          </cell>
          <cell r="H282">
            <v>0</v>
          </cell>
          <cell r="I282">
            <v>0</v>
          </cell>
          <cell r="J282">
            <v>4.6700000000000019E-2</v>
          </cell>
          <cell r="L282">
            <v>6.469999999999998E-2</v>
          </cell>
          <cell r="M282">
            <v>0</v>
          </cell>
          <cell r="N282">
            <v>8.3999999999999977E-3</v>
          </cell>
          <cell r="O282">
            <v>0</v>
          </cell>
          <cell r="P282">
            <v>7.3099999999999971E-2</v>
          </cell>
          <cell r="R282">
            <v>-1.799999999999996E-2</v>
          </cell>
          <cell r="S282">
            <v>0</v>
          </cell>
          <cell r="T282">
            <v>-8.3999999999999977E-3</v>
          </cell>
          <cell r="U282">
            <v>0</v>
          </cell>
          <cell r="V282">
            <v>-2.6399999999999958E-2</v>
          </cell>
          <cell r="X282">
            <v>0.1</v>
          </cell>
          <cell r="Z282">
            <v>0.06</v>
          </cell>
        </row>
        <row r="283">
          <cell r="C283" t="str">
            <v>h.</v>
          </cell>
          <cell r="D283" t="str">
            <v>Bank charges/Others</v>
          </cell>
          <cell r="E283" t="str">
            <v>.  .  .</v>
          </cell>
          <cell r="F283">
            <v>0.32815000000000016</v>
          </cell>
          <cell r="G283">
            <v>9.870000000000001E-2</v>
          </cell>
          <cell r="H283">
            <v>1.0599999999999998E-2</v>
          </cell>
          <cell r="I283">
            <v>4.9999999999999989E-2</v>
          </cell>
          <cell r="J283">
            <v>0.48745000000000016</v>
          </cell>
          <cell r="L283">
            <v>-6.4799999999999969E-2</v>
          </cell>
          <cell r="M283">
            <v>2.9600000000000008E-3</v>
          </cell>
          <cell r="N283">
            <v>1.9852600000000002</v>
          </cell>
          <cell r="O283">
            <v>0.8637323000000009</v>
          </cell>
          <cell r="P283">
            <v>2.7871523000000011</v>
          </cell>
          <cell r="R283">
            <v>0.39295000000000013</v>
          </cell>
          <cell r="S283">
            <v>9.5740000000000006E-2</v>
          </cell>
          <cell r="T283">
            <v>-1.9746600000000003</v>
          </cell>
          <cell r="U283">
            <v>-0.81373230000000096</v>
          </cell>
          <cell r="V283">
            <v>-2.2997023000000012</v>
          </cell>
          <cell r="Z283">
            <v>0.37000000000000011</v>
          </cell>
        </row>
        <row r="284">
          <cell r="D284" t="str">
            <v>T o t a l</v>
          </cell>
          <cell r="E284" t="str">
            <v>.  .  .</v>
          </cell>
          <cell r="F284">
            <v>5.5994499999999983</v>
          </cell>
          <cell r="G284">
            <v>9.870000000000001E-2</v>
          </cell>
          <cell r="H284">
            <v>4.0700000000000014E-2</v>
          </cell>
          <cell r="I284">
            <v>5.0600000000000005</v>
          </cell>
          <cell r="J284">
            <v>10.79885</v>
          </cell>
          <cell r="L284">
            <v>5.3688000000000029</v>
          </cell>
          <cell r="M284">
            <v>9.4160000000000008E-2</v>
          </cell>
          <cell r="N284">
            <v>1.9954400000000003</v>
          </cell>
          <cell r="O284">
            <v>5.6570893000000018</v>
          </cell>
          <cell r="P284">
            <v>13.115489300000002</v>
          </cell>
          <cell r="R284">
            <v>0.23064999999999536</v>
          </cell>
          <cell r="S284">
            <v>4.5400000000000024E-3</v>
          </cell>
          <cell r="T284">
            <v>-1.9547400000000004</v>
          </cell>
          <cell r="U284">
            <v>-0.59708930000000127</v>
          </cell>
          <cell r="V284">
            <v>-2.3166393000000061</v>
          </cell>
          <cell r="X284">
            <v>63.64</v>
          </cell>
          <cell r="Z284">
            <v>10.151000000000007</v>
          </cell>
        </row>
        <row r="285">
          <cell r="T285">
            <v>8.91</v>
          </cell>
        </row>
        <row r="286">
          <cell r="T286">
            <v>5.82</v>
          </cell>
        </row>
        <row r="287">
          <cell r="T287">
            <v>14.73</v>
          </cell>
        </row>
        <row r="290">
          <cell r="C290" t="str">
            <v>l</v>
          </cell>
        </row>
        <row r="292">
          <cell r="C292" t="str">
            <v>l</v>
          </cell>
        </row>
        <row r="294">
          <cell r="C294" t="str">
            <v>l</v>
          </cell>
        </row>
        <row r="296">
          <cell r="C296" t="str">
            <v>l</v>
          </cell>
        </row>
        <row r="299">
          <cell r="F299" t="str">
            <v>l</v>
          </cell>
          <cell r="G299" t="str">
            <v>Saving in interest and financing charges is mainly on account of  written back of UTI interest provisions of Rs.2.58 Crs.</v>
          </cell>
        </row>
        <row r="305">
          <cell r="B305">
            <v>13</v>
          </cell>
          <cell r="C305" t="str">
            <v>D E P R E C I A T I O N</v>
          </cell>
          <cell r="E305" t="str">
            <v>.  .  .</v>
          </cell>
          <cell r="F305">
            <v>9.6559302258421766</v>
          </cell>
          <cell r="G305">
            <v>3.4825249166666655E-2</v>
          </cell>
          <cell r="H305">
            <v>2.4999999999999988E-3</v>
          </cell>
          <cell r="I305">
            <v>0.86664999999999992</v>
          </cell>
          <cell r="J305">
            <v>10.559905475008843</v>
          </cell>
          <cell r="L305">
            <v>9.1599999999999966</v>
          </cell>
          <cell r="M305">
            <v>3.2400000000000012E-2</v>
          </cell>
          <cell r="N305">
            <v>1.3000000000000008E-3</v>
          </cell>
          <cell r="O305">
            <v>0.76999999999999957</v>
          </cell>
          <cell r="P305">
            <v>9.9636999999999976</v>
          </cell>
          <cell r="R305">
            <v>0.49593022584218005</v>
          </cell>
          <cell r="S305">
            <v>2.4252491666666431E-3</v>
          </cell>
          <cell r="T305">
            <v>1.1999999999999979E-3</v>
          </cell>
          <cell r="U305">
            <v>9.6650000000000347E-2</v>
          </cell>
          <cell r="V305">
            <v>0.59620547500884702</v>
          </cell>
          <cell r="X305">
            <v>29.88</v>
          </cell>
          <cell r="Z305">
            <v>9.9699999999999989</v>
          </cell>
        </row>
        <row r="308">
          <cell r="C308" t="str">
            <v>l</v>
          </cell>
        </row>
        <row r="310">
          <cell r="C310" t="str">
            <v>l</v>
          </cell>
        </row>
        <row r="313">
          <cell r="F313" t="str">
            <v>l</v>
          </cell>
          <cell r="G313" t="str">
            <v>Temporary saving  in depreciation is on account of delayed additions to Capital Assets.</v>
          </cell>
        </row>
        <row r="316">
          <cell r="B316">
            <v>14</v>
          </cell>
          <cell r="C316" t="str">
            <v xml:space="preserve">P B T  </v>
          </cell>
          <cell r="E316" t="str">
            <v>.  .  .</v>
          </cell>
          <cell r="F316">
            <v>9.0454834893886904</v>
          </cell>
          <cell r="G316">
            <v>3.021883134077305E-2</v>
          </cell>
          <cell r="H316">
            <v>2.2608799999999918</v>
          </cell>
          <cell r="I316">
            <v>-10.655164391666666</v>
          </cell>
          <cell r="J316">
            <v>0.68141792906278909</v>
          </cell>
          <cell r="L316">
            <v>-2.8258677765149125</v>
          </cell>
          <cell r="M316">
            <v>-0.12955999999999898</v>
          </cell>
          <cell r="N316">
            <v>1.2565594000000058</v>
          </cell>
          <cell r="O316">
            <v>-9.6854893000000004</v>
          </cell>
          <cell r="P316">
            <v>-11.384357676514904</v>
          </cell>
          <cell r="R316">
            <v>-11.871351265903602</v>
          </cell>
          <cell r="S316">
            <v>-0.15977883134077203</v>
          </cell>
          <cell r="T316">
            <v>-1.004320599999986</v>
          </cell>
          <cell r="U316">
            <v>0.96967509166666588</v>
          </cell>
          <cell r="V316">
            <v>-12.065775605577693</v>
          </cell>
          <cell r="X316" t="e">
            <v>#REF!</v>
          </cell>
          <cell r="Z316">
            <v>4.5178999999998801</v>
          </cell>
        </row>
        <row r="319">
          <cell r="C319" t="str">
            <v>l</v>
          </cell>
        </row>
        <row r="321">
          <cell r="C321" t="str">
            <v>l</v>
          </cell>
        </row>
        <row r="323">
          <cell r="C323" t="str">
            <v>l</v>
          </cell>
        </row>
        <row r="325">
          <cell r="C325" t="str">
            <v>l</v>
          </cell>
        </row>
        <row r="327">
          <cell r="C327" t="str">
            <v>l</v>
          </cell>
        </row>
        <row r="329">
          <cell r="C329" t="str">
            <v>l</v>
          </cell>
        </row>
        <row r="335">
          <cell r="D335" t="str">
            <v xml:space="preserve">Question  :  </v>
          </cell>
        </row>
        <row r="337">
          <cell r="D337" t="str">
            <v xml:space="preserve">Answer     : </v>
          </cell>
          <cell r="E337" t="str">
            <v>l</v>
          </cell>
        </row>
        <row r="340">
          <cell r="E340" t="str">
            <v>l</v>
          </cell>
        </row>
        <row r="343">
          <cell r="E343" t="str">
            <v>l</v>
          </cell>
        </row>
        <row r="345">
          <cell r="V345" t="str">
            <v>Rs. Cr.</v>
          </cell>
        </row>
        <row r="353">
          <cell r="P353" t="str">
            <v>T O T A L</v>
          </cell>
          <cell r="V353">
            <v>0</v>
          </cell>
        </row>
        <row r="354">
          <cell r="J354" t="str">
            <v>Add :  Actual P B T</v>
          </cell>
        </row>
        <row r="355">
          <cell r="V355">
            <v>0</v>
          </cell>
        </row>
        <row r="356">
          <cell r="B356">
            <v>15</v>
          </cell>
          <cell r="C356" t="str">
            <v>T A X - Current</v>
          </cell>
          <cell r="E356" t="str">
            <v>.  .  .</v>
          </cell>
          <cell r="F356">
            <v>0</v>
          </cell>
          <cell r="G356">
            <v>0</v>
          </cell>
          <cell r="H356">
            <v>0</v>
          </cell>
          <cell r="I356">
            <v>0</v>
          </cell>
          <cell r="J356">
            <v>0</v>
          </cell>
          <cell r="L356">
            <v>0</v>
          </cell>
          <cell r="M356">
            <v>0</v>
          </cell>
          <cell r="N356">
            <v>0</v>
          </cell>
          <cell r="O356">
            <v>-2.8000000000005798E-3</v>
          </cell>
          <cell r="P356">
            <v>-2.8000000000005798E-3</v>
          </cell>
          <cell r="R356">
            <v>0</v>
          </cell>
          <cell r="S356">
            <v>0</v>
          </cell>
          <cell r="T356">
            <v>0</v>
          </cell>
          <cell r="U356">
            <v>2.8000000000005798E-3</v>
          </cell>
          <cell r="V356">
            <v>2.8000000000005798E-3</v>
          </cell>
          <cell r="Z356">
            <v>4.3500000000000014</v>
          </cell>
        </row>
        <row r="357">
          <cell r="C357" t="str">
            <v xml:space="preserve">           - Fringe Benefit Tax</v>
          </cell>
          <cell r="E357" t="str">
            <v>.  .  .</v>
          </cell>
          <cell r="F357">
            <v>0</v>
          </cell>
          <cell r="G357">
            <v>0</v>
          </cell>
          <cell r="H357">
            <v>0</v>
          </cell>
          <cell r="I357">
            <v>0</v>
          </cell>
          <cell r="J357">
            <v>0</v>
          </cell>
          <cell r="L357">
            <v>0</v>
          </cell>
          <cell r="M357">
            <v>0</v>
          </cell>
          <cell r="N357">
            <v>0</v>
          </cell>
          <cell r="O357">
            <v>-4.7999999999999987E-3</v>
          </cell>
          <cell r="P357">
            <v>-4.7999999999999987E-3</v>
          </cell>
          <cell r="R357">
            <v>0</v>
          </cell>
          <cell r="S357">
            <v>0</v>
          </cell>
          <cell r="T357">
            <v>0</v>
          </cell>
          <cell r="U357">
            <v>4.7999999999999987E-3</v>
          </cell>
          <cell r="V357">
            <v>4.7999999999999987E-3</v>
          </cell>
          <cell r="Z357">
            <v>0.12</v>
          </cell>
        </row>
        <row r="358">
          <cell r="C358" t="str">
            <v xml:space="preserve">           - Deferred -credit</v>
          </cell>
          <cell r="E358" t="str">
            <v>.  .  .</v>
          </cell>
          <cell r="F358">
            <v>0</v>
          </cell>
          <cell r="G358">
            <v>0</v>
          </cell>
          <cell r="H358">
            <v>0</v>
          </cell>
          <cell r="I358">
            <v>0</v>
          </cell>
          <cell r="J358">
            <v>0</v>
          </cell>
          <cell r="L358">
            <v>0</v>
          </cell>
          <cell r="M358">
            <v>0</v>
          </cell>
          <cell r="N358">
            <v>0</v>
          </cell>
          <cell r="O358">
            <v>2.9999999999930083E-4</v>
          </cell>
          <cell r="P358">
            <v>2.9999999999930083E-4</v>
          </cell>
          <cell r="R358">
            <v>0</v>
          </cell>
          <cell r="S358">
            <v>0</v>
          </cell>
          <cell r="T358">
            <v>0</v>
          </cell>
          <cell r="U358">
            <v>2.9999999999930083E-4</v>
          </cell>
          <cell r="V358">
            <v>2.9999999999930083E-4</v>
          </cell>
          <cell r="X358">
            <v>0</v>
          </cell>
          <cell r="Z358">
            <v>4.8500000000000014</v>
          </cell>
        </row>
        <row r="359">
          <cell r="B359">
            <v>16</v>
          </cell>
          <cell r="C359" t="str">
            <v>P A T</v>
          </cell>
          <cell r="E359" t="str">
            <v>.  .  .</v>
          </cell>
          <cell r="F359">
            <v>9.0454834893886904</v>
          </cell>
          <cell r="G359">
            <v>3.021883134077305E-2</v>
          </cell>
          <cell r="H359">
            <v>2.2608799999999918</v>
          </cell>
          <cell r="I359">
            <v>-10.655164391666666</v>
          </cell>
          <cell r="J359">
            <v>0.68141792906278909</v>
          </cell>
          <cell r="L359">
            <v>-2.8258677765149125</v>
          </cell>
          <cell r="M359">
            <v>-0.12955999999999898</v>
          </cell>
          <cell r="N359">
            <v>1.2565594000000058</v>
          </cell>
          <cell r="O359">
            <v>-9.6775893000000011</v>
          </cell>
          <cell r="P359">
            <v>-11.376457676514905</v>
          </cell>
          <cell r="R359">
            <v>-11.871351265903602</v>
          </cell>
          <cell r="S359">
            <v>-0.15977883134077203</v>
          </cell>
          <cell r="T359">
            <v>-1.004320599999986</v>
          </cell>
          <cell r="U359">
            <v>0.97757509166666579</v>
          </cell>
          <cell r="V359">
            <v>-12.057875605577694</v>
          </cell>
          <cell r="X359">
            <v>0</v>
          </cell>
          <cell r="Z359">
            <v>4.89789999999988</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SCHLIST"/>
      <sheetName val="67031-GSLIS MAR-08"/>
      <sheetName val="67043-INT"/>
      <sheetName val="67058_A"/>
      <sheetName val="67058"/>
      <sheetName val="67058_B"/>
      <sheetName val="68014"/>
      <sheetName val="68024"/>
      <sheetName val="85049"/>
      <sheetName val="85082"/>
      <sheetName val="PAYABLES"/>
      <sheetName val="85081"/>
      <sheetName val="85083"/>
      <sheetName val="85088"/>
      <sheetName val="85091"/>
      <sheetName val="85092"/>
      <sheetName val="85093"/>
      <sheetName val="85095"/>
      <sheetName val="85094"/>
      <sheetName val="85098"/>
      <sheetName val="85096"/>
      <sheetName val="85111"/>
      <sheetName val="OTHERS_CHECK"/>
      <sheetName val="HOLD"/>
      <sheetName val="MEDICAL"/>
      <sheetName val="OTHERS"/>
      <sheetName val="85101_NEW TO CORRECT"/>
      <sheetName val="85101"/>
      <sheetName val="85102"/>
      <sheetName val="85117"/>
      <sheetName val="852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sheetName val="BS-Cr"/>
      <sheetName val="CF-Cr"/>
      <sheetName val="PL-Cr"/>
      <sheetName val="Scenario"/>
      <sheetName val="BizAsump"/>
      <sheetName val="Prices"/>
      <sheetName val="Consolidation  in Cr"/>
      <sheetName val="Consolidation"/>
      <sheetName val="BS"/>
      <sheetName val="CF"/>
      <sheetName val="PL"/>
      <sheetName val="Ratios"/>
      <sheetName val="ASSUMP"/>
      <sheetName val="Loan status as on 30.09.13"/>
      <sheetName val="Depn Workings"/>
      <sheetName val="int module"/>
      <sheetName val="SACRIFICE"/>
      <sheetName val="Schedule"/>
      <sheetName val="Sheet1"/>
      <sheetName val="RepyExist"/>
      <sheetName val="IntExist"/>
      <sheetName val="WCap"/>
      <sheetName val="SchFirst"/>
      <sheetName val="SchSecd"/>
      <sheetName val="SecLendeTog"/>
      <sheetName val="YrEndBalExist"/>
      <sheetName val="LoanSumm"/>
      <sheetName val="Urea Working"/>
      <sheetName val="Bey100%GoI"/>
      <sheetName val="Bey100%IUExp"/>
      <sheetName val="TradedProd"/>
      <sheetName val="Tax"/>
      <sheetName val="NW"/>
      <sheetName val="FAInv"/>
      <sheetName val="Sheet3"/>
    </sheetNames>
    <sheetDataSet>
      <sheetData sheetId="0"/>
      <sheetData sheetId="1"/>
      <sheetData sheetId="2"/>
      <sheetData sheetId="3"/>
      <sheetData sheetId="4"/>
      <sheetData sheetId="5"/>
      <sheetData sheetId="6"/>
      <sheetData sheetId="7"/>
      <sheetData sheetId="8"/>
      <sheetData sheetId="9"/>
      <sheetData sheetId="10"/>
      <sheetData sheetId="11">
        <row r="30">
          <cell r="H30">
            <v>12349.246500300002</v>
          </cell>
        </row>
      </sheetData>
      <sheetData sheetId="12"/>
      <sheetData sheetId="13"/>
      <sheetData sheetId="14"/>
      <sheetData sheetId="15">
        <row r="35">
          <cell r="G35">
            <v>107243.9879203</v>
          </cell>
        </row>
      </sheetData>
      <sheetData sheetId="16">
        <row r="3">
          <cell r="A3" t="str">
            <v>Deb</v>
          </cell>
          <cell r="B3">
            <v>0</v>
          </cell>
          <cell r="C3">
            <v>2</v>
          </cell>
          <cell r="D3">
            <v>11</v>
          </cell>
          <cell r="E3">
            <v>1</v>
          </cell>
          <cell r="G3">
            <v>0</v>
          </cell>
          <cell r="H3">
            <v>1</v>
          </cell>
          <cell r="I3">
            <v>0</v>
          </cell>
          <cell r="J3">
            <v>0</v>
          </cell>
          <cell r="K3">
            <v>0.01</v>
          </cell>
          <cell r="L3">
            <v>0.03</v>
          </cell>
          <cell r="M3">
            <v>0.05</v>
          </cell>
          <cell r="N3">
            <v>0.05</v>
          </cell>
          <cell r="O3">
            <v>0.08</v>
          </cell>
          <cell r="P3">
            <v>0.12</v>
          </cell>
          <cell r="Q3">
            <v>0.15</v>
          </cell>
          <cell r="R3">
            <v>0.13</v>
          </cell>
          <cell r="S3">
            <v>0.13</v>
          </cell>
          <cell r="T3">
            <v>0.13</v>
          </cell>
          <cell r="U3">
            <v>0.12</v>
          </cell>
          <cell r="V3">
            <v>0</v>
          </cell>
          <cell r="W3">
            <v>0</v>
          </cell>
          <cell r="X3">
            <v>0</v>
          </cell>
          <cell r="Y3">
            <v>0</v>
          </cell>
          <cell r="Z3">
            <v>0</v>
          </cell>
        </row>
        <row r="4">
          <cell r="A4" t="str">
            <v>FC-NR</v>
          </cell>
          <cell r="B4">
            <v>0</v>
          </cell>
          <cell r="C4">
            <v>1</v>
          </cell>
          <cell r="D4">
            <v>3</v>
          </cell>
          <cell r="E4">
            <v>1</v>
          </cell>
          <cell r="F4">
            <v>0</v>
          </cell>
          <cell r="G4">
            <v>0</v>
          </cell>
          <cell r="H4">
            <v>1.0000000000000002</v>
          </cell>
          <cell r="I4">
            <v>0</v>
          </cell>
          <cell r="J4">
            <v>0.4162744537776652</v>
          </cell>
          <cell r="K4">
            <v>0.48052218931524759</v>
          </cell>
          <cell r="L4">
            <v>0.10320335690708732</v>
          </cell>
          <cell r="M4">
            <v>0</v>
          </cell>
          <cell r="N4">
            <v>0</v>
          </cell>
          <cell r="O4">
            <v>0</v>
          </cell>
          <cell r="P4">
            <v>0</v>
          </cell>
          <cell r="Q4">
            <v>0</v>
          </cell>
          <cell r="R4">
            <v>0</v>
          </cell>
          <cell r="S4">
            <v>0</v>
          </cell>
          <cell r="T4">
            <v>0</v>
          </cell>
          <cell r="U4">
            <v>0</v>
          </cell>
          <cell r="V4">
            <v>0</v>
          </cell>
          <cell r="W4">
            <v>0</v>
          </cell>
          <cell r="X4">
            <v>0</v>
          </cell>
          <cell r="Y4">
            <v>0</v>
          </cell>
          <cell r="Z4">
            <v>0</v>
          </cell>
        </row>
        <row r="5">
          <cell r="A5" t="str">
            <v>Fund Int</v>
          </cell>
          <cell r="B5">
            <v>0</v>
          </cell>
          <cell r="C5">
            <v>2</v>
          </cell>
          <cell r="D5">
            <v>6</v>
          </cell>
          <cell r="E5">
            <v>1</v>
          </cell>
          <cell r="F5">
            <v>0</v>
          </cell>
          <cell r="G5">
            <v>0</v>
          </cell>
          <cell r="H5">
            <v>1</v>
          </cell>
          <cell r="I5">
            <v>0</v>
          </cell>
          <cell r="J5">
            <v>0</v>
          </cell>
          <cell r="K5">
            <v>0.05</v>
          </cell>
          <cell r="L5">
            <v>0.2</v>
          </cell>
          <cell r="M5">
            <v>0.2</v>
          </cell>
          <cell r="N5">
            <v>0.2</v>
          </cell>
          <cell r="O5">
            <v>0.2</v>
          </cell>
          <cell r="P5">
            <v>0.15</v>
          </cell>
          <cell r="Q5">
            <v>0</v>
          </cell>
          <cell r="R5">
            <v>0</v>
          </cell>
          <cell r="S5">
            <v>0</v>
          </cell>
          <cell r="T5">
            <v>0</v>
          </cell>
          <cell r="U5">
            <v>0</v>
          </cell>
          <cell r="V5">
            <v>0</v>
          </cell>
          <cell r="W5">
            <v>0</v>
          </cell>
          <cell r="X5">
            <v>0</v>
          </cell>
          <cell r="Y5">
            <v>0</v>
          </cell>
          <cell r="Z5">
            <v>0</v>
          </cell>
        </row>
        <row r="6">
          <cell r="A6" t="str">
            <v>LTL</v>
          </cell>
          <cell r="B6">
            <v>0</v>
          </cell>
          <cell r="C6">
            <v>2</v>
          </cell>
          <cell r="D6">
            <v>11</v>
          </cell>
          <cell r="E6">
            <v>1</v>
          </cell>
          <cell r="F6">
            <v>0</v>
          </cell>
          <cell r="G6">
            <v>0</v>
          </cell>
          <cell r="H6">
            <v>1</v>
          </cell>
          <cell r="I6">
            <v>0</v>
          </cell>
          <cell r="J6">
            <v>0</v>
          </cell>
          <cell r="K6">
            <v>0.01</v>
          </cell>
          <cell r="L6">
            <v>0.03</v>
          </cell>
          <cell r="M6">
            <v>0.05</v>
          </cell>
          <cell r="N6">
            <v>0.05</v>
          </cell>
          <cell r="O6">
            <v>0.08</v>
          </cell>
          <cell r="P6">
            <v>0.12</v>
          </cell>
          <cell r="Q6">
            <v>0.15</v>
          </cell>
          <cell r="R6">
            <v>0.13</v>
          </cell>
          <cell r="S6">
            <v>0.13</v>
          </cell>
          <cell r="T6">
            <v>0.13</v>
          </cell>
          <cell r="U6">
            <v>0.12</v>
          </cell>
          <cell r="V6">
            <v>0</v>
          </cell>
          <cell r="W6">
            <v>0</v>
          </cell>
          <cell r="X6">
            <v>0</v>
          </cell>
          <cell r="Y6">
            <v>0</v>
          </cell>
          <cell r="Z6">
            <v>0</v>
          </cell>
        </row>
        <row r="7">
          <cell r="A7" t="str">
            <v>MTL</v>
          </cell>
          <cell r="B7">
            <v>0</v>
          </cell>
          <cell r="C7">
            <v>1</v>
          </cell>
          <cell r="D7">
            <v>6</v>
          </cell>
          <cell r="E7">
            <v>1</v>
          </cell>
          <cell r="F7">
            <v>0</v>
          </cell>
          <cell r="G7">
            <v>0</v>
          </cell>
          <cell r="H7">
            <v>1</v>
          </cell>
          <cell r="I7">
            <v>0</v>
          </cell>
          <cell r="J7">
            <v>0.05</v>
          </cell>
          <cell r="K7">
            <v>0.2</v>
          </cell>
          <cell r="L7">
            <v>0.2</v>
          </cell>
          <cell r="M7">
            <v>0.2</v>
          </cell>
          <cell r="N7">
            <v>0.2</v>
          </cell>
          <cell r="O7">
            <v>0.15</v>
          </cell>
          <cell r="P7">
            <v>0</v>
          </cell>
          <cell r="Q7">
            <v>0</v>
          </cell>
          <cell r="R7">
            <v>0</v>
          </cell>
          <cell r="S7">
            <v>0</v>
          </cell>
          <cell r="T7">
            <v>0</v>
          </cell>
          <cell r="U7">
            <v>0</v>
          </cell>
          <cell r="V7">
            <v>0</v>
          </cell>
          <cell r="W7">
            <v>0</v>
          </cell>
          <cell r="X7">
            <v>0</v>
          </cell>
          <cell r="Y7">
            <v>0</v>
          </cell>
          <cell r="Z7">
            <v>0</v>
          </cell>
        </row>
        <row r="8">
          <cell r="A8" t="str">
            <v>OTS-1</v>
          </cell>
          <cell r="B8">
            <v>0</v>
          </cell>
          <cell r="C8">
            <v>1</v>
          </cell>
          <cell r="D8">
            <v>0</v>
          </cell>
          <cell r="E8">
            <v>1</v>
          </cell>
          <cell r="F8">
            <v>0</v>
          </cell>
          <cell r="G8">
            <v>0</v>
          </cell>
          <cell r="H8">
            <v>1</v>
          </cell>
          <cell r="I8">
            <v>1</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row>
        <row r="9">
          <cell r="A9" t="str">
            <v>OTS-2</v>
          </cell>
          <cell r="B9">
            <v>0</v>
          </cell>
          <cell r="C9">
            <v>1</v>
          </cell>
          <cell r="D9">
            <v>1</v>
          </cell>
          <cell r="E9">
            <v>1</v>
          </cell>
          <cell r="F9">
            <v>0</v>
          </cell>
          <cell r="G9">
            <v>0</v>
          </cell>
          <cell r="H9">
            <v>1</v>
          </cell>
          <cell r="I9">
            <v>3.49E-2</v>
          </cell>
          <cell r="J9">
            <v>0.96509999999999996</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t="str">
            <v>PAID</v>
          </cell>
          <cell r="B10">
            <v>0</v>
          </cell>
          <cell r="C10">
            <v>0</v>
          </cell>
          <cell r="D10">
            <v>1</v>
          </cell>
          <cell r="E10">
            <v>0</v>
          </cell>
          <cell r="F10">
            <v>0</v>
          </cell>
          <cell r="G10">
            <v>0</v>
          </cell>
          <cell r="H10">
            <v>1</v>
          </cell>
          <cell r="I10">
            <v>1</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row>
        <row r="11">
          <cell r="A11" t="str">
            <v>RTL</v>
          </cell>
          <cell r="B11">
            <v>0</v>
          </cell>
          <cell r="C11">
            <v>2</v>
          </cell>
          <cell r="D11">
            <v>6</v>
          </cell>
          <cell r="E11">
            <v>1</v>
          </cell>
          <cell r="F11">
            <v>0</v>
          </cell>
          <cell r="G11">
            <v>0</v>
          </cell>
          <cell r="H11">
            <v>1</v>
          </cell>
          <cell r="I11">
            <v>0</v>
          </cell>
          <cell r="J11">
            <v>0</v>
          </cell>
          <cell r="K11">
            <v>0.05</v>
          </cell>
          <cell r="L11">
            <v>0.2</v>
          </cell>
          <cell r="M11">
            <v>0.2</v>
          </cell>
          <cell r="N11">
            <v>0.2</v>
          </cell>
          <cell r="O11">
            <v>0.2</v>
          </cell>
          <cell r="P11">
            <v>0.15</v>
          </cell>
          <cell r="Q11">
            <v>0</v>
          </cell>
          <cell r="R11">
            <v>0</v>
          </cell>
          <cell r="S11">
            <v>0</v>
          </cell>
          <cell r="T11">
            <v>0</v>
          </cell>
          <cell r="U11">
            <v>0</v>
          </cell>
          <cell r="V11">
            <v>0</v>
          </cell>
          <cell r="W11">
            <v>0</v>
          </cell>
          <cell r="X11">
            <v>0</v>
          </cell>
          <cell r="Y11">
            <v>0</v>
          </cell>
          <cell r="Z11">
            <v>0</v>
          </cell>
        </row>
        <row r="12">
          <cell r="A12" t="str">
            <v>STL</v>
          </cell>
          <cell r="B12">
            <v>0</v>
          </cell>
          <cell r="C12">
            <v>0</v>
          </cell>
          <cell r="D12">
            <v>0</v>
          </cell>
          <cell r="E12">
            <v>1</v>
          </cell>
          <cell r="F12">
            <v>0</v>
          </cell>
          <cell r="G12">
            <v>0</v>
          </cell>
          <cell r="H12">
            <v>9.9999999999999995E-8</v>
          </cell>
          <cell r="I12">
            <v>9.9999999999999995E-8</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row>
        <row r="13">
          <cell r="A13" t="str">
            <v>WCAP</v>
          </cell>
          <cell r="B13">
            <v>0</v>
          </cell>
          <cell r="C13">
            <v>18</v>
          </cell>
          <cell r="D13">
            <v>1</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row>
        <row r="17">
          <cell r="A17" t="str">
            <v>Deb</v>
          </cell>
          <cell r="B17">
            <v>0</v>
          </cell>
          <cell r="C17">
            <v>0.1479209013706079</v>
          </cell>
          <cell r="D17">
            <v>0.10499999999999998</v>
          </cell>
          <cell r="E17">
            <v>1</v>
          </cell>
          <cell r="F17">
            <v>0</v>
          </cell>
          <cell r="G17">
            <v>0</v>
          </cell>
          <cell r="H17">
            <v>0</v>
          </cell>
          <cell r="I17">
            <v>0.105</v>
          </cell>
          <cell r="J17">
            <v>0.105</v>
          </cell>
          <cell r="K17">
            <v>0.105</v>
          </cell>
          <cell r="L17">
            <v>0.105</v>
          </cell>
          <cell r="M17">
            <v>0.105</v>
          </cell>
          <cell r="N17">
            <v>0.105</v>
          </cell>
          <cell r="O17">
            <v>0.105</v>
          </cell>
          <cell r="P17">
            <v>0.105</v>
          </cell>
          <cell r="Q17">
            <v>0.105</v>
          </cell>
          <cell r="R17">
            <v>0.105</v>
          </cell>
          <cell r="S17">
            <v>0.105</v>
          </cell>
          <cell r="T17">
            <v>0.105</v>
          </cell>
          <cell r="U17">
            <v>0.105</v>
          </cell>
          <cell r="V17">
            <v>0.105</v>
          </cell>
          <cell r="W17">
            <v>0.105</v>
          </cell>
          <cell r="X17">
            <v>0.105</v>
          </cell>
          <cell r="Y17">
            <v>0.105</v>
          </cell>
          <cell r="Z17">
            <v>0.105</v>
          </cell>
        </row>
        <row r="18">
          <cell r="A18" t="str">
            <v>FC-NR</v>
          </cell>
          <cell r="B18">
            <v>0</v>
          </cell>
          <cell r="C18">
            <v>5.452718968322539E-2</v>
          </cell>
          <cell r="D18">
            <v>6.0000000000000012E-2</v>
          </cell>
          <cell r="E18">
            <v>1</v>
          </cell>
          <cell r="F18">
            <v>0</v>
          </cell>
          <cell r="G18">
            <v>0</v>
          </cell>
          <cell r="H18">
            <v>0</v>
          </cell>
          <cell r="I18">
            <v>0.06</v>
          </cell>
          <cell r="J18">
            <v>0.06</v>
          </cell>
          <cell r="K18">
            <v>0.06</v>
          </cell>
          <cell r="L18">
            <v>0.06</v>
          </cell>
          <cell r="M18">
            <v>0.06</v>
          </cell>
          <cell r="N18">
            <v>0.06</v>
          </cell>
          <cell r="O18">
            <v>0.06</v>
          </cell>
          <cell r="P18">
            <v>0.06</v>
          </cell>
          <cell r="Q18">
            <v>0.06</v>
          </cell>
          <cell r="R18">
            <v>0.06</v>
          </cell>
          <cell r="S18">
            <v>0.06</v>
          </cell>
          <cell r="T18">
            <v>0.06</v>
          </cell>
          <cell r="U18">
            <v>0.06</v>
          </cell>
          <cell r="V18">
            <v>0.06</v>
          </cell>
          <cell r="W18">
            <v>0.06</v>
          </cell>
          <cell r="X18">
            <v>0.06</v>
          </cell>
          <cell r="Y18">
            <v>0.06</v>
          </cell>
          <cell r="Z18">
            <v>0.06</v>
          </cell>
        </row>
        <row r="19">
          <cell r="A19" t="str">
            <v>Fund Int</v>
          </cell>
          <cell r="B19">
            <v>0</v>
          </cell>
          <cell r="C19">
            <v>0.15313243934937634</v>
          </cell>
          <cell r="D19">
            <v>8.0000000000000016E-2</v>
          </cell>
          <cell r="E19">
            <v>1</v>
          </cell>
          <cell r="F19">
            <v>0</v>
          </cell>
          <cell r="G19">
            <v>0</v>
          </cell>
          <cell r="H19">
            <v>0</v>
          </cell>
          <cell r="I19">
            <v>0.08</v>
          </cell>
          <cell r="J19">
            <v>0.08</v>
          </cell>
          <cell r="K19">
            <v>0.08</v>
          </cell>
          <cell r="L19">
            <v>0.08</v>
          </cell>
          <cell r="M19">
            <v>0.08</v>
          </cell>
          <cell r="N19">
            <v>0.08</v>
          </cell>
          <cell r="O19">
            <v>0.08</v>
          </cell>
          <cell r="P19">
            <v>0.08</v>
          </cell>
          <cell r="Q19">
            <v>0.08</v>
          </cell>
          <cell r="R19">
            <v>0.08</v>
          </cell>
          <cell r="S19">
            <v>0.08</v>
          </cell>
          <cell r="T19">
            <v>0.08</v>
          </cell>
          <cell r="U19">
            <v>0.08</v>
          </cell>
          <cell r="V19">
            <v>0.08</v>
          </cell>
          <cell r="W19">
            <v>0.08</v>
          </cell>
          <cell r="X19">
            <v>0.08</v>
          </cell>
          <cell r="Y19">
            <v>0.08</v>
          </cell>
          <cell r="Z19">
            <v>0.08</v>
          </cell>
        </row>
        <row r="20">
          <cell r="A20" t="str">
            <v>LTL</v>
          </cell>
          <cell r="B20">
            <v>0</v>
          </cell>
          <cell r="C20">
            <v>0.15211234252093012</v>
          </cell>
          <cell r="D20">
            <v>0.10499999999999998</v>
          </cell>
          <cell r="E20">
            <v>1</v>
          </cell>
          <cell r="F20">
            <v>0</v>
          </cell>
          <cell r="G20">
            <v>0</v>
          </cell>
          <cell r="H20">
            <v>0</v>
          </cell>
          <cell r="I20">
            <v>0.105</v>
          </cell>
          <cell r="J20">
            <v>0.105</v>
          </cell>
          <cell r="K20">
            <v>0.105</v>
          </cell>
          <cell r="L20">
            <v>0.105</v>
          </cell>
          <cell r="M20">
            <v>0.105</v>
          </cell>
          <cell r="N20">
            <v>0.105</v>
          </cell>
          <cell r="O20">
            <v>0.105</v>
          </cell>
          <cell r="P20">
            <v>0.105</v>
          </cell>
          <cell r="Q20">
            <v>0.105</v>
          </cell>
          <cell r="R20">
            <v>0.105</v>
          </cell>
          <cell r="S20">
            <v>0.105</v>
          </cell>
          <cell r="T20">
            <v>0.105</v>
          </cell>
          <cell r="U20">
            <v>0.105</v>
          </cell>
          <cell r="V20">
            <v>0.105</v>
          </cell>
          <cell r="W20">
            <v>0.105</v>
          </cell>
          <cell r="X20">
            <v>0.105</v>
          </cell>
          <cell r="Y20">
            <v>0.105</v>
          </cell>
          <cell r="Z20">
            <v>0.105</v>
          </cell>
        </row>
        <row r="21">
          <cell r="A21" t="str">
            <v>MTL</v>
          </cell>
          <cell r="B21">
            <v>0</v>
          </cell>
          <cell r="C21">
            <v>0.12687085468125259</v>
          </cell>
          <cell r="D21">
            <v>7.0000000000000007E-2</v>
          </cell>
          <cell r="E21">
            <v>1</v>
          </cell>
          <cell r="F21">
            <v>0</v>
          </cell>
          <cell r="G21">
            <v>0</v>
          </cell>
          <cell r="H21">
            <v>0</v>
          </cell>
          <cell r="I21">
            <v>7.0000000000000007E-2</v>
          </cell>
          <cell r="J21">
            <v>7.0000000000000007E-2</v>
          </cell>
          <cell r="K21">
            <v>7.0000000000000007E-2</v>
          </cell>
          <cell r="L21">
            <v>7.0000000000000007E-2</v>
          </cell>
          <cell r="M21">
            <v>7.0000000000000007E-2</v>
          </cell>
          <cell r="N21">
            <v>7.0000000000000007E-2</v>
          </cell>
          <cell r="O21">
            <v>7.0000000000000007E-2</v>
          </cell>
          <cell r="P21">
            <v>7.0000000000000007E-2</v>
          </cell>
          <cell r="Q21">
            <v>7.0000000000000007E-2</v>
          </cell>
          <cell r="R21">
            <v>7.0000000000000007E-2</v>
          </cell>
          <cell r="S21">
            <v>7.0000000000000007E-2</v>
          </cell>
          <cell r="T21">
            <v>7.0000000000000007E-2</v>
          </cell>
          <cell r="U21">
            <v>7.0000000000000007E-2</v>
          </cell>
          <cell r="V21">
            <v>7.0000000000000007E-2</v>
          </cell>
          <cell r="W21">
            <v>7.0000000000000007E-2</v>
          </cell>
          <cell r="X21">
            <v>7.0000000000000007E-2</v>
          </cell>
          <cell r="Y21">
            <v>7.0000000000000007E-2</v>
          </cell>
          <cell r="Z21">
            <v>7.0000000000000007E-2</v>
          </cell>
        </row>
        <row r="22">
          <cell r="A22" t="str">
            <v>OTS-1</v>
          </cell>
          <cell r="B22">
            <v>0</v>
          </cell>
          <cell r="C22">
            <v>0.125</v>
          </cell>
          <cell r="D22">
            <v>0</v>
          </cell>
          <cell r="E22">
            <v>1</v>
          </cell>
          <cell r="F22">
            <v>0</v>
          </cell>
          <cell r="G22">
            <v>0</v>
          </cell>
          <cell r="H22">
            <v>0</v>
          </cell>
          <cell r="I22">
            <v>1E-14</v>
          </cell>
          <cell r="J22">
            <v>1E-14</v>
          </cell>
          <cell r="K22">
            <v>1E-14</v>
          </cell>
          <cell r="L22">
            <v>1E-14</v>
          </cell>
          <cell r="M22">
            <v>1E-14</v>
          </cell>
          <cell r="N22">
            <v>1E-14</v>
          </cell>
          <cell r="O22">
            <v>1E-14</v>
          </cell>
          <cell r="P22">
            <v>1E-14</v>
          </cell>
          <cell r="Q22">
            <v>1E-14</v>
          </cell>
          <cell r="R22">
            <v>1E-14</v>
          </cell>
          <cell r="S22">
            <v>1E-14</v>
          </cell>
          <cell r="T22">
            <v>1E-14</v>
          </cell>
          <cell r="U22">
            <v>1E-14</v>
          </cell>
          <cell r="V22">
            <v>1E-14</v>
          </cell>
          <cell r="W22">
            <v>1E-14</v>
          </cell>
          <cell r="X22">
            <v>1E-14</v>
          </cell>
          <cell r="Y22">
            <v>1E-14</v>
          </cell>
          <cell r="Z22">
            <v>1E-14</v>
          </cell>
        </row>
        <row r="23">
          <cell r="A23" t="str">
            <v>OTS-2</v>
          </cell>
          <cell r="B23">
            <v>0</v>
          </cell>
          <cell r="C23">
            <v>0.125</v>
          </cell>
          <cell r="D23">
            <v>4.0000000000000008E-2</v>
          </cell>
          <cell r="E23">
            <v>1</v>
          </cell>
          <cell r="F23">
            <v>0</v>
          </cell>
          <cell r="G23">
            <v>0</v>
          </cell>
          <cell r="H23">
            <v>0</v>
          </cell>
          <cell r="I23">
            <v>0.04</v>
          </cell>
          <cell r="J23">
            <v>0.04</v>
          </cell>
          <cell r="K23">
            <v>0.04</v>
          </cell>
          <cell r="L23">
            <v>0.04</v>
          </cell>
          <cell r="M23">
            <v>0.04</v>
          </cell>
          <cell r="N23">
            <v>0.04</v>
          </cell>
          <cell r="O23">
            <v>0.04</v>
          </cell>
          <cell r="P23">
            <v>0.04</v>
          </cell>
          <cell r="Q23">
            <v>0.04</v>
          </cell>
          <cell r="R23">
            <v>0.04</v>
          </cell>
          <cell r="S23">
            <v>0.04</v>
          </cell>
          <cell r="T23">
            <v>0.04</v>
          </cell>
          <cell r="U23">
            <v>0.04</v>
          </cell>
          <cell r="V23">
            <v>0.04</v>
          </cell>
          <cell r="W23">
            <v>0.04</v>
          </cell>
          <cell r="X23">
            <v>0.04</v>
          </cell>
          <cell r="Y23">
            <v>0.04</v>
          </cell>
          <cell r="Z23">
            <v>0.04</v>
          </cell>
        </row>
        <row r="24">
          <cell r="A24" t="str">
            <v>PAID</v>
          </cell>
          <cell r="B24">
            <v>0</v>
          </cell>
          <cell r="C24">
            <v>0.13381622577656982</v>
          </cell>
          <cell r="D24">
            <v>7.6023447562135499E-2</v>
          </cell>
          <cell r="E24">
            <v>1</v>
          </cell>
          <cell r="F24">
            <v>0</v>
          </cell>
          <cell r="G24">
            <v>0</v>
          </cell>
          <cell r="H24">
            <v>0</v>
          </cell>
          <cell r="I24">
            <v>0.01</v>
          </cell>
          <cell r="J24">
            <v>0.01</v>
          </cell>
          <cell r="K24">
            <v>0.01</v>
          </cell>
          <cell r="L24">
            <v>0.01</v>
          </cell>
          <cell r="M24">
            <v>0.01</v>
          </cell>
          <cell r="N24">
            <v>0.01</v>
          </cell>
          <cell r="O24">
            <v>0.01</v>
          </cell>
          <cell r="P24">
            <v>0.01</v>
          </cell>
          <cell r="Q24">
            <v>0.01</v>
          </cell>
          <cell r="R24">
            <v>0.01</v>
          </cell>
          <cell r="S24">
            <v>0.01</v>
          </cell>
          <cell r="T24">
            <v>0.01</v>
          </cell>
          <cell r="U24">
            <v>0.01</v>
          </cell>
          <cell r="V24">
            <v>0.01</v>
          </cell>
          <cell r="W24">
            <v>0.01</v>
          </cell>
          <cell r="X24">
            <v>0.01</v>
          </cell>
          <cell r="Y24">
            <v>0.01</v>
          </cell>
          <cell r="Z24">
            <v>0.01</v>
          </cell>
        </row>
        <row r="25">
          <cell r="A25" t="str">
            <v>RTL</v>
          </cell>
          <cell r="B25">
            <v>0</v>
          </cell>
          <cell r="C25">
            <v>5.475026434132467E-2</v>
          </cell>
          <cell r="D25">
            <v>8.0000000000000016E-2</v>
          </cell>
          <cell r="E25">
            <v>1</v>
          </cell>
          <cell r="F25">
            <v>0</v>
          </cell>
          <cell r="G25">
            <v>0</v>
          </cell>
          <cell r="H25">
            <v>0</v>
          </cell>
          <cell r="I25">
            <v>0.06</v>
          </cell>
          <cell r="J25">
            <v>0.08</v>
          </cell>
          <cell r="K25">
            <v>0.08</v>
          </cell>
          <cell r="L25">
            <v>0.08</v>
          </cell>
          <cell r="M25">
            <v>0.08</v>
          </cell>
          <cell r="N25">
            <v>0.08</v>
          </cell>
          <cell r="O25">
            <v>0.08</v>
          </cell>
          <cell r="P25">
            <v>0.08</v>
          </cell>
          <cell r="Q25">
            <v>0.08</v>
          </cell>
          <cell r="R25">
            <v>0.08</v>
          </cell>
          <cell r="S25">
            <v>0.08</v>
          </cell>
          <cell r="T25">
            <v>0.08</v>
          </cell>
          <cell r="U25">
            <v>0.08</v>
          </cell>
          <cell r="V25">
            <v>0.08</v>
          </cell>
          <cell r="W25">
            <v>0.08</v>
          </cell>
          <cell r="X25">
            <v>0.08</v>
          </cell>
          <cell r="Y25">
            <v>0.08</v>
          </cell>
          <cell r="Z25">
            <v>0.08</v>
          </cell>
        </row>
        <row r="26">
          <cell r="A26" t="str">
            <v>STL</v>
          </cell>
          <cell r="B26">
            <v>0</v>
          </cell>
          <cell r="C26" t="e">
            <v>#DIV/0!</v>
          </cell>
          <cell r="D26" t="e">
            <v>#DIV/0!</v>
          </cell>
          <cell r="E26">
            <v>1</v>
          </cell>
          <cell r="F26">
            <v>0</v>
          </cell>
          <cell r="G26">
            <v>0</v>
          </cell>
          <cell r="H26">
            <v>0</v>
          </cell>
          <cell r="I26">
            <v>9.9999999999999995E-8</v>
          </cell>
          <cell r="J26">
            <v>9.9999999999999995E-8</v>
          </cell>
          <cell r="K26">
            <v>9.9999999999999995E-8</v>
          </cell>
          <cell r="L26">
            <v>9.9999999999999995E-8</v>
          </cell>
          <cell r="M26">
            <v>9.9999999999999995E-8</v>
          </cell>
          <cell r="N26">
            <v>9.9999999999999995E-8</v>
          </cell>
          <cell r="O26">
            <v>9.9999999999999995E-8</v>
          </cell>
          <cell r="P26">
            <v>9.9999999999999995E-8</v>
          </cell>
          <cell r="Q26">
            <v>9.9999999999999995E-8</v>
          </cell>
          <cell r="R26">
            <v>9.9999999999999995E-8</v>
          </cell>
          <cell r="S26">
            <v>9.9999999999999995E-8</v>
          </cell>
          <cell r="T26">
            <v>9.9999999999999995E-8</v>
          </cell>
          <cell r="U26">
            <v>9.9999999999999995E-8</v>
          </cell>
          <cell r="V26">
            <v>9.9999999999999995E-8</v>
          </cell>
          <cell r="W26">
            <v>9.9999999999999995E-8</v>
          </cell>
          <cell r="X26">
            <v>9.9999999999999995E-8</v>
          </cell>
          <cell r="Y26">
            <v>9.9999999999999995E-8</v>
          </cell>
          <cell r="Z26">
            <v>9.9999999999999995E-8</v>
          </cell>
        </row>
        <row r="27">
          <cell r="A27" t="str">
            <v>WCAP</v>
          </cell>
          <cell r="B27">
            <v>0</v>
          </cell>
          <cell r="C27">
            <v>0.13250000000000001</v>
          </cell>
          <cell r="D27">
            <v>8.5000000000000006E-2</v>
          </cell>
          <cell r="E27">
            <v>1</v>
          </cell>
          <cell r="F27">
            <v>0</v>
          </cell>
          <cell r="G27">
            <v>0</v>
          </cell>
          <cell r="H27">
            <v>0</v>
          </cell>
          <cell r="I27">
            <v>0.13500000000000001</v>
          </cell>
          <cell r="J27">
            <v>0.13500000000000001</v>
          </cell>
          <cell r="K27">
            <v>0.13500000000000001</v>
          </cell>
          <cell r="L27">
            <v>0.13500000000000001</v>
          </cell>
          <cell r="M27">
            <v>0.13500000000000001</v>
          </cell>
          <cell r="N27">
            <v>0.13500000000000001</v>
          </cell>
          <cell r="O27">
            <v>0.13500000000000001</v>
          </cell>
          <cell r="P27">
            <v>0.13500000000000001</v>
          </cell>
          <cell r="Q27">
            <v>0.13500000000000001</v>
          </cell>
          <cell r="R27">
            <v>0.13500000000000001</v>
          </cell>
          <cell r="S27">
            <v>0.13500000000000001</v>
          </cell>
          <cell r="T27">
            <v>0.13500000000000001</v>
          </cell>
          <cell r="U27">
            <v>0.13500000000000001</v>
          </cell>
          <cell r="V27">
            <v>0.13500000000000001</v>
          </cell>
          <cell r="W27">
            <v>0.13500000000000001</v>
          </cell>
          <cell r="X27">
            <v>0.13500000000000001</v>
          </cell>
          <cell r="Y27">
            <v>0.13500000000000001</v>
          </cell>
          <cell r="Z27">
            <v>0.13500000000000001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3">
          <cell r="N73">
            <v>0</v>
          </cell>
        </row>
      </sheetData>
      <sheetData sheetId="34">
        <row r="14">
          <cell r="H14">
            <v>293335.13349969999</v>
          </cell>
        </row>
      </sheetData>
      <sheetData sheetId="3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XPL"/>
      <sheetName val="XBL"/>
      <sheetName val="Balance Sheet"/>
      <sheetName val="Schedule to BS"/>
      <sheetName val="SUB SHED BAL"/>
      <sheetName val="Profit And Loss"/>
      <sheetName val="Schedules to P &amp; L"/>
      <sheetName val="Share Capital"/>
      <sheetName val="Reserves &amp; Surplus"/>
      <sheetName val="Long-Term Borrowings"/>
      <sheetName val="Other Long Term Liabilities"/>
      <sheetName val="Long Term Provisions"/>
      <sheetName val="Short-Term Borrowings "/>
      <sheetName val="Other Current Liabilities"/>
      <sheetName val="Short Term Provisions"/>
      <sheetName val="SUB SHD P&amp;L"/>
      <sheetName val="NCA-Non Current Investments"/>
      <sheetName val="NCA-Lng trm loans &amp; adv "/>
      <sheetName val="NCA-Other nca"/>
      <sheetName val="Current Investments"/>
      <sheetName val="Inventories"/>
      <sheetName val="Trade Receivables"/>
      <sheetName val="Cash and cash equivalents"/>
      <sheetName val="Short term loans and adv"/>
      <sheetName val="Other Curr Assets"/>
      <sheetName val="Cont liabilities and commitment"/>
      <sheetName val="Revenue From operation"/>
      <sheetName val="Other Income"/>
      <sheetName val="Finance Cost"/>
      <sheetName val="Dep Note11"/>
      <sheetName val="Dep _2013Act (2)"/>
      <sheetName val="IT-Depa"/>
      <sheetName val="St. Total Income"/>
      <sheetName val="Cash flow"/>
      <sheetName val="Wealth Tax"/>
      <sheetName val="14-15 SL&amp;UL"/>
      <sheetName val="Mob.Adv"/>
      <sheetName val="Secured Loans"/>
      <sheetName val="Sheet1"/>
      <sheetName val="Sheet2"/>
    </sheetNames>
    <sheetDataSet>
      <sheetData sheetId="0"/>
      <sheetData sheetId="1"/>
      <sheetData sheetId="2"/>
      <sheetData sheetId="3"/>
      <sheetData sheetId="4"/>
      <sheetData sheetId="5"/>
      <sheetData sheetId="6"/>
      <sheetData sheetId="7"/>
      <sheetData sheetId="8"/>
      <sheetData sheetId="9"/>
      <sheetData sheetId="10">
        <row r="2">
          <cell r="K2" t="str">
            <v>Yes</v>
          </cell>
        </row>
        <row r="3">
          <cell r="K3" t="str">
            <v>No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UBSIDY"/>
      <sheetName val="P2 SUBSIDY"/>
      <sheetName val="P1 EQ FRT"/>
      <sheetName val="P2 EQ FRT"/>
      <sheetName val="P1 67011 "/>
      <sheetName val="P2 67011 "/>
      <sheetName val="Budget-sept-qtr"/>
      <sheetName val="ANLY-99-00-HALF"/>
      <sheetName val="ANLY-01-02-Half"/>
      <sheetName val="ANLY-00-01-QTR"/>
      <sheetName val="ANLY-01-02-QTR "/>
      <sheetName val="BREAKUP-&gt;6 MONTHS"/>
      <sheetName val="INC-QTR-SEP"/>
      <sheetName val="Breakup"/>
      <sheetName val="SU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2" t="str">
            <v>NAGARJUNA FERTILIZERS AND CHEMICALS LIMITED</v>
          </cell>
        </row>
        <row r="31">
          <cell r="A31" t="str">
            <v>NAGARJUNA FERTILIZERS AND CHEMICALS LIMITED</v>
          </cell>
        </row>
      </sheetData>
      <sheetData sheetId="11" refreshError="1"/>
      <sheetData sheetId="12" refreshError="1"/>
      <sheetData sheetId="13" refreshError="1"/>
      <sheetData sheetId="1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XBL"/>
      <sheetName val="St. Total Income"/>
      <sheetName val="Balance Sheet"/>
      <sheetName val="Profit And Loss"/>
      <sheetName val="Schedule to BS"/>
      <sheetName val="Advances"/>
      <sheetName val="SUB SHED BAL"/>
      <sheetName val="Schedules to P &amp; L"/>
      <sheetName val="Share Capital"/>
      <sheetName val="Reserves &amp; Surplus"/>
      <sheetName val="Long-Term Borrowings"/>
      <sheetName val="Other Long Term Liabilities"/>
      <sheetName val="Long Term Provisions"/>
      <sheetName val="Short-Term Borrowings "/>
      <sheetName val="Other Current Liabilities"/>
      <sheetName val="Short Term Provisions"/>
      <sheetName val="SUB SHD P&amp;L"/>
      <sheetName val="SUB SHED BAL -26.05.2016"/>
      <sheetName val="NCA-Non Current Investments"/>
      <sheetName val="NCA-Lng trm loans &amp; adv "/>
      <sheetName val="NCA-Other nca"/>
      <sheetName val="Current Investments"/>
      <sheetName val="Inventories"/>
      <sheetName val="Trade Receivables"/>
      <sheetName val="Cash and cash equivalents"/>
      <sheetName val="Short term loans and adv"/>
      <sheetName val="Other Curr Assets"/>
      <sheetName val="Cont liabilities and commitment"/>
      <sheetName val="Revenue From operation"/>
      <sheetName val="Other Income"/>
      <sheetName val="Finance Cost"/>
      <sheetName val="Dep _2013Act (2)"/>
      <sheetName val="Dep12"/>
      <sheetName val="Dep11(2)"/>
      <sheetName val="Dep11"/>
      <sheetName val="Dep 2017"/>
      <sheetName val="Dep 2013 Act"/>
      <sheetName val="IT Dep1"/>
      <sheetName val="IT-Depa"/>
      <sheetName val="Cash flow"/>
      <sheetName val="16-17 SL&amp;UL"/>
      <sheetName val="Wealth Tax"/>
      <sheetName val="Mob.Adv"/>
      <sheetName val="secured loans"/>
      <sheetName val="Credit written off "/>
      <sheetName val="Sheet1"/>
      <sheetName val="Sheet2"/>
    </sheetNames>
    <sheetDataSet>
      <sheetData sheetId="0">
        <row r="274">
          <cell r="BF274">
            <v>12627650</v>
          </cell>
        </row>
      </sheetData>
      <sheetData sheetId="1">
        <row r="281">
          <cell r="AB281">
            <v>0</v>
          </cell>
        </row>
      </sheetData>
      <sheetData sheetId="2"/>
      <sheetData sheetId="3"/>
      <sheetData sheetId="4">
        <row r="19">
          <cell r="E19">
            <v>585905891.22874463</v>
          </cell>
        </row>
      </sheetData>
      <sheetData sheetId="5"/>
      <sheetData sheetId="6"/>
      <sheetData sheetId="7"/>
      <sheetData sheetId="8">
        <row r="16">
          <cell r="D16">
            <v>18733472</v>
          </cell>
        </row>
      </sheetData>
      <sheetData sheetId="9"/>
      <sheetData sheetId="10"/>
      <sheetData sheetId="11">
        <row r="2">
          <cell r="K2" t="str">
            <v>Yes</v>
          </cell>
        </row>
        <row r="3">
          <cell r="K3" t="str">
            <v>No</v>
          </cell>
        </row>
      </sheetData>
      <sheetData sheetId="12"/>
      <sheetData sheetId="13"/>
      <sheetData sheetId="14"/>
      <sheetData sheetId="15"/>
      <sheetData sheetId="16"/>
      <sheetData sheetId="17">
        <row r="19">
          <cell r="C19">
            <v>729228983</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18">
          <cell r="H18">
            <v>726684711.01575005</v>
          </cell>
        </row>
      </sheetData>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34-IT"/>
      <sheetName val="A"/>
      <sheetName val="ng&amp;naph"/>
      <sheetName val="38-IA"/>
      <sheetName val="Mfd Urea format"/>
      <sheetName val="42-Admin"/>
      <sheetName val="44-HPD"/>
      <sheetName val="45-CMC"/>
      <sheetName val="52-L&amp;S"/>
      <sheetName val="61-DELHI"/>
      <sheetName val="53-NISL"/>
      <sheetName val="02-VC&amp;MD"/>
      <sheetName val="36-Corp.Fin"/>
      <sheetName val="65-MUMBAI"/>
      <sheetName val="37-D(O)"/>
      <sheetName val="30-WTD"/>
      <sheetName val="93-CPC"/>
      <sheetName val="94"/>
      <sheetName val="Plant-202"/>
      <sheetName val="Mktg-652"/>
      <sheetName val="AS-463"/>
      <sheetName val="Ficc"/>
      <sheetName val="Prodplan-14"/>
      <sheetName val="Consolidated"/>
      <sheetName val="admin budget"/>
      <sheetName val="Subsidy"/>
    </sheetNames>
    <sheetDataSet>
      <sheetData sheetId="0">
        <row r="9">
          <cell r="C9">
            <v>12.45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XPL"/>
      <sheetName val="XBL"/>
      <sheetName val="Balance Sheet"/>
      <sheetName val="Schedule to BS"/>
      <sheetName val="SUB SHED BAL"/>
      <sheetName val="Profit And Loss"/>
      <sheetName val="Schedules to P &amp; L"/>
      <sheetName val="Share Capital"/>
      <sheetName val="Reserves &amp; Surplus"/>
      <sheetName val="Long-Term Borrowings"/>
      <sheetName val="Other Long Term Liabilities"/>
      <sheetName val="Long Term Provisions"/>
      <sheetName val="Short-Term Borrowings "/>
      <sheetName val="Other Current Liabilities"/>
      <sheetName val="Short Term Provisions"/>
      <sheetName val="SUB SHD P&amp;L"/>
      <sheetName val="NCA-Non Current Investments"/>
      <sheetName val="NCA-Lng trm loans &amp; adv "/>
      <sheetName val="NCA-Other nca"/>
      <sheetName val="Current Investments"/>
      <sheetName val="Inventories"/>
      <sheetName val="Trade Receivables"/>
      <sheetName val="Cash and cash equivalents"/>
      <sheetName val="Short term loans and adv"/>
      <sheetName val="Other Curr Assets"/>
      <sheetName val="Cont liabilities and commitment"/>
      <sheetName val="Revenue From operation"/>
      <sheetName val="Other Income"/>
      <sheetName val="Finance Cost"/>
      <sheetName val="Dep Note12"/>
      <sheetName val="Dep _2013Act (2)"/>
      <sheetName val="IT-Depa"/>
      <sheetName val="St. Total Income"/>
      <sheetName val="Cash flow"/>
      <sheetName val="Wealth Tax"/>
      <sheetName val="14-15 SL&amp;UL"/>
      <sheetName val="Mob.Adv"/>
      <sheetName val="Secured Loans"/>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K2" t="str">
            <v>Yes</v>
          </cell>
        </row>
        <row r="3">
          <cell r="K3" t="str">
            <v>No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sheetName val="BS-Cr"/>
      <sheetName val="CF-Cr"/>
      <sheetName val="PL-Cr"/>
      <sheetName val="Scenario"/>
      <sheetName val="BizAsump"/>
      <sheetName val="Consolidation"/>
      <sheetName val="BS"/>
      <sheetName val="CF"/>
      <sheetName val="PL"/>
      <sheetName val="Ratios"/>
      <sheetName val="ASSUMP"/>
      <sheetName val="int module"/>
      <sheetName val="Schedule"/>
      <sheetName val="Sheet1"/>
      <sheetName val="RepyExist"/>
      <sheetName val="IntExist"/>
      <sheetName val="WCap"/>
      <sheetName val="SchFirst"/>
      <sheetName val="SchSecd"/>
      <sheetName val="SecLendeTog"/>
      <sheetName val="YrEndBalExist"/>
      <sheetName val="LoanSumm"/>
      <sheetName val="Upto100%GoI"/>
      <sheetName val="Bey100%GoI"/>
      <sheetName val="Bey100%IUExp"/>
      <sheetName val="Feedstock"/>
      <sheetName val="TradedProd"/>
      <sheetName val="Tax"/>
      <sheetName val="NW"/>
      <sheetName val="FAInv"/>
      <sheetName val="OtherINCAdj"/>
      <sheetName val="LendWiseDebt"/>
      <sheetName val="original sent to idbi"/>
      <sheetName val="Consolidation  in Cr"/>
      <sheetName val="cdr-nfcl-c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treco"/>
      <sheetName val="tax"/>
      <sheetName val="Index"/>
      <sheetName val="dtl"/>
      <sheetName val="abridged"/>
      <sheetName val="mainpage"/>
      <sheetName val="bsheet"/>
      <sheetName val="pandl"/>
      <sheetName val="cash flow"/>
      <sheetName val="sch1-2"/>
      <sheetName val="sch3"/>
      <sheetName val="sch4"/>
      <sheetName val="sch5"/>
      <sheetName val="sch6"/>
      <sheetName val="sch7"/>
      <sheetName val="sch8-9-10"/>
      <sheetName val="sch11-12"/>
      <sheetName val="onepage"/>
      <sheetName val="stockstmt"/>
      <sheetName val="revnote Hide PY qtr "/>
      <sheetName val="revnote with CDR budget"/>
      <sheetName val="Lease Income"/>
      <sheetName val="revnote"/>
      <sheetName val="revnote Board"/>
      <sheetName val="revnote CDR"/>
      <sheetName val="Published results"/>
      <sheetName val="AC Ratios Sheet1"/>
      <sheetName val="Ac Ratios Sheet2"/>
      <sheetName val="Ratios"/>
    </sheetNames>
    <sheetDataSet>
      <sheetData sheetId="0">
        <row r="5">
          <cell r="C5" t="str">
            <v>Subscribed &amp; Paid-up Capital</v>
          </cell>
        </row>
        <row r="6">
          <cell r="C6" t="str">
            <v>OCCRPS</v>
          </cell>
        </row>
        <row r="7">
          <cell r="C7" t="str">
            <v>Share Application money pending for Allotement</v>
          </cell>
        </row>
        <row r="8">
          <cell r="C8" t="str">
            <v>Calls-in-arrears Share Capital</v>
          </cell>
        </row>
        <row r="9">
          <cell r="C9" t="str">
            <v>Capital Reserve &amp; Subsidy</v>
          </cell>
        </row>
        <row r="10">
          <cell r="C10" t="str">
            <v>Capital Redemption Reserve</v>
          </cell>
        </row>
        <row r="11">
          <cell r="C11" t="str">
            <v>Share Premium</v>
          </cell>
        </row>
        <row r="12">
          <cell r="C12" t="str">
            <v>Revaluation Reserve</v>
          </cell>
        </row>
        <row r="13">
          <cell r="C13" t="str">
            <v>Debenture Redemption Reserve</v>
          </cell>
        </row>
        <row r="14">
          <cell r="C14" t="str">
            <v>General Reserve</v>
          </cell>
        </row>
        <row r="15">
          <cell r="C15" t="str">
            <v>Profit &amp; Loss A/c</v>
          </cell>
        </row>
        <row r="16">
          <cell r="C16" t="str">
            <v>Debentures</v>
          </cell>
        </row>
        <row r="17">
          <cell r="C17" t="str">
            <v>Rupee Loans from  Financial Institutions</v>
          </cell>
        </row>
        <row r="18">
          <cell r="C18" t="str">
            <v>Differential Interest</v>
          </cell>
        </row>
        <row r="19">
          <cell r="C19" t="str">
            <v>Foreign Currency Loans from Financial Instn.</v>
          </cell>
        </row>
        <row r="20">
          <cell r="C20" t="str">
            <v>Cash Credit</v>
          </cell>
        </row>
        <row r="21">
          <cell r="C21" t="str">
            <v>Buyers credit</v>
          </cell>
        </row>
        <row r="22">
          <cell r="C22" t="str">
            <v>MTL banks</v>
          </cell>
        </row>
        <row r="23">
          <cell r="C23" t="str">
            <v>Foreign Currency Loans from Banks</v>
          </cell>
        </row>
        <row r="24">
          <cell r="C24" t="str">
            <v>Interest Accured &amp; Due</v>
          </cell>
        </row>
        <row r="25">
          <cell r="C25" t="str">
            <v>Interest Accured &amp; Due on FDs</v>
          </cell>
        </row>
        <row r="26">
          <cell r="C26" t="str">
            <v>Fixed Deposits</v>
          </cell>
        </row>
        <row r="27">
          <cell r="C27" t="str">
            <v>Commercial Paper</v>
          </cell>
        </row>
        <row r="28">
          <cell r="C28" t="str">
            <v>Sales Tax Defferel</v>
          </cell>
        </row>
        <row r="29">
          <cell r="C29" t="str">
            <v>Loan from HDFC</v>
          </cell>
        </row>
        <row r="30">
          <cell r="C30" t="str">
            <v>Others</v>
          </cell>
        </row>
        <row r="31">
          <cell r="C31" t="str">
            <v>Unsecured MTLs Banks</v>
          </cell>
        </row>
        <row r="32">
          <cell r="C32" t="str">
            <v>Gross Block</v>
          </cell>
        </row>
        <row r="33">
          <cell r="C33" t="str">
            <v>Depreciation</v>
          </cell>
        </row>
        <row r="34">
          <cell r="C34" t="str">
            <v>Leased Adjustments</v>
          </cell>
        </row>
        <row r="35">
          <cell r="C35" t="str">
            <v>Capital Work-in-Progress</v>
          </cell>
        </row>
        <row r="36">
          <cell r="C36" t="str">
            <v>Investments</v>
          </cell>
        </row>
        <row r="37">
          <cell r="C37" t="str">
            <v>Current Assets and Loans &amp; Advances Purchase</v>
          </cell>
        </row>
        <row r="38">
          <cell r="C38" t="str">
            <v>Raw Materials</v>
          </cell>
        </row>
        <row r="39">
          <cell r="C39" t="str">
            <v>Finished Goods Urea/MI</v>
          </cell>
        </row>
        <row r="40">
          <cell r="C40" t="str">
            <v>Traded Products</v>
          </cell>
        </row>
        <row r="41">
          <cell r="C41" t="str">
            <v>Finished Goods - Ammonia</v>
          </cell>
        </row>
        <row r="42">
          <cell r="C42" t="str">
            <v>Stores &amp; Spares</v>
          </cell>
        </row>
        <row r="43">
          <cell r="C43" t="str">
            <v>Packing Materials</v>
          </cell>
        </row>
        <row r="44">
          <cell r="C44" t="str">
            <v>Sundry Debtors</v>
          </cell>
        </row>
        <row r="45">
          <cell r="C45" t="str">
            <v>Current Accounts - Banks</v>
          </cell>
        </row>
        <row r="46">
          <cell r="C46" t="str">
            <v>Deposit Accounts - Banks</v>
          </cell>
        </row>
        <row r="47">
          <cell r="C47" t="str">
            <v>Cash On Hand</v>
          </cell>
        </row>
        <row r="48">
          <cell r="C48" t="str">
            <v>Other Current Assets</v>
          </cell>
        </row>
        <row r="49">
          <cell r="C49" t="str">
            <v>Sap Reco/Purchases</v>
          </cell>
        </row>
        <row r="50">
          <cell r="C50" t="str">
            <v>Loans to Employees (Secured)</v>
          </cell>
        </row>
        <row r="51">
          <cell r="C51" t="str">
            <v>Loans to Employees (Unsecured)</v>
          </cell>
        </row>
        <row r="52">
          <cell r="C52" t="str">
            <v>Interest Receivable - Margin Money</v>
          </cell>
        </row>
        <row r="53">
          <cell r="C53" t="str">
            <v>Advance Recoverable in Cash or in Kind(Regrp)</v>
          </cell>
        </row>
        <row r="54">
          <cell r="C54" t="str">
            <v>GOI Fertilizer Bonds</v>
          </cell>
        </row>
        <row r="55">
          <cell r="C55" t="str">
            <v>Advance Payment for Tax</v>
          </cell>
        </row>
        <row r="56">
          <cell r="C56" t="str">
            <v>Balance with Customs Authorities</v>
          </cell>
        </row>
        <row r="57">
          <cell r="C57" t="str">
            <v>Deposit with Others</v>
          </cell>
        </row>
        <row r="58">
          <cell r="C58" t="str">
            <v>Claims Receivables</v>
          </cell>
        </row>
        <row r="59">
          <cell r="C59" t="str">
            <v>Other Current Liabilities</v>
          </cell>
        </row>
        <row r="60">
          <cell r="C60" t="str">
            <v>Sundry Creditors (re-groupings)</v>
          </cell>
        </row>
        <row r="61">
          <cell r="C61" t="str">
            <v>Provision for Taxation</v>
          </cell>
        </row>
        <row r="62">
          <cell r="C62" t="str">
            <v>Provision for Fringe Benefit Tax</v>
          </cell>
        </row>
        <row r="63">
          <cell r="C63" t="str">
            <v>Provision for Dividend- Pref</v>
          </cell>
        </row>
        <row r="64">
          <cell r="C64" t="str">
            <v>Provision for Dividend - Equity</v>
          </cell>
        </row>
        <row r="65">
          <cell r="C65" t="str">
            <v>Provision for Dividend Tax</v>
          </cell>
        </row>
        <row r="66">
          <cell r="C66" t="str">
            <v>Unclaimed Dividend</v>
          </cell>
        </row>
        <row r="67">
          <cell r="C67" t="str">
            <v>Deposits</v>
          </cell>
        </row>
        <row r="68">
          <cell r="C68" t="str">
            <v>Interest Accured but not Due on Loans/Deposit</v>
          </cell>
        </row>
        <row r="69">
          <cell r="C69" t="str">
            <v>Deferred Revenue Expenditure</v>
          </cell>
        </row>
        <row r="70">
          <cell r="C70" t="str">
            <v>Deferred Tax Liability</v>
          </cell>
        </row>
        <row r="71">
          <cell r="C71" t="str">
            <v>Sales (net of margins &amp; discounts)</v>
          </cell>
        </row>
        <row r="72">
          <cell r="C72" t="str">
            <v>Retention Price Support -MU</v>
          </cell>
        </row>
        <row r="73">
          <cell r="C73" t="str">
            <v>&amp; Equated Freight - MU</v>
          </cell>
        </row>
        <row r="74">
          <cell r="C74" t="str">
            <v>Retention Price Support - MKTG</v>
          </cell>
        </row>
        <row r="75">
          <cell r="C75" t="str">
            <v>Deferred Tax  P &amp; L a/c</v>
          </cell>
        </row>
        <row r="76">
          <cell r="C76" t="str">
            <v>Interest - Banks &amp; Others</v>
          </cell>
        </row>
        <row r="77">
          <cell r="C77" t="str">
            <v>Grant from DBT</v>
          </cell>
        </row>
        <row r="78">
          <cell r="C78" t="str">
            <v>Dividend Income</v>
          </cell>
        </row>
        <row r="79">
          <cell r="C79" t="str">
            <v>Profit on Sale of Asset</v>
          </cell>
        </row>
        <row r="80">
          <cell r="C80" t="str">
            <v>Profit/ (Loss) on Sale of investments</v>
          </cell>
        </row>
        <row r="81">
          <cell r="C81" t="str">
            <v>Others</v>
          </cell>
        </row>
        <row r="82">
          <cell r="C82" t="str">
            <v>Liabilities no longer required</v>
          </cell>
        </row>
        <row r="83">
          <cell r="C83" t="str">
            <v>Depreciation no longer required</v>
          </cell>
        </row>
        <row r="84">
          <cell r="C84" t="str">
            <v>Lease Rental Income</v>
          </cell>
        </row>
        <row r="85">
          <cell r="C85" t="str">
            <v>Lease Equalisation Account</v>
          </cell>
        </row>
        <row r="86">
          <cell r="C86" t="str">
            <v>(Increase)/ Decrease in stocks (grouping)</v>
          </cell>
        </row>
        <row r="87">
          <cell r="C87" t="str">
            <v>Purchases (re-groupings)</v>
          </cell>
        </row>
        <row r="88">
          <cell r="C88" t="str">
            <v>Raw material Consumption</v>
          </cell>
        </row>
        <row r="89">
          <cell r="C89" t="str">
            <v>Power &amp; Fuel</v>
          </cell>
        </row>
        <row r="90">
          <cell r="C90" t="str">
            <v>Excise Duty Paid</v>
          </cell>
        </row>
        <row r="91">
          <cell r="C91" t="str">
            <v>Catalyst Charge</v>
          </cell>
        </row>
        <row r="92">
          <cell r="C92" t="str">
            <v>Chemicals &amp; Consumables</v>
          </cell>
        </row>
        <row r="93">
          <cell r="C93" t="str">
            <v>Salaries</v>
          </cell>
        </row>
        <row r="94">
          <cell r="C94" t="str">
            <v>Contribution to PF &amp; Other Welfare Funds</v>
          </cell>
        </row>
        <row r="95">
          <cell r="C95" t="str">
            <v>Staff Welfare Expenses</v>
          </cell>
        </row>
        <row r="96">
          <cell r="C96" t="str">
            <v>Packing Material Consumption</v>
          </cell>
        </row>
        <row r="97">
          <cell r="C97" t="str">
            <v>Transport &amp; Handling Charges</v>
          </cell>
        </row>
        <row r="98">
          <cell r="C98" t="str">
            <v>Distribution Expenses (Re.Grouping)</v>
          </cell>
        </row>
        <row r="99">
          <cell r="C99" t="str">
            <v>Provision of doubtful debts</v>
          </cell>
        </row>
        <row r="100">
          <cell r="C100" t="str">
            <v>Bad Debts written off</v>
          </cell>
        </row>
        <row r="101">
          <cell r="C101" t="str">
            <v>Advances written off</v>
          </cell>
        </row>
        <row r="102">
          <cell r="C102" t="str">
            <v>Provision for Dimunition in the value o</v>
          </cell>
        </row>
        <row r="103">
          <cell r="C103" t="str">
            <v>Rent</v>
          </cell>
        </row>
        <row r="104">
          <cell r="C104" t="str">
            <v>Rates &amp; Taxes</v>
          </cell>
        </row>
        <row r="105">
          <cell r="C105" t="str">
            <v>Electricity &amp; Water Charges</v>
          </cell>
        </row>
        <row r="106">
          <cell r="C106" t="str">
            <v>Stores &amp; Spares Consumed</v>
          </cell>
        </row>
        <row r="107">
          <cell r="C107" t="str">
            <v>Repairs &amp; Maintenance - Buildings</v>
          </cell>
        </row>
        <row r="108">
          <cell r="C108" t="str">
            <v>Repairs &amp; Maintenance - Plant</v>
          </cell>
        </row>
        <row r="109">
          <cell r="C109" t="str">
            <v>Repairs &amp; Maintenance - Others</v>
          </cell>
        </row>
        <row r="110">
          <cell r="C110" t="str">
            <v>Insurance</v>
          </cell>
        </row>
        <row r="111">
          <cell r="C111" t="str">
            <v>Printing &amp; Stationary</v>
          </cell>
        </row>
        <row r="112">
          <cell r="C112" t="str">
            <v>Postage, Telephone &amp; Telex</v>
          </cell>
        </row>
        <row r="113">
          <cell r="C113" t="str">
            <v>Travelling &amp; Conveyance</v>
          </cell>
        </row>
        <row r="114">
          <cell r="C114" t="str">
            <v>Advertisement &amp; Publicity</v>
          </cell>
        </row>
        <row r="115">
          <cell r="C115" t="str">
            <v>Employee Recruitment &amp; Training</v>
          </cell>
        </row>
        <row r="116">
          <cell r="C116" t="str">
            <v>Legal, Secret. &amp; Professn.Charges (re-grp)</v>
          </cell>
        </row>
        <row r="117">
          <cell r="C117" t="str">
            <v>Professional and Consultancy Charges</v>
          </cell>
        </row>
        <row r="118">
          <cell r="C118" t="str">
            <v>Secretarial Consultancy</v>
          </cell>
        </row>
        <row r="119">
          <cell r="C119" t="str">
            <v>Director Sitting Fee</v>
          </cell>
        </row>
        <row r="120">
          <cell r="C120" t="str">
            <v>Research &amp; Development</v>
          </cell>
        </row>
        <row r="121">
          <cell r="C121" t="str">
            <v>Fee Statutory Auditor</v>
          </cell>
        </row>
        <row r="122">
          <cell r="C122" t="str">
            <v>Certification Fee</v>
          </cell>
        </row>
        <row r="123">
          <cell r="C123" t="str">
            <v>Out of Pocket Expenses</v>
          </cell>
        </row>
        <row r="124">
          <cell r="C124" t="str">
            <v>Taxation Fee (Regrp. In leagal &amp; Sectr. Chgs.)</v>
          </cell>
        </row>
        <row r="125">
          <cell r="C125" t="str">
            <v>Donations</v>
          </cell>
        </row>
        <row r="126">
          <cell r="C126" t="str">
            <v>CFG project expenditure</v>
          </cell>
        </row>
        <row r="127">
          <cell r="C127" t="str">
            <v>Other Miscellaneous Expenditure</v>
          </cell>
        </row>
        <row r="128">
          <cell r="C128" t="str">
            <v>Depreciation</v>
          </cell>
        </row>
        <row r="129">
          <cell r="C129" t="str">
            <v>Depreciation on revalued assets</v>
          </cell>
        </row>
        <row r="130">
          <cell r="C130" t="str">
            <v>Interest on Term Loans</v>
          </cell>
        </row>
        <row r="131">
          <cell r="C131" t="str">
            <v>Interest on Debentures</v>
          </cell>
        </row>
        <row r="132">
          <cell r="C132" t="str">
            <v>Cash credit</v>
          </cell>
        </row>
        <row r="133">
          <cell r="C133" t="str">
            <v>Others</v>
          </cell>
        </row>
        <row r="134">
          <cell r="C134" t="str">
            <v>Exchange fluctuation</v>
          </cell>
        </row>
        <row r="135">
          <cell r="C135" t="str">
            <v>Extra Ordinary Item</v>
          </cell>
        </row>
        <row r="136">
          <cell r="C136" t="str">
            <v>Income Tax</v>
          </cell>
        </row>
        <row r="137">
          <cell r="C137" t="str">
            <v>Fringe Benefit Tax</v>
          </cell>
        </row>
        <row r="138">
          <cell r="C138" t="str">
            <v>Proposed Dividend - Equity</v>
          </cell>
        </row>
        <row r="139">
          <cell r="C139" t="str">
            <v>Dividend Tax</v>
          </cell>
        </row>
        <row r="140">
          <cell r="C140" t="str">
            <v>Proposed Dividend - Pref</v>
          </cell>
        </row>
        <row r="141">
          <cell r="C141" t="str">
            <v>Provision for prior period tax</v>
          </cell>
        </row>
        <row r="142">
          <cell r="C142" t="str">
            <v>Provision for tax current year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Financials"/>
      <sheetName val="Schedules"/>
      <sheetName val="Debt Profile"/>
      <sheetName val="Project Indicators"/>
      <sheetName val="Tax"/>
      <sheetName val="Traffic and Toll"/>
      <sheetName val="Original Debt Schedule"/>
      <sheetName val="O&amp;M Expenses"/>
      <sheetName val="4 to 6 Capex"/>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g-11 "/>
      <sheetName val="Aug-11  (2)"/>
    </sheetNames>
    <sheetDataSet>
      <sheetData sheetId="0"/>
      <sheetData sheetId="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DTL "/>
      <sheetName val="234B n C"/>
      <sheetName val="Land"/>
      <sheetName val="Tax"/>
      <sheetName val="MAT"/>
      <sheetName val="Mainpage"/>
      <sheetName val="BS "/>
      <sheetName val="Publication"/>
      <sheetName val="Revnote"/>
      <sheetName val="Stock stmt"/>
      <sheetName val="Entries"/>
      <sheetName val="BS 1.4.15"/>
      <sheetName val="Bsheet"/>
      <sheetName val="P&amp;L "/>
      <sheetName val="SOCIE"/>
      <sheetName val="CF"/>
      <sheetName val="Note 2 &amp; 3"/>
      <sheetName val="Ind AS Note 2"/>
      <sheetName val="Sch 3"/>
      <sheetName val="sch 3 "/>
      <sheetName val="Sch 4"/>
      <sheetName val="Sch 5"/>
      <sheetName val="sch 6-9"/>
      <sheetName val="sch 10-13"/>
      <sheetName val="Sch 14"/>
      <sheetName val="sch 15"/>
      <sheetName val="sch 16"/>
      <sheetName val="sch 16.1"/>
      <sheetName val="sch 17-20"/>
      <sheetName val="sch 21-23"/>
      <sheetName val="Sch 24"/>
      <sheetName val="sch 25-29"/>
      <sheetName val="Sch 27."/>
      <sheetName val="Sch 29.2"/>
      <sheetName val="sch 30-33"/>
      <sheetName val="Sch 34"/>
      <sheetName val="Sch 34-35"/>
      <sheetName val="qty data"/>
      <sheetName val="Sch 36-37"/>
      <sheetName val="Sch 38"/>
      <sheetName val="Sch 39"/>
      <sheetName val="Sch 40"/>
      <sheetName val="Sch 41"/>
      <sheetName val="Sch 41 (2)"/>
      <sheetName val="Sch 42"/>
      <sheetName val="Sch 43"/>
      <sheetName val="Sch 43B"/>
      <sheetName val="Sch 44-55"/>
      <sheetName val="Ind AS Entries"/>
      <sheetName val="Ac ratio data"/>
      <sheetName val="Ac Ratios Sheet2"/>
      <sheetName val="groupings"/>
      <sheetName val="Sheet2"/>
      <sheetName val="tax entries"/>
      <sheetName val="IT De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DTL "/>
      <sheetName val="234B n C"/>
      <sheetName val="Land"/>
      <sheetName val="Tax"/>
      <sheetName val="MAT"/>
      <sheetName val="Mainpage"/>
      <sheetName val="BS "/>
      <sheetName val="Publication"/>
      <sheetName val="Revnote"/>
      <sheetName val="Stock stmt"/>
      <sheetName val="Entries"/>
      <sheetName val="BS 1.4.15"/>
      <sheetName val="Bsheet"/>
      <sheetName val="P&amp;L "/>
      <sheetName val="SOCIE"/>
      <sheetName val="CF"/>
      <sheetName val="Note 2 &amp; 3"/>
      <sheetName val="Ind AS Note 2"/>
      <sheetName val="Sch 3"/>
      <sheetName val="sch 3 "/>
      <sheetName val="Sch 4"/>
      <sheetName val="Sch 5"/>
      <sheetName val="sch 6-9"/>
      <sheetName val="sch 10-13"/>
      <sheetName val="Sch 14"/>
      <sheetName val="sch 15"/>
      <sheetName val="sch 16"/>
      <sheetName val="sch 16.1"/>
      <sheetName val="sch 17-20"/>
      <sheetName val="sch 21-23"/>
      <sheetName val="Sch 24"/>
      <sheetName val="sch 25-29"/>
      <sheetName val="Sch 27."/>
      <sheetName val="Sch 29.2"/>
      <sheetName val="sch 30-33"/>
      <sheetName val="Sch 34"/>
      <sheetName val="Sch 34-35"/>
      <sheetName val="qty data"/>
      <sheetName val="Sch 36-37"/>
      <sheetName val="Sch 38"/>
      <sheetName val="Sch 39"/>
      <sheetName val="Sch 40"/>
      <sheetName val="Sch 41"/>
      <sheetName val="Sch 41 (2)"/>
      <sheetName val="Sch 42"/>
      <sheetName val="Sch 43"/>
      <sheetName val="Sch 43B"/>
      <sheetName val="Sch 44-55"/>
      <sheetName val="Ind AS Entries"/>
      <sheetName val="Ac ratio data"/>
      <sheetName val="Ac Ratios Sheet2"/>
      <sheetName val="groupings"/>
      <sheetName val="Sheet2"/>
      <sheetName val="tax entries"/>
      <sheetName val="IT De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Paramters"/>
      <sheetName val="S4AW"/>
      <sheetName val="FY18(Pre)"/>
      <sheetName val="Debt Split"/>
      <sheetName val="DebtSch"/>
      <sheetName val="PreS4A"/>
      <sheetName val="SEBIPricing"/>
      <sheetName val="FY18(Post)"/>
      <sheetName val="NFB Assessment"/>
      <sheetName val="WCAss &amp; DP"/>
      <sheetName val="Project Energy"/>
      <sheetName val="Assumption "/>
      <sheetName val="BS"/>
      <sheetName val="FF"/>
      <sheetName val="PL"/>
      <sheetName val="Equity"/>
      <sheetName val="Govt.Recv"/>
      <sheetName val="OutDebt (Mar17)"/>
      <sheetName val="IndirectCF"/>
      <sheetName val="BSWRK"/>
      <sheetName val="PLSch"/>
      <sheetName val="PLWRK"/>
      <sheetName val="Tax Computation"/>
      <sheetName val="FY17(PL)"/>
      <sheetName val="PLDet (17)"/>
      <sheetName val="LC detail"/>
      <sheetName val="Sheet8"/>
      <sheetName val="Bank Details"/>
      <sheetName val="Sheet1"/>
      <sheetName val="Sheet2"/>
      <sheetName val="Sheet3"/>
      <sheetName val="Sheet4"/>
      <sheetName val="Sheet5"/>
      <sheetName val="Sheet6"/>
      <sheetName val="Sheet7"/>
      <sheetName val="Sheet9"/>
      <sheetName val="Sheet10"/>
      <sheetName val="Sheet11"/>
      <sheetName val="Sheet12"/>
      <sheetName val="Sheet13"/>
      <sheetName val="Sheet14"/>
      <sheetName val="Sheet15"/>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
          <cell r="C3">
            <v>1</v>
          </cell>
        </row>
      </sheetData>
      <sheetData sheetId="16" refreshError="1"/>
      <sheetData sheetId="17" refreshError="1"/>
      <sheetData sheetId="18" refreshError="1"/>
      <sheetData sheetId="19">
        <row r="77">
          <cell r="E77">
            <v>75.620915176829982</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XPL"/>
      <sheetName val="XBL"/>
      <sheetName val="Balance Sheet"/>
      <sheetName val="Schedule to BS"/>
      <sheetName val="SUB SHED BAL"/>
      <sheetName val="Profit And Loss"/>
      <sheetName val="Schedules to P &amp; L"/>
      <sheetName val="Share Capital"/>
      <sheetName val="Reserves &amp; Surplus"/>
      <sheetName val="Long-Term Borrowings"/>
      <sheetName val="Other Long Term Liabilities"/>
      <sheetName val="Long Term Provisions"/>
      <sheetName val="Short-Term Borrowings "/>
      <sheetName val="Other Current Liabilities"/>
      <sheetName val="Short Term Provisions"/>
      <sheetName val="SUB SHD P&amp;L"/>
      <sheetName val="NCA-Non Current Investments"/>
      <sheetName val="NCA-Lng trm loans &amp; adv "/>
      <sheetName val="NCA-Other nca"/>
      <sheetName val="Current Investments"/>
      <sheetName val="Inventories"/>
      <sheetName val="Trade Receivables"/>
      <sheetName val="Cash and cash equivalents"/>
      <sheetName val="Short term loans and adv"/>
      <sheetName val="Other Curr Assets"/>
      <sheetName val="Cont liabilities and commitment"/>
      <sheetName val="Revenue From operation"/>
      <sheetName val="Other Income"/>
      <sheetName val="Finance Cost"/>
      <sheetName val="Dep _2013Act (2)"/>
      <sheetName val="IT-Depa"/>
      <sheetName val="St. Total Income"/>
      <sheetName val="Cash flow"/>
      <sheetName val="Wealth Tax"/>
      <sheetName val="14-15 SL&amp;UL"/>
      <sheetName val="Mob.Adv"/>
      <sheetName val="Secured Loans"/>
      <sheetName val="Dep Note11"/>
      <sheetName val="Sheet1"/>
      <sheetName val="Sheet2"/>
    </sheetNames>
    <sheetDataSet>
      <sheetData sheetId="0" refreshError="1"/>
      <sheetData sheetId="1" refreshError="1"/>
      <sheetData sheetId="2" refreshError="1"/>
      <sheetData sheetId="3" refreshError="1"/>
      <sheetData sheetId="4" refreshError="1"/>
      <sheetData sheetId="5">
        <row r="133">
          <cell r="C133">
            <v>142968511.02000001</v>
          </cell>
        </row>
      </sheetData>
      <sheetData sheetId="6" refreshError="1"/>
      <sheetData sheetId="7" refreshError="1"/>
      <sheetData sheetId="8" refreshError="1"/>
      <sheetData sheetId="9" refreshError="1"/>
      <sheetData sheetId="10">
        <row r="2">
          <cell r="K2" t="str">
            <v>Yes</v>
          </cell>
        </row>
        <row r="3">
          <cell r="K3" t="str">
            <v>No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XPL"/>
      <sheetName val="XBL"/>
      <sheetName val="Balance Sheet"/>
      <sheetName val="Schedule to BS"/>
      <sheetName val="SUB SHED BAL"/>
      <sheetName val="Profit And Loss"/>
      <sheetName val="Schedules to P &amp; L"/>
      <sheetName val="Share Capital"/>
      <sheetName val="Reserves &amp; Surplus"/>
      <sheetName val="Long-Term Borrowings"/>
      <sheetName val="Other Long Term Liabilities"/>
      <sheetName val="Long Term Provisions"/>
      <sheetName val="Short-Term Borrowings "/>
      <sheetName val="Other Current Liabilities"/>
      <sheetName val="Short Term Provisions"/>
      <sheetName val="SUB SHD P&amp;L"/>
      <sheetName val="NCA-Non Current Investments"/>
      <sheetName val="NCA-Lng trm loans &amp; adv "/>
      <sheetName val="NCA-Other nca"/>
      <sheetName val="Current Investments"/>
      <sheetName val="Inventories"/>
      <sheetName val="Trade Receivables"/>
      <sheetName val="Cash and cash equivalents"/>
      <sheetName val="Short term loans and adv"/>
      <sheetName val="Other Curr Assets"/>
      <sheetName val="Cont liabilities and commitment"/>
      <sheetName val="Revenue From operation"/>
      <sheetName val="Other Income"/>
      <sheetName val="Finance Cost"/>
      <sheetName val="Dep _2013Act (2)"/>
      <sheetName val="IT-Depa"/>
      <sheetName val="St. Total Income"/>
      <sheetName val="Cash flow"/>
      <sheetName val="Wealth Tax"/>
      <sheetName val="14-15 SL&amp;UL"/>
      <sheetName val="Mob.Adv"/>
      <sheetName val="Secured Loans"/>
      <sheetName val="Dep Note11"/>
      <sheetName val="Sheet1"/>
      <sheetName val="Sheet2"/>
    </sheetNames>
    <sheetDataSet>
      <sheetData sheetId="0" refreshError="1"/>
      <sheetData sheetId="1" refreshError="1"/>
      <sheetData sheetId="2" refreshError="1"/>
      <sheetData sheetId="3" refreshError="1"/>
      <sheetData sheetId="4" refreshError="1"/>
      <sheetData sheetId="5">
        <row r="133">
          <cell r="C133">
            <v>142968511.02000001</v>
          </cell>
        </row>
      </sheetData>
      <sheetData sheetId="6" refreshError="1"/>
      <sheetData sheetId="7" refreshError="1"/>
      <sheetData sheetId="8" refreshError="1"/>
      <sheetData sheetId="9" refreshError="1"/>
      <sheetData sheetId="10">
        <row r="2">
          <cell r="K2" t="str">
            <v>Yes</v>
          </cell>
        </row>
        <row r="3">
          <cell r="K3" t="str">
            <v>No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ssumptions-1"/>
      <sheetName val="Assumptions-2"/>
      <sheetName val="Corp Office Format"/>
      <sheetName val="Executive Summary"/>
      <sheetName val="Working for Tech data"/>
      <sheetName val="Tech Data "/>
      <sheetName val="Tech Data Feed &amp; Fuel"/>
      <sheetName val="NG Basic price basic"/>
      <sheetName val="NG, Naphtha &amp; LSHS"/>
      <sheetName val="Estimated cost VC"/>
      <sheetName val="Power &amp; Water"/>
      <sheetName val="Packing Material"/>
      <sheetName val="NG Basic price working"/>
      <sheetName val="Factory cost budget month wise"/>
      <sheetName val="Insurance"/>
      <sheetName val="Chem"/>
      <sheetName val="Depreciation"/>
      <sheetName val="Fixed Cost"/>
      <sheetName val="Other Income"/>
      <sheetName val="sal int details"/>
      <sheetName val="Inv Change"/>
      <sheetName val="salary"/>
      <sheetName val="catalyst"/>
      <sheetName val="NG -Feed Fuel "/>
      <sheetName val="Variable Cost"/>
      <sheetName val="Operations Report- MIS"/>
      <sheetName val="Account Code-wise workings"/>
    </sheetNames>
    <sheetDataSet>
      <sheetData sheetId="0"/>
      <sheetData sheetId="1"/>
      <sheetData sheetId="2"/>
      <sheetData sheetId="3"/>
      <sheetData sheetId="4"/>
      <sheetData sheetId="5"/>
      <sheetData sheetId="6"/>
      <sheetData sheetId="7"/>
      <sheetData sheetId="8"/>
      <sheetData sheetId="9">
        <row r="2">
          <cell r="B2" t="str">
            <v>Natural Gas , Naphtha &amp; LSHS Variable Cost Budget 2010-11</v>
          </cell>
        </row>
        <row r="3">
          <cell r="F3" t="str">
            <v>Rs. Lakhs</v>
          </cell>
        </row>
        <row r="4">
          <cell r="B4" t="str">
            <v>Description</v>
          </cell>
          <cell r="C4" t="str">
            <v>UOM</v>
          </cell>
          <cell r="D4" t="str">
            <v>Budget 2010-2011</v>
          </cell>
          <cell r="E4" t="str">
            <v xml:space="preserve"> Estimated Actuals 2009-2010</v>
          </cell>
          <cell r="F4" t="str">
            <v>Budget 2009-2010</v>
          </cell>
        </row>
        <row r="5">
          <cell r="B5" t="str">
            <v>Production Urea</v>
          </cell>
        </row>
        <row r="6">
          <cell r="B6" t="str">
            <v>Plant-1</v>
          </cell>
          <cell r="C6" t="str">
            <v>MT</v>
          </cell>
          <cell r="D6">
            <v>813750</v>
          </cell>
          <cell r="E6">
            <v>758838</v>
          </cell>
          <cell r="F6">
            <v>760110</v>
          </cell>
        </row>
        <row r="7">
          <cell r="B7" t="str">
            <v>Plant-2</v>
          </cell>
          <cell r="C7" t="str">
            <v>MT</v>
          </cell>
          <cell r="D7">
            <v>798350</v>
          </cell>
          <cell r="E7">
            <v>723200.00000100001</v>
          </cell>
          <cell r="F7">
            <v>724690</v>
          </cell>
        </row>
        <row r="8">
          <cell r="B8" t="str">
            <v>Total Production</v>
          </cell>
          <cell r="C8" t="str">
            <v>MT</v>
          </cell>
          <cell r="D8">
            <v>1612100</v>
          </cell>
          <cell r="E8">
            <v>1482038.000001</v>
          </cell>
          <cell r="F8">
            <v>1484800</v>
          </cell>
        </row>
        <row r="9">
          <cell r="B9" t="str">
            <v>Variable Cost:</v>
          </cell>
        </row>
        <row r="10">
          <cell r="B10" t="str">
            <v xml:space="preserve">NG </v>
          </cell>
        </row>
        <row r="11">
          <cell r="B11" t="str">
            <v xml:space="preserve">  Plant-1</v>
          </cell>
          <cell r="C11" t="str">
            <v>Rs. Lakhs</v>
          </cell>
          <cell r="D11">
            <v>31708.999626084616</v>
          </cell>
          <cell r="E11">
            <v>20472.416038729243</v>
          </cell>
          <cell r="F11">
            <v>30822.84</v>
          </cell>
        </row>
        <row r="12">
          <cell r="B12" t="str">
            <v xml:space="preserve"> Plant-2</v>
          </cell>
          <cell r="C12" t="str">
            <v>Rs. Lakhs</v>
          </cell>
          <cell r="D12">
            <v>41213.1435186487</v>
          </cell>
          <cell r="E12">
            <v>33314.565998278325</v>
          </cell>
          <cell r="F12">
            <v>29007.599999999999</v>
          </cell>
        </row>
        <row r="13">
          <cell r="B13" t="str">
            <v>NG Transportation</v>
          </cell>
          <cell r="C13" t="str">
            <v>Rs. Lakhs</v>
          </cell>
        </row>
        <row r="14">
          <cell r="B14" t="str">
            <v xml:space="preserve">  Plant-1</v>
          </cell>
          <cell r="C14" t="str">
            <v>Rs. Lakhs</v>
          </cell>
          <cell r="D14">
            <v>3546.1878923262107</v>
          </cell>
          <cell r="E14">
            <v>2988.1904760984116</v>
          </cell>
          <cell r="F14">
            <v>3624.27</v>
          </cell>
        </row>
        <row r="15">
          <cell r="B15" t="str">
            <v xml:space="preserve"> Plant-2</v>
          </cell>
          <cell r="C15" t="str">
            <v>Rs. Lakhs</v>
          </cell>
          <cell r="D15">
            <v>5927.7044322786296</v>
          </cell>
          <cell r="E15">
            <v>4819.5085560509015</v>
          </cell>
          <cell r="F15">
            <v>3407.44</v>
          </cell>
        </row>
        <row r="16">
          <cell r="B16" t="str">
            <v xml:space="preserve">Naphtha </v>
          </cell>
        </row>
        <row r="17">
          <cell r="B17" t="str">
            <v xml:space="preserve"> Plant-2</v>
          </cell>
          <cell r="C17" t="str">
            <v>Rs. Lakhs</v>
          </cell>
          <cell r="D17">
            <v>0</v>
          </cell>
          <cell r="E17">
            <v>5533.9210925999996</v>
          </cell>
          <cell r="F17">
            <v>3174.34</v>
          </cell>
        </row>
        <row r="18">
          <cell r="B18" t="str">
            <v xml:space="preserve">LSHS </v>
          </cell>
        </row>
        <row r="19">
          <cell r="B19" t="str">
            <v>Plant-2</v>
          </cell>
          <cell r="C19" t="str">
            <v>Rs. Lakhs</v>
          </cell>
          <cell r="E19">
            <v>362.6278949</v>
          </cell>
        </row>
        <row r="20">
          <cell r="B20" t="str">
            <v>FO</v>
          </cell>
        </row>
        <row r="21">
          <cell r="B21" t="str">
            <v>Plant-2</v>
          </cell>
          <cell r="C21" t="str">
            <v>Rs. Lakhs</v>
          </cell>
          <cell r="E21">
            <v>0.3</v>
          </cell>
        </row>
        <row r="22">
          <cell r="B22" t="str">
            <v>Total Variable Cost</v>
          </cell>
          <cell r="C22" t="str">
            <v>Rs. Lakhs</v>
          </cell>
          <cell r="D22">
            <v>82396.035469338152</v>
          </cell>
          <cell r="E22">
            <v>67491.530056656877</v>
          </cell>
          <cell r="F22">
            <v>70036.489999999991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99"/>
      <sheetName val="SCH99"/>
      <sheetName val="GROUP_99 "/>
      <sheetName val="SCH99_E"/>
      <sheetName val="ASSET_99 "/>
      <sheetName val="BS99 (2)"/>
    </sheetNames>
    <sheetDataSet>
      <sheetData sheetId="0" refreshError="1"/>
      <sheetData sheetId="1" refreshError="1"/>
      <sheetData sheetId="2" refreshError="1"/>
      <sheetData sheetId="3" refreshError="1"/>
      <sheetData sheetId="4" refreshError="1">
        <row r="11">
          <cell r="K11">
            <v>8827615</v>
          </cell>
        </row>
        <row r="17">
          <cell r="K17">
            <v>17500000</v>
          </cell>
        </row>
        <row r="23">
          <cell r="K23">
            <v>133021610</v>
          </cell>
        </row>
        <row r="35">
          <cell r="K35">
            <v>440576783</v>
          </cell>
        </row>
        <row r="42">
          <cell r="K42">
            <v>3637103</v>
          </cell>
        </row>
        <row r="48">
          <cell r="K48">
            <v>3993664</v>
          </cell>
        </row>
        <row r="58">
          <cell r="K58">
            <v>49308665</v>
          </cell>
        </row>
      </sheetData>
      <sheetData sheetId="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q value"/>
      <sheetName val="DSCR Justfn"/>
      <sheetName val="NFCL Post equity"/>
      <sheetName val="AMPL Sh cap"/>
    </sheetNames>
    <sheetDataSet>
      <sheetData sheetId="0">
        <row r="4">
          <cell r="R4" t="str">
            <v>yes</v>
          </cell>
        </row>
        <row r="5">
          <cell r="R5" t="str">
            <v>no</v>
          </cell>
        </row>
      </sheetData>
      <sheetData sheetId="1"/>
      <sheetData sheetId="2"/>
      <sheetData sheetId="3"/>
      <sheetData sheetId="4"/>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ie to be posted"/>
      <sheetName val="comparative Statement"/>
      <sheetName val="Revnote_org"/>
      <sheetName val="Revnote Q1old"/>
      <sheetName val="Revnote Q2"/>
      <sheetName val="Revnote Q1 June 21"/>
      <sheetName val="Mainpage Q1"/>
      <sheetName val="Revnote Q2 Sept 21"/>
      <sheetName val="Mainpage Q2"/>
      <sheetName val="Revnote Q4."/>
      <sheetName val="Revnote Q3 Dec 21"/>
      <sheetName val="Mainpage Q3"/>
      <sheetName val="Mainpage Q3 Previous"/>
      <sheetName val="Mainpage Q2 Con"/>
      <sheetName val="Mainpage (conso)"/>
      <sheetName val="Mainpage Q1 old"/>
      <sheetName val="Mainpage Q4"/>
      <sheetName val="Mainpage Q3 Con Previous"/>
      <sheetName val="Mainpage Q4 Con"/>
      <sheetName val="Publication Q1"/>
      <sheetName val="Publication Q3"/>
      <sheetName val="Revnote Q4 March 2022"/>
      <sheetName val="Mainpage Q4 FY2021-22"/>
      <sheetName val="Mainpage Q3 Con"/>
      <sheetName val="Publication Q2"/>
      <sheetName val="Mainpage  Q2 Con old"/>
      <sheetName val="Publication Q2 old"/>
      <sheetName val="Mainpage Q4 Con FY2021-22"/>
      <sheetName val="Publication Q4"/>
      <sheetName val="BS "/>
      <sheetName val="BS Cons"/>
      <sheetName val="P&amp;L(Consolidated)"/>
      <sheetName val="Bsheet (Consolidated)"/>
      <sheetName val="Detailed BS for cash flow"/>
      <sheetName val="CF (2)"/>
      <sheetName val="Revnote-Board"/>
      <sheetName val="Sheet2"/>
      <sheetName val="Groping as on 29.07.2019"/>
      <sheetName val="tb 08.08.2019"/>
      <sheetName val="data"/>
      <sheetName val="Stock stmt"/>
      <sheetName val="Sheet1"/>
      <sheetName val="DTL "/>
      <sheetName val="234B n C"/>
      <sheetName val="Land_2018"/>
      <sheetName val="Land"/>
      <sheetName val="Sec, 43B"/>
      <sheetName val="Tax"/>
      <sheetName val="MAT"/>
      <sheetName val="JESCO pandl "/>
      <sheetName val="TB"/>
      <sheetName val="groupings"/>
      <sheetName val="NF Balancesheet"/>
      <sheetName val="NF P&amp;L"/>
      <sheetName val="NF SOCE"/>
      <sheetName val="CF (XBRL FORMAT)"/>
      <sheetName val="Bsheet"/>
      <sheetName val="P&amp;L "/>
      <sheetName val="CF"/>
      <sheetName val="CF (cons)"/>
      <sheetName val="CF CONS (XBRL FORMAT)"/>
      <sheetName val="SOCIE"/>
      <sheetName val="Notes"/>
      <sheetName val="Sch 3A"/>
      <sheetName val="Sch - PPE"/>
      <sheetName val="Sch 3B-4"/>
      <sheetName val="Sch 4"/>
      <sheetName val="sch 5-8"/>
      <sheetName val="sch 9-12"/>
      <sheetName val="Sch 13"/>
      <sheetName val="sch 14"/>
      <sheetName val="sch 15"/>
      <sheetName val="sch 15.1"/>
      <sheetName val="sch 16-20"/>
      <sheetName val="sch 21-23"/>
      <sheetName val="Sch 24"/>
      <sheetName val="sch 25-29"/>
      <sheetName val="Sch 29.1"/>
      <sheetName val="sch 30-34"/>
      <sheetName val="Sch 35"/>
      <sheetName val="Sch 36-37"/>
      <sheetName val="qty data"/>
      <sheetName val="Sch 38"/>
      <sheetName val="Sch 39-40"/>
      <sheetName val="Sch 41"/>
      <sheetName val="Sch 42"/>
      <sheetName val="Sch 43-50"/>
      <sheetName val="Ac Ratios Sheet2"/>
      <sheetName val="Ac ratio data"/>
      <sheetName val="Entries"/>
      <sheetName val="IT Dep"/>
      <sheetName val="Forex"/>
      <sheetName val="Minority Interest"/>
      <sheetName val="P&amp;L Summary"/>
      <sheetName val="P&amp;L Schedules with BA"/>
      <sheetName val="P&amp;L Schedules WOut BA"/>
      <sheetName val="BS Schedules with BA"/>
      <sheetName val="BS Summary"/>
      <sheetName val="BS Schedules Wout B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
          <cell r="G1">
            <v>44651</v>
          </cell>
        </row>
      </sheetData>
      <sheetData sheetId="51"/>
      <sheetData sheetId="52"/>
      <sheetData sheetId="53"/>
      <sheetData sheetId="54"/>
      <sheetData sheetId="55"/>
      <sheetData sheetId="56"/>
      <sheetData sheetId="57"/>
      <sheetData sheetId="58"/>
      <sheetData sheetId="59"/>
      <sheetData sheetId="60"/>
      <sheetData sheetId="61"/>
      <sheetData sheetId="62"/>
      <sheetData sheetId="63">
        <row r="16">
          <cell r="D16"/>
        </row>
      </sheetData>
      <sheetData sheetId="64"/>
      <sheetData sheetId="65">
        <row r="40">
          <cell r="D40">
            <v>4296613.4000000004</v>
          </cell>
        </row>
      </sheetData>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34-IT"/>
      <sheetName val="A"/>
      <sheetName val="ng&amp;naph"/>
      <sheetName val="38-IA"/>
      <sheetName val="Mfd Urea format"/>
      <sheetName val="42-Admin"/>
      <sheetName val="44-HPD"/>
      <sheetName val="45-CMC"/>
      <sheetName val="52-L&amp;S"/>
      <sheetName val="61-DELHI"/>
      <sheetName val="53-NISL"/>
      <sheetName val="02-VC&amp;MD"/>
      <sheetName val="36-Corp.Fin"/>
      <sheetName val="65-MUMBAI"/>
      <sheetName val="37-D(O)"/>
      <sheetName val="30-WTD"/>
      <sheetName val="93-CPC"/>
      <sheetName val="94"/>
      <sheetName val="Plant-202"/>
      <sheetName val="Mktg-652"/>
      <sheetName val="AS-463"/>
      <sheetName val="Ficc"/>
      <sheetName val="Prodplan-14"/>
      <sheetName val="Consolidated"/>
      <sheetName val="admin budget"/>
      <sheetName val="Subsidy"/>
    </sheetNames>
    <sheetDataSet>
      <sheetData sheetId="0">
        <row r="2">
          <cell r="D2" t="str">
            <v>Rs.in lacs</v>
          </cell>
        </row>
        <row r="4">
          <cell r="A4" t="str">
            <v>Account Head</v>
          </cell>
          <cell r="B4">
            <v>42</v>
          </cell>
          <cell r="C4">
            <v>61</v>
          </cell>
          <cell r="D4">
            <v>65</v>
          </cell>
        </row>
        <row r="5">
          <cell r="B5" t="str">
            <v>Admin</v>
          </cell>
          <cell r="C5" t="str">
            <v>Delhi</v>
          </cell>
          <cell r="D5" t="str">
            <v>Mumbai</v>
          </cell>
        </row>
        <row r="7">
          <cell r="A7" t="str">
            <v>SALARIES &amp; WAGES</v>
          </cell>
        </row>
        <row r="9">
          <cell r="A9" t="str">
            <v>Salaries</v>
          </cell>
          <cell r="B9">
            <v>27.1</v>
          </cell>
          <cell r="C9">
            <v>12.45</v>
          </cell>
          <cell r="D9">
            <v>2.68</v>
          </cell>
        </row>
        <row r="10">
          <cell r="A10" t="str">
            <v>Contribution to Funds</v>
          </cell>
          <cell r="B10">
            <v>1.5</v>
          </cell>
          <cell r="C10">
            <v>0.54</v>
          </cell>
          <cell r="D10">
            <v>0.15</v>
          </cell>
        </row>
        <row r="11">
          <cell r="A11" t="str">
            <v>Staff Welfare Expenses</v>
          </cell>
          <cell r="B11">
            <v>1.66</v>
          </cell>
          <cell r="C11">
            <v>0.35</v>
          </cell>
          <cell r="D11">
            <v>0.28999999999999998</v>
          </cell>
        </row>
        <row r="12">
          <cell r="A12" t="str">
            <v>Contract Wages</v>
          </cell>
        </row>
        <row r="13">
          <cell r="A13" t="str">
            <v>sub total</v>
          </cell>
          <cell r="B13">
            <v>30.26</v>
          </cell>
          <cell r="C13">
            <v>13.34</v>
          </cell>
          <cell r="D13">
            <v>3.12</v>
          </cell>
        </row>
        <row r="15">
          <cell r="A15" t="str">
            <v>OVERHEADS</v>
          </cell>
        </row>
        <row r="17">
          <cell r="A17" t="str">
            <v>Rent</v>
          </cell>
          <cell r="B17">
            <v>19</v>
          </cell>
          <cell r="C17">
            <v>26.4</v>
          </cell>
          <cell r="D17">
            <v>12</v>
          </cell>
        </row>
        <row r="19">
          <cell r="A19" t="str">
            <v>Rates and Taxes</v>
          </cell>
          <cell r="B19">
            <v>3.3</v>
          </cell>
          <cell r="C19">
            <v>7.5</v>
          </cell>
          <cell r="D19">
            <v>0</v>
          </cell>
        </row>
        <row r="21">
          <cell r="A21" t="str">
            <v>Electricy &amp; Water Chgs</v>
          </cell>
          <cell r="B21">
            <v>36</v>
          </cell>
          <cell r="C21">
            <v>1.8</v>
          </cell>
          <cell r="D21">
            <v>1</v>
          </cell>
        </row>
        <row r="23">
          <cell r="A23" t="str">
            <v>Stores &amp; Spares</v>
          </cell>
          <cell r="B23">
            <v>0</v>
          </cell>
          <cell r="C23">
            <v>0</v>
          </cell>
          <cell r="D23">
            <v>0</v>
          </cell>
        </row>
        <row r="25">
          <cell r="A25" t="str">
            <v>Repairs and Maint.</v>
          </cell>
          <cell r="B25">
            <v>12</v>
          </cell>
          <cell r="C25">
            <v>1.2</v>
          </cell>
          <cell r="D25">
            <v>0.37</v>
          </cell>
        </row>
        <row r="27">
          <cell r="A27" t="str">
            <v>Printing and Stationery</v>
          </cell>
          <cell r="B27">
            <v>0.6</v>
          </cell>
          <cell r="C27">
            <v>0.24</v>
          </cell>
          <cell r="D27">
            <v>0.09</v>
          </cell>
        </row>
        <row r="29">
          <cell r="A29" t="str">
            <v>Post, Telephone, Telex &amp; Fax</v>
          </cell>
          <cell r="B29">
            <v>8</v>
          </cell>
          <cell r="C29">
            <v>1.8</v>
          </cell>
          <cell r="D29">
            <v>0.43</v>
          </cell>
        </row>
        <row r="31">
          <cell r="A31" t="str">
            <v>Travel &amp; Conveyance</v>
          </cell>
          <cell r="B31">
            <v>1.2</v>
          </cell>
          <cell r="C31">
            <v>3.6</v>
          </cell>
          <cell r="D31">
            <v>0.85</v>
          </cell>
        </row>
        <row r="33">
          <cell r="A33" t="str">
            <v>Advertisement &amp; PR Gifts</v>
          </cell>
          <cell r="B33">
            <v>0</v>
          </cell>
          <cell r="C33">
            <v>1.2</v>
          </cell>
          <cell r="D33">
            <v>0</v>
          </cell>
        </row>
        <row r="35">
          <cell r="A35" t="str">
            <v>Recruitment &amp; Training</v>
          </cell>
          <cell r="B35">
            <v>0</v>
          </cell>
          <cell r="C35">
            <v>0</v>
          </cell>
          <cell r="D35">
            <v>0</v>
          </cell>
        </row>
        <row r="37">
          <cell r="A37" t="str">
            <v>Professional Charges</v>
          </cell>
          <cell r="B37">
            <v>0</v>
          </cell>
          <cell r="C37">
            <v>0</v>
          </cell>
          <cell r="D37">
            <v>0</v>
          </cell>
        </row>
        <row r="39">
          <cell r="A39" t="str">
            <v>Auditors remuneration</v>
          </cell>
          <cell r="B39">
            <v>0</v>
          </cell>
          <cell r="C39">
            <v>0</v>
          </cell>
          <cell r="D39">
            <v>0</v>
          </cell>
        </row>
        <row r="41">
          <cell r="A41" t="str">
            <v>Pantry Expenses</v>
          </cell>
          <cell r="B41">
            <v>0.24</v>
          </cell>
          <cell r="C41">
            <v>0.48</v>
          </cell>
          <cell r="D41">
            <v>0.1</v>
          </cell>
        </row>
        <row r="43">
          <cell r="A43" t="str">
            <v>Research &amp; Development</v>
          </cell>
          <cell r="B43">
            <v>0</v>
          </cell>
          <cell r="C43">
            <v>0</v>
          </cell>
          <cell r="D43">
            <v>0</v>
          </cell>
        </row>
        <row r="45">
          <cell r="A45" t="str">
            <v>Write-offs</v>
          </cell>
        </row>
        <row r="47">
          <cell r="A47" t="str">
            <v>Miscellaneous Expenses</v>
          </cell>
          <cell r="B47">
            <v>37.5</v>
          </cell>
          <cell r="C47">
            <v>4.8</v>
          </cell>
          <cell r="D47">
            <v>2.41</v>
          </cell>
        </row>
        <row r="49">
          <cell r="A49" t="str">
            <v>sub total</v>
          </cell>
          <cell r="B49">
            <v>117.84</v>
          </cell>
          <cell r="C49">
            <v>49.02</v>
          </cell>
          <cell r="D49">
            <v>17.25</v>
          </cell>
        </row>
        <row r="51">
          <cell r="A51" t="str">
            <v>Insurance</v>
          </cell>
          <cell r="B51">
            <v>0</v>
          </cell>
          <cell r="C51">
            <v>0.18</v>
          </cell>
          <cell r="D51">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34-IT"/>
      <sheetName val="A"/>
      <sheetName val="ng&amp;naph"/>
      <sheetName val="38-IA"/>
      <sheetName val="Mfd Urea format"/>
      <sheetName val="42-Admin"/>
      <sheetName val="44-HPD"/>
      <sheetName val="45-CMC"/>
      <sheetName val="52-L&amp;S"/>
      <sheetName val="61-DELHI"/>
      <sheetName val="53-NISL"/>
      <sheetName val="02-VC&amp;MD"/>
      <sheetName val="36-Corp.Fin"/>
      <sheetName val="65-MUMBAI"/>
      <sheetName val="37-D(O)"/>
      <sheetName val="30-WTD"/>
      <sheetName val="93-CPC"/>
      <sheetName val="94"/>
      <sheetName val="Plant-202"/>
      <sheetName val="Mktg-652"/>
      <sheetName val="AS-463"/>
      <sheetName val="Ficc"/>
      <sheetName val="Prodplan-14"/>
      <sheetName val="Consolidated"/>
      <sheetName val="admin budget"/>
      <sheetName val="Subsidy"/>
    </sheetNames>
    <sheetDataSet>
      <sheetData sheetId="0" refreshError="1">
        <row r="2">
          <cell r="D2" t="str">
            <v>Rs.in lacs</v>
          </cell>
        </row>
        <row r="4">
          <cell r="A4" t="str">
            <v>Account Head</v>
          </cell>
          <cell r="B4">
            <v>42</v>
          </cell>
          <cell r="C4">
            <v>61</v>
          </cell>
          <cell r="D4">
            <v>65</v>
          </cell>
        </row>
        <row r="5">
          <cell r="B5" t="str">
            <v>Admin</v>
          </cell>
          <cell r="C5" t="str">
            <v>Delhi</v>
          </cell>
          <cell r="D5" t="str">
            <v>Mumbai</v>
          </cell>
        </row>
        <row r="7">
          <cell r="A7" t="str">
            <v>SALARIES &amp; WAGES</v>
          </cell>
        </row>
        <row r="9">
          <cell r="A9" t="str">
            <v>Salaries</v>
          </cell>
          <cell r="B9">
            <v>27.1</v>
          </cell>
          <cell r="C9">
            <v>12.45</v>
          </cell>
          <cell r="D9">
            <v>2.68</v>
          </cell>
        </row>
        <row r="10">
          <cell r="A10" t="str">
            <v>Contribution to Funds</v>
          </cell>
          <cell r="B10">
            <v>1.5</v>
          </cell>
          <cell r="C10">
            <v>0.54</v>
          </cell>
          <cell r="D10">
            <v>0.15</v>
          </cell>
        </row>
        <row r="11">
          <cell r="A11" t="str">
            <v>Staff Welfare Expenses</v>
          </cell>
          <cell r="B11">
            <v>1.66</v>
          </cell>
          <cell r="C11">
            <v>0.35</v>
          </cell>
          <cell r="D11">
            <v>0.28999999999999998</v>
          </cell>
        </row>
        <row r="12">
          <cell r="A12" t="str">
            <v>Contract Wages</v>
          </cell>
        </row>
        <row r="13">
          <cell r="A13" t="str">
            <v>sub total</v>
          </cell>
          <cell r="B13">
            <v>30.26</v>
          </cell>
          <cell r="C13">
            <v>13.34</v>
          </cell>
          <cell r="D13">
            <v>3.12</v>
          </cell>
        </row>
        <row r="15">
          <cell r="A15" t="str">
            <v>OVERHEADS</v>
          </cell>
        </row>
        <row r="17">
          <cell r="A17" t="str">
            <v>Rent</v>
          </cell>
          <cell r="B17">
            <v>19</v>
          </cell>
          <cell r="C17">
            <v>26.4</v>
          </cell>
          <cell r="D17">
            <v>12</v>
          </cell>
        </row>
        <row r="19">
          <cell r="A19" t="str">
            <v>Rates and Taxes</v>
          </cell>
          <cell r="B19">
            <v>3.3</v>
          </cell>
          <cell r="C19">
            <v>7.5</v>
          </cell>
          <cell r="D19">
            <v>0</v>
          </cell>
        </row>
        <row r="21">
          <cell r="A21" t="str">
            <v>Electricy &amp; Water Chgs</v>
          </cell>
          <cell r="B21">
            <v>36</v>
          </cell>
          <cell r="C21">
            <v>1.8</v>
          </cell>
          <cell r="D21">
            <v>1</v>
          </cell>
        </row>
        <row r="23">
          <cell r="A23" t="str">
            <v>Stores &amp; Spares</v>
          </cell>
          <cell r="B23">
            <v>0</v>
          </cell>
          <cell r="C23">
            <v>0</v>
          </cell>
          <cell r="D23">
            <v>0</v>
          </cell>
        </row>
        <row r="25">
          <cell r="A25" t="str">
            <v>Repairs and Maint.</v>
          </cell>
          <cell r="B25">
            <v>12</v>
          </cell>
          <cell r="C25">
            <v>1.2</v>
          </cell>
          <cell r="D25">
            <v>0.37</v>
          </cell>
        </row>
        <row r="27">
          <cell r="A27" t="str">
            <v>Printing and Stationery</v>
          </cell>
          <cell r="B27">
            <v>0.6</v>
          </cell>
          <cell r="C27">
            <v>0.24</v>
          </cell>
          <cell r="D27">
            <v>0.09</v>
          </cell>
        </row>
        <row r="29">
          <cell r="A29" t="str">
            <v>Post, Telephone, Telex &amp; Fax</v>
          </cell>
          <cell r="B29">
            <v>8</v>
          </cell>
          <cell r="C29">
            <v>1.8</v>
          </cell>
          <cell r="D29">
            <v>0.43</v>
          </cell>
        </row>
        <row r="31">
          <cell r="A31" t="str">
            <v>Travel &amp; Conveyance</v>
          </cell>
          <cell r="B31">
            <v>1.2</v>
          </cell>
          <cell r="C31">
            <v>3.6</v>
          </cell>
          <cell r="D31">
            <v>0.85</v>
          </cell>
        </row>
        <row r="33">
          <cell r="A33" t="str">
            <v>Advertisement &amp; PR Gifts</v>
          </cell>
          <cell r="B33">
            <v>0</v>
          </cell>
          <cell r="C33">
            <v>1.2</v>
          </cell>
          <cell r="D33">
            <v>0</v>
          </cell>
        </row>
        <row r="35">
          <cell r="A35" t="str">
            <v>Recruitment &amp; Training</v>
          </cell>
          <cell r="B35">
            <v>0</v>
          </cell>
          <cell r="C35">
            <v>0</v>
          </cell>
          <cell r="D35">
            <v>0</v>
          </cell>
        </row>
        <row r="37">
          <cell r="A37" t="str">
            <v>Professional Charges</v>
          </cell>
          <cell r="B37">
            <v>0</v>
          </cell>
          <cell r="C37">
            <v>0</v>
          </cell>
          <cell r="D37">
            <v>0</v>
          </cell>
        </row>
        <row r="39">
          <cell r="A39" t="str">
            <v>Auditors remuneration</v>
          </cell>
          <cell r="B39">
            <v>0</v>
          </cell>
          <cell r="C39">
            <v>0</v>
          </cell>
          <cell r="D39">
            <v>0</v>
          </cell>
        </row>
        <row r="41">
          <cell r="A41" t="str">
            <v>Pantry Expenses</v>
          </cell>
          <cell r="B41">
            <v>0.24</v>
          </cell>
          <cell r="C41">
            <v>0.48</v>
          </cell>
          <cell r="D41">
            <v>0.1</v>
          </cell>
        </row>
        <row r="43">
          <cell r="A43" t="str">
            <v>Research &amp; Development</v>
          </cell>
          <cell r="B43">
            <v>0</v>
          </cell>
          <cell r="C43">
            <v>0</v>
          </cell>
          <cell r="D43">
            <v>0</v>
          </cell>
        </row>
        <row r="45">
          <cell r="A45" t="str">
            <v>Write-offs</v>
          </cell>
        </row>
        <row r="47">
          <cell r="A47" t="str">
            <v>Miscellaneous Expenses</v>
          </cell>
          <cell r="B47">
            <v>37.5</v>
          </cell>
          <cell r="C47">
            <v>4.8</v>
          </cell>
          <cell r="D47">
            <v>2.41</v>
          </cell>
        </row>
        <row r="49">
          <cell r="A49" t="str">
            <v>sub total</v>
          </cell>
          <cell r="B49">
            <v>117.84</v>
          </cell>
          <cell r="C49">
            <v>49.02</v>
          </cell>
          <cell r="D49">
            <v>17.25</v>
          </cell>
        </row>
        <row r="51">
          <cell r="A51" t="str">
            <v>Insurance</v>
          </cell>
          <cell r="B51">
            <v>0</v>
          </cell>
          <cell r="C51">
            <v>0.18</v>
          </cell>
          <cell r="D51">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al RM 05-06 upto Jul05"/>
      <sheetName val="PIVOT IO+CC"/>
      <sheetName val="VALUED PIVOT IO+CC"/>
      <sheetName val="VALUED PIVOT ACC CC 05-06"/>
      <sheetName val="for Aug"/>
      <sheetName val="CC LINESAPR-05 TO JUL- 05"/>
      <sheetName val="05-06 - IO+CC 300805"/>
      <sheetName val="PIVOT ACC CC 05-06"/>
      <sheetName val="PIVOT CC ACC 05-06"/>
      <sheetName val="RAW"/>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al RM 05-06 upto Jul05"/>
      <sheetName val="PIVOT IO+CC"/>
      <sheetName val="VALUED PIVOT IO+CC"/>
      <sheetName val="VALUED PIVOT ACC CC 05-06"/>
      <sheetName val="for Aug"/>
      <sheetName val="CC LINESAPR-05 TO JUL- 05"/>
      <sheetName val="05-06 - IO+CC 300805"/>
      <sheetName val="PIVOT ACC CC 05-06"/>
      <sheetName val="PIVOT CC ACC 05-06"/>
      <sheetName val="RAW"/>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Author" id="{A10F44C9-7127-460A-91F4-801FFEC79229}" userId="Author" providerId="None"/>
  <person displayName="Mayank K Goel" id="{A9467BEF-7052-4180-BB6A-283D02E42A44}" userId="S::mayank.k.goel@pwc.com::fbc84c78-619c-4ab7-9d56-f0b62741fa4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28" dT="2020-04-17T05:15:03.07" personId="{A10F44C9-7127-460A-91F4-801FFEC79229}" id="{E456D756-A9DC-4F8B-ACC7-C1C8C008FA1F}">
    <text>Abolished now under Budget 2020 changes</text>
  </threadedComment>
</ThreadedComments>
</file>

<file path=xl/threadedComments/threadedComment2.xml><?xml version="1.0" encoding="utf-8"?>
<ThreadedComments xmlns="http://schemas.microsoft.com/office/spreadsheetml/2018/threadedcomments" xmlns:x="http://schemas.openxmlformats.org/spreadsheetml/2006/main">
  <threadedComment ref="J3" dT="2019-10-25T12:52:48.86" personId="{A9467BEF-7052-4180-BB6A-283D02E42A44}" id="{96568613-8FCD-49E8-B5C3-AC916C58A3A4}">
    <text>land of Rs. 128 Cr to be sold</text>
  </threadedComment>
  <threadedComment ref="H10" dT="2019-10-25T13:14:44.15" personId="{A9467BEF-7052-4180-BB6A-283D02E42A44}" id="{CA1D3484-5995-4E95-837F-D654CA185D0A}">
    <text>Rs. 55.1 Cr of reliance marking margin shifted to other current assets - which is assumed to be not recovered in future</text>
  </threadedComment>
  <threadedComment ref="H10" dT="2020-01-15T08:29:16.18" personId="{A10F44C9-7127-460A-91F4-801FFEC79229}" id="{CFBF30C3-B3F4-4714-BE63-389DF9963B34}" parentId="{CA1D3484-5995-4E95-837F-D654CA185D0A}">
    <text>Additional Fixed cost above the reassessed quantity (Rs. 665 PMT) valuing at Rs 56 Crs will not be realised and to be written off
At present for model purpose, it is considered in other current asset which are not realized in future</text>
  </threadedComment>
  <threadedComment ref="J14" dT="2020-01-23T11:12:04.02" personId="{A10F44C9-7127-460A-91F4-801FFEC79229}" id="{1D0D4483-775A-4E34-ABF5-E2A3823B034D}">
    <text>Non-cash item, receivables written-off
1) Rs. 56 Cr - Additional Fixed cost above the reassessed quantity (Rs. 665 PMT) valuing at Rs 56 Crs will not be realised and to be written off
At present for model purpose, it is considered in other current asset which are not realized in future
2) Rs. 55.1 Cr - Reliance Marketing Margins</text>
  </threadedComment>
  <threadedComment ref="H34" dT="2019-11-09T04:12:36.67" personId="{A10F44C9-7127-460A-91F4-801FFEC79229}" id="{C7C7382A-8B29-4E1D-8081-A0C4D3DFFA32}">
    <text>Rs. 78.5 Cr is deposits from dealer and Rs. 4.35 Cr is provisions</text>
  </threadedComment>
  <threadedComment ref="J41" dT="2020-02-09T05:41:29.94" personId="{A10F44C9-7127-460A-91F4-801FFEC79229}" id="{A8A999CE-D6C4-4C77-8AD2-C1B6807B2E58}">
    <text>Rs. 13.56 Cr of statutory liabilities, Rs. 52 Cr of capex creditors and employee related liabilities are assumed to be realized in FY21</text>
  </threadedComment>
</ThreadedComments>
</file>

<file path=xl/threadedComments/threadedComment3.xml><?xml version="1.0" encoding="utf-8"?>
<ThreadedComments xmlns="http://schemas.microsoft.com/office/spreadsheetml/2018/threadedcomments" xmlns:x="http://schemas.openxmlformats.org/spreadsheetml/2006/main">
  <threadedComment ref="D80" dT="2020-02-03T17:28:47.06" personId="{A10F44C9-7127-460A-91F4-801FFEC79229}" id="{758E1E6F-C83C-44F2-9CBC-6EE5443F3DEE}">
    <text>Interest on Pool Urea of Rs. 6.90 Cr and Rs. 9.67 Cr of interest to GAIL</text>
  </threadedComment>
</ThreadedComments>
</file>

<file path=xl/threadedComments/threadedComment4.xml><?xml version="1.0" encoding="utf-8"?>
<ThreadedComments xmlns="http://schemas.microsoft.com/office/spreadsheetml/2018/threadedcomments" xmlns:x="http://schemas.openxmlformats.org/spreadsheetml/2006/main">
  <threadedComment ref="D35" dT="2019-11-13T18:56:09.96" personId="{A10F44C9-7127-460A-91F4-801FFEC79229}" id="{336EDA84-5330-46DA-AD7E-95FD47203755}">
    <text>Rs. 903 Cr of business loss considered by Company for Corporate tax and Rs. 1016 Cr considered for MAT tax calculations</text>
  </threadedComment>
  <threadedComment ref="E35" dT="2019-11-13T18:56:09.96" personId="{A10F44C9-7127-460A-91F4-801FFEC79229}" id="{EB43A162-0A79-4ADD-86AB-4FCA0292DCC5}">
    <text>Rs. 903 Cr of business loss considered by Company for Corporate tax and Rs. 1016 Cr considered for MAT tax calculations</text>
  </threadedComment>
  <threadedComment ref="F35" dT="2019-11-13T18:56:09.96" personId="{A10F44C9-7127-460A-91F4-801FFEC79229}" id="{B8BBE6C5-594F-4CE7-866D-584B843BF468}">
    <text>Rs. 903 Cr of business loss considered by Company for Corporate tax and Rs. 1016 Cr considered for MAT tax calculations</text>
  </threadedComment>
  <threadedComment ref="G35" dT="2019-11-13T18:56:09.96" personId="{A10F44C9-7127-460A-91F4-801FFEC79229}" id="{0A09D1EC-EA2F-47A0-A65F-51775EAB849C}">
    <text>Rs. 903 Cr of business loss considered by Company for Corporate tax and Rs. 1016 Cr considered for MAT tax calculations</text>
  </threadedComment>
  <threadedComment ref="H35" dT="2019-11-13T18:56:09.96" personId="{A10F44C9-7127-460A-91F4-801FFEC79229}" id="{16776225-EC5C-4D29-8C07-5227CBC925FA}">
    <text>Rs. 903 Cr of business loss considered by Company for Corporate tax and Rs. 1016 Cr considered for MAT tax calculations</text>
  </threadedComment>
  <threadedComment ref="I35" dT="2019-11-13T18:56:09.96" personId="{A10F44C9-7127-460A-91F4-801FFEC79229}" id="{A4D495CB-2303-40FC-9EF3-2F441CD44A24}">
    <text>Rs. 903 Cr of business loss considered by Company for Corporate tax and Rs. 1016 Cr considered for MAT tax calculations</text>
  </threadedComment>
  <threadedComment ref="J35" dT="2019-11-13T18:56:09.96" personId="{A10F44C9-7127-460A-91F4-801FFEC79229}" id="{F5BEAE52-3766-49EB-A7F2-E4B5C69DD0E8}">
    <text>Rs. 903 Cr of business loss considered by Company for Corporate tax and Rs. 1016 Cr considered for MAT tax calculations</text>
  </threadedComment>
  <threadedComment ref="K35" dT="2019-11-13T18:56:09.96" personId="{A10F44C9-7127-460A-91F4-801FFEC79229}" id="{C176733D-1228-4882-BEBC-EC6EAC5DCC8F}">
    <text>Rs. 903 Cr of business loss considered by Company for Corporate tax and Rs. 1016 Cr considered for MAT tax calculations</text>
  </threadedComment>
  <threadedComment ref="L35" dT="2019-11-13T18:56:09.96" personId="{A10F44C9-7127-460A-91F4-801FFEC79229}" id="{DA9C0AD1-8D17-4318-B506-6B996B0E2192}">
    <text>Rs. 903 Cr of business loss considered by Company for Corporate tax and Rs. 1016 Cr considered for MAT tax calculations</text>
  </threadedComment>
  <threadedComment ref="M35" dT="2019-11-13T18:56:09.96" personId="{A10F44C9-7127-460A-91F4-801FFEC79229}" id="{4C5606D8-7862-4E9E-85EB-FAE0539C8CF9}">
    <text>Rs. 903 Cr of business loss considered by Company for Corporate tax and Rs. 1016 Cr considered for MAT tax calculations</text>
  </threadedComment>
  <threadedComment ref="N35" dT="2019-11-13T18:56:09.96" personId="{A10F44C9-7127-460A-91F4-801FFEC79229}" id="{7643A3F1-A754-4028-96E6-4A66AEF7BF35}">
    <text>Rs. 903 Cr of business loss considered by Company for Corporate tax and Rs. 1016 Cr considered for MAT tax calculations</text>
  </threadedComment>
  <threadedComment ref="O35" dT="2019-11-13T18:56:09.96" personId="{A10F44C9-7127-460A-91F4-801FFEC79229}" id="{E428BF62-334A-4C6D-8E5B-8B4858976A59}">
    <text>Rs. 903 Cr of business loss considered by Company for Corporate tax and Rs. 1016 Cr considered for MAT tax calculations</text>
  </threadedComment>
  <threadedComment ref="P35" dT="2019-11-13T18:56:09.96" personId="{A10F44C9-7127-460A-91F4-801FFEC79229}" id="{1094F5B2-E7A5-4F10-919A-635BD4847B28}">
    <text>Rs. 903 Cr of business loss considered by Company for Corporate tax and Rs. 1016 Cr considered for MAT tax calculations</text>
  </threadedComment>
  <threadedComment ref="Q35" dT="2019-11-13T18:56:09.96" personId="{A10F44C9-7127-460A-91F4-801FFEC79229}" id="{8577FB5E-F382-475F-BA0C-3FA18CB09507}">
    <text>Rs. 903 Cr of business loss considered by Company for Corporate tax and Rs. 1016 Cr considered for MAT tax calculations</text>
  </threadedComment>
  <threadedComment ref="R35" dT="2019-11-13T18:56:09.96" personId="{A10F44C9-7127-460A-91F4-801FFEC79229}" id="{33819049-ED82-4FD5-843A-E8E85F72129B}">
    <text>Rs. 903 Cr of business loss considered by Company for Corporate tax and Rs. 1016 Cr considered for MAT tax calculations</text>
  </threadedComment>
  <threadedComment ref="S35" dT="2019-11-13T18:56:09.96" personId="{A10F44C9-7127-460A-91F4-801FFEC79229}" id="{838CAFAD-2462-4B67-887C-7385EF5FA27F}">
    <text>Rs. 903 Cr of business loss considered by Company for Corporate tax and Rs. 1016 Cr considered for MAT tax calculations</text>
  </threadedComment>
  <threadedComment ref="T35" dT="2019-11-13T18:56:09.96" personId="{A10F44C9-7127-460A-91F4-801FFEC79229}" id="{FF5EA870-AF1F-4DA2-B16D-5E8EBD9A4FFB}">
    <text>Rs. 903 Cr of business loss considered by Company for Corporate tax and Rs. 1016 Cr considered for MAT tax calculations</text>
  </threadedComment>
  <threadedComment ref="U35" dT="2019-11-13T18:56:09.96" personId="{A10F44C9-7127-460A-91F4-801FFEC79229}" id="{B62FA3C1-2030-4435-A764-FA10C1257662}">
    <text>Rs. 903 Cr of business loss considered by Company for Corporate tax and Rs. 1016 Cr considered for MAT tax calculations</text>
  </threadedComment>
  <threadedComment ref="V35" dT="2019-11-13T18:56:09.96" personId="{A10F44C9-7127-460A-91F4-801FFEC79229}" id="{21BE7E12-9F02-49BF-9837-6950C5D59B5F}">
    <text>Rs. 903 Cr of business loss considered by Company for Corporate tax and Rs. 1016 Cr considered for MAT tax calculations</text>
  </threadedComment>
  <threadedComment ref="W35" dT="2019-11-13T18:56:09.96" personId="{A10F44C9-7127-460A-91F4-801FFEC79229}" id="{2BD3F521-5BF4-481A-ABCA-CFBAFA8D97E9}">
    <text>Rs. 903 Cr of business loss considered by Company for Corporate tax and Rs. 1016 Cr considered for MAT tax calculations</text>
  </threadedComment>
  <threadedComment ref="X35" dT="2019-11-13T18:56:09.96" personId="{A10F44C9-7127-460A-91F4-801FFEC79229}" id="{87DC2912-1D13-490F-8B29-D74ACAEAD93A}">
    <text>Rs. 903 Cr of business loss considered by Company for Corporate tax and Rs. 1016 Cr considered for MAT tax calculations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microsoft.com/office/2017/10/relationships/threadedComment" Target="../threadedComments/threadedComment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showGridLines="0" topLeftCell="A2" workbookViewId="0">
      <selection activeCell="C17" sqref="C17"/>
    </sheetView>
  </sheetViews>
  <sheetFormatPr defaultRowHeight="18.75"/>
  <cols>
    <col min="1" max="1" width="9.140625" style="497"/>
    <col min="2" max="2" width="6.5703125" style="497" bestFit="1" customWidth="1"/>
    <col min="3" max="3" width="56.140625" style="497" customWidth="1"/>
    <col min="4" max="4" width="12.7109375" style="497" bestFit="1" customWidth="1"/>
    <col min="5" max="10" width="9.7109375" style="497" bestFit="1" customWidth="1"/>
    <col min="11" max="11" width="12.5703125" style="502" bestFit="1" customWidth="1"/>
    <col min="12" max="16384" width="9.140625" style="497"/>
  </cols>
  <sheetData>
    <row r="1" spans="1:11">
      <c r="B1" s="504"/>
    </row>
    <row r="2" spans="1:11">
      <c r="B2" s="504"/>
    </row>
    <row r="3" spans="1:11">
      <c r="D3" s="1232"/>
      <c r="E3" s="1232"/>
      <c r="F3" s="1232"/>
      <c r="G3" s="1232"/>
      <c r="H3" s="1232"/>
      <c r="I3" s="1232"/>
      <c r="J3" s="1232"/>
      <c r="K3" s="1232"/>
    </row>
    <row r="4" spans="1:11">
      <c r="D4" s="1082"/>
      <c r="E4" s="1082"/>
      <c r="F4" s="1082"/>
      <c r="G4" s="1082"/>
      <c r="H4" s="1082"/>
      <c r="I4" s="1082"/>
      <c r="J4" s="1082"/>
    </row>
    <row r="5" spans="1:11">
      <c r="D5" s="502"/>
      <c r="E5" s="502"/>
      <c r="F5" s="502"/>
      <c r="G5" s="502"/>
      <c r="H5" s="502"/>
      <c r="I5" s="502"/>
      <c r="J5" s="502"/>
    </row>
    <row r="6" spans="1:11">
      <c r="K6" s="498"/>
    </row>
    <row r="7" spans="1:11" s="499" customFormat="1">
      <c r="B7" s="899"/>
      <c r="C7" s="899"/>
      <c r="D7" s="900"/>
      <c r="E7" s="900"/>
      <c r="F7" s="900"/>
      <c r="G7" s="900"/>
      <c r="H7" s="900"/>
      <c r="I7" s="900"/>
      <c r="J7" s="900"/>
      <c r="K7" s="901"/>
    </row>
    <row r="9" spans="1:11">
      <c r="B9" s="500"/>
      <c r="D9" s="501"/>
      <c r="E9" s="501"/>
      <c r="F9" s="501"/>
      <c r="G9" s="501"/>
      <c r="H9" s="501"/>
      <c r="I9" s="501"/>
      <c r="J9" s="501"/>
      <c r="K9" s="505"/>
    </row>
    <row r="10" spans="1:11">
      <c r="A10" s="905"/>
      <c r="B10" s="500"/>
      <c r="C10" s="935"/>
      <c r="D10" s="501"/>
      <c r="E10" s="501"/>
      <c r="F10" s="501"/>
      <c r="G10" s="501"/>
      <c r="H10" s="501"/>
      <c r="I10" s="501"/>
      <c r="J10" s="501"/>
      <c r="K10" s="505"/>
    </row>
    <row r="11" spans="1:11">
      <c r="B11" s="500"/>
      <c r="C11" s="936"/>
      <c r="D11" s="501"/>
      <c r="E11" s="501"/>
      <c r="F11" s="501"/>
      <c r="G11" s="501"/>
      <c r="H11" s="501"/>
      <c r="I11" s="501"/>
      <c r="J11" s="501"/>
      <c r="K11" s="505"/>
    </row>
    <row r="12" spans="1:11">
      <c r="A12" s="934"/>
      <c r="B12" s="500"/>
      <c r="C12" s="936"/>
      <c r="D12" s="950"/>
      <c r="E12" s="950"/>
      <c r="F12" s="950"/>
      <c r="G12" s="950"/>
      <c r="H12" s="950"/>
      <c r="I12" s="950"/>
      <c r="J12" s="950"/>
      <c r="K12" s="505"/>
    </row>
    <row r="13" spans="1:11">
      <c r="B13" s="500"/>
      <c r="C13" s="935"/>
      <c r="D13" s="501"/>
      <c r="E13" s="501"/>
      <c r="F13" s="501"/>
      <c r="G13" s="501"/>
      <c r="H13" s="501"/>
      <c r="I13" s="501"/>
      <c r="J13" s="501"/>
      <c r="K13" s="505"/>
    </row>
    <row r="14" spans="1:11">
      <c r="B14" s="500"/>
      <c r="C14" s="935"/>
      <c r="D14" s="950"/>
      <c r="E14" s="950"/>
      <c r="F14" s="950"/>
      <c r="G14" s="950"/>
      <c r="H14" s="950"/>
      <c r="I14" s="950"/>
      <c r="J14" s="950"/>
      <c r="K14" s="505"/>
    </row>
    <row r="15" spans="1:11">
      <c r="A15" s="934"/>
      <c r="B15" s="500"/>
      <c r="C15" s="935"/>
      <c r="D15" s="950"/>
      <c r="E15" s="950"/>
      <c r="F15" s="950"/>
      <c r="G15" s="950"/>
      <c r="H15" s="950"/>
      <c r="I15" s="950"/>
      <c r="J15" s="950"/>
      <c r="K15" s="505"/>
    </row>
    <row r="16" spans="1:11">
      <c r="B16" s="500"/>
      <c r="C16" s="896"/>
      <c r="D16" s="501"/>
      <c r="E16" s="501"/>
      <c r="F16" s="501"/>
      <c r="G16" s="501"/>
      <c r="H16" s="501"/>
      <c r="I16" s="501"/>
      <c r="J16" s="501"/>
      <c r="K16" s="505"/>
    </row>
    <row r="17" spans="3:13">
      <c r="D17" s="501"/>
      <c r="E17" s="501"/>
      <c r="F17" s="501"/>
      <c r="G17" s="501"/>
      <c r="H17" s="501"/>
      <c r="I17" s="501"/>
      <c r="J17" s="501"/>
      <c r="K17" s="505"/>
    </row>
    <row r="18" spans="3:13" s="504" customFormat="1">
      <c r="D18" s="505"/>
      <c r="E18" s="505"/>
      <c r="F18" s="505"/>
      <c r="G18" s="505"/>
      <c r="H18" s="505"/>
      <c r="I18" s="505"/>
      <c r="J18" s="505"/>
      <c r="K18" s="505"/>
    </row>
    <row r="20" spans="3:13">
      <c r="C20" s="1083"/>
      <c r="D20" s="503"/>
      <c r="E20" s="503"/>
      <c r="F20" s="503"/>
      <c r="G20" s="503"/>
      <c r="H20" s="503"/>
      <c r="I20" s="503"/>
      <c r="J20" s="503"/>
    </row>
    <row r="22" spans="3:13" s="504" customFormat="1">
      <c r="D22" s="505"/>
      <c r="E22" s="505"/>
      <c r="F22" s="505"/>
      <c r="G22" s="505"/>
      <c r="H22" s="505"/>
      <c r="I22" s="505"/>
      <c r="J22" s="505"/>
      <c r="K22" s="505"/>
      <c r="M22" s="515"/>
    </row>
    <row r="24" spans="3:13">
      <c r="D24" s="1084"/>
    </row>
  </sheetData>
  <mergeCells count="1">
    <mergeCell ref="D3:K3"/>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142"/>
  <sheetViews>
    <sheetView showGridLines="0" zoomScaleNormal="100" workbookViewId="0">
      <selection activeCell="F10" sqref="F10"/>
    </sheetView>
  </sheetViews>
  <sheetFormatPr defaultColWidth="9.140625" defaultRowHeight="12.75"/>
  <cols>
    <col min="1" max="1" width="13" style="3" customWidth="1"/>
    <col min="2" max="2" width="31.85546875" style="1" customWidth="1"/>
    <col min="3" max="3" width="33.7109375" style="1" customWidth="1"/>
    <col min="4" max="24" width="9.140625" style="3" customWidth="1"/>
    <col min="25" max="64" width="9.140625" style="1" customWidth="1"/>
    <col min="65" max="16384" width="9.140625" style="1"/>
  </cols>
  <sheetData>
    <row r="1" spans="1:30">
      <c r="C1" s="281"/>
      <c r="D1" s="11"/>
      <c r="E1" s="7"/>
    </row>
    <row r="2" spans="1:30">
      <c r="B2" s="68" t="s">
        <v>390</v>
      </c>
      <c r="E2" s="59">
        <v>1</v>
      </c>
      <c r="F2" s="59">
        <f>E2+1</f>
        <v>2</v>
      </c>
      <c r="G2" s="59">
        <f t="shared" ref="G2:X2" si="0">F2+1</f>
        <v>3</v>
      </c>
      <c r="H2" s="59">
        <f t="shared" si="0"/>
        <v>4</v>
      </c>
      <c r="I2" s="59">
        <f t="shared" si="0"/>
        <v>5</v>
      </c>
      <c r="J2" s="59">
        <f t="shared" si="0"/>
        <v>6</v>
      </c>
      <c r="K2" s="59">
        <f t="shared" si="0"/>
        <v>7</v>
      </c>
      <c r="L2" s="59">
        <f t="shared" si="0"/>
        <v>8</v>
      </c>
      <c r="M2" s="59">
        <f t="shared" si="0"/>
        <v>9</v>
      </c>
      <c r="N2" s="59">
        <f t="shared" si="0"/>
        <v>10</v>
      </c>
      <c r="O2" s="59">
        <f t="shared" si="0"/>
        <v>11</v>
      </c>
      <c r="P2" s="59">
        <f t="shared" si="0"/>
        <v>12</v>
      </c>
      <c r="Q2" s="59">
        <f t="shared" si="0"/>
        <v>13</v>
      </c>
      <c r="R2" s="59">
        <f t="shared" si="0"/>
        <v>14</v>
      </c>
      <c r="S2" s="59">
        <f t="shared" si="0"/>
        <v>15</v>
      </c>
      <c r="T2" s="59">
        <f t="shared" si="0"/>
        <v>16</v>
      </c>
      <c r="U2" s="59">
        <f t="shared" si="0"/>
        <v>17</v>
      </c>
      <c r="V2" s="59">
        <f t="shared" si="0"/>
        <v>18</v>
      </c>
      <c r="W2" s="59">
        <f t="shared" si="0"/>
        <v>19</v>
      </c>
      <c r="X2" s="59">
        <f t="shared" si="0"/>
        <v>20</v>
      </c>
      <c r="Y2" s="59">
        <f>X2+1</f>
        <v>21</v>
      </c>
      <c r="Z2" s="59">
        <f>Y2+1</f>
        <v>22</v>
      </c>
      <c r="AA2" s="59">
        <f>Z2+1</f>
        <v>23</v>
      </c>
      <c r="AB2" s="59">
        <f>AA2+1</f>
        <v>24</v>
      </c>
      <c r="AC2" s="59">
        <f>AB2+1</f>
        <v>25</v>
      </c>
      <c r="AD2" s="59"/>
    </row>
    <row r="3" spans="1:30">
      <c r="D3" s="52"/>
      <c r="E3" s="52"/>
      <c r="F3" s="52"/>
      <c r="G3" s="52"/>
      <c r="H3" s="52"/>
      <c r="I3" s="52"/>
      <c r="J3" s="52"/>
      <c r="K3" s="52"/>
      <c r="L3" s="52"/>
      <c r="M3" s="52"/>
      <c r="N3" s="52"/>
      <c r="O3" s="52"/>
      <c r="P3" s="52"/>
      <c r="Q3" s="52"/>
      <c r="R3" s="52"/>
      <c r="S3" s="52"/>
      <c r="T3" s="52"/>
      <c r="U3" s="52" t="str">
        <f>Fin_Statements!Z115</f>
        <v/>
      </c>
      <c r="V3" s="52" t="str">
        <f>Fin_Statements!AA115</f>
        <v/>
      </c>
      <c r="W3" s="52" t="str">
        <f>Fin_Statements!AB115</f>
        <v/>
      </c>
      <c r="X3" s="52" t="str">
        <f>Fin_Statements!AC115</f>
        <v/>
      </c>
    </row>
    <row r="4" spans="1:30">
      <c r="B4" s="23" t="s">
        <v>295</v>
      </c>
      <c r="C4" s="23"/>
      <c r="D4" s="4">
        <f>'P&amp;L'!D3</f>
        <v>43921</v>
      </c>
      <c r="E4" s="4">
        <f>'P&amp;L'!E3</f>
        <v>44286</v>
      </c>
      <c r="F4" s="4">
        <f>'P&amp;L'!F3</f>
        <v>44651</v>
      </c>
      <c r="G4" s="4">
        <f>'P&amp;L'!G3</f>
        <v>45016</v>
      </c>
      <c r="H4" s="4">
        <f>'P&amp;L'!H3</f>
        <v>45382</v>
      </c>
      <c r="I4" s="4">
        <f>'P&amp;L'!I3</f>
        <v>45747</v>
      </c>
      <c r="J4" s="4">
        <f>'P&amp;L'!J3</f>
        <v>46112</v>
      </c>
      <c r="K4" s="4">
        <f>'P&amp;L'!K3</f>
        <v>46477</v>
      </c>
      <c r="L4" s="4">
        <f>'P&amp;L'!L3</f>
        <v>46843</v>
      </c>
      <c r="M4" s="4">
        <f>'P&amp;L'!M3</f>
        <v>47208</v>
      </c>
      <c r="N4" s="4">
        <f>'P&amp;L'!N3</f>
        <v>47573</v>
      </c>
      <c r="O4" s="4">
        <f>'P&amp;L'!O3</f>
        <v>47938</v>
      </c>
      <c r="P4" s="4">
        <f>'P&amp;L'!P3</f>
        <v>48304</v>
      </c>
      <c r="Q4" s="4">
        <f>'P&amp;L'!Q3</f>
        <v>48669</v>
      </c>
      <c r="R4" s="4">
        <f>'P&amp;L'!R3</f>
        <v>49034</v>
      </c>
      <c r="S4" s="4">
        <f>'P&amp;L'!S3</f>
        <v>49399</v>
      </c>
      <c r="T4" s="4">
        <f>'P&amp;L'!T3</f>
        <v>49765</v>
      </c>
      <c r="U4" s="4">
        <f>'P&amp;L'!U3</f>
        <v>50130</v>
      </c>
      <c r="V4" s="4">
        <f>'P&amp;L'!V3</f>
        <v>50495</v>
      </c>
      <c r="W4" s="4">
        <f>'P&amp;L'!W3</f>
        <v>50860</v>
      </c>
      <c r="X4" s="4">
        <f>'P&amp;L'!X3</f>
        <v>51226</v>
      </c>
      <c r="Y4" s="4">
        <f>EOMONTH(X4,12)</f>
        <v>51591</v>
      </c>
      <c r="Z4" s="4">
        <f>EOMONTH(Y4,12)</f>
        <v>51956</v>
      </c>
      <c r="AA4" s="4">
        <f>EOMONTH(Z4,12)</f>
        <v>52321</v>
      </c>
      <c r="AB4" s="4">
        <f>EOMONTH(AA4,12)</f>
        <v>52687</v>
      </c>
      <c r="AC4" s="4">
        <f>EOMONTH(AB4,12)</f>
        <v>53052</v>
      </c>
    </row>
    <row r="5" spans="1:30">
      <c r="B5" s="1" t="s">
        <v>120</v>
      </c>
      <c r="D5" s="7">
        <f>Assumptions!C135</f>
        <v>0</v>
      </c>
      <c r="E5" s="7">
        <f>473+2.85</f>
        <v>475.85</v>
      </c>
      <c r="F5" s="7">
        <f>E7</f>
        <v>475.85</v>
      </c>
      <c r="G5" s="7">
        <f t="shared" ref="G5:Q5" si="1">F7</f>
        <v>475.85</v>
      </c>
      <c r="H5" s="7">
        <f t="shared" si="1"/>
        <v>475.85</v>
      </c>
      <c r="I5" s="7">
        <f t="shared" si="1"/>
        <v>475.85</v>
      </c>
      <c r="J5" s="7">
        <f t="shared" si="1"/>
        <v>475.85</v>
      </c>
      <c r="K5" s="7">
        <f t="shared" si="1"/>
        <v>475.85</v>
      </c>
      <c r="L5" s="7">
        <f t="shared" si="1"/>
        <v>475.85</v>
      </c>
      <c r="M5" s="7">
        <f t="shared" si="1"/>
        <v>475.85</v>
      </c>
      <c r="N5" s="7">
        <f t="shared" si="1"/>
        <v>475.85</v>
      </c>
      <c r="O5" s="7">
        <f t="shared" si="1"/>
        <v>475.85</v>
      </c>
      <c r="P5" s="7">
        <f t="shared" si="1"/>
        <v>475.85</v>
      </c>
      <c r="Q5" s="7">
        <f t="shared" si="1"/>
        <v>475.85</v>
      </c>
      <c r="R5" s="7">
        <f t="shared" ref="R5:X5" si="2">Q7</f>
        <v>475.85</v>
      </c>
      <c r="S5" s="7">
        <f t="shared" si="2"/>
        <v>475.85</v>
      </c>
      <c r="T5" s="7">
        <f t="shared" si="2"/>
        <v>475.85</v>
      </c>
      <c r="U5" s="7">
        <f t="shared" si="2"/>
        <v>475.85</v>
      </c>
      <c r="V5" s="7">
        <f t="shared" si="2"/>
        <v>475.85</v>
      </c>
      <c r="W5" s="7">
        <f t="shared" si="2"/>
        <v>475.85</v>
      </c>
      <c r="X5" s="7">
        <f t="shared" si="2"/>
        <v>475.85</v>
      </c>
    </row>
    <row r="6" spans="1:30">
      <c r="A6" s="7">
        <f>SUM(D6:X6)</f>
        <v>0</v>
      </c>
      <c r="B6" s="1" t="s">
        <v>123</v>
      </c>
      <c r="D6" s="7">
        <f>$D$5*D8</f>
        <v>0</v>
      </c>
      <c r="E6" s="7">
        <f>$D$5*E8</f>
        <v>0</v>
      </c>
      <c r="F6" s="7">
        <f>$F$5*F8</f>
        <v>0</v>
      </c>
      <c r="G6" s="7">
        <f t="shared" ref="G6:X6" si="3">$F$5*G8</f>
        <v>0</v>
      </c>
      <c r="H6" s="7">
        <f t="shared" si="3"/>
        <v>0</v>
      </c>
      <c r="I6" s="7">
        <f t="shared" si="3"/>
        <v>0</v>
      </c>
      <c r="J6" s="7">
        <f t="shared" si="3"/>
        <v>0</v>
      </c>
      <c r="K6" s="7">
        <f t="shared" si="3"/>
        <v>0</v>
      </c>
      <c r="L6" s="7">
        <f t="shared" si="3"/>
        <v>0</v>
      </c>
      <c r="M6" s="7">
        <f t="shared" si="3"/>
        <v>0</v>
      </c>
      <c r="N6" s="7">
        <f t="shared" si="3"/>
        <v>0</v>
      </c>
      <c r="O6" s="7">
        <f t="shared" si="3"/>
        <v>0</v>
      </c>
      <c r="P6" s="7">
        <f t="shared" si="3"/>
        <v>0</v>
      </c>
      <c r="Q6" s="7">
        <f t="shared" si="3"/>
        <v>0</v>
      </c>
      <c r="R6" s="7">
        <f t="shared" si="3"/>
        <v>0</v>
      </c>
      <c r="S6" s="7">
        <f t="shared" si="3"/>
        <v>0</v>
      </c>
      <c r="T6" s="7">
        <f t="shared" si="3"/>
        <v>0</v>
      </c>
      <c r="U6" s="7">
        <f t="shared" si="3"/>
        <v>0</v>
      </c>
      <c r="V6" s="7">
        <f t="shared" si="3"/>
        <v>0</v>
      </c>
      <c r="W6" s="7">
        <f t="shared" si="3"/>
        <v>0</v>
      </c>
      <c r="X6" s="7">
        <f t="shared" si="3"/>
        <v>0</v>
      </c>
    </row>
    <row r="7" spans="1:30">
      <c r="B7" s="1" t="s">
        <v>122</v>
      </c>
      <c r="D7" s="7">
        <f>D5-D6</f>
        <v>0</v>
      </c>
      <c r="E7" s="7">
        <f>E5-E6</f>
        <v>475.85</v>
      </c>
      <c r="F7" s="7">
        <f t="shared" ref="F7:Q7" si="4">F5-F6</f>
        <v>475.85</v>
      </c>
      <c r="G7" s="7">
        <f t="shared" si="4"/>
        <v>475.85</v>
      </c>
      <c r="H7" s="7">
        <f t="shared" si="4"/>
        <v>475.85</v>
      </c>
      <c r="I7" s="7">
        <f t="shared" si="4"/>
        <v>475.85</v>
      </c>
      <c r="J7" s="7">
        <f t="shared" si="4"/>
        <v>475.85</v>
      </c>
      <c r="K7" s="7">
        <f t="shared" si="4"/>
        <v>475.85</v>
      </c>
      <c r="L7" s="7">
        <f t="shared" si="4"/>
        <v>475.85</v>
      </c>
      <c r="M7" s="7">
        <f t="shared" si="4"/>
        <v>475.85</v>
      </c>
      <c r="N7" s="7">
        <f t="shared" si="4"/>
        <v>475.85</v>
      </c>
      <c r="O7" s="7">
        <f t="shared" si="4"/>
        <v>475.85</v>
      </c>
      <c r="P7" s="7">
        <f t="shared" si="4"/>
        <v>475.85</v>
      </c>
      <c r="Q7" s="7">
        <f t="shared" si="4"/>
        <v>475.85</v>
      </c>
      <c r="R7" s="7">
        <f t="shared" ref="R7:X7" si="5">R5-R6</f>
        <v>475.85</v>
      </c>
      <c r="S7" s="7">
        <f t="shared" si="5"/>
        <v>475.85</v>
      </c>
      <c r="T7" s="7">
        <f t="shared" si="5"/>
        <v>475.85</v>
      </c>
      <c r="U7" s="7">
        <f t="shared" si="5"/>
        <v>475.85</v>
      </c>
      <c r="V7" s="7">
        <f t="shared" si="5"/>
        <v>475.85</v>
      </c>
      <c r="W7" s="7">
        <f t="shared" si="5"/>
        <v>475.85</v>
      </c>
      <c r="X7" s="7">
        <f t="shared" si="5"/>
        <v>475.85</v>
      </c>
    </row>
    <row r="8" spans="1:30" s="50" customFormat="1">
      <c r="A8" s="49"/>
      <c r="B8" s="50" t="s">
        <v>121</v>
      </c>
      <c r="D8" s="454">
        <v>0</v>
      </c>
      <c r="E8" s="454">
        <f>10%*0</f>
        <v>0</v>
      </c>
      <c r="F8" s="454">
        <f t="shared" ref="F8:T8" si="6">10%*0</f>
        <v>0</v>
      </c>
      <c r="G8" s="454">
        <f t="shared" si="6"/>
        <v>0</v>
      </c>
      <c r="H8" s="454">
        <f t="shared" si="6"/>
        <v>0</v>
      </c>
      <c r="I8" s="454">
        <f t="shared" si="6"/>
        <v>0</v>
      </c>
      <c r="J8" s="454">
        <f t="shared" si="6"/>
        <v>0</v>
      </c>
      <c r="K8" s="454">
        <f t="shared" si="6"/>
        <v>0</v>
      </c>
      <c r="L8" s="454">
        <f t="shared" si="6"/>
        <v>0</v>
      </c>
      <c r="M8" s="454">
        <f t="shared" si="6"/>
        <v>0</v>
      </c>
      <c r="N8" s="454">
        <f t="shared" si="6"/>
        <v>0</v>
      </c>
      <c r="O8" s="454">
        <f t="shared" si="6"/>
        <v>0</v>
      </c>
      <c r="P8" s="454">
        <f t="shared" si="6"/>
        <v>0</v>
      </c>
      <c r="Q8" s="454">
        <f t="shared" si="6"/>
        <v>0</v>
      </c>
      <c r="R8" s="454">
        <f t="shared" si="6"/>
        <v>0</v>
      </c>
      <c r="S8" s="454">
        <f t="shared" si="6"/>
        <v>0</v>
      </c>
      <c r="T8" s="454">
        <f t="shared" si="6"/>
        <v>0</v>
      </c>
      <c r="U8" s="13"/>
      <c r="V8" s="13"/>
      <c r="W8" s="13"/>
      <c r="X8" s="13"/>
    </row>
    <row r="9" spans="1:30" s="52" customFormat="1">
      <c r="A9" s="7">
        <f>SUM(D9:X9)</f>
        <v>1617.8900000000008</v>
      </c>
      <c r="B9" s="53" t="s">
        <v>124</v>
      </c>
      <c r="C9" s="53"/>
      <c r="D9" s="457">
        <f>D5*D10/4*0</f>
        <v>0</v>
      </c>
      <c r="E9" s="457">
        <f>AVERAGE(E5,E7)*E10</f>
        <v>80.894500000000008</v>
      </c>
      <c r="F9" s="54">
        <f t="shared" ref="F9:Q9" si="7">AVERAGE(F5,F7)*F10</f>
        <v>80.894500000000008</v>
      </c>
      <c r="G9" s="54">
        <f t="shared" si="7"/>
        <v>80.894500000000008</v>
      </c>
      <c r="H9" s="54">
        <f t="shared" si="7"/>
        <v>80.894500000000008</v>
      </c>
      <c r="I9" s="54">
        <f t="shared" si="7"/>
        <v>80.894500000000008</v>
      </c>
      <c r="J9" s="54">
        <f t="shared" si="7"/>
        <v>80.894500000000008</v>
      </c>
      <c r="K9" s="54">
        <f t="shared" si="7"/>
        <v>80.894500000000008</v>
      </c>
      <c r="L9" s="54">
        <f t="shared" si="7"/>
        <v>80.894500000000008</v>
      </c>
      <c r="M9" s="54">
        <f t="shared" si="7"/>
        <v>80.894500000000008</v>
      </c>
      <c r="N9" s="54">
        <f t="shared" si="7"/>
        <v>80.894500000000008</v>
      </c>
      <c r="O9" s="54">
        <f t="shared" si="7"/>
        <v>80.894500000000008</v>
      </c>
      <c r="P9" s="54">
        <f t="shared" si="7"/>
        <v>80.894500000000008</v>
      </c>
      <c r="Q9" s="54">
        <f t="shared" si="7"/>
        <v>80.894500000000008</v>
      </c>
      <c r="R9" s="54">
        <f t="shared" ref="R9:X9" si="8">AVERAGE(R5,R7)*R10</f>
        <v>80.894500000000008</v>
      </c>
      <c r="S9" s="54">
        <f t="shared" si="8"/>
        <v>80.894500000000008</v>
      </c>
      <c r="T9" s="54">
        <f t="shared" si="8"/>
        <v>80.894500000000008</v>
      </c>
      <c r="U9" s="54">
        <f t="shared" si="8"/>
        <v>80.894500000000008</v>
      </c>
      <c r="V9" s="54">
        <f t="shared" si="8"/>
        <v>80.894500000000008</v>
      </c>
      <c r="W9" s="54">
        <f t="shared" si="8"/>
        <v>80.894500000000008</v>
      </c>
      <c r="X9" s="54">
        <f t="shared" si="8"/>
        <v>80.894500000000008</v>
      </c>
    </row>
    <row r="10" spans="1:30">
      <c r="B10" s="1" t="s">
        <v>125</v>
      </c>
      <c r="D10" s="13">
        <f>Assumptions!C58</f>
        <v>0.17</v>
      </c>
      <c r="E10" s="55">
        <f>D10</f>
        <v>0.17</v>
      </c>
      <c r="F10" s="55">
        <f>Assumptions!C58</f>
        <v>0.17</v>
      </c>
      <c r="G10" s="55">
        <f t="shared" ref="G10:X10" si="9">F10</f>
        <v>0.17</v>
      </c>
      <c r="H10" s="13">
        <f>G10</f>
        <v>0.17</v>
      </c>
      <c r="I10" s="55">
        <f t="shared" si="9"/>
        <v>0.17</v>
      </c>
      <c r="J10" s="55">
        <f t="shared" si="9"/>
        <v>0.17</v>
      </c>
      <c r="K10" s="13">
        <f>J10</f>
        <v>0.17</v>
      </c>
      <c r="L10" s="55">
        <f t="shared" si="9"/>
        <v>0.17</v>
      </c>
      <c r="M10" s="55">
        <f t="shared" si="9"/>
        <v>0.17</v>
      </c>
      <c r="N10" s="13">
        <f>M10</f>
        <v>0.17</v>
      </c>
      <c r="O10" s="55">
        <f t="shared" si="9"/>
        <v>0.17</v>
      </c>
      <c r="P10" s="55">
        <f t="shared" si="9"/>
        <v>0.17</v>
      </c>
      <c r="Q10" s="55">
        <f t="shared" si="9"/>
        <v>0.17</v>
      </c>
      <c r="R10" s="55">
        <f t="shared" si="9"/>
        <v>0.17</v>
      </c>
      <c r="S10" s="55">
        <f t="shared" si="9"/>
        <v>0.17</v>
      </c>
      <c r="T10" s="55">
        <f t="shared" si="9"/>
        <v>0.17</v>
      </c>
      <c r="U10" s="55">
        <f t="shared" si="9"/>
        <v>0.17</v>
      </c>
      <c r="V10" s="55">
        <f t="shared" si="9"/>
        <v>0.17</v>
      </c>
      <c r="W10" s="55">
        <f t="shared" si="9"/>
        <v>0.17</v>
      </c>
      <c r="X10" s="55">
        <f t="shared" si="9"/>
        <v>0.17</v>
      </c>
    </row>
    <row r="11" spans="1:30" s="25" customFormat="1">
      <c r="A11" s="24"/>
      <c r="D11" s="55"/>
      <c r="E11" s="55"/>
      <c r="F11" s="55"/>
      <c r="G11" s="55"/>
      <c r="H11" s="55"/>
      <c r="I11" s="55"/>
      <c r="J11" s="55"/>
      <c r="K11" s="55"/>
      <c r="L11" s="55"/>
      <c r="M11" s="55"/>
      <c r="N11" s="55"/>
      <c r="O11" s="55"/>
      <c r="P11" s="55"/>
      <c r="Q11" s="55"/>
      <c r="R11" s="55"/>
      <c r="S11" s="55"/>
      <c r="T11" s="55"/>
      <c r="U11" s="55"/>
      <c r="V11" s="55"/>
      <c r="W11" s="55"/>
      <c r="X11" s="55"/>
    </row>
    <row r="12" spans="1:30">
      <c r="D12" s="7"/>
      <c r="E12" s="7"/>
      <c r="F12" s="7"/>
      <c r="G12" s="7"/>
      <c r="H12" s="7"/>
      <c r="I12" s="7"/>
      <c r="J12" s="7"/>
      <c r="K12" s="7"/>
      <c r="L12" s="7"/>
      <c r="M12" s="7"/>
      <c r="N12" s="7"/>
      <c r="O12" s="7"/>
      <c r="P12" s="7"/>
      <c r="Q12" s="7"/>
      <c r="R12" s="7"/>
      <c r="S12" s="7"/>
      <c r="T12" s="7"/>
      <c r="U12" s="7"/>
      <c r="V12" s="7"/>
      <c r="W12" s="7"/>
      <c r="X12" s="7"/>
    </row>
    <row r="13" spans="1:30">
      <c r="B13" s="23" t="s">
        <v>118</v>
      </c>
      <c r="C13" s="23"/>
      <c r="D13" s="4">
        <f>D4</f>
        <v>43921</v>
      </c>
      <c r="E13" s="4">
        <f t="shared" ref="E13:Q13" si="10">E4</f>
        <v>44286</v>
      </c>
      <c r="F13" s="4">
        <f t="shared" si="10"/>
        <v>44651</v>
      </c>
      <c r="G13" s="4">
        <f t="shared" si="10"/>
        <v>45016</v>
      </c>
      <c r="H13" s="4">
        <f t="shared" si="10"/>
        <v>45382</v>
      </c>
      <c r="I13" s="4">
        <f t="shared" si="10"/>
        <v>45747</v>
      </c>
      <c r="J13" s="4">
        <f t="shared" si="10"/>
        <v>46112</v>
      </c>
      <c r="K13" s="4">
        <f t="shared" si="10"/>
        <v>46477</v>
      </c>
      <c r="L13" s="4">
        <f t="shared" si="10"/>
        <v>46843</v>
      </c>
      <c r="M13" s="4">
        <f t="shared" si="10"/>
        <v>47208</v>
      </c>
      <c r="N13" s="4">
        <f t="shared" si="10"/>
        <v>47573</v>
      </c>
      <c r="O13" s="4">
        <f t="shared" si="10"/>
        <v>47938</v>
      </c>
      <c r="P13" s="4">
        <f t="shared" si="10"/>
        <v>48304</v>
      </c>
      <c r="Q13" s="4">
        <f t="shared" si="10"/>
        <v>48669</v>
      </c>
      <c r="R13" s="4">
        <f t="shared" ref="R13:X13" si="11">R4</f>
        <v>49034</v>
      </c>
      <c r="S13" s="4">
        <f t="shared" si="11"/>
        <v>49399</v>
      </c>
      <c r="T13" s="4">
        <f t="shared" si="11"/>
        <v>49765</v>
      </c>
      <c r="U13" s="4">
        <f t="shared" si="11"/>
        <v>50130</v>
      </c>
      <c r="V13" s="4">
        <f t="shared" si="11"/>
        <v>50495</v>
      </c>
      <c r="W13" s="4">
        <f t="shared" si="11"/>
        <v>50860</v>
      </c>
      <c r="X13" s="4">
        <f t="shared" si="11"/>
        <v>51226</v>
      </c>
    </row>
    <row r="14" spans="1:30">
      <c r="B14" s="1" t="s">
        <v>120</v>
      </c>
      <c r="D14" s="7">
        <f>IF(Assumptions!C136&gt;0,Assumptions!C136,0)*0</f>
        <v>0</v>
      </c>
      <c r="E14" s="7">
        <f>D16</f>
        <v>0</v>
      </c>
      <c r="F14" s="7">
        <f>IF(Assumptions!C136&gt;0,Assumptions!C136,0)</f>
        <v>0</v>
      </c>
      <c r="G14" s="7">
        <f t="shared" ref="G14:Q14" si="12">F16</f>
        <v>0</v>
      </c>
      <c r="H14" s="7">
        <f t="shared" si="12"/>
        <v>0</v>
      </c>
      <c r="I14" s="7">
        <f t="shared" si="12"/>
        <v>0</v>
      </c>
      <c r="J14" s="7">
        <f t="shared" si="12"/>
        <v>0</v>
      </c>
      <c r="K14" s="7">
        <f t="shared" si="12"/>
        <v>0</v>
      </c>
      <c r="L14" s="7">
        <f t="shared" si="12"/>
        <v>0</v>
      </c>
      <c r="M14" s="7">
        <f t="shared" si="12"/>
        <v>0</v>
      </c>
      <c r="N14" s="7">
        <f t="shared" si="12"/>
        <v>0</v>
      </c>
      <c r="O14" s="7">
        <f t="shared" si="12"/>
        <v>0</v>
      </c>
      <c r="P14" s="7">
        <f t="shared" si="12"/>
        <v>0</v>
      </c>
      <c r="Q14" s="7">
        <f t="shared" si="12"/>
        <v>0</v>
      </c>
      <c r="R14" s="7">
        <f t="shared" ref="R14:X14" si="13">Q16</f>
        <v>0</v>
      </c>
      <c r="S14" s="7">
        <f t="shared" si="13"/>
        <v>0</v>
      </c>
      <c r="T14" s="7">
        <f t="shared" si="13"/>
        <v>0</v>
      </c>
      <c r="U14" s="7">
        <f t="shared" si="13"/>
        <v>0</v>
      </c>
      <c r="V14" s="7">
        <f t="shared" si="13"/>
        <v>0</v>
      </c>
      <c r="W14" s="7">
        <f t="shared" si="13"/>
        <v>0</v>
      </c>
      <c r="X14" s="7">
        <f t="shared" si="13"/>
        <v>0</v>
      </c>
    </row>
    <row r="15" spans="1:30">
      <c r="A15" s="7">
        <f>SUM(D15:X15)</f>
        <v>0</v>
      </c>
      <c r="B15" s="1" t="s">
        <v>123</v>
      </c>
      <c r="D15" s="7">
        <f>$D$14*D17</f>
        <v>0</v>
      </c>
      <c r="E15" s="7">
        <f>$D$14*E17</f>
        <v>0</v>
      </c>
      <c r="F15" s="7">
        <f>$F$14*F17</f>
        <v>0</v>
      </c>
      <c r="G15" s="7">
        <f t="shared" ref="G15:X15" si="14">$F$14*G17</f>
        <v>0</v>
      </c>
      <c r="H15" s="7">
        <f t="shared" si="14"/>
        <v>0</v>
      </c>
      <c r="I15" s="7">
        <f t="shared" si="14"/>
        <v>0</v>
      </c>
      <c r="J15" s="7">
        <f t="shared" si="14"/>
        <v>0</v>
      </c>
      <c r="K15" s="7">
        <f t="shared" si="14"/>
        <v>0</v>
      </c>
      <c r="L15" s="7">
        <f t="shared" si="14"/>
        <v>0</v>
      </c>
      <c r="M15" s="7">
        <f t="shared" si="14"/>
        <v>0</v>
      </c>
      <c r="N15" s="7">
        <f t="shared" si="14"/>
        <v>0</v>
      </c>
      <c r="O15" s="7">
        <f t="shared" si="14"/>
        <v>0</v>
      </c>
      <c r="P15" s="7">
        <f t="shared" si="14"/>
        <v>0</v>
      </c>
      <c r="Q15" s="7">
        <f t="shared" si="14"/>
        <v>0</v>
      </c>
      <c r="R15" s="7">
        <f t="shared" si="14"/>
        <v>0</v>
      </c>
      <c r="S15" s="7">
        <f t="shared" si="14"/>
        <v>0</v>
      </c>
      <c r="T15" s="7">
        <f t="shared" si="14"/>
        <v>0</v>
      </c>
      <c r="U15" s="7">
        <f t="shared" si="14"/>
        <v>0</v>
      </c>
      <c r="V15" s="7">
        <f t="shared" si="14"/>
        <v>0</v>
      </c>
      <c r="W15" s="7">
        <f t="shared" si="14"/>
        <v>0</v>
      </c>
      <c r="X15" s="7">
        <f t="shared" si="14"/>
        <v>0</v>
      </c>
    </row>
    <row r="16" spans="1:30">
      <c r="B16" s="1" t="s">
        <v>122</v>
      </c>
      <c r="D16" s="7">
        <f t="shared" ref="D16:Q16" si="15">D14-D15</f>
        <v>0</v>
      </c>
      <c r="E16" s="7">
        <f t="shared" si="15"/>
        <v>0</v>
      </c>
      <c r="F16" s="7">
        <f t="shared" si="15"/>
        <v>0</v>
      </c>
      <c r="G16" s="7">
        <f t="shared" si="15"/>
        <v>0</v>
      </c>
      <c r="H16" s="7">
        <f t="shared" si="15"/>
        <v>0</v>
      </c>
      <c r="I16" s="7">
        <f t="shared" si="15"/>
        <v>0</v>
      </c>
      <c r="J16" s="7">
        <f t="shared" si="15"/>
        <v>0</v>
      </c>
      <c r="K16" s="7">
        <f t="shared" si="15"/>
        <v>0</v>
      </c>
      <c r="L16" s="7">
        <f t="shared" si="15"/>
        <v>0</v>
      </c>
      <c r="M16" s="7">
        <f t="shared" si="15"/>
        <v>0</v>
      </c>
      <c r="N16" s="7">
        <f t="shared" si="15"/>
        <v>0</v>
      </c>
      <c r="O16" s="7">
        <f t="shared" si="15"/>
        <v>0</v>
      </c>
      <c r="P16" s="7">
        <f t="shared" si="15"/>
        <v>0</v>
      </c>
      <c r="Q16" s="7">
        <f t="shared" si="15"/>
        <v>0</v>
      </c>
      <c r="R16" s="7">
        <f t="shared" ref="R16:X16" si="16">R14-R15</f>
        <v>0</v>
      </c>
      <c r="S16" s="7">
        <f t="shared" si="16"/>
        <v>0</v>
      </c>
      <c r="T16" s="7">
        <f t="shared" si="16"/>
        <v>0</v>
      </c>
      <c r="U16" s="7">
        <f t="shared" si="16"/>
        <v>0</v>
      </c>
      <c r="V16" s="7">
        <f t="shared" si="16"/>
        <v>0</v>
      </c>
      <c r="W16" s="7">
        <f t="shared" si="16"/>
        <v>0</v>
      </c>
      <c r="X16" s="7">
        <f t="shared" si="16"/>
        <v>0</v>
      </c>
    </row>
    <row r="17" spans="1:24">
      <c r="B17" s="50" t="s">
        <v>121</v>
      </c>
      <c r="C17" s="50"/>
      <c r="D17" s="454">
        <f>D8</f>
        <v>0</v>
      </c>
      <c r="E17" s="454">
        <f t="shared" ref="E17:S17" si="17">E8</f>
        <v>0</v>
      </c>
      <c r="F17" s="13">
        <f t="shared" si="17"/>
        <v>0</v>
      </c>
      <c r="G17" s="13">
        <f t="shared" si="17"/>
        <v>0</v>
      </c>
      <c r="H17" s="13">
        <f t="shared" si="17"/>
        <v>0</v>
      </c>
      <c r="I17" s="13">
        <f t="shared" si="17"/>
        <v>0</v>
      </c>
      <c r="J17" s="13">
        <f t="shared" si="17"/>
        <v>0</v>
      </c>
      <c r="K17" s="13">
        <f t="shared" si="17"/>
        <v>0</v>
      </c>
      <c r="L17" s="13">
        <f t="shared" si="17"/>
        <v>0</v>
      </c>
      <c r="M17" s="13">
        <f t="shared" si="17"/>
        <v>0</v>
      </c>
      <c r="N17" s="13">
        <f t="shared" si="17"/>
        <v>0</v>
      </c>
      <c r="O17" s="13">
        <f t="shared" si="17"/>
        <v>0</v>
      </c>
      <c r="P17" s="13">
        <f t="shared" si="17"/>
        <v>0</v>
      </c>
      <c r="Q17" s="13">
        <f t="shared" si="17"/>
        <v>0</v>
      </c>
      <c r="R17" s="13">
        <f t="shared" si="17"/>
        <v>0</v>
      </c>
      <c r="S17" s="13">
        <f t="shared" si="17"/>
        <v>0</v>
      </c>
      <c r="T17" s="51">
        <f>1-SUM(D17:S17)</f>
        <v>1</v>
      </c>
      <c r="U17" s="13"/>
      <c r="V17" s="13"/>
      <c r="W17" s="13"/>
      <c r="X17" s="13"/>
    </row>
    <row r="18" spans="1:24">
      <c r="A18" s="7">
        <f>SUM(D18:X18)</f>
        <v>0</v>
      </c>
      <c r="B18" s="53" t="s">
        <v>124</v>
      </c>
      <c r="C18" s="53"/>
      <c r="D18" s="455">
        <f>D14*D19/4*0</f>
        <v>0</v>
      </c>
      <c r="E18" s="456">
        <f>AVERAGE(E14,E16)*E19</f>
        <v>0</v>
      </c>
      <c r="F18" s="54">
        <f t="shared" ref="F18:Q18" si="18">AVERAGE(F14,F16)*F19</f>
        <v>0</v>
      </c>
      <c r="G18" s="54">
        <f t="shared" si="18"/>
        <v>0</v>
      </c>
      <c r="H18" s="54">
        <f t="shared" si="18"/>
        <v>0</v>
      </c>
      <c r="I18" s="54">
        <f t="shared" si="18"/>
        <v>0</v>
      </c>
      <c r="J18" s="54">
        <f t="shared" si="18"/>
        <v>0</v>
      </c>
      <c r="K18" s="54">
        <f t="shared" si="18"/>
        <v>0</v>
      </c>
      <c r="L18" s="54">
        <f t="shared" si="18"/>
        <v>0</v>
      </c>
      <c r="M18" s="54">
        <f t="shared" si="18"/>
        <v>0</v>
      </c>
      <c r="N18" s="54">
        <f t="shared" si="18"/>
        <v>0</v>
      </c>
      <c r="O18" s="54">
        <f t="shared" si="18"/>
        <v>0</v>
      </c>
      <c r="P18" s="54">
        <f t="shared" si="18"/>
        <v>0</v>
      </c>
      <c r="Q18" s="54">
        <f t="shared" si="18"/>
        <v>0</v>
      </c>
      <c r="R18" s="54">
        <f t="shared" ref="R18:X18" si="19">AVERAGE(R14,R16)*R19</f>
        <v>0</v>
      </c>
      <c r="S18" s="54">
        <f t="shared" si="19"/>
        <v>0</v>
      </c>
      <c r="T18" s="54">
        <f t="shared" si="19"/>
        <v>0</v>
      </c>
      <c r="U18" s="54">
        <f t="shared" si="19"/>
        <v>0</v>
      </c>
      <c r="V18" s="54">
        <f t="shared" si="19"/>
        <v>0</v>
      </c>
      <c r="W18" s="54">
        <f t="shared" si="19"/>
        <v>0</v>
      </c>
      <c r="X18" s="54">
        <f t="shared" si="19"/>
        <v>0</v>
      </c>
    </row>
    <row r="19" spans="1:24">
      <c r="B19" s="1" t="s">
        <v>125</v>
      </c>
      <c r="D19" s="55">
        <f>D10</f>
        <v>0.17</v>
      </c>
      <c r="E19" s="55">
        <f t="shared" ref="E19:X19" si="20">E10</f>
        <v>0.17</v>
      </c>
      <c r="F19" s="55">
        <f t="shared" si="20"/>
        <v>0.17</v>
      </c>
      <c r="G19" s="55">
        <f t="shared" si="20"/>
        <v>0.17</v>
      </c>
      <c r="H19" s="55">
        <f t="shared" si="20"/>
        <v>0.17</v>
      </c>
      <c r="I19" s="55">
        <f t="shared" si="20"/>
        <v>0.17</v>
      </c>
      <c r="J19" s="55">
        <f t="shared" si="20"/>
        <v>0.17</v>
      </c>
      <c r="K19" s="55">
        <f t="shared" si="20"/>
        <v>0.17</v>
      </c>
      <c r="L19" s="55">
        <f t="shared" si="20"/>
        <v>0.17</v>
      </c>
      <c r="M19" s="55">
        <f t="shared" si="20"/>
        <v>0.17</v>
      </c>
      <c r="N19" s="55">
        <f t="shared" si="20"/>
        <v>0.17</v>
      </c>
      <c r="O19" s="55">
        <f t="shared" si="20"/>
        <v>0.17</v>
      </c>
      <c r="P19" s="55">
        <f t="shared" si="20"/>
        <v>0.17</v>
      </c>
      <c r="Q19" s="55">
        <f t="shared" si="20"/>
        <v>0.17</v>
      </c>
      <c r="R19" s="55">
        <f t="shared" si="20"/>
        <v>0.17</v>
      </c>
      <c r="S19" s="55">
        <f t="shared" si="20"/>
        <v>0.17</v>
      </c>
      <c r="T19" s="55">
        <f t="shared" si="20"/>
        <v>0.17</v>
      </c>
      <c r="U19" s="55">
        <f t="shared" si="20"/>
        <v>0.17</v>
      </c>
      <c r="V19" s="55">
        <f t="shared" si="20"/>
        <v>0.17</v>
      </c>
      <c r="W19" s="55">
        <f t="shared" si="20"/>
        <v>0.17</v>
      </c>
      <c r="X19" s="55">
        <f t="shared" si="20"/>
        <v>0.17</v>
      </c>
    </row>
    <row r="20" spans="1:24">
      <c r="D20" s="55"/>
      <c r="E20" s="55"/>
      <c r="F20" s="55"/>
      <c r="G20" s="55"/>
      <c r="H20" s="55"/>
      <c r="I20" s="55"/>
      <c r="J20" s="55"/>
      <c r="K20" s="55"/>
      <c r="L20" s="55"/>
      <c r="M20" s="55"/>
      <c r="N20" s="55"/>
      <c r="O20" s="55"/>
      <c r="P20" s="55"/>
      <c r="Q20" s="55"/>
      <c r="R20" s="55"/>
      <c r="S20" s="55"/>
      <c r="T20" s="55"/>
      <c r="U20" s="55"/>
      <c r="V20" s="55"/>
      <c r="W20" s="55"/>
      <c r="X20" s="55"/>
    </row>
    <row r="21" spans="1:24" hidden="1">
      <c r="D21" s="55"/>
      <c r="E21" s="55"/>
      <c r="F21" s="55"/>
      <c r="G21" s="55"/>
      <c r="H21" s="55"/>
      <c r="I21" s="55"/>
      <c r="J21" s="55"/>
      <c r="K21" s="55"/>
      <c r="L21" s="55"/>
      <c r="M21" s="55"/>
      <c r="N21" s="55"/>
      <c r="O21" s="55"/>
      <c r="P21" s="55"/>
      <c r="Q21" s="55"/>
      <c r="R21" s="55"/>
      <c r="S21" s="55"/>
      <c r="T21" s="55"/>
      <c r="U21" s="55"/>
      <c r="V21" s="55"/>
      <c r="W21" s="55"/>
      <c r="X21" s="55"/>
    </row>
    <row r="22" spans="1:24" hidden="1">
      <c r="B22" s="23" t="s">
        <v>393</v>
      </c>
      <c r="C22" s="23"/>
      <c r="D22" s="4">
        <f>D13</f>
        <v>43921</v>
      </c>
      <c r="E22" s="4">
        <f t="shared" ref="E22:X22" si="21">E13</f>
        <v>44286</v>
      </c>
      <c r="F22" s="4">
        <f t="shared" si="21"/>
        <v>44651</v>
      </c>
      <c r="G22" s="4">
        <f t="shared" si="21"/>
        <v>45016</v>
      </c>
      <c r="H22" s="4">
        <f t="shared" si="21"/>
        <v>45382</v>
      </c>
      <c r="I22" s="4">
        <f t="shared" si="21"/>
        <v>45747</v>
      </c>
      <c r="J22" s="4">
        <f t="shared" si="21"/>
        <v>46112</v>
      </c>
      <c r="K22" s="4">
        <f t="shared" si="21"/>
        <v>46477</v>
      </c>
      <c r="L22" s="4">
        <f t="shared" si="21"/>
        <v>46843</v>
      </c>
      <c r="M22" s="4">
        <f t="shared" si="21"/>
        <v>47208</v>
      </c>
      <c r="N22" s="4">
        <f t="shared" si="21"/>
        <v>47573</v>
      </c>
      <c r="O22" s="4">
        <f t="shared" si="21"/>
        <v>47938</v>
      </c>
      <c r="P22" s="4">
        <f t="shared" si="21"/>
        <v>48304</v>
      </c>
      <c r="Q22" s="4">
        <f t="shared" si="21"/>
        <v>48669</v>
      </c>
      <c r="R22" s="4">
        <f t="shared" si="21"/>
        <v>49034</v>
      </c>
      <c r="S22" s="4">
        <f t="shared" si="21"/>
        <v>49399</v>
      </c>
      <c r="T22" s="4">
        <f t="shared" si="21"/>
        <v>49765</v>
      </c>
      <c r="U22" s="4">
        <f t="shared" si="21"/>
        <v>50130</v>
      </c>
      <c r="V22" s="4">
        <f t="shared" si="21"/>
        <v>50495</v>
      </c>
      <c r="W22" s="4">
        <f t="shared" si="21"/>
        <v>50860</v>
      </c>
      <c r="X22" s="4">
        <f t="shared" si="21"/>
        <v>51226</v>
      </c>
    </row>
    <row r="23" spans="1:24" hidden="1">
      <c r="B23" s="1" t="s">
        <v>120</v>
      </c>
      <c r="D23" s="7"/>
      <c r="E23" s="278">
        <f>(AVERAGE(E5,E7)*$E$10+AVERAGE(E14,E16)*$E$19)*IF(Assumptions!$C$164=1,1,0)</f>
        <v>0</v>
      </c>
      <c r="F23" s="7">
        <f t="shared" ref="F23:X23" si="22">E25</f>
        <v>0</v>
      </c>
      <c r="G23" s="7">
        <f t="shared" si="22"/>
        <v>0</v>
      </c>
      <c r="H23" s="7">
        <f t="shared" si="22"/>
        <v>0</v>
      </c>
      <c r="I23" s="7">
        <f t="shared" si="22"/>
        <v>0</v>
      </c>
      <c r="J23" s="7">
        <f t="shared" si="22"/>
        <v>0</v>
      </c>
      <c r="K23" s="7">
        <f t="shared" si="22"/>
        <v>0</v>
      </c>
      <c r="L23" s="7">
        <f t="shared" si="22"/>
        <v>0</v>
      </c>
      <c r="M23" s="7">
        <f t="shared" si="22"/>
        <v>0</v>
      </c>
      <c r="N23" s="7">
        <f t="shared" si="22"/>
        <v>0</v>
      </c>
      <c r="O23" s="7">
        <f t="shared" si="22"/>
        <v>0</v>
      </c>
      <c r="P23" s="7">
        <f t="shared" si="22"/>
        <v>0</v>
      </c>
      <c r="Q23" s="7">
        <f t="shared" si="22"/>
        <v>0</v>
      </c>
      <c r="R23" s="7">
        <f t="shared" si="22"/>
        <v>0</v>
      </c>
      <c r="S23" s="7">
        <f t="shared" si="22"/>
        <v>0</v>
      </c>
      <c r="T23" s="7">
        <f t="shared" si="22"/>
        <v>0</v>
      </c>
      <c r="U23" s="7">
        <f t="shared" si="22"/>
        <v>0</v>
      </c>
      <c r="V23" s="7">
        <f t="shared" si="22"/>
        <v>0</v>
      </c>
      <c r="W23" s="7">
        <f t="shared" si="22"/>
        <v>0</v>
      </c>
      <c r="X23" s="7">
        <f t="shared" si="22"/>
        <v>0</v>
      </c>
    </row>
    <row r="24" spans="1:24" hidden="1">
      <c r="A24" s="7">
        <f>SUM(D24:X24)</f>
        <v>0</v>
      </c>
      <c r="B24" s="1" t="s">
        <v>123</v>
      </c>
      <c r="D24" s="7"/>
      <c r="E24" s="278">
        <f>$E$23*E26</f>
        <v>0</v>
      </c>
      <c r="F24" s="7">
        <f t="shared" ref="F24:X24" si="23">$E$23*F26</f>
        <v>0</v>
      </c>
      <c r="G24" s="7">
        <f t="shared" si="23"/>
        <v>0</v>
      </c>
      <c r="H24" s="7">
        <f t="shared" si="23"/>
        <v>0</v>
      </c>
      <c r="I24" s="7">
        <f t="shared" si="23"/>
        <v>0</v>
      </c>
      <c r="J24" s="7">
        <f t="shared" si="23"/>
        <v>0</v>
      </c>
      <c r="K24" s="7">
        <f t="shared" si="23"/>
        <v>0</v>
      </c>
      <c r="L24" s="7">
        <f t="shared" si="23"/>
        <v>0</v>
      </c>
      <c r="M24" s="7">
        <f t="shared" si="23"/>
        <v>0</v>
      </c>
      <c r="N24" s="7">
        <f t="shared" si="23"/>
        <v>0</v>
      </c>
      <c r="O24" s="7">
        <f t="shared" si="23"/>
        <v>0</v>
      </c>
      <c r="P24" s="7">
        <f t="shared" si="23"/>
        <v>0</v>
      </c>
      <c r="Q24" s="7">
        <f t="shared" si="23"/>
        <v>0</v>
      </c>
      <c r="R24" s="7">
        <f t="shared" si="23"/>
        <v>0</v>
      </c>
      <c r="S24" s="7">
        <f t="shared" si="23"/>
        <v>0</v>
      </c>
      <c r="T24" s="7">
        <f t="shared" si="23"/>
        <v>0</v>
      </c>
      <c r="U24" s="7">
        <f t="shared" si="23"/>
        <v>0</v>
      </c>
      <c r="V24" s="7">
        <f t="shared" si="23"/>
        <v>0</v>
      </c>
      <c r="W24" s="7">
        <f t="shared" si="23"/>
        <v>0</v>
      </c>
      <c r="X24" s="7">
        <f t="shared" si="23"/>
        <v>0</v>
      </c>
    </row>
    <row r="25" spans="1:24" hidden="1">
      <c r="B25" s="1" t="s">
        <v>122</v>
      </c>
      <c r="D25" s="7"/>
      <c r="E25" s="278">
        <f t="shared" ref="E25:X25" si="24">E23-E24</f>
        <v>0</v>
      </c>
      <c r="F25" s="7">
        <f t="shared" si="24"/>
        <v>0</v>
      </c>
      <c r="G25" s="7">
        <f t="shared" si="24"/>
        <v>0</v>
      </c>
      <c r="H25" s="7">
        <f t="shared" si="24"/>
        <v>0</v>
      </c>
      <c r="I25" s="7">
        <f t="shared" si="24"/>
        <v>0</v>
      </c>
      <c r="J25" s="7">
        <f t="shared" si="24"/>
        <v>0</v>
      </c>
      <c r="K25" s="7">
        <f t="shared" si="24"/>
        <v>0</v>
      </c>
      <c r="L25" s="7">
        <f t="shared" si="24"/>
        <v>0</v>
      </c>
      <c r="M25" s="7">
        <f t="shared" si="24"/>
        <v>0</v>
      </c>
      <c r="N25" s="7">
        <f t="shared" si="24"/>
        <v>0</v>
      </c>
      <c r="O25" s="7">
        <f t="shared" si="24"/>
        <v>0</v>
      </c>
      <c r="P25" s="7">
        <f t="shared" si="24"/>
        <v>0</v>
      </c>
      <c r="Q25" s="7">
        <f t="shared" si="24"/>
        <v>0</v>
      </c>
      <c r="R25" s="7">
        <f t="shared" si="24"/>
        <v>0</v>
      </c>
      <c r="S25" s="7">
        <f t="shared" si="24"/>
        <v>0</v>
      </c>
      <c r="T25" s="7">
        <f t="shared" si="24"/>
        <v>0</v>
      </c>
      <c r="U25" s="7">
        <f t="shared" si="24"/>
        <v>0</v>
      </c>
      <c r="V25" s="7">
        <f t="shared" si="24"/>
        <v>0</v>
      </c>
      <c r="W25" s="7">
        <f t="shared" si="24"/>
        <v>0</v>
      </c>
      <c r="X25" s="7">
        <f t="shared" si="24"/>
        <v>0</v>
      </c>
    </row>
    <row r="26" spans="1:24" hidden="1">
      <c r="B26" s="50" t="s">
        <v>121</v>
      </c>
      <c r="C26" s="50"/>
      <c r="D26" s="55"/>
      <c r="E26" s="282">
        <v>0.01</v>
      </c>
      <c r="F26" s="13">
        <f t="shared" ref="F26:S26" si="25">F17</f>
        <v>0</v>
      </c>
      <c r="G26" s="13">
        <f t="shared" si="25"/>
        <v>0</v>
      </c>
      <c r="H26" s="13">
        <f t="shared" si="25"/>
        <v>0</v>
      </c>
      <c r="I26" s="13">
        <f t="shared" si="25"/>
        <v>0</v>
      </c>
      <c r="J26" s="13">
        <f t="shared" si="25"/>
        <v>0</v>
      </c>
      <c r="K26" s="13">
        <f t="shared" si="25"/>
        <v>0</v>
      </c>
      <c r="L26" s="13">
        <f t="shared" si="25"/>
        <v>0</v>
      </c>
      <c r="M26" s="13">
        <f t="shared" si="25"/>
        <v>0</v>
      </c>
      <c r="N26" s="13">
        <f t="shared" si="25"/>
        <v>0</v>
      </c>
      <c r="O26" s="13">
        <f t="shared" si="25"/>
        <v>0</v>
      </c>
      <c r="P26" s="13">
        <f t="shared" si="25"/>
        <v>0</v>
      </c>
      <c r="Q26" s="13">
        <f t="shared" si="25"/>
        <v>0</v>
      </c>
      <c r="R26" s="13">
        <f t="shared" si="25"/>
        <v>0</v>
      </c>
      <c r="S26" s="13">
        <f t="shared" si="25"/>
        <v>0</v>
      </c>
      <c r="T26" s="51">
        <f>1-SUM(D26:S26)</f>
        <v>0.99</v>
      </c>
      <c r="U26" s="13"/>
      <c r="V26" s="13"/>
      <c r="W26" s="13"/>
      <c r="X26" s="13"/>
    </row>
    <row r="27" spans="1:24" hidden="1">
      <c r="A27" s="7">
        <f>SUM(D27:X27)</f>
        <v>0</v>
      </c>
      <c r="B27" s="53" t="s">
        <v>124</v>
      </c>
      <c r="C27" s="53"/>
      <c r="D27" s="285"/>
      <c r="E27" s="283">
        <f t="shared" ref="E27:X27" si="26">AVERAGE(E23,E25)*E28</f>
        <v>0</v>
      </c>
      <c r="F27" s="54">
        <f t="shared" si="26"/>
        <v>0</v>
      </c>
      <c r="G27" s="54">
        <f t="shared" si="26"/>
        <v>0</v>
      </c>
      <c r="H27" s="54">
        <f t="shared" si="26"/>
        <v>0</v>
      </c>
      <c r="I27" s="54">
        <f t="shared" si="26"/>
        <v>0</v>
      </c>
      <c r="J27" s="54">
        <f t="shared" si="26"/>
        <v>0</v>
      </c>
      <c r="K27" s="54">
        <f t="shared" si="26"/>
        <v>0</v>
      </c>
      <c r="L27" s="54">
        <f t="shared" si="26"/>
        <v>0</v>
      </c>
      <c r="M27" s="54">
        <f t="shared" si="26"/>
        <v>0</v>
      </c>
      <c r="N27" s="54">
        <f t="shared" si="26"/>
        <v>0</v>
      </c>
      <c r="O27" s="54">
        <f t="shared" si="26"/>
        <v>0</v>
      </c>
      <c r="P27" s="54">
        <f t="shared" si="26"/>
        <v>0</v>
      </c>
      <c r="Q27" s="54">
        <f t="shared" si="26"/>
        <v>0</v>
      </c>
      <c r="R27" s="54">
        <f t="shared" si="26"/>
        <v>0</v>
      </c>
      <c r="S27" s="54">
        <f t="shared" si="26"/>
        <v>0</v>
      </c>
      <c r="T27" s="54">
        <f t="shared" si="26"/>
        <v>0</v>
      </c>
      <c r="U27" s="54">
        <f t="shared" si="26"/>
        <v>0</v>
      </c>
      <c r="V27" s="54">
        <f t="shared" si="26"/>
        <v>0</v>
      </c>
      <c r="W27" s="54">
        <f t="shared" si="26"/>
        <v>0</v>
      </c>
      <c r="X27" s="54">
        <f t="shared" si="26"/>
        <v>0</v>
      </c>
    </row>
    <row r="28" spans="1:24" hidden="1">
      <c r="B28" s="1" t="s">
        <v>125</v>
      </c>
      <c r="D28" s="55"/>
      <c r="E28" s="55">
        <f t="shared" ref="E28:X28" si="27">E19</f>
        <v>0.17</v>
      </c>
      <c r="F28" s="55">
        <f t="shared" si="27"/>
        <v>0.17</v>
      </c>
      <c r="G28" s="55">
        <f t="shared" si="27"/>
        <v>0.17</v>
      </c>
      <c r="H28" s="55">
        <f t="shared" si="27"/>
        <v>0.17</v>
      </c>
      <c r="I28" s="55">
        <f t="shared" si="27"/>
        <v>0.17</v>
      </c>
      <c r="J28" s="55">
        <f t="shared" si="27"/>
        <v>0.17</v>
      </c>
      <c r="K28" s="55">
        <f t="shared" si="27"/>
        <v>0.17</v>
      </c>
      <c r="L28" s="55">
        <f t="shared" si="27"/>
        <v>0.17</v>
      </c>
      <c r="M28" s="55">
        <f t="shared" si="27"/>
        <v>0.17</v>
      </c>
      <c r="N28" s="55">
        <f t="shared" si="27"/>
        <v>0.17</v>
      </c>
      <c r="O28" s="55">
        <f t="shared" si="27"/>
        <v>0.17</v>
      </c>
      <c r="P28" s="55">
        <f t="shared" si="27"/>
        <v>0.17</v>
      </c>
      <c r="Q28" s="55">
        <f t="shared" si="27"/>
        <v>0.17</v>
      </c>
      <c r="R28" s="55">
        <f t="shared" si="27"/>
        <v>0.17</v>
      </c>
      <c r="S28" s="55">
        <f t="shared" si="27"/>
        <v>0.17</v>
      </c>
      <c r="T28" s="55">
        <f t="shared" si="27"/>
        <v>0.17</v>
      </c>
      <c r="U28" s="55">
        <f t="shared" si="27"/>
        <v>0.17</v>
      </c>
      <c r="V28" s="55">
        <f t="shared" si="27"/>
        <v>0.17</v>
      </c>
      <c r="W28" s="55">
        <f t="shared" si="27"/>
        <v>0.17</v>
      </c>
      <c r="X28" s="55">
        <f t="shared" si="27"/>
        <v>0.17</v>
      </c>
    </row>
    <row r="29" spans="1:24" hidden="1">
      <c r="D29" s="49"/>
      <c r="E29" s="49"/>
      <c r="F29" s="49"/>
      <c r="G29" s="49"/>
      <c r="H29" s="49"/>
      <c r="I29" s="49"/>
      <c r="J29" s="49"/>
      <c r="K29" s="49"/>
      <c r="L29" s="49"/>
      <c r="M29" s="49"/>
      <c r="N29" s="49"/>
      <c r="O29" s="49"/>
      <c r="P29" s="49"/>
      <c r="Q29" s="49"/>
    </row>
    <row r="30" spans="1:24" hidden="1"/>
    <row r="31" spans="1:24" hidden="1">
      <c r="B31" s="23" t="s">
        <v>126</v>
      </c>
      <c r="C31" s="23"/>
      <c r="D31" s="4">
        <f>D13</f>
        <v>43921</v>
      </c>
      <c r="E31" s="4">
        <f t="shared" ref="E31:Q31" si="28">E13</f>
        <v>44286</v>
      </c>
      <c r="F31" s="4">
        <f t="shared" si="28"/>
        <v>44651</v>
      </c>
      <c r="G31" s="4">
        <f t="shared" si="28"/>
        <v>45016</v>
      </c>
      <c r="H31" s="4">
        <f t="shared" si="28"/>
        <v>45382</v>
      </c>
      <c r="I31" s="4">
        <f t="shared" si="28"/>
        <v>45747</v>
      </c>
      <c r="J31" s="4">
        <f t="shared" si="28"/>
        <v>46112</v>
      </c>
      <c r="K31" s="4">
        <f t="shared" si="28"/>
        <v>46477</v>
      </c>
      <c r="L31" s="4">
        <f t="shared" si="28"/>
        <v>46843</v>
      </c>
      <c r="M31" s="4">
        <f t="shared" si="28"/>
        <v>47208</v>
      </c>
      <c r="N31" s="4">
        <f t="shared" si="28"/>
        <v>47573</v>
      </c>
      <c r="O31" s="4">
        <f t="shared" si="28"/>
        <v>47938</v>
      </c>
      <c r="P31" s="4">
        <f t="shared" si="28"/>
        <v>48304</v>
      </c>
      <c r="Q31" s="4">
        <f t="shared" si="28"/>
        <v>48669</v>
      </c>
      <c r="R31" s="4">
        <f t="shared" ref="R31:X31" si="29">R13</f>
        <v>49034</v>
      </c>
      <c r="S31" s="4">
        <f t="shared" si="29"/>
        <v>49399</v>
      </c>
      <c r="T31" s="4">
        <f t="shared" si="29"/>
        <v>49765</v>
      </c>
      <c r="U31" s="4">
        <f t="shared" si="29"/>
        <v>50130</v>
      </c>
      <c r="V31" s="4">
        <f t="shared" si="29"/>
        <v>50495</v>
      </c>
      <c r="W31" s="4">
        <f t="shared" si="29"/>
        <v>50860</v>
      </c>
      <c r="X31" s="4">
        <f t="shared" si="29"/>
        <v>51226</v>
      </c>
    </row>
    <row r="32" spans="1:24" hidden="1">
      <c r="B32" s="1" t="s">
        <v>120</v>
      </c>
      <c r="D32" s="7">
        <f>Assumptions!C152</f>
        <v>0</v>
      </c>
      <c r="E32" s="7">
        <f>D34</f>
        <v>0</v>
      </c>
      <c r="F32" s="7">
        <f t="shared" ref="F32:Q32" si="30">E34</f>
        <v>0</v>
      </c>
      <c r="G32" s="7">
        <f t="shared" si="30"/>
        <v>0</v>
      </c>
      <c r="H32" s="7">
        <f t="shared" si="30"/>
        <v>0</v>
      </c>
      <c r="I32" s="7">
        <f t="shared" si="30"/>
        <v>0</v>
      </c>
      <c r="J32" s="7">
        <f t="shared" si="30"/>
        <v>0</v>
      </c>
      <c r="K32" s="7">
        <f t="shared" si="30"/>
        <v>0</v>
      </c>
      <c r="L32" s="7">
        <f t="shared" si="30"/>
        <v>0</v>
      </c>
      <c r="M32" s="7">
        <f t="shared" si="30"/>
        <v>0</v>
      </c>
      <c r="N32" s="7">
        <f t="shared" si="30"/>
        <v>0</v>
      </c>
      <c r="O32" s="7">
        <f t="shared" si="30"/>
        <v>0</v>
      </c>
      <c r="P32" s="7">
        <f t="shared" si="30"/>
        <v>0</v>
      </c>
      <c r="Q32" s="7">
        <f t="shared" si="30"/>
        <v>0</v>
      </c>
      <c r="R32" s="7">
        <f t="shared" ref="R32:X32" si="31">Q34</f>
        <v>0</v>
      </c>
      <c r="S32" s="7">
        <f t="shared" si="31"/>
        <v>0</v>
      </c>
      <c r="T32" s="7">
        <f t="shared" si="31"/>
        <v>0</v>
      </c>
      <c r="U32" s="7">
        <f t="shared" si="31"/>
        <v>0</v>
      </c>
      <c r="V32" s="7">
        <f t="shared" si="31"/>
        <v>0</v>
      </c>
      <c r="W32" s="7">
        <f t="shared" si="31"/>
        <v>0</v>
      </c>
      <c r="X32" s="7">
        <f t="shared" si="31"/>
        <v>0</v>
      </c>
    </row>
    <row r="33" spans="1:45" hidden="1">
      <c r="A33" s="7">
        <f>SUM(D33:X33)</f>
        <v>0</v>
      </c>
      <c r="B33" s="1" t="s">
        <v>123</v>
      </c>
      <c r="D33" s="7">
        <f>$D$32*D35</f>
        <v>0</v>
      </c>
      <c r="E33" s="7">
        <f t="shared" ref="E33:Q33" si="32">$D$32*E35</f>
        <v>0</v>
      </c>
      <c r="F33" s="7">
        <f t="shared" si="32"/>
        <v>0</v>
      </c>
      <c r="G33" s="7">
        <f t="shared" si="32"/>
        <v>0</v>
      </c>
      <c r="H33" s="7">
        <f t="shared" si="32"/>
        <v>0</v>
      </c>
      <c r="I33" s="7">
        <f t="shared" si="32"/>
        <v>0</v>
      </c>
      <c r="J33" s="7">
        <f t="shared" si="32"/>
        <v>0</v>
      </c>
      <c r="K33" s="7">
        <f t="shared" si="32"/>
        <v>0</v>
      </c>
      <c r="L33" s="7">
        <f t="shared" si="32"/>
        <v>0</v>
      </c>
      <c r="M33" s="7">
        <f t="shared" si="32"/>
        <v>0</v>
      </c>
      <c r="N33" s="7">
        <f t="shared" si="32"/>
        <v>0</v>
      </c>
      <c r="O33" s="7">
        <f t="shared" si="32"/>
        <v>0</v>
      </c>
      <c r="P33" s="7">
        <f t="shared" si="32"/>
        <v>0</v>
      </c>
      <c r="Q33" s="7">
        <f t="shared" si="32"/>
        <v>0</v>
      </c>
      <c r="R33" s="7">
        <f t="shared" ref="R33:X33" si="33">$D$32*R35</f>
        <v>0</v>
      </c>
      <c r="S33" s="7">
        <f t="shared" si="33"/>
        <v>0</v>
      </c>
      <c r="T33" s="7">
        <f t="shared" si="33"/>
        <v>0</v>
      </c>
      <c r="U33" s="7">
        <f t="shared" si="33"/>
        <v>0</v>
      </c>
      <c r="V33" s="7">
        <f t="shared" si="33"/>
        <v>0</v>
      </c>
      <c r="W33" s="7">
        <f t="shared" si="33"/>
        <v>0</v>
      </c>
      <c r="X33" s="7">
        <f t="shared" si="33"/>
        <v>0</v>
      </c>
    </row>
    <row r="34" spans="1:45" hidden="1">
      <c r="B34" s="1" t="s">
        <v>122</v>
      </c>
      <c r="D34" s="7">
        <f t="shared" ref="D34:Q34" si="34">D32-D33</f>
        <v>0</v>
      </c>
      <c r="E34" s="7">
        <f t="shared" si="34"/>
        <v>0</v>
      </c>
      <c r="F34" s="7">
        <f t="shared" si="34"/>
        <v>0</v>
      </c>
      <c r="G34" s="7">
        <f t="shared" si="34"/>
        <v>0</v>
      </c>
      <c r="H34" s="7">
        <f t="shared" si="34"/>
        <v>0</v>
      </c>
      <c r="I34" s="7">
        <f t="shared" si="34"/>
        <v>0</v>
      </c>
      <c r="J34" s="7">
        <f t="shared" si="34"/>
        <v>0</v>
      </c>
      <c r="K34" s="7">
        <f t="shared" si="34"/>
        <v>0</v>
      </c>
      <c r="L34" s="7">
        <f t="shared" si="34"/>
        <v>0</v>
      </c>
      <c r="M34" s="7">
        <f t="shared" si="34"/>
        <v>0</v>
      </c>
      <c r="N34" s="7">
        <f t="shared" si="34"/>
        <v>0</v>
      </c>
      <c r="O34" s="7">
        <f t="shared" si="34"/>
        <v>0</v>
      </c>
      <c r="P34" s="7">
        <f t="shared" si="34"/>
        <v>0</v>
      </c>
      <c r="Q34" s="7">
        <f t="shared" si="34"/>
        <v>0</v>
      </c>
      <c r="R34" s="7">
        <f t="shared" ref="R34:X34" si="35">R32-R33</f>
        <v>0</v>
      </c>
      <c r="S34" s="7">
        <f t="shared" si="35"/>
        <v>0</v>
      </c>
      <c r="T34" s="7">
        <f t="shared" si="35"/>
        <v>0</v>
      </c>
      <c r="U34" s="7">
        <f t="shared" si="35"/>
        <v>0</v>
      </c>
      <c r="V34" s="7">
        <f t="shared" si="35"/>
        <v>0</v>
      </c>
      <c r="W34" s="7">
        <f t="shared" si="35"/>
        <v>0</v>
      </c>
      <c r="X34" s="7">
        <f t="shared" si="35"/>
        <v>0</v>
      </c>
    </row>
    <row r="35" spans="1:45" hidden="1">
      <c r="B35" s="50" t="s">
        <v>121</v>
      </c>
      <c r="C35" s="50"/>
      <c r="D35" s="13"/>
      <c r="E35" s="13"/>
      <c r="F35" s="13">
        <v>0.05</v>
      </c>
      <c r="G35" s="13">
        <v>0.2</v>
      </c>
      <c r="H35" s="13">
        <v>0.33</v>
      </c>
      <c r="I35" s="13">
        <v>0.1</v>
      </c>
      <c r="J35" s="51">
        <f>1-SUM(D35:I35)</f>
        <v>0.31999999999999995</v>
      </c>
      <c r="K35" s="13"/>
      <c r="L35" s="13"/>
      <c r="M35" s="13"/>
      <c r="N35" s="13"/>
      <c r="O35" s="13"/>
      <c r="P35" s="13"/>
      <c r="Q35" s="51"/>
      <c r="R35" s="51"/>
      <c r="S35" s="51"/>
      <c r="T35" s="51"/>
      <c r="U35" s="51"/>
      <c r="V35" s="51"/>
      <c r="W35" s="51"/>
      <c r="X35" s="51"/>
    </row>
    <row r="36" spans="1:45" hidden="1">
      <c r="A36" s="7">
        <f>SUM(D36:X36)</f>
        <v>0</v>
      </c>
      <c r="B36" s="53" t="s">
        <v>124</v>
      </c>
      <c r="C36" s="53"/>
      <c r="D36" s="54">
        <f>D32*D37*0</f>
        <v>0</v>
      </c>
      <c r="E36" s="54">
        <f t="shared" ref="E36:X36" si="36">E32*E37</f>
        <v>0</v>
      </c>
      <c r="F36" s="54">
        <f t="shared" si="36"/>
        <v>0</v>
      </c>
      <c r="G36" s="54">
        <f t="shared" si="36"/>
        <v>0</v>
      </c>
      <c r="H36" s="54">
        <f t="shared" si="36"/>
        <v>0</v>
      </c>
      <c r="I36" s="54">
        <f t="shared" si="36"/>
        <v>0</v>
      </c>
      <c r="J36" s="54">
        <f t="shared" si="36"/>
        <v>0</v>
      </c>
      <c r="K36" s="54">
        <f t="shared" si="36"/>
        <v>0</v>
      </c>
      <c r="L36" s="54">
        <f t="shared" si="36"/>
        <v>0</v>
      </c>
      <c r="M36" s="54">
        <f t="shared" si="36"/>
        <v>0</v>
      </c>
      <c r="N36" s="54">
        <f t="shared" si="36"/>
        <v>0</v>
      </c>
      <c r="O36" s="54">
        <f t="shared" si="36"/>
        <v>0</v>
      </c>
      <c r="P36" s="54">
        <f t="shared" si="36"/>
        <v>0</v>
      </c>
      <c r="Q36" s="54">
        <f t="shared" si="36"/>
        <v>0</v>
      </c>
      <c r="R36" s="54">
        <f t="shared" si="36"/>
        <v>0</v>
      </c>
      <c r="S36" s="54">
        <f t="shared" si="36"/>
        <v>0</v>
      </c>
      <c r="T36" s="54">
        <f t="shared" si="36"/>
        <v>0</v>
      </c>
      <c r="U36" s="54">
        <f t="shared" si="36"/>
        <v>0</v>
      </c>
      <c r="V36" s="54">
        <f t="shared" si="36"/>
        <v>0</v>
      </c>
      <c r="W36" s="54">
        <f t="shared" si="36"/>
        <v>0</v>
      </c>
      <c r="X36" s="54">
        <f t="shared" si="36"/>
        <v>0</v>
      </c>
    </row>
    <row r="37" spans="1:45" hidden="1">
      <c r="B37" s="1" t="s">
        <v>125</v>
      </c>
      <c r="D37" s="13">
        <f>Assumptions!C63</f>
        <v>0.1</v>
      </c>
      <c r="E37" s="55">
        <f>D37</f>
        <v>0.1</v>
      </c>
      <c r="F37" s="55">
        <f t="shared" ref="F37:Q37" si="37">E37</f>
        <v>0.1</v>
      </c>
      <c r="G37" s="55">
        <f t="shared" si="37"/>
        <v>0.1</v>
      </c>
      <c r="H37" s="55">
        <f t="shared" si="37"/>
        <v>0.1</v>
      </c>
      <c r="I37" s="55">
        <f t="shared" si="37"/>
        <v>0.1</v>
      </c>
      <c r="J37" s="55">
        <f t="shared" si="37"/>
        <v>0.1</v>
      </c>
      <c r="K37" s="55">
        <f t="shared" si="37"/>
        <v>0.1</v>
      </c>
      <c r="L37" s="55">
        <f t="shared" si="37"/>
        <v>0.1</v>
      </c>
      <c r="M37" s="55">
        <f t="shared" si="37"/>
        <v>0.1</v>
      </c>
      <c r="N37" s="55">
        <f t="shared" si="37"/>
        <v>0.1</v>
      </c>
      <c r="O37" s="55">
        <f t="shared" si="37"/>
        <v>0.1</v>
      </c>
      <c r="P37" s="55">
        <f t="shared" si="37"/>
        <v>0.1</v>
      </c>
      <c r="Q37" s="55">
        <f t="shared" si="37"/>
        <v>0.1</v>
      </c>
      <c r="R37" s="55">
        <f t="shared" ref="R37:X37" si="38">Q37</f>
        <v>0.1</v>
      </c>
      <c r="S37" s="55">
        <f t="shared" si="38"/>
        <v>0.1</v>
      </c>
      <c r="T37" s="55">
        <f t="shared" si="38"/>
        <v>0.1</v>
      </c>
      <c r="U37" s="55">
        <f t="shared" si="38"/>
        <v>0.1</v>
      </c>
      <c r="V37" s="55">
        <f t="shared" si="38"/>
        <v>0.1</v>
      </c>
      <c r="W37" s="55">
        <f t="shared" si="38"/>
        <v>0.1</v>
      </c>
      <c r="X37" s="55">
        <f t="shared" si="38"/>
        <v>0.1</v>
      </c>
    </row>
    <row r="38" spans="1:45" hidden="1"/>
    <row r="39" spans="1:45">
      <c r="E39" s="5"/>
      <c r="F39" s="5"/>
      <c r="G39" s="5"/>
      <c r="H39" s="5"/>
      <c r="I39" s="5"/>
      <c r="J39" s="5"/>
      <c r="K39" s="5"/>
      <c r="L39" s="5"/>
      <c r="M39" s="5"/>
      <c r="N39" s="5"/>
    </row>
    <row r="40" spans="1:45">
      <c r="B40" s="23" t="s">
        <v>127</v>
      </c>
      <c r="C40" s="23"/>
      <c r="D40" s="4">
        <f>D31</f>
        <v>43921</v>
      </c>
      <c r="E40" s="4">
        <f t="shared" ref="E40:Q40" si="39">E31</f>
        <v>44286</v>
      </c>
      <c r="F40" s="4">
        <f t="shared" si="39"/>
        <v>44651</v>
      </c>
      <c r="G40" s="4">
        <f t="shared" si="39"/>
        <v>45016</v>
      </c>
      <c r="H40" s="4">
        <f t="shared" si="39"/>
        <v>45382</v>
      </c>
      <c r="I40" s="4">
        <f t="shared" si="39"/>
        <v>45747</v>
      </c>
      <c r="J40" s="4">
        <f t="shared" si="39"/>
        <v>46112</v>
      </c>
      <c r="K40" s="4">
        <f t="shared" si="39"/>
        <v>46477</v>
      </c>
      <c r="L40" s="4">
        <f t="shared" si="39"/>
        <v>46843</v>
      </c>
      <c r="M40" s="4">
        <f t="shared" si="39"/>
        <v>47208</v>
      </c>
      <c r="N40" s="4">
        <f t="shared" si="39"/>
        <v>47573</v>
      </c>
      <c r="O40" s="4">
        <f t="shared" si="39"/>
        <v>47938</v>
      </c>
      <c r="P40" s="4">
        <f t="shared" si="39"/>
        <v>48304</v>
      </c>
      <c r="Q40" s="4">
        <f t="shared" si="39"/>
        <v>48669</v>
      </c>
      <c r="R40" s="4">
        <f t="shared" ref="R40:X40" si="40">R31</f>
        <v>49034</v>
      </c>
      <c r="S40" s="4">
        <f t="shared" si="40"/>
        <v>49399</v>
      </c>
      <c r="T40" s="4">
        <f t="shared" si="40"/>
        <v>49765</v>
      </c>
      <c r="U40" s="4">
        <f t="shared" si="40"/>
        <v>50130</v>
      </c>
      <c r="V40" s="4">
        <f t="shared" si="40"/>
        <v>50495</v>
      </c>
      <c r="W40" s="4">
        <f t="shared" si="40"/>
        <v>50860</v>
      </c>
      <c r="X40" s="4">
        <f t="shared" si="40"/>
        <v>51226</v>
      </c>
      <c r="AB40" s="240">
        <f>EOMONTH(AC40,-3)</f>
        <v>44012</v>
      </c>
      <c r="AC40" s="240">
        <v>44104</v>
      </c>
      <c r="AD40" s="240">
        <f t="shared" ref="AD40:AI40" si="41">EOMONTH(AC40,3)</f>
        <v>44196</v>
      </c>
      <c r="AE40" s="240">
        <f t="shared" si="41"/>
        <v>44286</v>
      </c>
      <c r="AF40" s="240">
        <f t="shared" si="41"/>
        <v>44377</v>
      </c>
      <c r="AG40" s="240">
        <f t="shared" si="41"/>
        <v>44469</v>
      </c>
      <c r="AH40" s="240">
        <f t="shared" si="41"/>
        <v>44561</v>
      </c>
      <c r="AI40" s="240">
        <f t="shared" si="41"/>
        <v>44651</v>
      </c>
      <c r="AJ40" s="240">
        <f>EOMONTH(AI40,12)</f>
        <v>45016</v>
      </c>
      <c r="AK40" s="240">
        <f>EOMONTH(AJ40,12)</f>
        <v>45382</v>
      </c>
      <c r="AL40" s="240"/>
      <c r="AM40" s="240"/>
      <c r="AN40" s="240"/>
      <c r="AO40" s="240"/>
      <c r="AP40" s="240"/>
      <c r="AQ40" s="240"/>
      <c r="AR40" s="240"/>
      <c r="AS40" s="240"/>
    </row>
    <row r="41" spans="1:45">
      <c r="B41" s="1" t="s">
        <v>120</v>
      </c>
      <c r="D41" s="7"/>
      <c r="E41" s="7">
        <v>0</v>
      </c>
      <c r="F41" s="7">
        <f t="shared" ref="F41:Q41" si="42">E44</f>
        <v>0</v>
      </c>
      <c r="G41" s="7">
        <f t="shared" si="42"/>
        <v>0</v>
      </c>
      <c r="H41" s="7">
        <f t="shared" si="42"/>
        <v>336.45</v>
      </c>
      <c r="I41" s="7">
        <f t="shared" si="42"/>
        <v>760.05</v>
      </c>
      <c r="J41" s="7">
        <f t="shared" si="42"/>
        <v>1021.5</v>
      </c>
      <c r="K41" s="7">
        <f t="shared" si="42"/>
        <v>919.3</v>
      </c>
      <c r="L41" s="7">
        <f t="shared" si="42"/>
        <v>766</v>
      </c>
      <c r="M41" s="7">
        <f t="shared" si="42"/>
        <v>612.70000000000005</v>
      </c>
      <c r="N41" s="7">
        <f t="shared" si="42"/>
        <v>459.40000000000009</v>
      </c>
      <c r="O41" s="7">
        <f t="shared" si="42"/>
        <v>306.10000000000014</v>
      </c>
      <c r="P41" s="7">
        <f t="shared" si="42"/>
        <v>152.80000000000015</v>
      </c>
      <c r="Q41" s="7">
        <f t="shared" si="42"/>
        <v>-0.49999999999982947</v>
      </c>
      <c r="R41" s="7">
        <f t="shared" ref="R41:X41" si="43">Q44</f>
        <v>-0.49999999999982947</v>
      </c>
      <c r="S41" s="7">
        <f t="shared" si="43"/>
        <v>-0.49999999999982947</v>
      </c>
      <c r="T41" s="7">
        <f t="shared" si="43"/>
        <v>-0.49999999999982947</v>
      </c>
      <c r="U41" s="7">
        <f t="shared" si="43"/>
        <v>-0.49999999999982947</v>
      </c>
      <c r="V41" s="7">
        <f t="shared" si="43"/>
        <v>-0.49999999999982947</v>
      </c>
      <c r="W41" s="7">
        <f t="shared" si="43"/>
        <v>-0.49999999999982947</v>
      </c>
      <c r="X41" s="7">
        <f t="shared" si="43"/>
        <v>-0.49999999999982947</v>
      </c>
      <c r="AA41" s="1" t="s">
        <v>360</v>
      </c>
      <c r="AC41" s="1">
        <f>AB43</f>
        <v>0</v>
      </c>
      <c r="AD41" s="1">
        <f>AC43</f>
        <v>0</v>
      </c>
      <c r="AE41" s="1">
        <f t="shared" ref="AE41:AK41" si="44">AD43</f>
        <v>0</v>
      </c>
      <c r="AF41" s="1">
        <f t="shared" si="44"/>
        <v>0</v>
      </c>
      <c r="AG41" s="1">
        <f t="shared" si="44"/>
        <v>0</v>
      </c>
      <c r="AH41" s="1">
        <f t="shared" si="44"/>
        <v>0</v>
      </c>
      <c r="AI41" s="897">
        <f t="shared" si="44"/>
        <v>0</v>
      </c>
      <c r="AJ41" s="897">
        <f t="shared" si="44"/>
        <v>0</v>
      </c>
      <c r="AK41" s="897">
        <f t="shared" si="44"/>
        <v>94.454999999999998</v>
      </c>
    </row>
    <row r="42" spans="1:45">
      <c r="B42" s="1" t="s">
        <v>255</v>
      </c>
      <c r="D42" s="7"/>
      <c r="E42" s="7">
        <f>SUM(AB42:AE42)</f>
        <v>0</v>
      </c>
      <c r="F42" s="7">
        <f>AI42</f>
        <v>0</v>
      </c>
      <c r="G42" s="7">
        <f>G87+Fin_Statements!L167+Fin_Statements!L168</f>
        <v>336.45</v>
      </c>
      <c r="H42" s="7">
        <f>H87+Fin_Statements!M167+Fin_Statements!M168</f>
        <v>423.6</v>
      </c>
      <c r="I42" s="7">
        <f>I87+Fin_Statements!N167*0+Fin_Statements!N168</f>
        <v>261.45</v>
      </c>
      <c r="J42" s="7"/>
      <c r="K42" s="7"/>
      <c r="L42" s="7"/>
      <c r="M42" s="7"/>
      <c r="N42" s="7"/>
      <c r="O42" s="7"/>
      <c r="P42" s="7"/>
      <c r="Q42" s="7"/>
      <c r="R42" s="7"/>
      <c r="S42" s="7"/>
      <c r="T42" s="7"/>
      <c r="U42" s="7"/>
      <c r="V42" s="7"/>
      <c r="W42" s="7"/>
      <c r="X42" s="7"/>
      <c r="AA42" s="1" t="s">
        <v>255</v>
      </c>
      <c r="AB42" s="294"/>
      <c r="AC42" s="294">
        <f t="shared" ref="AC42:AH42" si="45">AB42</f>
        <v>0</v>
      </c>
      <c r="AD42" s="294">
        <f t="shared" si="45"/>
        <v>0</v>
      </c>
      <c r="AE42" s="294">
        <f t="shared" si="45"/>
        <v>0</v>
      </c>
      <c r="AF42" s="294">
        <f t="shared" si="45"/>
        <v>0</v>
      </c>
      <c r="AG42" s="294">
        <f t="shared" si="45"/>
        <v>0</v>
      </c>
      <c r="AH42" s="295">
        <f t="shared" si="45"/>
        <v>0</v>
      </c>
      <c r="AI42" s="898">
        <f>F89</f>
        <v>0</v>
      </c>
      <c r="AJ42" s="898">
        <f>G89</f>
        <v>94.454999999999998</v>
      </c>
      <c r="AK42" s="898">
        <f>H89</f>
        <v>119.67</v>
      </c>
    </row>
    <row r="43" spans="1:45">
      <c r="A43" s="7">
        <f>SUM(D43:X43)</f>
        <v>1021.9999999999998</v>
      </c>
      <c r="B43" s="1" t="s">
        <v>123</v>
      </c>
      <c r="D43" s="7"/>
      <c r="E43" s="7">
        <f>Assumptions!$C$147*E45</f>
        <v>0</v>
      </c>
      <c r="F43" s="7">
        <f>Assumptions!$C$147*F45</f>
        <v>0</v>
      </c>
      <c r="G43" s="7">
        <f>Assumptions!$C$147*G45</f>
        <v>0</v>
      </c>
      <c r="H43" s="7">
        <f>Assumptions!$C$147*H45</f>
        <v>0</v>
      </c>
      <c r="I43" s="7">
        <f>Assumptions!$C$147*I45</f>
        <v>0</v>
      </c>
      <c r="J43" s="7">
        <f>Assumptions!$C$147*J45</f>
        <v>102.2</v>
      </c>
      <c r="K43" s="7">
        <f>Assumptions!$C$147*K45</f>
        <v>153.29999999999998</v>
      </c>
      <c r="L43" s="7">
        <f>Assumptions!$C$147*L45</f>
        <v>153.29999999999998</v>
      </c>
      <c r="M43" s="7">
        <f>Assumptions!$C$147*M45</f>
        <v>153.29999999999998</v>
      </c>
      <c r="N43" s="7">
        <f>Assumptions!$C$147*N45</f>
        <v>153.29999999999998</v>
      </c>
      <c r="O43" s="7">
        <f>Assumptions!$C$147*O45</f>
        <v>153.29999999999998</v>
      </c>
      <c r="P43" s="7">
        <f>Assumptions!$C$147*P45</f>
        <v>153.29999999999998</v>
      </c>
      <c r="Q43" s="7">
        <f>Assumptions!$C$147*Q45</f>
        <v>0</v>
      </c>
      <c r="R43" s="7">
        <f>Assumptions!$C$147*R45</f>
        <v>0</v>
      </c>
      <c r="S43" s="7">
        <f>Assumptions!$C$147*S45</f>
        <v>0</v>
      </c>
      <c r="T43" s="7">
        <f>Assumptions!$C$147*T45</f>
        <v>0</v>
      </c>
      <c r="U43" s="7">
        <f>Assumptions!$C$147*U45</f>
        <v>0</v>
      </c>
      <c r="V43" s="7">
        <f>Assumptions!$C$147*V45</f>
        <v>0</v>
      </c>
      <c r="W43" s="7">
        <f>Assumptions!$C$147*W45</f>
        <v>0</v>
      </c>
      <c r="X43" s="7">
        <f>Assumptions!$C$147*X45</f>
        <v>0</v>
      </c>
      <c r="AA43" s="1" t="s">
        <v>300</v>
      </c>
      <c r="AB43" s="1">
        <f>AB41+AB42</f>
        <v>0</v>
      </c>
      <c r="AC43" s="1">
        <f>AC41+AC42</f>
        <v>0</v>
      </c>
      <c r="AD43" s="1">
        <f t="shared" ref="AD43:AK43" si="46">AD41+AD42</f>
        <v>0</v>
      </c>
      <c r="AE43" s="1">
        <f t="shared" si="46"/>
        <v>0</v>
      </c>
      <c r="AF43" s="1">
        <f t="shared" si="46"/>
        <v>0</v>
      </c>
      <c r="AG43" s="1">
        <f t="shared" si="46"/>
        <v>0</v>
      </c>
      <c r="AH43" s="1">
        <f t="shared" si="46"/>
        <v>0</v>
      </c>
      <c r="AI43" s="897">
        <f t="shared" si="46"/>
        <v>0</v>
      </c>
      <c r="AJ43" s="897">
        <f t="shared" si="46"/>
        <v>94.454999999999998</v>
      </c>
      <c r="AK43" s="897">
        <f t="shared" si="46"/>
        <v>214.125</v>
      </c>
    </row>
    <row r="44" spans="1:45">
      <c r="B44" s="1" t="s">
        <v>122</v>
      </c>
      <c r="D44" s="7"/>
      <c r="E44" s="7">
        <f>E41+E42-E43</f>
        <v>0</v>
      </c>
      <c r="F44" s="7">
        <f t="shared" ref="F44:Q44" si="47">F41+F42-F43</f>
        <v>0</v>
      </c>
      <c r="G44" s="7">
        <f t="shared" si="47"/>
        <v>336.45</v>
      </c>
      <c r="H44" s="7">
        <f t="shared" si="47"/>
        <v>760.05</v>
      </c>
      <c r="I44" s="7">
        <f t="shared" si="47"/>
        <v>1021.5</v>
      </c>
      <c r="J44" s="7">
        <f t="shared" si="47"/>
        <v>919.3</v>
      </c>
      <c r="K44" s="7">
        <f t="shared" si="47"/>
        <v>766</v>
      </c>
      <c r="L44" s="7">
        <f t="shared" si="47"/>
        <v>612.70000000000005</v>
      </c>
      <c r="M44" s="7">
        <f t="shared" si="47"/>
        <v>459.40000000000009</v>
      </c>
      <c r="N44" s="7">
        <f t="shared" si="47"/>
        <v>306.10000000000014</v>
      </c>
      <c r="O44" s="7">
        <f t="shared" si="47"/>
        <v>152.80000000000015</v>
      </c>
      <c r="P44" s="7">
        <f t="shared" si="47"/>
        <v>-0.49999999999982947</v>
      </c>
      <c r="Q44" s="7">
        <f t="shared" si="47"/>
        <v>-0.49999999999982947</v>
      </c>
      <c r="R44" s="7">
        <f t="shared" ref="R44:X44" si="48">R41+R42-R43</f>
        <v>-0.49999999999982947</v>
      </c>
      <c r="S44" s="7">
        <f t="shared" si="48"/>
        <v>-0.49999999999982947</v>
      </c>
      <c r="T44" s="7">
        <f t="shared" si="48"/>
        <v>-0.49999999999982947</v>
      </c>
      <c r="U44" s="7">
        <f t="shared" si="48"/>
        <v>-0.49999999999982947</v>
      </c>
      <c r="V44" s="7">
        <f t="shared" si="48"/>
        <v>-0.49999999999982947</v>
      </c>
      <c r="W44" s="7">
        <f t="shared" si="48"/>
        <v>-0.49999999999982947</v>
      </c>
      <c r="X44" s="7">
        <f t="shared" si="48"/>
        <v>-0.49999999999982947</v>
      </c>
      <c r="AA44" s="1" t="s">
        <v>244</v>
      </c>
      <c r="AB44" s="241">
        <f>AB41*$E$47/4</f>
        <v>0</v>
      </c>
      <c r="AC44" s="241">
        <f t="shared" ref="AC44:AK44" si="49">AC41*$E$47/4</f>
        <v>0</v>
      </c>
      <c r="AD44" s="241">
        <f t="shared" si="49"/>
        <v>0</v>
      </c>
      <c r="AE44" s="241">
        <f t="shared" si="49"/>
        <v>0</v>
      </c>
      <c r="AF44" s="241">
        <f t="shared" si="49"/>
        <v>0</v>
      </c>
      <c r="AG44" s="241">
        <f t="shared" si="49"/>
        <v>0</v>
      </c>
      <c r="AH44" s="241">
        <f t="shared" si="49"/>
        <v>0</v>
      </c>
      <c r="AI44" s="897">
        <f t="shared" si="49"/>
        <v>0</v>
      </c>
      <c r="AJ44" s="897">
        <f t="shared" si="49"/>
        <v>0</v>
      </c>
      <c r="AK44" s="897">
        <f t="shared" si="49"/>
        <v>3.3059250000000002</v>
      </c>
    </row>
    <row r="45" spans="1:45">
      <c r="B45" s="50" t="s">
        <v>121</v>
      </c>
      <c r="C45" s="50"/>
      <c r="D45" s="13"/>
      <c r="E45" s="13"/>
      <c r="F45" s="13"/>
      <c r="G45" s="13"/>
      <c r="H45" s="13"/>
      <c r="I45" s="13"/>
      <c r="J45" s="13">
        <v>0.1</v>
      </c>
      <c r="K45" s="13">
        <v>0.15</v>
      </c>
      <c r="L45" s="13">
        <v>0.15</v>
      </c>
      <c r="M45" s="13">
        <v>0.15</v>
      </c>
      <c r="N45" s="13">
        <v>0.15</v>
      </c>
      <c r="O45" s="13">
        <v>0.15</v>
      </c>
      <c r="P45" s="13">
        <v>0.15</v>
      </c>
      <c r="Q45" s="51"/>
      <c r="R45" s="51"/>
      <c r="S45" s="51"/>
      <c r="T45" s="51"/>
      <c r="U45" s="51"/>
      <c r="V45" s="51"/>
      <c r="W45" s="51"/>
      <c r="X45" s="51"/>
    </row>
    <row r="46" spans="1:45">
      <c r="A46" s="7">
        <f>SUM(D46:X46)</f>
        <v>769.75850000000071</v>
      </c>
      <c r="B46" s="53" t="s">
        <v>124</v>
      </c>
      <c r="C46" s="53"/>
      <c r="D46" s="55"/>
      <c r="E46" s="54">
        <f>SUM(AB44:AE44)</f>
        <v>0</v>
      </c>
      <c r="F46" s="235">
        <f>F44*F47</f>
        <v>0</v>
      </c>
      <c r="G46" s="235">
        <f>G42*G47</f>
        <v>47.103000000000002</v>
      </c>
      <c r="H46" s="54">
        <f t="shared" ref="H46:Q46" si="50">AVERAGE(H41,H44)*H47</f>
        <v>76.75500000000001</v>
      </c>
      <c r="I46" s="54">
        <f t="shared" si="50"/>
        <v>124.70850000000002</v>
      </c>
      <c r="J46" s="54">
        <f t="shared" si="50"/>
        <v>135.85600000000002</v>
      </c>
      <c r="K46" s="54">
        <f t="shared" si="50"/>
        <v>117.971</v>
      </c>
      <c r="L46" s="54">
        <f t="shared" si="50"/>
        <v>96.509000000000015</v>
      </c>
      <c r="M46" s="54">
        <f t="shared" si="50"/>
        <v>75.047000000000011</v>
      </c>
      <c r="N46" s="54">
        <f t="shared" si="50"/>
        <v>53.585000000000022</v>
      </c>
      <c r="O46" s="54">
        <f t="shared" si="50"/>
        <v>32.123000000000026</v>
      </c>
      <c r="P46" s="54">
        <f t="shared" si="50"/>
        <v>10.661000000000024</v>
      </c>
      <c r="Q46" s="54">
        <f t="shared" si="50"/>
        <v>-6.9999999999976137E-2</v>
      </c>
      <c r="R46" s="54">
        <f t="shared" ref="R46:X46" si="51">AVERAGE(R41,R44)*R47</f>
        <v>-6.9999999999976137E-2</v>
      </c>
      <c r="S46" s="54">
        <f t="shared" si="51"/>
        <v>-6.9999999999976137E-2</v>
      </c>
      <c r="T46" s="54">
        <f t="shared" si="51"/>
        <v>-6.9999999999976137E-2</v>
      </c>
      <c r="U46" s="54">
        <f t="shared" si="51"/>
        <v>-6.9999999999976137E-2</v>
      </c>
      <c r="V46" s="54">
        <f t="shared" si="51"/>
        <v>-6.9999999999976137E-2</v>
      </c>
      <c r="W46" s="54">
        <f t="shared" si="51"/>
        <v>-6.9999999999976137E-2</v>
      </c>
      <c r="X46" s="54">
        <f t="shared" si="51"/>
        <v>-6.9999999999976137E-2</v>
      </c>
    </row>
    <row r="47" spans="1:45">
      <c r="B47" s="1" t="s">
        <v>125</v>
      </c>
      <c r="D47" s="55"/>
      <c r="E47" s="13">
        <f>Assumptions!C61</f>
        <v>0.14000000000000001</v>
      </c>
      <c r="F47" s="55">
        <f t="shared" ref="F47:Q47" si="52">E47</f>
        <v>0.14000000000000001</v>
      </c>
      <c r="G47" s="55">
        <f t="shared" si="52"/>
        <v>0.14000000000000001</v>
      </c>
      <c r="H47" s="55">
        <f t="shared" si="52"/>
        <v>0.14000000000000001</v>
      </c>
      <c r="I47" s="55">
        <f t="shared" si="52"/>
        <v>0.14000000000000001</v>
      </c>
      <c r="J47" s="55">
        <f t="shared" si="52"/>
        <v>0.14000000000000001</v>
      </c>
      <c r="K47" s="55">
        <f t="shared" si="52"/>
        <v>0.14000000000000001</v>
      </c>
      <c r="L47" s="55">
        <f t="shared" si="52"/>
        <v>0.14000000000000001</v>
      </c>
      <c r="M47" s="55">
        <f t="shared" si="52"/>
        <v>0.14000000000000001</v>
      </c>
      <c r="N47" s="55">
        <f t="shared" si="52"/>
        <v>0.14000000000000001</v>
      </c>
      <c r="O47" s="55">
        <f t="shared" si="52"/>
        <v>0.14000000000000001</v>
      </c>
      <c r="P47" s="55">
        <f t="shared" si="52"/>
        <v>0.14000000000000001</v>
      </c>
      <c r="Q47" s="55">
        <f t="shared" si="52"/>
        <v>0.14000000000000001</v>
      </c>
      <c r="R47" s="55">
        <f t="shared" ref="R47:X47" si="53">Q47</f>
        <v>0.14000000000000001</v>
      </c>
      <c r="S47" s="55">
        <f t="shared" si="53"/>
        <v>0.14000000000000001</v>
      </c>
      <c r="T47" s="55">
        <f t="shared" si="53"/>
        <v>0.14000000000000001</v>
      </c>
      <c r="U47" s="55">
        <f t="shared" si="53"/>
        <v>0.14000000000000001</v>
      </c>
      <c r="V47" s="55">
        <f t="shared" si="53"/>
        <v>0.14000000000000001</v>
      </c>
      <c r="W47" s="55">
        <f t="shared" si="53"/>
        <v>0.14000000000000001</v>
      </c>
      <c r="X47" s="55">
        <f t="shared" si="53"/>
        <v>0.14000000000000001</v>
      </c>
    </row>
    <row r="49" spans="1:24">
      <c r="D49" s="6"/>
    </row>
    <row r="50" spans="1:24">
      <c r="B50" s="23" t="s">
        <v>278</v>
      </c>
      <c r="C50" s="23"/>
      <c r="D50" s="4">
        <f>D40</f>
        <v>43921</v>
      </c>
      <c r="E50" s="4">
        <f t="shared" ref="E50:Q50" si="54">E40</f>
        <v>44286</v>
      </c>
      <c r="F50" s="4">
        <f t="shared" si="54"/>
        <v>44651</v>
      </c>
      <c r="G50" s="4">
        <f t="shared" si="54"/>
        <v>45016</v>
      </c>
      <c r="H50" s="4">
        <f t="shared" si="54"/>
        <v>45382</v>
      </c>
      <c r="I50" s="4">
        <f t="shared" si="54"/>
        <v>45747</v>
      </c>
      <c r="J50" s="4">
        <f t="shared" si="54"/>
        <v>46112</v>
      </c>
      <c r="K50" s="4">
        <f t="shared" si="54"/>
        <v>46477</v>
      </c>
      <c r="L50" s="4">
        <f t="shared" si="54"/>
        <v>46843</v>
      </c>
      <c r="M50" s="4">
        <f t="shared" si="54"/>
        <v>47208</v>
      </c>
      <c r="N50" s="4">
        <f t="shared" si="54"/>
        <v>47573</v>
      </c>
      <c r="O50" s="4">
        <f t="shared" si="54"/>
        <v>47938</v>
      </c>
      <c r="P50" s="4">
        <f t="shared" si="54"/>
        <v>48304</v>
      </c>
      <c r="Q50" s="4">
        <f t="shared" si="54"/>
        <v>48669</v>
      </c>
      <c r="R50" s="4">
        <f t="shared" ref="R50:X50" si="55">R40</f>
        <v>49034</v>
      </c>
      <c r="S50" s="4">
        <f t="shared" si="55"/>
        <v>49399</v>
      </c>
      <c r="T50" s="4">
        <f t="shared" si="55"/>
        <v>49765</v>
      </c>
      <c r="U50" s="4">
        <f t="shared" si="55"/>
        <v>50130</v>
      </c>
      <c r="V50" s="4">
        <f t="shared" si="55"/>
        <v>50495</v>
      </c>
      <c r="W50" s="4">
        <f t="shared" si="55"/>
        <v>50860</v>
      </c>
      <c r="X50" s="4">
        <f t="shared" si="55"/>
        <v>51226</v>
      </c>
    </row>
    <row r="51" spans="1:24">
      <c r="B51" s="1" t="s">
        <v>120</v>
      </c>
      <c r="D51" s="160">
        <f>Assumptions!C145</f>
        <v>1668.8400000000001</v>
      </c>
      <c r="E51" s="7">
        <f>D53</f>
        <v>0</v>
      </c>
      <c r="F51" s="7">
        <f t="shared" ref="F51:Q51" si="56">E53</f>
        <v>0</v>
      </c>
      <c r="G51" s="7">
        <f t="shared" si="56"/>
        <v>0</v>
      </c>
      <c r="H51" s="7">
        <f t="shared" si="56"/>
        <v>0</v>
      </c>
      <c r="I51" s="7">
        <f t="shared" si="56"/>
        <v>0</v>
      </c>
      <c r="J51" s="7">
        <f t="shared" si="56"/>
        <v>0</v>
      </c>
      <c r="K51" s="7">
        <f t="shared" si="56"/>
        <v>0</v>
      </c>
      <c r="L51" s="7">
        <f t="shared" si="56"/>
        <v>0</v>
      </c>
      <c r="M51" s="7">
        <f t="shared" si="56"/>
        <v>0</v>
      </c>
      <c r="N51" s="7">
        <f t="shared" si="56"/>
        <v>0</v>
      </c>
      <c r="O51" s="7">
        <f t="shared" si="56"/>
        <v>0</v>
      </c>
      <c r="P51" s="7">
        <f t="shared" si="56"/>
        <v>0</v>
      </c>
      <c r="Q51" s="7">
        <f t="shared" si="56"/>
        <v>0</v>
      </c>
      <c r="R51" s="7">
        <f t="shared" ref="R51:X51" si="57">Q53</f>
        <v>0</v>
      </c>
      <c r="S51" s="7">
        <f t="shared" si="57"/>
        <v>0</v>
      </c>
      <c r="T51" s="7">
        <f t="shared" si="57"/>
        <v>0</v>
      </c>
      <c r="U51" s="7">
        <f t="shared" si="57"/>
        <v>0</v>
      </c>
      <c r="V51" s="7">
        <f t="shared" si="57"/>
        <v>0</v>
      </c>
      <c r="W51" s="7">
        <f t="shared" si="57"/>
        <v>0</v>
      </c>
      <c r="X51" s="7">
        <f t="shared" si="57"/>
        <v>0</v>
      </c>
    </row>
    <row r="52" spans="1:24">
      <c r="A52" s="7">
        <f>SUM(D52:X52)</f>
        <v>1668.8400000000001</v>
      </c>
      <c r="B52" s="1" t="s">
        <v>123</v>
      </c>
      <c r="D52" s="132">
        <f t="shared" ref="D52:P52" si="58">$D$51*D54</f>
        <v>1668.8400000000001</v>
      </c>
      <c r="E52" s="7">
        <f t="shared" si="58"/>
        <v>0</v>
      </c>
      <c r="F52" s="7">
        <f t="shared" si="58"/>
        <v>0</v>
      </c>
      <c r="G52" s="7">
        <f t="shared" si="58"/>
        <v>0</v>
      </c>
      <c r="H52" s="7">
        <f t="shared" si="58"/>
        <v>0</v>
      </c>
      <c r="I52" s="7">
        <f t="shared" si="58"/>
        <v>0</v>
      </c>
      <c r="J52" s="7">
        <f t="shared" si="58"/>
        <v>0</v>
      </c>
      <c r="K52" s="7">
        <f t="shared" si="58"/>
        <v>0</v>
      </c>
      <c r="L52" s="7">
        <f t="shared" si="58"/>
        <v>0</v>
      </c>
      <c r="M52" s="7">
        <f t="shared" si="58"/>
        <v>0</v>
      </c>
      <c r="N52" s="7">
        <f t="shared" si="58"/>
        <v>0</v>
      </c>
      <c r="O52" s="7">
        <f t="shared" si="58"/>
        <v>0</v>
      </c>
      <c r="P52" s="7">
        <f t="shared" si="58"/>
        <v>0</v>
      </c>
      <c r="Q52" s="7">
        <f>$D$51*Q54</f>
        <v>0</v>
      </c>
      <c r="R52" s="7">
        <f t="shared" ref="R52:X52" si="59">$D$51*R54</f>
        <v>0</v>
      </c>
      <c r="S52" s="7">
        <f t="shared" si="59"/>
        <v>0</v>
      </c>
      <c r="T52" s="7">
        <f t="shared" si="59"/>
        <v>0</v>
      </c>
      <c r="U52" s="7">
        <f t="shared" si="59"/>
        <v>0</v>
      </c>
      <c r="V52" s="7">
        <f t="shared" si="59"/>
        <v>0</v>
      </c>
      <c r="W52" s="7">
        <f t="shared" si="59"/>
        <v>0</v>
      </c>
      <c r="X52" s="7">
        <f t="shared" si="59"/>
        <v>0</v>
      </c>
    </row>
    <row r="53" spans="1:24">
      <c r="B53" s="1" t="s">
        <v>122</v>
      </c>
      <c r="D53" s="7">
        <f t="shared" ref="D53:Q53" si="60">D51-D52</f>
        <v>0</v>
      </c>
      <c r="E53" s="7">
        <f t="shared" si="60"/>
        <v>0</v>
      </c>
      <c r="F53" s="7">
        <f t="shared" si="60"/>
        <v>0</v>
      </c>
      <c r="G53" s="7">
        <f t="shared" si="60"/>
        <v>0</v>
      </c>
      <c r="H53" s="7">
        <f t="shared" si="60"/>
        <v>0</v>
      </c>
      <c r="I53" s="7">
        <f t="shared" si="60"/>
        <v>0</v>
      </c>
      <c r="J53" s="7">
        <f t="shared" si="60"/>
        <v>0</v>
      </c>
      <c r="K53" s="7">
        <f t="shared" si="60"/>
        <v>0</v>
      </c>
      <c r="L53" s="7">
        <f t="shared" si="60"/>
        <v>0</v>
      </c>
      <c r="M53" s="7">
        <f t="shared" si="60"/>
        <v>0</v>
      </c>
      <c r="N53" s="7">
        <f t="shared" si="60"/>
        <v>0</v>
      </c>
      <c r="O53" s="7">
        <f t="shared" si="60"/>
        <v>0</v>
      </c>
      <c r="P53" s="7">
        <f t="shared" si="60"/>
        <v>0</v>
      </c>
      <c r="Q53" s="7">
        <f t="shared" si="60"/>
        <v>0</v>
      </c>
      <c r="R53" s="7">
        <f t="shared" ref="R53:X53" si="61">R51-R52</f>
        <v>0</v>
      </c>
      <c r="S53" s="7">
        <f t="shared" si="61"/>
        <v>0</v>
      </c>
      <c r="T53" s="7">
        <f t="shared" si="61"/>
        <v>0</v>
      </c>
      <c r="U53" s="7">
        <f t="shared" si="61"/>
        <v>0</v>
      </c>
      <c r="V53" s="7">
        <f t="shared" si="61"/>
        <v>0</v>
      </c>
      <c r="W53" s="7">
        <f t="shared" si="61"/>
        <v>0</v>
      </c>
      <c r="X53" s="7">
        <f t="shared" si="61"/>
        <v>0</v>
      </c>
    </row>
    <row r="54" spans="1:24">
      <c r="B54" s="50" t="s">
        <v>121</v>
      </c>
      <c r="C54" s="50"/>
      <c r="D54" s="13">
        <v>1</v>
      </c>
      <c r="E54" s="13">
        <f>IF(Assumptions!$C$156=0,0%,0.1%)</f>
        <v>0</v>
      </c>
      <c r="F54" s="13">
        <f>IF(Assumptions!$C$156=0,0%,0.1%)</f>
        <v>0</v>
      </c>
      <c r="G54" s="13">
        <f>IF(Assumptions!$C$156=0,0%,0.1%)</f>
        <v>0</v>
      </c>
      <c r="H54" s="13">
        <f>IF(Assumptions!$C$156=0,0%,0.1%)</f>
        <v>0</v>
      </c>
      <c r="I54" s="13">
        <f>IF(Assumptions!$C$156=0,0%,0.1%)</f>
        <v>0</v>
      </c>
      <c r="J54" s="13">
        <f>IF(Assumptions!$C$156=0,0%,0.1%)</f>
        <v>0</v>
      </c>
      <c r="K54" s="13">
        <f>IF(Assumptions!$C$156=0,0%,0.1%)</f>
        <v>0</v>
      </c>
      <c r="L54" s="13">
        <f>IF(Assumptions!$C$156=0,0%,0.1%)</f>
        <v>0</v>
      </c>
      <c r="M54" s="13">
        <f>IF(Assumptions!$C$156=0,0%,0.1%)</f>
        <v>0</v>
      </c>
      <c r="N54" s="13">
        <f>IF(Assumptions!$C$156=0,0%,0.1%)</f>
        <v>0</v>
      </c>
      <c r="O54" s="13">
        <f>IF(Assumptions!$C$156=0,0%,0.1%)</f>
        <v>0</v>
      </c>
      <c r="P54" s="13">
        <f>IF(Assumptions!$C$156=0,0%,0.1%)</f>
        <v>0</v>
      </c>
      <c r="Q54" s="13">
        <f>IF(Assumptions!$C$156=0,0%,0.1%)</f>
        <v>0</v>
      </c>
      <c r="R54" s="13">
        <f>IF(Assumptions!$C$156=0,0%,0.1%)</f>
        <v>0</v>
      </c>
      <c r="S54" s="13">
        <f>IF(Assumptions!$C$156=0,0%,0.1%)</f>
        <v>0</v>
      </c>
      <c r="T54" s="13">
        <f>IF(Assumptions!$C$156=0,0%,0.1%)</f>
        <v>0</v>
      </c>
      <c r="U54" s="13">
        <f>IF(Assumptions!$C$156=0,0%,0.1%)</f>
        <v>0</v>
      </c>
      <c r="V54" s="13">
        <f>IF(Assumptions!$C$156=0,0%,0.1%)</f>
        <v>0</v>
      </c>
      <c r="W54" s="13">
        <f>IF(Assumptions!$C$156=0,0%,0.1%)</f>
        <v>0</v>
      </c>
      <c r="X54" s="13">
        <f>IF(Assumptions!$C$156=0,0%,0.1%)</f>
        <v>0</v>
      </c>
    </row>
    <row r="55" spans="1:24">
      <c r="A55" s="7">
        <f>SUM(D55:X55)</f>
        <v>0</v>
      </c>
      <c r="B55" s="53" t="s">
        <v>124</v>
      </c>
      <c r="C55" s="53"/>
      <c r="D55" s="284">
        <f>(D51*D56/4)*(1+Assumptions!$C$128)*0</f>
        <v>0</v>
      </c>
      <c r="E55" s="54">
        <f>AVERAGE(E51,E53)*E56*(1+Assumptions!$C$128)</f>
        <v>0</v>
      </c>
      <c r="F55" s="54">
        <f>AVERAGE(F51,F53)*F56*(1+Assumptions!$C$128)</f>
        <v>0</v>
      </c>
      <c r="G55" s="54">
        <f>AVERAGE(G51,G53)*G56*(1+Assumptions!$C$128)</f>
        <v>0</v>
      </c>
      <c r="H55" s="54">
        <f>AVERAGE(H51,H53)*H56*(1+Assumptions!$C$128)</f>
        <v>0</v>
      </c>
      <c r="I55" s="54">
        <f>AVERAGE(I51,I53)*I56*(1+Assumptions!$C$128)</f>
        <v>0</v>
      </c>
      <c r="J55" s="54">
        <f>AVERAGE(J51,J53)*J56*(1+Assumptions!$C$128)</f>
        <v>0</v>
      </c>
      <c r="K55" s="54">
        <f>AVERAGE(K51,K53)*K56*(1+Assumptions!$C$128)</f>
        <v>0</v>
      </c>
      <c r="L55" s="54">
        <f>AVERAGE(L51,L53)*L56*(1+Assumptions!$C$128)</f>
        <v>0</v>
      </c>
      <c r="M55" s="54">
        <f>AVERAGE(M51,M53)*M56*(1+Assumptions!$C$128)</f>
        <v>0</v>
      </c>
      <c r="N55" s="54">
        <f>AVERAGE(N51,N53)*N56*(1+Assumptions!$C$128)</f>
        <v>0</v>
      </c>
      <c r="O55" s="54">
        <f>AVERAGE(O51,O53)*O56*(1+Assumptions!$C$128)</f>
        <v>0</v>
      </c>
      <c r="P55" s="54">
        <f>AVERAGE(P51,P53)*P56*(1+Assumptions!$C$128)</f>
        <v>0</v>
      </c>
      <c r="Q55" s="54">
        <f>AVERAGE(Q51,Q53)*Q56*(1+Assumptions!$C$128)</f>
        <v>0</v>
      </c>
      <c r="R55" s="54">
        <f>AVERAGE(R51,R53)*R56*(1+Assumptions!$C$128)</f>
        <v>0</v>
      </c>
      <c r="S55" s="54">
        <f>AVERAGE(S51,S53)*S56*(1+Assumptions!$C$128)</f>
        <v>0</v>
      </c>
      <c r="T55" s="54">
        <f>AVERAGE(T51,T53)*T56*(1+Assumptions!$C$128)</f>
        <v>0</v>
      </c>
      <c r="U55" s="54">
        <f>AVERAGE(U51,U53)*U56*(1+Assumptions!$C$128)</f>
        <v>0</v>
      </c>
      <c r="V55" s="54">
        <f>AVERAGE(V51,V53)*V56*(1+Assumptions!$C$128)</f>
        <v>0</v>
      </c>
      <c r="W55" s="54">
        <f>AVERAGE(W51,W53)*W56*(1+Assumptions!$C$128)</f>
        <v>0</v>
      </c>
      <c r="X55" s="54">
        <f>AVERAGE(X51,X53)*X56*(1+Assumptions!$C$128)</f>
        <v>0</v>
      </c>
    </row>
    <row r="56" spans="1:24">
      <c r="B56" s="1" t="s">
        <v>125</v>
      </c>
      <c r="D56" s="13">
        <f>Assumptions!C62</f>
        <v>1E-3</v>
      </c>
      <c r="E56" s="55">
        <f>D56</f>
        <v>1E-3</v>
      </c>
      <c r="F56" s="55">
        <f t="shared" ref="F56:X56" si="62">E56</f>
        <v>1E-3</v>
      </c>
      <c r="G56" s="55">
        <f t="shared" si="62"/>
        <v>1E-3</v>
      </c>
      <c r="H56" s="55">
        <f t="shared" si="62"/>
        <v>1E-3</v>
      </c>
      <c r="I56" s="55">
        <f t="shared" si="62"/>
        <v>1E-3</v>
      </c>
      <c r="J56" s="55">
        <f t="shared" si="62"/>
        <v>1E-3</v>
      </c>
      <c r="K56" s="55">
        <f t="shared" si="62"/>
        <v>1E-3</v>
      </c>
      <c r="L56" s="55">
        <f t="shared" si="62"/>
        <v>1E-3</v>
      </c>
      <c r="M56" s="55">
        <f t="shared" si="62"/>
        <v>1E-3</v>
      </c>
      <c r="N56" s="55">
        <f t="shared" si="62"/>
        <v>1E-3</v>
      </c>
      <c r="O56" s="55">
        <f t="shared" si="62"/>
        <v>1E-3</v>
      </c>
      <c r="P56" s="55">
        <f t="shared" si="62"/>
        <v>1E-3</v>
      </c>
      <c r="Q56" s="55">
        <f t="shared" si="62"/>
        <v>1E-3</v>
      </c>
      <c r="R56" s="55">
        <f t="shared" si="62"/>
        <v>1E-3</v>
      </c>
      <c r="S56" s="55">
        <f t="shared" si="62"/>
        <v>1E-3</v>
      </c>
      <c r="T56" s="55">
        <f t="shared" si="62"/>
        <v>1E-3</v>
      </c>
      <c r="U56" s="55">
        <f t="shared" si="62"/>
        <v>1E-3</v>
      </c>
      <c r="V56" s="55">
        <f t="shared" si="62"/>
        <v>1E-3</v>
      </c>
      <c r="W56" s="55">
        <f t="shared" si="62"/>
        <v>1E-3</v>
      </c>
      <c r="X56" s="55">
        <f t="shared" si="62"/>
        <v>1E-3</v>
      </c>
    </row>
    <row r="57" spans="1:24" s="25" customFormat="1">
      <c r="A57" s="24"/>
      <c r="D57" s="228">
        <f>SUM(D55,D52)</f>
        <v>1668.8400000000001</v>
      </c>
      <c r="E57" s="228">
        <f t="shared" ref="E57:S57" si="63">SUM(E55,E52)</f>
        <v>0</v>
      </c>
      <c r="F57" s="228">
        <f t="shared" si="63"/>
        <v>0</v>
      </c>
      <c r="G57" s="228">
        <f t="shared" si="63"/>
        <v>0</v>
      </c>
      <c r="H57" s="228">
        <f t="shared" si="63"/>
        <v>0</v>
      </c>
      <c r="I57" s="228">
        <f t="shared" si="63"/>
        <v>0</v>
      </c>
      <c r="J57" s="228">
        <f t="shared" si="63"/>
        <v>0</v>
      </c>
      <c r="K57" s="228">
        <f t="shared" si="63"/>
        <v>0</v>
      </c>
      <c r="L57" s="228">
        <f t="shared" si="63"/>
        <v>0</v>
      </c>
      <c r="M57" s="228">
        <f t="shared" si="63"/>
        <v>0</v>
      </c>
      <c r="N57" s="228">
        <f t="shared" si="63"/>
        <v>0</v>
      </c>
      <c r="O57" s="228">
        <f t="shared" si="63"/>
        <v>0</v>
      </c>
      <c r="P57" s="228">
        <f t="shared" si="63"/>
        <v>0</v>
      </c>
      <c r="Q57" s="228">
        <f t="shared" si="63"/>
        <v>0</v>
      </c>
      <c r="R57" s="228">
        <f t="shared" si="63"/>
        <v>0</v>
      </c>
      <c r="S57" s="228">
        <f t="shared" si="63"/>
        <v>0</v>
      </c>
      <c r="T57" s="55"/>
      <c r="U57" s="55"/>
      <c r="V57" s="55"/>
      <c r="W57" s="55"/>
      <c r="X57" s="55"/>
    </row>
    <row r="58" spans="1:24" s="25" customFormat="1">
      <c r="A58" s="24"/>
      <c r="D58" s="55"/>
      <c r="E58" s="55"/>
      <c r="F58" s="55"/>
      <c r="G58" s="55"/>
      <c r="H58" s="55"/>
      <c r="I58" s="55"/>
      <c r="J58" s="55"/>
      <c r="K58" s="55"/>
      <c r="L58" s="55"/>
      <c r="M58" s="55"/>
      <c r="N58" s="55"/>
      <c r="O58" s="55"/>
      <c r="P58" s="55"/>
      <c r="Q58" s="55"/>
      <c r="R58" s="55"/>
      <c r="S58" s="55"/>
      <c r="T58" s="55"/>
      <c r="U58" s="55"/>
      <c r="V58" s="55"/>
      <c r="W58" s="55"/>
      <c r="X58" s="55"/>
    </row>
    <row r="59" spans="1:24" s="25" customFormat="1" hidden="1">
      <c r="A59" s="24"/>
      <c r="B59" s="25" t="s">
        <v>339</v>
      </c>
      <c r="D59" s="230"/>
      <c r="E59" s="230">
        <f>E50</f>
        <v>44286</v>
      </c>
      <c r="F59" s="230">
        <f t="shared" ref="F59:X59" si="64">F50</f>
        <v>44651</v>
      </c>
      <c r="G59" s="230">
        <f t="shared" si="64"/>
        <v>45016</v>
      </c>
      <c r="H59" s="230">
        <f t="shared" si="64"/>
        <v>45382</v>
      </c>
      <c r="I59" s="230">
        <f t="shared" si="64"/>
        <v>45747</v>
      </c>
      <c r="J59" s="230">
        <f t="shared" si="64"/>
        <v>46112</v>
      </c>
      <c r="K59" s="230">
        <f t="shared" si="64"/>
        <v>46477</v>
      </c>
      <c r="L59" s="230">
        <f t="shared" si="64"/>
        <v>46843</v>
      </c>
      <c r="M59" s="230">
        <f t="shared" si="64"/>
        <v>47208</v>
      </c>
      <c r="N59" s="230">
        <f t="shared" si="64"/>
        <v>47573</v>
      </c>
      <c r="O59" s="230">
        <f t="shared" si="64"/>
        <v>47938</v>
      </c>
      <c r="P59" s="230">
        <f t="shared" si="64"/>
        <v>48304</v>
      </c>
      <c r="Q59" s="230">
        <f t="shared" si="64"/>
        <v>48669</v>
      </c>
      <c r="R59" s="230">
        <f t="shared" si="64"/>
        <v>49034</v>
      </c>
      <c r="S59" s="230">
        <f t="shared" si="64"/>
        <v>49399</v>
      </c>
      <c r="T59" s="230">
        <f t="shared" si="64"/>
        <v>49765</v>
      </c>
      <c r="U59" s="230">
        <f t="shared" si="64"/>
        <v>50130</v>
      </c>
      <c r="V59" s="230">
        <f t="shared" si="64"/>
        <v>50495</v>
      </c>
      <c r="W59" s="230">
        <f t="shared" si="64"/>
        <v>50860</v>
      </c>
      <c r="X59" s="230">
        <f t="shared" si="64"/>
        <v>51226</v>
      </c>
    </row>
    <row r="60" spans="1:24" s="25" customFormat="1" hidden="1">
      <c r="A60" s="24"/>
      <c r="B60" s="25" t="s">
        <v>123</v>
      </c>
      <c r="D60" s="231"/>
      <c r="E60" s="231">
        <f t="shared" ref="E60:X60" si="65">$D$51*E8</f>
        <v>0</v>
      </c>
      <c r="F60" s="231">
        <f t="shared" si="65"/>
        <v>0</v>
      </c>
      <c r="G60" s="231">
        <f t="shared" si="65"/>
        <v>0</v>
      </c>
      <c r="H60" s="231">
        <f t="shared" si="65"/>
        <v>0</v>
      </c>
      <c r="I60" s="231">
        <f t="shared" si="65"/>
        <v>0</v>
      </c>
      <c r="J60" s="231">
        <f t="shared" si="65"/>
        <v>0</v>
      </c>
      <c r="K60" s="231">
        <f t="shared" si="65"/>
        <v>0</v>
      </c>
      <c r="L60" s="231">
        <f t="shared" si="65"/>
        <v>0</v>
      </c>
      <c r="M60" s="231">
        <f t="shared" si="65"/>
        <v>0</v>
      </c>
      <c r="N60" s="231">
        <f t="shared" si="65"/>
        <v>0</v>
      </c>
      <c r="O60" s="231">
        <f t="shared" si="65"/>
        <v>0</v>
      </c>
      <c r="P60" s="231">
        <f t="shared" si="65"/>
        <v>0</v>
      </c>
      <c r="Q60" s="231">
        <f t="shared" si="65"/>
        <v>0</v>
      </c>
      <c r="R60" s="231">
        <f t="shared" si="65"/>
        <v>0</v>
      </c>
      <c r="S60" s="231">
        <f t="shared" si="65"/>
        <v>0</v>
      </c>
      <c r="T60" s="231">
        <f t="shared" si="65"/>
        <v>0</v>
      </c>
      <c r="U60" s="231">
        <f t="shared" si="65"/>
        <v>0</v>
      </c>
      <c r="V60" s="231">
        <f t="shared" si="65"/>
        <v>0</v>
      </c>
      <c r="W60" s="231">
        <f t="shared" si="65"/>
        <v>0</v>
      </c>
      <c r="X60" s="231">
        <f t="shared" si="65"/>
        <v>0</v>
      </c>
    </row>
    <row r="61" spans="1:24" s="25" customFormat="1" hidden="1">
      <c r="A61" s="24"/>
      <c r="B61" s="114" t="s">
        <v>340</v>
      </c>
      <c r="E61" s="232">
        <f>XNPV(Assumptions!C58,E60:X60,E59:X59)</f>
        <v>0</v>
      </c>
      <c r="F61" s="55"/>
      <c r="G61" s="55"/>
      <c r="H61" s="55"/>
      <c r="I61" s="55"/>
      <c r="J61" s="55"/>
      <c r="K61" s="55"/>
      <c r="L61" s="55"/>
      <c r="M61" s="55"/>
      <c r="N61" s="55"/>
      <c r="O61" s="55"/>
      <c r="P61" s="55"/>
      <c r="Q61" s="55"/>
      <c r="R61" s="55"/>
      <c r="S61" s="55"/>
      <c r="T61" s="55"/>
      <c r="U61" s="55"/>
      <c r="V61" s="55"/>
      <c r="W61" s="55"/>
      <c r="X61" s="55"/>
    </row>
    <row r="62" spans="1:24" s="25" customFormat="1" hidden="1">
      <c r="A62" s="24"/>
      <c r="D62" s="231"/>
      <c r="E62" s="55"/>
      <c r="F62" s="55"/>
      <c r="G62" s="55"/>
      <c r="H62" s="55"/>
      <c r="I62" s="55"/>
      <c r="J62" s="55"/>
      <c r="K62" s="55"/>
      <c r="L62" s="55"/>
      <c r="M62" s="55"/>
      <c r="N62" s="55"/>
      <c r="O62" s="55"/>
      <c r="P62" s="55"/>
      <c r="Q62" s="55"/>
      <c r="R62" s="55"/>
      <c r="S62" s="55"/>
      <c r="T62" s="55"/>
      <c r="U62" s="55"/>
      <c r="V62" s="55"/>
      <c r="W62" s="55"/>
      <c r="X62" s="55"/>
    </row>
    <row r="63" spans="1:24" s="25" customFormat="1" hidden="1">
      <c r="A63" s="24"/>
      <c r="D63" s="231"/>
      <c r="E63" s="55"/>
      <c r="F63" s="55"/>
      <c r="G63" s="55"/>
      <c r="H63" s="55"/>
      <c r="I63" s="55"/>
      <c r="J63" s="55"/>
      <c r="K63" s="55"/>
      <c r="L63" s="55"/>
      <c r="M63" s="55"/>
      <c r="N63" s="55"/>
      <c r="O63" s="55"/>
      <c r="P63" s="55"/>
      <c r="Q63" s="55"/>
      <c r="R63" s="55"/>
      <c r="S63" s="55"/>
      <c r="T63" s="55"/>
      <c r="U63" s="55"/>
      <c r="V63" s="55"/>
      <c r="W63" s="55"/>
      <c r="X63" s="55"/>
    </row>
    <row r="64" spans="1:24" hidden="1"/>
    <row r="66" spans="1:24">
      <c r="B66" s="23" t="s">
        <v>151</v>
      </c>
      <c r="C66" s="23"/>
      <c r="D66" s="4">
        <f t="shared" ref="D66:X66" si="66">D50</f>
        <v>43921</v>
      </c>
      <c r="E66" s="4">
        <f t="shared" si="66"/>
        <v>44286</v>
      </c>
      <c r="F66" s="4">
        <f t="shared" si="66"/>
        <v>44651</v>
      </c>
      <c r="G66" s="4">
        <f t="shared" si="66"/>
        <v>45016</v>
      </c>
      <c r="H66" s="4">
        <f t="shared" si="66"/>
        <v>45382</v>
      </c>
      <c r="I66" s="4">
        <f t="shared" si="66"/>
        <v>45747</v>
      </c>
      <c r="J66" s="4">
        <f t="shared" si="66"/>
        <v>46112</v>
      </c>
      <c r="K66" s="4">
        <f t="shared" si="66"/>
        <v>46477</v>
      </c>
      <c r="L66" s="4">
        <f t="shared" si="66"/>
        <v>46843</v>
      </c>
      <c r="M66" s="4">
        <f t="shared" si="66"/>
        <v>47208</v>
      </c>
      <c r="N66" s="4">
        <f t="shared" si="66"/>
        <v>47573</v>
      </c>
      <c r="O66" s="4">
        <f t="shared" si="66"/>
        <v>47938</v>
      </c>
      <c r="P66" s="4">
        <f t="shared" si="66"/>
        <v>48304</v>
      </c>
      <c r="Q66" s="4">
        <f t="shared" si="66"/>
        <v>48669</v>
      </c>
      <c r="R66" s="4">
        <f t="shared" si="66"/>
        <v>49034</v>
      </c>
      <c r="S66" s="4">
        <f t="shared" si="66"/>
        <v>49399</v>
      </c>
      <c r="T66" s="4">
        <f t="shared" si="66"/>
        <v>49765</v>
      </c>
      <c r="U66" s="4">
        <f t="shared" si="66"/>
        <v>50130</v>
      </c>
      <c r="V66" s="4">
        <f t="shared" si="66"/>
        <v>50495</v>
      </c>
      <c r="W66" s="4">
        <f t="shared" si="66"/>
        <v>50860</v>
      </c>
      <c r="X66" s="4">
        <f t="shared" si="66"/>
        <v>51226</v>
      </c>
    </row>
    <row r="67" spans="1:24">
      <c r="B67" s="1" t="s">
        <v>148</v>
      </c>
      <c r="D67" s="7">
        <f>Fin_Statements!I36</f>
        <v>1478.5</v>
      </c>
      <c r="E67" s="7">
        <f>Fin_Statements!J36</f>
        <v>1251.8499999999999</v>
      </c>
      <c r="F67" s="7">
        <f>Fin_Statements!K36</f>
        <v>1303.0378000000001</v>
      </c>
      <c r="G67" s="7">
        <f>Fin_Statements!L36</f>
        <v>1303.0378000000001</v>
      </c>
      <c r="H67" s="7">
        <f>Fin_Statements!M36</f>
        <v>1303.0378000000001</v>
      </c>
      <c r="I67" s="7">
        <f>Fin_Statements!N36</f>
        <v>1303.0378000000001</v>
      </c>
      <c r="J67" s="7">
        <f>Fin_Statements!O36</f>
        <v>1303.0378000000001</v>
      </c>
      <c r="K67" s="7">
        <f>Fin_Statements!P36</f>
        <v>1303.0378000000001</v>
      </c>
      <c r="L67" s="7">
        <f>Fin_Statements!Q36</f>
        <v>1303.0378000000001</v>
      </c>
      <c r="M67" s="7">
        <f>Fin_Statements!R36</f>
        <v>1303.0378000000001</v>
      </c>
      <c r="N67" s="7">
        <f>Fin_Statements!S36</f>
        <v>1303.0378000000001</v>
      </c>
      <c r="O67" s="7">
        <f>Fin_Statements!T36</f>
        <v>1303.0378000000001</v>
      </c>
      <c r="P67" s="7">
        <f>Fin_Statements!U36</f>
        <v>1303.0378000000001</v>
      </c>
      <c r="Q67" s="7">
        <f>Fin_Statements!V36</f>
        <v>1303.0378000000001</v>
      </c>
      <c r="R67" s="7">
        <f>Fin_Statements!W36</f>
        <v>1303.0378000000001</v>
      </c>
      <c r="S67" s="7">
        <f>Fin_Statements!X36</f>
        <v>1303.0378000000001</v>
      </c>
      <c r="T67" s="7">
        <f>Fin_Statements!Y36</f>
        <v>1303.0378000000001</v>
      </c>
      <c r="U67" s="7">
        <f>Fin_Statements!Z36</f>
        <v>1303.0378000000001</v>
      </c>
      <c r="V67" s="7">
        <f>Fin_Statements!AA36</f>
        <v>1303.0378000000001</v>
      </c>
      <c r="W67" s="7">
        <f>Fin_Statements!AB36</f>
        <v>1303.0378000000001</v>
      </c>
      <c r="X67" s="7">
        <f>Fin_Statements!AC36</f>
        <v>1303.0378000000001</v>
      </c>
    </row>
    <row r="68" spans="1:24">
      <c r="B68" s="1" t="s">
        <v>149</v>
      </c>
      <c r="D68" s="156">
        <f>Assumptions!C58</f>
        <v>0.17</v>
      </c>
      <c r="E68" s="157">
        <f>D68+7%</f>
        <v>0.24000000000000002</v>
      </c>
      <c r="F68" s="157">
        <f>Assumptions!C58</f>
        <v>0.17</v>
      </c>
      <c r="G68" s="157">
        <f t="shared" ref="G68:X68" si="67">F68</f>
        <v>0.17</v>
      </c>
      <c r="H68" s="157">
        <f t="shared" si="67"/>
        <v>0.17</v>
      </c>
      <c r="I68" s="157">
        <f t="shared" si="67"/>
        <v>0.17</v>
      </c>
      <c r="J68" s="157">
        <f t="shared" si="67"/>
        <v>0.17</v>
      </c>
      <c r="K68" s="157">
        <f t="shared" si="67"/>
        <v>0.17</v>
      </c>
      <c r="L68" s="157">
        <f t="shared" si="67"/>
        <v>0.17</v>
      </c>
      <c r="M68" s="157">
        <f t="shared" si="67"/>
        <v>0.17</v>
      </c>
      <c r="N68" s="157">
        <f t="shared" si="67"/>
        <v>0.17</v>
      </c>
      <c r="O68" s="157">
        <f t="shared" si="67"/>
        <v>0.17</v>
      </c>
      <c r="P68" s="157">
        <f t="shared" si="67"/>
        <v>0.17</v>
      </c>
      <c r="Q68" s="157">
        <f t="shared" si="67"/>
        <v>0.17</v>
      </c>
      <c r="R68" s="157">
        <f t="shared" si="67"/>
        <v>0.17</v>
      </c>
      <c r="S68" s="157">
        <f t="shared" si="67"/>
        <v>0.17</v>
      </c>
      <c r="T68" s="157">
        <f t="shared" si="67"/>
        <v>0.17</v>
      </c>
      <c r="U68" s="157">
        <f t="shared" si="67"/>
        <v>0.17</v>
      </c>
      <c r="V68" s="157">
        <f t="shared" si="67"/>
        <v>0.17</v>
      </c>
      <c r="W68" s="157">
        <f t="shared" si="67"/>
        <v>0.17</v>
      </c>
      <c r="X68" s="157">
        <f t="shared" si="67"/>
        <v>0.17</v>
      </c>
    </row>
    <row r="69" spans="1:24">
      <c r="A69" s="7">
        <f>SUM(D69:X69)</f>
        <v>4402.6831310000016</v>
      </c>
      <c r="B69" s="53" t="s">
        <v>124</v>
      </c>
      <c r="C69" s="53"/>
      <c r="D69" s="279">
        <f>D68*D67/4*0</f>
        <v>0</v>
      </c>
      <c r="E69" s="278">
        <f>AVERAGE(E67,400)*E68</f>
        <v>198.22200000000001</v>
      </c>
      <c r="F69" s="7">
        <f>F68*AVERAGE(E67:F67)</f>
        <v>217.16546300000002</v>
      </c>
      <c r="G69" s="7">
        <f t="shared" ref="G69:X69" si="68">G68*AVERAGE(F67:G67)</f>
        <v>221.51642600000002</v>
      </c>
      <c r="H69" s="7">
        <f t="shared" si="68"/>
        <v>221.51642600000002</v>
      </c>
      <c r="I69" s="7">
        <f t="shared" si="68"/>
        <v>221.51642600000002</v>
      </c>
      <c r="J69" s="7">
        <f t="shared" si="68"/>
        <v>221.51642600000002</v>
      </c>
      <c r="K69" s="7">
        <f t="shared" si="68"/>
        <v>221.51642600000002</v>
      </c>
      <c r="L69" s="7">
        <f t="shared" si="68"/>
        <v>221.51642600000002</v>
      </c>
      <c r="M69" s="7">
        <f t="shared" si="68"/>
        <v>221.51642600000002</v>
      </c>
      <c r="N69" s="7">
        <f t="shared" si="68"/>
        <v>221.51642600000002</v>
      </c>
      <c r="O69" s="7">
        <f t="shared" si="68"/>
        <v>221.51642600000002</v>
      </c>
      <c r="P69" s="7">
        <f t="shared" si="68"/>
        <v>221.51642600000002</v>
      </c>
      <c r="Q69" s="7">
        <f t="shared" si="68"/>
        <v>221.51642600000002</v>
      </c>
      <c r="R69" s="7">
        <f t="shared" si="68"/>
        <v>221.51642600000002</v>
      </c>
      <c r="S69" s="7">
        <f t="shared" si="68"/>
        <v>221.51642600000002</v>
      </c>
      <c r="T69" s="7">
        <f t="shared" si="68"/>
        <v>221.51642600000002</v>
      </c>
      <c r="U69" s="7">
        <f t="shared" si="68"/>
        <v>221.51642600000002</v>
      </c>
      <c r="V69" s="7">
        <f t="shared" si="68"/>
        <v>221.51642600000002</v>
      </c>
      <c r="W69" s="7">
        <f t="shared" si="68"/>
        <v>221.51642600000002</v>
      </c>
      <c r="X69" s="7">
        <f t="shared" si="68"/>
        <v>221.51642600000002</v>
      </c>
    </row>
    <row r="72" spans="1:24" s="2" customFormat="1">
      <c r="A72" s="59"/>
      <c r="B72" s="23" t="s">
        <v>159</v>
      </c>
      <c r="C72" s="23"/>
      <c r="D72" s="4">
        <f>D66</f>
        <v>43921</v>
      </c>
      <c r="E72" s="4">
        <f t="shared" ref="E72:Q72" si="69">E66</f>
        <v>44286</v>
      </c>
      <c r="F72" s="4">
        <f t="shared" si="69"/>
        <v>44651</v>
      </c>
      <c r="G72" s="4">
        <f t="shared" si="69"/>
        <v>45016</v>
      </c>
      <c r="H72" s="4">
        <f t="shared" si="69"/>
        <v>45382</v>
      </c>
      <c r="I72" s="4">
        <f t="shared" si="69"/>
        <v>45747</v>
      </c>
      <c r="J72" s="4">
        <f t="shared" si="69"/>
        <v>46112</v>
      </c>
      <c r="K72" s="4">
        <f t="shared" si="69"/>
        <v>46477</v>
      </c>
      <c r="L72" s="4">
        <f t="shared" si="69"/>
        <v>46843</v>
      </c>
      <c r="M72" s="4">
        <f t="shared" si="69"/>
        <v>47208</v>
      </c>
      <c r="N72" s="4">
        <f t="shared" si="69"/>
        <v>47573</v>
      </c>
      <c r="O72" s="4">
        <f t="shared" si="69"/>
        <v>47938</v>
      </c>
      <c r="P72" s="4">
        <f t="shared" si="69"/>
        <v>48304</v>
      </c>
      <c r="Q72" s="4">
        <f t="shared" si="69"/>
        <v>48669</v>
      </c>
      <c r="R72" s="4">
        <f t="shared" ref="R72:X72" si="70">R66</f>
        <v>49034</v>
      </c>
      <c r="S72" s="4">
        <f t="shared" si="70"/>
        <v>49399</v>
      </c>
      <c r="T72" s="4">
        <f t="shared" si="70"/>
        <v>49765</v>
      </c>
      <c r="U72" s="4">
        <f t="shared" si="70"/>
        <v>50130</v>
      </c>
      <c r="V72" s="4">
        <f t="shared" si="70"/>
        <v>50495</v>
      </c>
      <c r="W72" s="4">
        <f t="shared" si="70"/>
        <v>50860</v>
      </c>
      <c r="X72" s="4">
        <f t="shared" si="70"/>
        <v>51226</v>
      </c>
    </row>
    <row r="73" spans="1:24">
      <c r="A73" s="7">
        <f>SUM(D73:X73)</f>
        <v>60.044567933553608</v>
      </c>
      <c r="B73" s="1" t="s">
        <v>160</v>
      </c>
      <c r="D73" s="279">
        <f>(Assumptions!$C$159+0.5%)*'P&amp;L'!D100*0</f>
        <v>0</v>
      </c>
      <c r="E73" s="7">
        <f>Assumptions!$C$159*'P&amp;L'!E100</f>
        <v>0</v>
      </c>
      <c r="F73" s="7">
        <f>Assumptions!$C$159*'P&amp;L'!F100</f>
        <v>0</v>
      </c>
      <c r="G73" s="7">
        <f>Assumptions!$C$159*'P&amp;L'!G100</f>
        <v>3.2023152873115586</v>
      </c>
      <c r="H73" s="7">
        <f>Assumptions!$C$159*'P&amp;L'!H100</f>
        <v>3.2197216372352711</v>
      </c>
      <c r="I73" s="7">
        <f>Assumptions!$C$159*'P&amp;L'!I100</f>
        <v>3.2693354577710876</v>
      </c>
      <c r="J73" s="7">
        <f>Assumptions!$C$159*'P&amp;L'!J100</f>
        <v>3.3568797034157107</v>
      </c>
      <c r="K73" s="7">
        <f>Assumptions!$C$159*'P&amp;L'!K100</f>
        <v>3.3568797034157107</v>
      </c>
      <c r="L73" s="7">
        <f>Assumptions!$C$159*'P&amp;L'!L100</f>
        <v>3.3568797034157107</v>
      </c>
      <c r="M73" s="7">
        <f>Assumptions!$C$159*'P&amp;L'!M100</f>
        <v>3.3568797034157107</v>
      </c>
      <c r="N73" s="7">
        <f>Assumptions!$C$159*'P&amp;L'!N100</f>
        <v>3.3568797034157107</v>
      </c>
      <c r="O73" s="7">
        <f>Assumptions!$C$159*'P&amp;L'!O100</f>
        <v>3.3568797034157107</v>
      </c>
      <c r="P73" s="7">
        <f>Assumptions!$C$159*'P&amp;L'!P100</f>
        <v>3.3568797034157107</v>
      </c>
      <c r="Q73" s="7">
        <f>Assumptions!$C$159*'P&amp;L'!Q100</f>
        <v>3.3568797034157107</v>
      </c>
      <c r="R73" s="7">
        <f>Assumptions!$C$159*'P&amp;L'!R100</f>
        <v>3.3568797034157107</v>
      </c>
      <c r="S73" s="7">
        <f>Assumptions!$C$159*'P&amp;L'!S100</f>
        <v>3.3568797034157107</v>
      </c>
      <c r="T73" s="7">
        <f>Assumptions!$C$159*'P&amp;L'!T100</f>
        <v>3.3568797034157107</v>
      </c>
      <c r="U73" s="7">
        <f>Assumptions!$C$159*'P&amp;L'!U100</f>
        <v>3.3568797034157107</v>
      </c>
      <c r="V73" s="7">
        <f>Assumptions!$C$159*'P&amp;L'!V100</f>
        <v>3.3568797034157107</v>
      </c>
      <c r="W73" s="7">
        <f>Assumptions!$C$159*'P&amp;L'!W100</f>
        <v>3.3568797034157107</v>
      </c>
      <c r="X73" s="7">
        <f>Assumptions!$C$159*'P&amp;L'!X100</f>
        <v>3.3568797034157107</v>
      </c>
    </row>
    <row r="74" spans="1:24">
      <c r="A74" s="7">
        <f>SUM(D74:X74)</f>
        <v>0.54495112072825724</v>
      </c>
      <c r="B74" s="1" t="s">
        <v>150</v>
      </c>
      <c r="D74" s="279">
        <f>(Assumptions!$C$159+0.5%)*'P&amp;L'!D101*0</f>
        <v>0</v>
      </c>
      <c r="E74" s="7">
        <f>Assumptions!$C$159*'P&amp;L'!E101</f>
        <v>0</v>
      </c>
      <c r="F74" s="7">
        <f>Assumptions!$C$159*'P&amp;L'!F101</f>
        <v>0</v>
      </c>
      <c r="G74" s="7">
        <f>Assumptions!$C$159*'P&amp;L'!G101</f>
        <v>1.6513670325098706E-2</v>
      </c>
      <c r="H74" s="7">
        <f>Assumptions!$C$159*'P&amp;L'!H101</f>
        <v>1.9816404390118447E-2</v>
      </c>
      <c r="I74" s="7">
        <f>Assumptions!$C$159*'P&amp;L'!I101</f>
        <v>2.3119138455138181E-2</v>
      </c>
      <c r="J74" s="7">
        <f>Assumptions!$C$159*'P&amp;L'!J101</f>
        <v>2.6421872520157926E-2</v>
      </c>
      <c r="K74" s="7">
        <f>Assumptions!$C$159*'P&amp;L'!K101</f>
        <v>2.9724606585177664E-2</v>
      </c>
      <c r="L74" s="7">
        <f>Assumptions!$C$159*'P&amp;L'!L101</f>
        <v>3.3027340650197412E-2</v>
      </c>
      <c r="M74" s="7">
        <f>Assumptions!$C$159*'P&amp;L'!M101</f>
        <v>3.3027340650197412E-2</v>
      </c>
      <c r="N74" s="7">
        <f>Assumptions!$C$159*'P&amp;L'!N101</f>
        <v>3.3027340650197412E-2</v>
      </c>
      <c r="O74" s="7">
        <f>Assumptions!$C$159*'P&amp;L'!O101</f>
        <v>3.3027340650197412E-2</v>
      </c>
      <c r="P74" s="7">
        <f>Assumptions!$C$159*'P&amp;L'!P101</f>
        <v>3.3027340650197412E-2</v>
      </c>
      <c r="Q74" s="7">
        <f>Assumptions!$C$159*'P&amp;L'!Q101</f>
        <v>3.3027340650197412E-2</v>
      </c>
      <c r="R74" s="7">
        <f>Assumptions!$C$159*'P&amp;L'!R101</f>
        <v>3.3027340650197412E-2</v>
      </c>
      <c r="S74" s="7">
        <f>Assumptions!$C$159*'P&amp;L'!S101</f>
        <v>3.3027340650197412E-2</v>
      </c>
      <c r="T74" s="7">
        <f>Assumptions!$C$159*'P&amp;L'!T101</f>
        <v>3.3027340650197412E-2</v>
      </c>
      <c r="U74" s="7">
        <f>Assumptions!$C$159*'P&amp;L'!U101</f>
        <v>3.3027340650197412E-2</v>
      </c>
      <c r="V74" s="7">
        <f>Assumptions!$C$159*'P&amp;L'!V101</f>
        <v>3.3027340650197412E-2</v>
      </c>
      <c r="W74" s="7">
        <f>Assumptions!$C$159*'P&amp;L'!W101</f>
        <v>3.3027340650197412E-2</v>
      </c>
      <c r="X74" s="7">
        <f>Assumptions!$C$159*'P&amp;L'!X101</f>
        <v>3.3027340650197412E-2</v>
      </c>
    </row>
    <row r="76" spans="1:24">
      <c r="J76" s="109"/>
      <c r="K76" s="109"/>
      <c r="L76" s="109"/>
      <c r="M76" s="109"/>
      <c r="N76" s="109"/>
      <c r="O76" s="109"/>
      <c r="P76" s="109"/>
      <c r="Q76" s="109"/>
      <c r="R76" s="109"/>
      <c r="S76" s="109"/>
      <c r="T76" s="109"/>
      <c r="U76" s="109"/>
      <c r="V76" s="109"/>
      <c r="W76" s="109"/>
      <c r="X76" s="109"/>
    </row>
    <row r="77" spans="1:24">
      <c r="B77" s="23" t="s">
        <v>161</v>
      </c>
      <c r="C77" s="23"/>
      <c r="D77" s="4">
        <f>D72</f>
        <v>43921</v>
      </c>
      <c r="E77" s="4">
        <f t="shared" ref="E77:Q77" si="71">E72</f>
        <v>44286</v>
      </c>
      <c r="F77" s="4">
        <f t="shared" si="71"/>
        <v>44651</v>
      </c>
      <c r="G77" s="4">
        <f t="shared" si="71"/>
        <v>45016</v>
      </c>
      <c r="H77" s="4">
        <f t="shared" si="71"/>
        <v>45382</v>
      </c>
      <c r="I77" s="4">
        <f t="shared" si="71"/>
        <v>45747</v>
      </c>
      <c r="J77" s="4">
        <f t="shared" si="71"/>
        <v>46112</v>
      </c>
      <c r="K77" s="4">
        <f t="shared" si="71"/>
        <v>46477</v>
      </c>
      <c r="L77" s="4">
        <f t="shared" si="71"/>
        <v>46843</v>
      </c>
      <c r="M77" s="4">
        <f t="shared" si="71"/>
        <v>47208</v>
      </c>
      <c r="N77" s="4">
        <f t="shared" si="71"/>
        <v>47573</v>
      </c>
      <c r="O77" s="4">
        <f t="shared" si="71"/>
        <v>47938</v>
      </c>
      <c r="P77" s="4">
        <f t="shared" si="71"/>
        <v>48304</v>
      </c>
      <c r="Q77" s="4">
        <f t="shared" si="71"/>
        <v>48669</v>
      </c>
      <c r="R77" s="4">
        <f t="shared" ref="R77:X77" si="72">R72</f>
        <v>49034</v>
      </c>
      <c r="S77" s="4">
        <f t="shared" si="72"/>
        <v>49399</v>
      </c>
      <c r="T77" s="4">
        <f t="shared" si="72"/>
        <v>49765</v>
      </c>
      <c r="U77" s="4">
        <f t="shared" si="72"/>
        <v>50130</v>
      </c>
      <c r="V77" s="4">
        <f t="shared" si="72"/>
        <v>50495</v>
      </c>
      <c r="W77" s="4">
        <f t="shared" si="72"/>
        <v>50860</v>
      </c>
      <c r="X77" s="4">
        <f t="shared" si="72"/>
        <v>51226</v>
      </c>
    </row>
    <row r="78" spans="1:24">
      <c r="A78" s="7">
        <f>SUM(D78:X78)</f>
        <v>113.76951202200003</v>
      </c>
      <c r="B78" s="1" t="s">
        <v>162</v>
      </c>
      <c r="D78" s="239">
        <v>6.75</v>
      </c>
      <c r="E78" s="7">
        <f>D78</f>
        <v>6.75</v>
      </c>
      <c r="F78" s="7">
        <v>5.2773427380000006</v>
      </c>
      <c r="G78" s="7">
        <f t="shared" ref="G78:Q78" si="73">F78</f>
        <v>5.2773427380000006</v>
      </c>
      <c r="H78" s="7">
        <f t="shared" si="73"/>
        <v>5.2773427380000006</v>
      </c>
      <c r="I78" s="7">
        <f t="shared" si="73"/>
        <v>5.2773427380000006</v>
      </c>
      <c r="J78" s="7">
        <f t="shared" si="73"/>
        <v>5.2773427380000006</v>
      </c>
      <c r="K78" s="7">
        <f t="shared" si="73"/>
        <v>5.2773427380000006</v>
      </c>
      <c r="L78" s="7">
        <f t="shared" si="73"/>
        <v>5.2773427380000006</v>
      </c>
      <c r="M78" s="7">
        <f t="shared" si="73"/>
        <v>5.2773427380000006</v>
      </c>
      <c r="N78" s="7">
        <f t="shared" si="73"/>
        <v>5.2773427380000006</v>
      </c>
      <c r="O78" s="7">
        <f t="shared" si="73"/>
        <v>5.2773427380000006</v>
      </c>
      <c r="P78" s="7">
        <f t="shared" si="73"/>
        <v>5.2773427380000006</v>
      </c>
      <c r="Q78" s="7">
        <f t="shared" si="73"/>
        <v>5.2773427380000006</v>
      </c>
      <c r="R78" s="7">
        <f t="shared" ref="R78:X78" si="74">Q78</f>
        <v>5.2773427380000006</v>
      </c>
      <c r="S78" s="7">
        <f t="shared" si="74"/>
        <v>5.2773427380000006</v>
      </c>
      <c r="T78" s="7">
        <f t="shared" si="74"/>
        <v>5.2773427380000006</v>
      </c>
      <c r="U78" s="7">
        <f t="shared" si="74"/>
        <v>5.2773427380000006</v>
      </c>
      <c r="V78" s="7">
        <f t="shared" si="74"/>
        <v>5.2773427380000006</v>
      </c>
      <c r="W78" s="7">
        <f t="shared" si="74"/>
        <v>5.2773427380000006</v>
      </c>
      <c r="X78" s="7">
        <f t="shared" si="74"/>
        <v>5.2773427380000006</v>
      </c>
    </row>
    <row r="79" spans="1:24">
      <c r="A79" s="7">
        <f>SUM(D79:X79)</f>
        <v>0</v>
      </c>
      <c r="B79" s="1" t="s">
        <v>163</v>
      </c>
      <c r="D79" s="239"/>
      <c r="E79" s="28"/>
      <c r="F79" s="28"/>
      <c r="G79" s="28"/>
      <c r="H79" s="28"/>
      <c r="I79" s="28"/>
    </row>
    <row r="80" spans="1:24">
      <c r="A80" s="7">
        <f>SUM(D80:X80)</f>
        <v>296.51624186747182</v>
      </c>
      <c r="B80" s="1" t="s">
        <v>164</v>
      </c>
      <c r="D80" s="286">
        <f>7.63264938546032*0+6.9+9.67</f>
        <v>16.57</v>
      </c>
      <c r="E80" s="12">
        <f>0.25%*SUM('P&amp;L'!E100:E103,Assumptions!C147)+0.25%*SUM('P&amp;L'!E70:E74)</f>
        <v>6.5529555000000004</v>
      </c>
      <c r="F80" s="12">
        <f>0.25%*SUM('P&amp;L'!F100:F103)+0.25%*SUM('P&amp;L'!F70:F74)</f>
        <v>6.8066202500000008</v>
      </c>
      <c r="G80" s="12">
        <f>0.25%*SUM('P&amp;L'!G100:G103)+0.25%*SUM('P&amp;L'!G70:G74)</f>
        <v>13.015714814431703</v>
      </c>
      <c r="H80" s="12">
        <f>0.25%*SUM('P&amp;L'!H100:H103)+0.25%*SUM('P&amp;L'!H70:H74)</f>
        <v>13.152344616036251</v>
      </c>
      <c r="I80" s="12">
        <f>0.25%*SUM('P&amp;L'!I100:I103)+0.25%*SUM('P&amp;L'!I70:I74)</f>
        <v>14.316483615549037</v>
      </c>
      <c r="J80" s="12">
        <f>0.25%*SUM('P&amp;L'!J100:J103)+0.25%*SUM('P&amp;L'!J70:J74)</f>
        <v>15.015163500102148</v>
      </c>
      <c r="K80" s="12">
        <f>0.25%*SUM('P&amp;L'!K100:K103)+0.25%*SUM('P&amp;L'!K70:K74)</f>
        <v>15.047558706395581</v>
      </c>
      <c r="L80" s="12">
        <f>0.25%*SUM('P&amp;L'!L100:L103)+0.25%*SUM('P&amp;L'!L70:L74)</f>
        <v>15.079953912689009</v>
      </c>
      <c r="M80" s="12">
        <f>0.25%*SUM('P&amp;L'!M100:M103)+0.25%*SUM('P&amp;L'!M70:M74)</f>
        <v>15.079953912689009</v>
      </c>
      <c r="N80" s="12">
        <f>0.25%*SUM('P&amp;L'!N100:N103)+0.25%*SUM('P&amp;L'!N70:N74)</f>
        <v>15.079953912689009</v>
      </c>
      <c r="O80" s="12">
        <f>0.25%*SUM('P&amp;L'!O100:O103)+0.25%*SUM('P&amp;L'!O70:O74)</f>
        <v>15.079953912689009</v>
      </c>
      <c r="P80" s="12">
        <f>0.25%*SUM('P&amp;L'!P100:P103)+0.25%*SUM('P&amp;L'!P70:P74)</f>
        <v>15.079953912689009</v>
      </c>
      <c r="Q80" s="12">
        <f>0.25%*SUM('P&amp;L'!Q100:Q103)+0.25%*SUM('P&amp;L'!Q70:Q74)</f>
        <v>15.079953912689009</v>
      </c>
      <c r="R80" s="12">
        <f>0.25%*SUM('P&amp;L'!R100:R103)+0.25%*SUM('P&amp;L'!R70:R74)</f>
        <v>15.079953912689009</v>
      </c>
      <c r="S80" s="12">
        <f>0.25%*SUM('P&amp;L'!S100:S103)+0.25%*SUM('P&amp;L'!S70:S74)</f>
        <v>15.079953912689009</v>
      </c>
      <c r="T80" s="12">
        <f>0.25%*SUM('P&amp;L'!T100:T103)+0.25%*SUM('P&amp;L'!T70:T74)</f>
        <v>15.079953912689009</v>
      </c>
      <c r="U80" s="12">
        <f>0.25%*SUM('P&amp;L'!U100:U103)+0.25%*SUM('P&amp;L'!U70:U74)</f>
        <v>15.079953912689009</v>
      </c>
      <c r="V80" s="12">
        <f>0.25%*SUM('P&amp;L'!V100:V103)+0.25%*SUM('P&amp;L'!V70:V74)</f>
        <v>15.079953912689009</v>
      </c>
      <c r="W80" s="12">
        <f>0.25%*SUM('P&amp;L'!W100:W103)+0.25%*SUM('P&amp;L'!W70:W74)</f>
        <v>15.079953912689009</v>
      </c>
      <c r="X80" s="12">
        <f>0.25%*SUM('P&amp;L'!X100:X103)+0.25%*SUM('P&amp;L'!X70:X74)</f>
        <v>15.079953912689009</v>
      </c>
    </row>
    <row r="81" spans="1:24">
      <c r="D81" s="5"/>
    </row>
    <row r="82" spans="1:24">
      <c r="D82" s="7"/>
      <c r="E82" s="7"/>
      <c r="F82" s="7"/>
      <c r="G82" s="7"/>
    </row>
    <row r="83" spans="1:24">
      <c r="B83" s="23" t="s">
        <v>165</v>
      </c>
      <c r="C83" s="23"/>
      <c r="D83" s="4">
        <f>D77</f>
        <v>43921</v>
      </c>
      <c r="E83" s="4">
        <f t="shared" ref="E83:J83" si="75">E77</f>
        <v>44286</v>
      </c>
      <c r="F83" s="4">
        <f t="shared" si="75"/>
        <v>44651</v>
      </c>
      <c r="G83" s="4">
        <f t="shared" si="75"/>
        <v>45016</v>
      </c>
      <c r="H83" s="4">
        <f t="shared" si="75"/>
        <v>45382</v>
      </c>
      <c r="I83" s="4">
        <f t="shared" si="75"/>
        <v>45747</v>
      </c>
      <c r="J83" s="4">
        <f t="shared" si="75"/>
        <v>46112</v>
      </c>
      <c r="K83" s="4">
        <f t="shared" ref="K83:Q83" si="76">K77</f>
        <v>46477</v>
      </c>
      <c r="L83" s="4">
        <f t="shared" si="76"/>
        <v>46843</v>
      </c>
      <c r="M83" s="4">
        <f t="shared" si="76"/>
        <v>47208</v>
      </c>
      <c r="N83" s="4">
        <f t="shared" si="76"/>
        <v>47573</v>
      </c>
      <c r="O83" s="4">
        <f t="shared" si="76"/>
        <v>47938</v>
      </c>
      <c r="P83" s="4">
        <f t="shared" si="76"/>
        <v>48304</v>
      </c>
      <c r="Q83" s="4">
        <f t="shared" si="76"/>
        <v>48669</v>
      </c>
      <c r="R83" s="4">
        <f t="shared" ref="R83:X83" si="77">R77</f>
        <v>49034</v>
      </c>
      <c r="S83" s="4">
        <f t="shared" si="77"/>
        <v>49399</v>
      </c>
      <c r="T83" s="4">
        <f t="shared" si="77"/>
        <v>49765</v>
      </c>
      <c r="U83" s="4">
        <f t="shared" si="77"/>
        <v>50130</v>
      </c>
      <c r="V83" s="4">
        <f t="shared" si="77"/>
        <v>50495</v>
      </c>
      <c r="W83" s="4">
        <f t="shared" si="77"/>
        <v>50860</v>
      </c>
      <c r="X83" s="4">
        <f t="shared" si="77"/>
        <v>51226</v>
      </c>
    </row>
    <row r="84" spans="1:24">
      <c r="A84" s="7">
        <f>SUM(D84:X84)</f>
        <v>0</v>
      </c>
      <c r="B84" s="1" t="s">
        <v>484</v>
      </c>
      <c r="D84" s="18"/>
      <c r="E84" s="18">
        <f>(80.42+12.16)*0</f>
        <v>0</v>
      </c>
      <c r="F84" s="18"/>
      <c r="G84" s="18"/>
      <c r="H84" s="18"/>
    </row>
    <row r="85" spans="1:24">
      <c r="A85" s="7"/>
      <c r="B85" s="1" t="s">
        <v>482</v>
      </c>
      <c r="D85" s="18"/>
      <c r="E85" s="18"/>
      <c r="F85" s="18">
        <f>(87.5/21*3)*0</f>
        <v>0</v>
      </c>
      <c r="G85" s="18"/>
      <c r="H85" s="18"/>
    </row>
    <row r="86" spans="1:24">
      <c r="A86" s="7"/>
      <c r="B86" s="1" t="s">
        <v>483</v>
      </c>
      <c r="D86" s="18"/>
      <c r="E86" s="18"/>
      <c r="F86" s="18"/>
      <c r="G86" s="18"/>
      <c r="H86" s="18"/>
    </row>
    <row r="87" spans="1:24">
      <c r="A87" s="7">
        <f>SUM(D87:X87)</f>
        <v>250</v>
      </c>
      <c r="B87" s="1" t="s">
        <v>166</v>
      </c>
      <c r="D87" s="18"/>
      <c r="E87" s="278">
        <f>103.5452*0</f>
        <v>0</v>
      </c>
      <c r="F87" s="278">
        <f>(10%*250+(S!H19/100))*0</f>
        <v>0</v>
      </c>
      <c r="G87" s="278">
        <f>30%*250</f>
        <v>75</v>
      </c>
      <c r="H87" s="7">
        <f>250*40%</f>
        <v>100</v>
      </c>
      <c r="I87" s="244">
        <f>250*30%</f>
        <v>75</v>
      </c>
      <c r="J87" s="244"/>
      <c r="K87" s="244"/>
      <c r="L87" s="244"/>
      <c r="M87" s="244"/>
      <c r="N87" s="244"/>
      <c r="O87" s="244"/>
      <c r="P87" s="244"/>
      <c r="Q87" s="244"/>
      <c r="R87" s="244"/>
      <c r="S87" s="244"/>
      <c r="T87" s="244"/>
      <c r="U87" s="244"/>
      <c r="V87" s="244"/>
      <c r="W87" s="244"/>
      <c r="X87" s="244"/>
    </row>
    <row r="88" spans="1:24">
      <c r="A88" s="7">
        <f>SUM(D88:X88)</f>
        <v>352.5</v>
      </c>
      <c r="B88" s="1" t="s">
        <v>167</v>
      </c>
      <c r="D88" s="18"/>
      <c r="E88" s="7">
        <f>40*0</f>
        <v>0</v>
      </c>
      <c r="F88" s="7"/>
      <c r="G88" s="7">
        <v>19.454999999999998</v>
      </c>
      <c r="H88" s="7">
        <v>19.670000000000002</v>
      </c>
      <c r="I88" s="7">
        <v>11.404999999999999</v>
      </c>
      <c r="J88" s="7">
        <v>27.68</v>
      </c>
      <c r="K88" s="7">
        <v>25.024999999999999</v>
      </c>
      <c r="L88" s="7">
        <v>22.81</v>
      </c>
      <c r="M88" s="7">
        <v>25.655000000000001</v>
      </c>
      <c r="N88" s="7">
        <v>15.185</v>
      </c>
      <c r="O88" s="7">
        <v>22.454999999999998</v>
      </c>
      <c r="P88" s="7">
        <v>17.829999999999998</v>
      </c>
      <c r="Q88" s="7">
        <v>15.265000000000001</v>
      </c>
      <c r="R88" s="7">
        <v>20.89</v>
      </c>
      <c r="S88" s="7">
        <v>18.414999999999999</v>
      </c>
      <c r="T88" s="7">
        <v>12.79</v>
      </c>
      <c r="U88" s="7">
        <v>18.204999999999998</v>
      </c>
      <c r="V88" s="7">
        <v>20.54</v>
      </c>
      <c r="W88" s="7">
        <v>23.094999999999999</v>
      </c>
      <c r="X88" s="7">
        <v>16.13</v>
      </c>
    </row>
    <row r="89" spans="1:24">
      <c r="B89" s="2" t="s">
        <v>279</v>
      </c>
      <c r="D89" s="11">
        <f>SUM(D84:D88)</f>
        <v>0</v>
      </c>
      <c r="E89" s="11">
        <f t="shared" ref="E89:X89" si="78">SUM(E84:E88)</f>
        <v>0</v>
      </c>
      <c r="F89" s="11">
        <f t="shared" si="78"/>
        <v>0</v>
      </c>
      <c r="G89" s="11">
        <f t="shared" si="78"/>
        <v>94.454999999999998</v>
      </c>
      <c r="H89" s="11">
        <f t="shared" si="78"/>
        <v>119.67</v>
      </c>
      <c r="I89" s="11">
        <f t="shared" si="78"/>
        <v>86.405000000000001</v>
      </c>
      <c r="J89" s="11">
        <f t="shared" si="78"/>
        <v>27.68</v>
      </c>
      <c r="K89" s="11">
        <f t="shared" si="78"/>
        <v>25.024999999999999</v>
      </c>
      <c r="L89" s="11">
        <f t="shared" si="78"/>
        <v>22.81</v>
      </c>
      <c r="M89" s="11">
        <f t="shared" si="78"/>
        <v>25.655000000000001</v>
      </c>
      <c r="N89" s="11">
        <f t="shared" si="78"/>
        <v>15.185</v>
      </c>
      <c r="O89" s="11">
        <f t="shared" si="78"/>
        <v>22.454999999999998</v>
      </c>
      <c r="P89" s="11">
        <f t="shared" si="78"/>
        <v>17.829999999999998</v>
      </c>
      <c r="Q89" s="11">
        <f t="shared" si="78"/>
        <v>15.265000000000001</v>
      </c>
      <c r="R89" s="11">
        <f t="shared" si="78"/>
        <v>20.89</v>
      </c>
      <c r="S89" s="11">
        <f t="shared" si="78"/>
        <v>18.414999999999999</v>
      </c>
      <c r="T89" s="11">
        <f t="shared" si="78"/>
        <v>12.79</v>
      </c>
      <c r="U89" s="11">
        <f t="shared" si="78"/>
        <v>18.204999999999998</v>
      </c>
      <c r="V89" s="11">
        <f t="shared" si="78"/>
        <v>20.54</v>
      </c>
      <c r="W89" s="11">
        <f t="shared" si="78"/>
        <v>23.094999999999999</v>
      </c>
      <c r="X89" s="11">
        <f t="shared" si="78"/>
        <v>16.13</v>
      </c>
    </row>
    <row r="90" spans="1:24">
      <c r="B90" s="2"/>
      <c r="D90" s="11"/>
      <c r="E90" s="296"/>
      <c r="F90" s="11"/>
      <c r="G90" s="11"/>
      <c r="H90" s="11"/>
      <c r="I90" s="11"/>
      <c r="J90" s="11"/>
      <c r="K90" s="11"/>
      <c r="L90" s="11"/>
      <c r="M90" s="11"/>
      <c r="N90" s="11"/>
      <c r="O90" s="11"/>
      <c r="P90" s="11"/>
      <c r="Q90" s="11"/>
      <c r="R90" s="11"/>
      <c r="S90" s="11"/>
      <c r="T90" s="11"/>
      <c r="U90" s="11"/>
      <c r="V90" s="11"/>
      <c r="W90" s="11"/>
      <c r="X90" s="11"/>
    </row>
    <row r="91" spans="1:24">
      <c r="B91" s="2" t="s">
        <v>338</v>
      </c>
      <c r="D91" s="11"/>
      <c r="E91" s="11"/>
      <c r="F91" s="11"/>
      <c r="G91" s="11">
        <f>20</f>
        <v>20</v>
      </c>
      <c r="H91" s="11">
        <f>20</f>
        <v>20</v>
      </c>
      <c r="I91" s="11">
        <f>20</f>
        <v>20</v>
      </c>
      <c r="J91" s="11">
        <v>10</v>
      </c>
      <c r="K91" s="11">
        <v>30</v>
      </c>
      <c r="L91" s="11">
        <v>30</v>
      </c>
      <c r="M91" s="11">
        <v>30</v>
      </c>
      <c r="N91" s="11">
        <v>30</v>
      </c>
      <c r="O91" s="11"/>
      <c r="P91" s="11"/>
      <c r="Q91" s="11"/>
      <c r="R91" s="11"/>
      <c r="S91" s="11"/>
      <c r="T91" s="11"/>
      <c r="U91" s="11"/>
      <c r="V91" s="11"/>
      <c r="W91" s="11"/>
      <c r="X91" s="11"/>
    </row>
    <row r="92" spans="1:24" ht="13.5" thickBot="1">
      <c r="B92" s="2"/>
      <c r="D92" s="11"/>
      <c r="E92" s="11"/>
      <c r="F92" s="11"/>
      <c r="G92" s="11"/>
      <c r="H92" s="11"/>
      <c r="I92" s="11"/>
      <c r="J92" s="11"/>
      <c r="K92" s="11"/>
      <c r="L92" s="11"/>
      <c r="M92" s="11"/>
      <c r="N92" s="11"/>
      <c r="O92" s="11"/>
      <c r="P92" s="11"/>
      <c r="Q92" s="11"/>
      <c r="R92" s="11"/>
      <c r="S92" s="11"/>
      <c r="T92" s="11"/>
      <c r="U92" s="11"/>
      <c r="V92" s="11"/>
      <c r="W92" s="11"/>
      <c r="X92" s="11"/>
    </row>
    <row r="93" spans="1:24">
      <c r="B93" s="83" t="s">
        <v>363</v>
      </c>
      <c r="C93" s="260"/>
      <c r="D93" s="207">
        <f>D83</f>
        <v>43921</v>
      </c>
      <c r="E93" s="207">
        <f>E83</f>
        <v>44286</v>
      </c>
      <c r="F93" s="207">
        <f>F83</f>
        <v>44651</v>
      </c>
      <c r="G93" s="207">
        <f>G83</f>
        <v>45016</v>
      </c>
      <c r="H93" s="261" t="s">
        <v>279</v>
      </c>
      <c r="I93" s="11"/>
      <c r="J93" s="11"/>
      <c r="K93" s="11"/>
      <c r="L93" s="11"/>
      <c r="M93" s="11"/>
      <c r="N93" s="11"/>
      <c r="O93" s="11"/>
      <c r="P93" s="11"/>
      <c r="Q93" s="11"/>
      <c r="R93" s="11"/>
      <c r="S93" s="11"/>
      <c r="T93" s="11"/>
      <c r="U93" s="11"/>
      <c r="V93" s="11"/>
      <c r="W93" s="11"/>
      <c r="X93" s="11"/>
    </row>
    <row r="94" spans="1:24">
      <c r="B94" s="271" t="s">
        <v>364</v>
      </c>
      <c r="C94" s="262"/>
      <c r="D94" s="263">
        <f>SUM(D84:D87)</f>
        <v>0</v>
      </c>
      <c r="E94" s="263">
        <f>SUM(E84:E87)</f>
        <v>0</v>
      </c>
      <c r="F94" s="263">
        <f>SUM(F84:F87)</f>
        <v>0</v>
      </c>
      <c r="G94" s="263">
        <f>SUM(G84:G87)</f>
        <v>75</v>
      </c>
      <c r="H94" s="264">
        <f>SUM(D94:G94)</f>
        <v>75</v>
      </c>
      <c r="I94" s="11"/>
      <c r="J94" s="11"/>
      <c r="K94" s="11"/>
      <c r="L94" s="11"/>
      <c r="M94" s="11"/>
      <c r="N94" s="11"/>
      <c r="O94" s="11"/>
      <c r="P94" s="11"/>
      <c r="Q94" s="11"/>
      <c r="R94" s="11"/>
      <c r="S94" s="11"/>
      <c r="T94" s="11"/>
      <c r="U94" s="11"/>
      <c r="V94" s="11"/>
      <c r="W94" s="11"/>
      <c r="X94" s="11"/>
    </row>
    <row r="95" spans="1:24">
      <c r="B95" s="272" t="s">
        <v>365</v>
      </c>
      <c r="C95" s="265"/>
      <c r="D95" s="266"/>
      <c r="E95" s="266">
        <f>E42</f>
        <v>0</v>
      </c>
      <c r="F95" s="266">
        <f>F42</f>
        <v>0</v>
      </c>
      <c r="G95" s="266"/>
      <c r="H95" s="267">
        <f>SUM(D95:G95)</f>
        <v>0</v>
      </c>
      <c r="I95" s="11"/>
      <c r="J95" s="11"/>
      <c r="K95" s="11"/>
      <c r="L95" s="11"/>
      <c r="M95" s="11"/>
      <c r="N95" s="11"/>
      <c r="O95" s="11"/>
      <c r="P95" s="11"/>
      <c r="Q95" s="11"/>
      <c r="R95" s="11"/>
      <c r="S95" s="11"/>
      <c r="T95" s="11"/>
      <c r="U95" s="11"/>
      <c r="V95" s="11"/>
      <c r="W95" s="11"/>
      <c r="X95" s="11"/>
    </row>
    <row r="96" spans="1:24">
      <c r="B96" s="272" t="s">
        <v>366</v>
      </c>
      <c r="C96" s="265"/>
      <c r="D96" s="266"/>
      <c r="E96" s="266"/>
      <c r="F96" s="266"/>
      <c r="G96" s="266"/>
      <c r="H96" s="267">
        <f>SUM(D96:G96)</f>
        <v>0</v>
      </c>
      <c r="I96" s="11"/>
      <c r="J96" s="292"/>
      <c r="K96" s="11"/>
      <c r="L96" s="11"/>
      <c r="M96" s="11"/>
      <c r="N96" s="11"/>
      <c r="O96" s="11"/>
      <c r="P96" s="11"/>
      <c r="Q96" s="11"/>
      <c r="R96" s="11"/>
      <c r="S96" s="11"/>
      <c r="T96" s="11"/>
      <c r="U96" s="11"/>
      <c r="V96" s="11"/>
      <c r="W96" s="11"/>
      <c r="X96" s="11"/>
    </row>
    <row r="97" spans="1:57" ht="13.5" thickBot="1">
      <c r="B97" s="273" t="s">
        <v>367</v>
      </c>
      <c r="C97" s="268"/>
      <c r="D97" s="269">
        <f>D94-SUM(D95:D96)</f>
        <v>0</v>
      </c>
      <c r="E97" s="269">
        <f>E94-SUM(E95:E96)</f>
        <v>0</v>
      </c>
      <c r="F97" s="269">
        <f>F94-SUM(F95:F96)</f>
        <v>0</v>
      </c>
      <c r="G97" s="269">
        <f>G94-SUM(G95:G96)</f>
        <v>75</v>
      </c>
      <c r="H97" s="270">
        <f>SUM(D97:G97)</f>
        <v>75</v>
      </c>
      <c r="I97" s="11"/>
      <c r="J97" s="11"/>
      <c r="K97" s="11"/>
      <c r="L97" s="11"/>
      <c r="M97" s="11"/>
      <c r="N97" s="11"/>
      <c r="O97" s="11"/>
      <c r="P97" s="11"/>
      <c r="Q97" s="11"/>
      <c r="R97" s="11"/>
      <c r="S97" s="11"/>
      <c r="T97" s="11"/>
      <c r="U97" s="11"/>
      <c r="V97" s="11"/>
      <c r="W97" s="11"/>
      <c r="X97" s="11"/>
    </row>
    <row r="98" spans="1:57" s="25" customFormat="1">
      <c r="A98" s="24"/>
      <c r="B98" s="293"/>
      <c r="C98" s="29"/>
      <c r="D98" s="81"/>
      <c r="E98" s="81"/>
      <c r="F98" s="81"/>
      <c r="G98" s="81"/>
      <c r="H98" s="99"/>
      <c r="I98" s="70"/>
      <c r="J98" s="70"/>
      <c r="K98" s="70"/>
      <c r="L98" s="70"/>
      <c r="M98" s="70"/>
      <c r="N98" s="70"/>
      <c r="O98" s="70"/>
      <c r="P98" s="70"/>
      <c r="Q98" s="70"/>
      <c r="R98" s="70"/>
      <c r="S98" s="70"/>
      <c r="T98" s="70"/>
      <c r="U98" s="70"/>
      <c r="V98" s="70"/>
      <c r="W98" s="70"/>
      <c r="X98" s="70"/>
    </row>
    <row r="99" spans="1:57">
      <c r="B99" s="2"/>
      <c r="D99" s="277"/>
      <c r="E99" s="11"/>
      <c r="F99" s="11"/>
      <c r="G99" s="11"/>
      <c r="H99" s="11"/>
      <c r="I99" s="11"/>
      <c r="J99" s="11"/>
      <c r="K99" s="11"/>
      <c r="L99" s="11"/>
      <c r="M99" s="11"/>
      <c r="N99" s="11"/>
      <c r="O99" s="11"/>
      <c r="P99" s="11"/>
      <c r="Q99" s="11"/>
      <c r="R99" s="11"/>
      <c r="S99" s="11"/>
      <c r="T99" s="11"/>
      <c r="U99" s="11"/>
      <c r="V99" s="11"/>
      <c r="W99" s="11"/>
      <c r="X99" s="11"/>
    </row>
    <row r="100" spans="1:57">
      <c r="E100" s="7"/>
      <c r="F100" s="7"/>
      <c r="G100" s="7"/>
      <c r="H100" s="7"/>
      <c r="I100" s="7"/>
      <c r="J100" s="7"/>
      <c r="K100" s="7"/>
      <c r="L100" s="7"/>
      <c r="M100" s="7"/>
      <c r="N100" s="7"/>
      <c r="O100" s="7"/>
      <c r="P100" s="7"/>
      <c r="Q100" s="7"/>
      <c r="R100" s="7"/>
      <c r="S100" s="7"/>
      <c r="T100" s="7"/>
      <c r="U100" s="7"/>
      <c r="V100" s="7"/>
      <c r="W100" s="7"/>
      <c r="X100" s="7"/>
    </row>
    <row r="101" spans="1:57">
      <c r="E101" s="7"/>
      <c r="F101" s="7"/>
      <c r="G101" s="7"/>
      <c r="H101" s="7"/>
      <c r="I101" s="7"/>
      <c r="J101" s="7"/>
      <c r="K101" s="7"/>
      <c r="L101" s="7"/>
      <c r="M101" s="7"/>
      <c r="N101" s="7"/>
    </row>
    <row r="102" spans="1:57" hidden="1">
      <c r="B102" s="77" t="s">
        <v>280</v>
      </c>
      <c r="C102" s="213"/>
      <c r="D102" s="207">
        <f t="shared" ref="D102:X102" si="79">D83</f>
        <v>43921</v>
      </c>
      <c r="E102" s="207">
        <f t="shared" si="79"/>
        <v>44286</v>
      </c>
      <c r="F102" s="207">
        <f t="shared" si="79"/>
        <v>44651</v>
      </c>
      <c r="G102" s="207">
        <f t="shared" si="79"/>
        <v>45016</v>
      </c>
      <c r="H102" s="207">
        <f t="shared" si="79"/>
        <v>45382</v>
      </c>
      <c r="I102" s="207">
        <f t="shared" si="79"/>
        <v>45747</v>
      </c>
      <c r="J102" s="207">
        <f t="shared" si="79"/>
        <v>46112</v>
      </c>
      <c r="K102" s="207">
        <f t="shared" si="79"/>
        <v>46477</v>
      </c>
      <c r="L102" s="207">
        <f t="shared" si="79"/>
        <v>46843</v>
      </c>
      <c r="M102" s="207">
        <f t="shared" si="79"/>
        <v>47208</v>
      </c>
      <c r="N102" s="207">
        <f t="shared" si="79"/>
        <v>47573</v>
      </c>
      <c r="O102" s="207">
        <f t="shared" si="79"/>
        <v>47938</v>
      </c>
      <c r="P102" s="207">
        <f t="shared" si="79"/>
        <v>48304</v>
      </c>
      <c r="Q102" s="207">
        <f t="shared" si="79"/>
        <v>48669</v>
      </c>
      <c r="R102" s="207">
        <f t="shared" si="79"/>
        <v>49034</v>
      </c>
      <c r="S102" s="207">
        <f t="shared" si="79"/>
        <v>49399</v>
      </c>
      <c r="T102" s="207">
        <f t="shared" si="79"/>
        <v>49765</v>
      </c>
      <c r="U102" s="207">
        <f t="shared" si="79"/>
        <v>50130</v>
      </c>
      <c r="V102" s="207">
        <f t="shared" si="79"/>
        <v>50495</v>
      </c>
      <c r="W102" s="207">
        <f t="shared" si="79"/>
        <v>50860</v>
      </c>
      <c r="X102" s="208">
        <f t="shared" si="79"/>
        <v>51226</v>
      </c>
    </row>
    <row r="103" spans="1:57" hidden="1">
      <c r="A103" s="18"/>
      <c r="B103" s="60" t="s">
        <v>120</v>
      </c>
      <c r="C103" s="29"/>
      <c r="D103" s="81"/>
      <c r="E103" s="81">
        <f>Assumptions!C149*0</f>
        <v>0</v>
      </c>
      <c r="F103" s="81">
        <f>Assumptions!C149</f>
        <v>0</v>
      </c>
      <c r="G103" s="81">
        <f t="shared" ref="G103:X103" si="80">F105</f>
        <v>0</v>
      </c>
      <c r="H103" s="81">
        <f t="shared" si="80"/>
        <v>0</v>
      </c>
      <c r="I103" s="81">
        <f t="shared" si="80"/>
        <v>0</v>
      </c>
      <c r="J103" s="81">
        <f t="shared" si="80"/>
        <v>0</v>
      </c>
      <c r="K103" s="81">
        <f t="shared" si="80"/>
        <v>0</v>
      </c>
      <c r="L103" s="81">
        <f t="shared" si="80"/>
        <v>0</v>
      </c>
      <c r="M103" s="81">
        <f t="shared" si="80"/>
        <v>0</v>
      </c>
      <c r="N103" s="81">
        <f t="shared" si="80"/>
        <v>0</v>
      </c>
      <c r="O103" s="81">
        <f t="shared" si="80"/>
        <v>0</v>
      </c>
      <c r="P103" s="81">
        <f t="shared" si="80"/>
        <v>0</v>
      </c>
      <c r="Q103" s="81">
        <f t="shared" si="80"/>
        <v>0</v>
      </c>
      <c r="R103" s="81">
        <f t="shared" si="80"/>
        <v>0</v>
      </c>
      <c r="S103" s="81">
        <f t="shared" si="80"/>
        <v>0</v>
      </c>
      <c r="T103" s="81">
        <f t="shared" si="80"/>
        <v>0</v>
      </c>
      <c r="U103" s="81">
        <f t="shared" si="80"/>
        <v>0</v>
      </c>
      <c r="V103" s="81">
        <f t="shared" si="80"/>
        <v>0</v>
      </c>
      <c r="W103" s="81">
        <f t="shared" si="80"/>
        <v>0</v>
      </c>
      <c r="X103" s="214">
        <f t="shared" si="80"/>
        <v>0</v>
      </c>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row>
    <row r="104" spans="1:57" hidden="1">
      <c r="A104" s="18"/>
      <c r="B104" s="60" t="s">
        <v>123</v>
      </c>
      <c r="C104" s="29"/>
      <c r="D104" s="81"/>
      <c r="E104" s="81">
        <f>$E$103*E106</f>
        <v>0</v>
      </c>
      <c r="F104" s="81">
        <f>$F$103*F106</f>
        <v>0</v>
      </c>
      <c r="G104" s="81">
        <f t="shared" ref="G104:X104" si="81">$F$103*G106</f>
        <v>0</v>
      </c>
      <c r="H104" s="81">
        <f t="shared" si="81"/>
        <v>0</v>
      </c>
      <c r="I104" s="81">
        <f t="shared" si="81"/>
        <v>0</v>
      </c>
      <c r="J104" s="81">
        <f t="shared" si="81"/>
        <v>0</v>
      </c>
      <c r="K104" s="81">
        <f t="shared" si="81"/>
        <v>0</v>
      </c>
      <c r="L104" s="81">
        <f t="shared" si="81"/>
        <v>0</v>
      </c>
      <c r="M104" s="81">
        <f t="shared" si="81"/>
        <v>0</v>
      </c>
      <c r="N104" s="81">
        <f t="shared" si="81"/>
        <v>0</v>
      </c>
      <c r="O104" s="81">
        <f t="shared" si="81"/>
        <v>0</v>
      </c>
      <c r="P104" s="81">
        <f t="shared" si="81"/>
        <v>0</v>
      </c>
      <c r="Q104" s="81">
        <f t="shared" si="81"/>
        <v>0</v>
      </c>
      <c r="R104" s="81">
        <f t="shared" si="81"/>
        <v>0</v>
      </c>
      <c r="S104" s="81">
        <f t="shared" si="81"/>
        <v>0</v>
      </c>
      <c r="T104" s="81">
        <f t="shared" si="81"/>
        <v>0</v>
      </c>
      <c r="U104" s="81">
        <f t="shared" si="81"/>
        <v>0</v>
      </c>
      <c r="V104" s="81">
        <f t="shared" si="81"/>
        <v>0</v>
      </c>
      <c r="W104" s="81">
        <f t="shared" si="81"/>
        <v>0</v>
      </c>
      <c r="X104" s="81">
        <f t="shared" si="81"/>
        <v>0</v>
      </c>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row>
    <row r="105" spans="1:57" hidden="1">
      <c r="A105" s="18"/>
      <c r="B105" s="60" t="s">
        <v>122</v>
      </c>
      <c r="C105" s="29"/>
      <c r="D105" s="81"/>
      <c r="E105" s="81">
        <f>E103-E104</f>
        <v>0</v>
      </c>
      <c r="F105" s="81">
        <f t="shared" ref="F105:X105" si="82">F103-F104</f>
        <v>0</v>
      </c>
      <c r="G105" s="81">
        <f t="shared" si="82"/>
        <v>0</v>
      </c>
      <c r="H105" s="81">
        <f t="shared" si="82"/>
        <v>0</v>
      </c>
      <c r="I105" s="81">
        <f t="shared" si="82"/>
        <v>0</v>
      </c>
      <c r="J105" s="81">
        <f t="shared" si="82"/>
        <v>0</v>
      </c>
      <c r="K105" s="81">
        <f t="shared" si="82"/>
        <v>0</v>
      </c>
      <c r="L105" s="81">
        <f t="shared" si="82"/>
        <v>0</v>
      </c>
      <c r="M105" s="81">
        <f t="shared" si="82"/>
        <v>0</v>
      </c>
      <c r="N105" s="81">
        <f t="shared" si="82"/>
        <v>0</v>
      </c>
      <c r="O105" s="81">
        <f t="shared" si="82"/>
        <v>0</v>
      </c>
      <c r="P105" s="81">
        <f t="shared" si="82"/>
        <v>0</v>
      </c>
      <c r="Q105" s="81">
        <f t="shared" si="82"/>
        <v>0</v>
      </c>
      <c r="R105" s="81">
        <f t="shared" si="82"/>
        <v>0</v>
      </c>
      <c r="S105" s="81">
        <f t="shared" si="82"/>
        <v>0</v>
      </c>
      <c r="T105" s="81">
        <f t="shared" si="82"/>
        <v>0</v>
      </c>
      <c r="U105" s="81">
        <f t="shared" si="82"/>
        <v>0</v>
      </c>
      <c r="V105" s="81">
        <f t="shared" si="82"/>
        <v>0</v>
      </c>
      <c r="W105" s="81">
        <f t="shared" si="82"/>
        <v>0</v>
      </c>
      <c r="X105" s="214">
        <f t="shared" si="82"/>
        <v>0</v>
      </c>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row>
    <row r="106" spans="1:57" hidden="1">
      <c r="B106" s="217" t="s">
        <v>121</v>
      </c>
      <c r="C106" s="211"/>
      <c r="D106" s="237"/>
      <c r="E106" s="237">
        <v>0</v>
      </c>
      <c r="F106" s="237">
        <v>0</v>
      </c>
      <c r="G106" s="237">
        <v>0</v>
      </c>
      <c r="H106" s="237">
        <v>0</v>
      </c>
      <c r="I106" s="237">
        <v>0.1</v>
      </c>
      <c r="J106" s="237">
        <v>0.1</v>
      </c>
      <c r="K106" s="237">
        <v>0.2</v>
      </c>
      <c r="L106" s="237">
        <v>0.2</v>
      </c>
      <c r="M106" s="237">
        <v>0.2</v>
      </c>
      <c r="N106" s="236">
        <f>1-SUM(D106:M106)</f>
        <v>0.19999999999999996</v>
      </c>
      <c r="O106" s="139"/>
      <c r="P106" s="139"/>
      <c r="Q106" s="139"/>
      <c r="R106" s="139"/>
      <c r="S106" s="139"/>
      <c r="T106" s="139"/>
      <c r="U106" s="139"/>
      <c r="V106" s="139"/>
      <c r="W106" s="139"/>
      <c r="X106" s="218"/>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row>
    <row r="107" spans="1:57" hidden="1">
      <c r="B107" s="219" t="s">
        <v>281</v>
      </c>
      <c r="C107" s="135"/>
      <c r="D107" s="62"/>
      <c r="E107" s="62">
        <f t="shared" ref="E107:X107" si="83">E112+E119</f>
        <v>0</v>
      </c>
      <c r="F107" s="62">
        <f t="shared" si="83"/>
        <v>0</v>
      </c>
      <c r="G107" s="62">
        <f t="shared" si="83"/>
        <v>0</v>
      </c>
      <c r="H107" s="62">
        <f t="shared" si="83"/>
        <v>0</v>
      </c>
      <c r="I107" s="62">
        <f t="shared" si="83"/>
        <v>0</v>
      </c>
      <c r="J107" s="62">
        <f t="shared" si="83"/>
        <v>0</v>
      </c>
      <c r="K107" s="62">
        <f t="shared" si="83"/>
        <v>0</v>
      </c>
      <c r="L107" s="62">
        <f t="shared" si="83"/>
        <v>0</v>
      </c>
      <c r="M107" s="62">
        <f t="shared" si="83"/>
        <v>0</v>
      </c>
      <c r="N107" s="62">
        <f t="shared" si="83"/>
        <v>0</v>
      </c>
      <c r="O107" s="62">
        <f t="shared" si="83"/>
        <v>0</v>
      </c>
      <c r="P107" s="62">
        <f t="shared" si="83"/>
        <v>0</v>
      </c>
      <c r="Q107" s="62">
        <f t="shared" si="83"/>
        <v>0</v>
      </c>
      <c r="R107" s="62">
        <f t="shared" si="83"/>
        <v>0</v>
      </c>
      <c r="S107" s="62">
        <f t="shared" si="83"/>
        <v>0</v>
      </c>
      <c r="T107" s="62">
        <f t="shared" si="83"/>
        <v>0</v>
      </c>
      <c r="U107" s="62">
        <f t="shared" si="83"/>
        <v>0</v>
      </c>
      <c r="V107" s="62">
        <f t="shared" si="83"/>
        <v>0</v>
      </c>
      <c r="W107" s="62">
        <f t="shared" si="83"/>
        <v>0</v>
      </c>
      <c r="X107" s="210">
        <f t="shared" si="83"/>
        <v>0</v>
      </c>
    </row>
    <row r="108" spans="1:57" hidden="1">
      <c r="B108" s="60"/>
      <c r="C108" s="135"/>
      <c r="D108" s="62"/>
      <c r="E108" s="62"/>
      <c r="F108" s="62"/>
      <c r="G108" s="62"/>
      <c r="H108" s="62"/>
      <c r="I108" s="62"/>
      <c r="J108" s="62"/>
      <c r="K108" s="62"/>
      <c r="L108" s="134"/>
      <c r="M108" s="134"/>
      <c r="N108" s="134"/>
      <c r="O108" s="134"/>
      <c r="P108" s="134"/>
      <c r="Q108" s="134"/>
      <c r="R108" s="134"/>
      <c r="S108" s="134"/>
      <c r="T108" s="134"/>
      <c r="U108" s="134"/>
      <c r="V108" s="134"/>
      <c r="W108" s="134"/>
      <c r="X108" s="209"/>
    </row>
    <row r="109" spans="1:57" hidden="1">
      <c r="B109" s="60" t="s">
        <v>89</v>
      </c>
      <c r="C109" s="135"/>
      <c r="D109" s="62"/>
      <c r="E109" s="62">
        <f>Fin_Statements!J182</f>
        <v>-615.40047810000021</v>
      </c>
      <c r="F109" s="62">
        <f>Fin_Statements!K182</f>
        <v>-711.50138043299967</v>
      </c>
      <c r="G109" s="62">
        <f>Fin_Statements!L182</f>
        <v>-850.78491072905331</v>
      </c>
      <c r="H109" s="62">
        <f>Fin_Statements!M182</f>
        <v>-948.77115717198717</v>
      </c>
      <c r="I109" s="62">
        <f>Fin_Statements!N182</f>
        <v>-620.57131330704897</v>
      </c>
      <c r="J109" s="62">
        <f>Fin_Statements!O182</f>
        <v>-369.28639887562872</v>
      </c>
      <c r="K109" s="62">
        <f>Fin_Statements!P182</f>
        <v>-369.40266675060025</v>
      </c>
      <c r="L109" s="62">
        <f>Fin_Statements!Q182</f>
        <v>-375.25183158965217</v>
      </c>
      <c r="M109" s="62">
        <f>Fin_Statements!R182</f>
        <v>-378.13483951593696</v>
      </c>
      <c r="N109" s="62">
        <f>Fin_Statements!S182</f>
        <v>-380.42240458369406</v>
      </c>
      <c r="O109" s="62">
        <f>Fin_Statements!T182</f>
        <v>-384.70802915394773</v>
      </c>
      <c r="P109" s="62">
        <f>Fin_Statements!U182</f>
        <v>-403.2016696259945</v>
      </c>
      <c r="Q109" s="62">
        <f>Fin_Statements!V182</f>
        <v>-415.70148206218528</v>
      </c>
      <c r="R109" s="62">
        <f>Fin_Statements!W182</f>
        <v>-453.13985769872488</v>
      </c>
      <c r="S109" s="62">
        <f>Fin_Statements!X182</f>
        <v>-478.43588343090232</v>
      </c>
      <c r="T109" s="62">
        <f>Fin_Statements!Y182</f>
        <v>-516.71896381071542</v>
      </c>
      <c r="U109" s="62">
        <f>Fin_Statements!Z182</f>
        <v>-571.35102763801649</v>
      </c>
      <c r="V109" s="62">
        <f>Fin_Statements!AA182</f>
        <v>-617.794218169999</v>
      </c>
      <c r="W109" s="62">
        <f>Fin_Statements!AB182</f>
        <v>-674.131842548858</v>
      </c>
      <c r="X109" s="210">
        <f>Fin_Statements!AC182</f>
        <v>-733.68788508866464</v>
      </c>
    </row>
    <row r="110" spans="1:57" hidden="1">
      <c r="A110" s="136"/>
      <c r="B110" s="60" t="s">
        <v>442</v>
      </c>
      <c r="C110" s="135"/>
      <c r="D110" s="62"/>
      <c r="E110" s="62">
        <f>MAX(SUM(Fin_Statements!$J$132:J132)-SUM($D$112:D112)-SUM($D$119:D119)-5,0)</f>
        <v>0</v>
      </c>
      <c r="F110" s="62">
        <f>MAX(SUM(Fin_Statements!$J$132:K132)-SUM($D$112:E112)-SUM($D$119:E119)-5,0)</f>
        <v>0</v>
      </c>
      <c r="G110" s="62">
        <f>MAX(SUM(Fin_Statements!$J$132:L132)-SUM($D$112:F112)-SUM($D$119:F119)-5,0)</f>
        <v>0</v>
      </c>
      <c r="H110" s="62">
        <f>MAX(SUM(Fin_Statements!$J$132:M132)-SUM($D$112:G112)-SUM($D$119:G119)-5,0)</f>
        <v>0</v>
      </c>
      <c r="I110" s="62">
        <f>MAX(SUM(Fin_Statements!$J$132:N132)-SUM($D$112:H112)-SUM($D$119:H119)-5,0)</f>
        <v>0</v>
      </c>
      <c r="J110" s="62">
        <f>MAX(SUM(Fin_Statements!$J$132:O132)-SUM($D$112:I112)-SUM($D$119:I119)-5,0)</f>
        <v>0</v>
      </c>
      <c r="K110" s="62">
        <f>MAX(SUM(Fin_Statements!$J$132:P132)-SUM($D$112:J112)-SUM($D$119:J119)-5,0)</f>
        <v>0</v>
      </c>
      <c r="L110" s="62">
        <f>MAX(SUM(Fin_Statements!$J$132:Q132)-SUM($D$112:K112)-SUM($D$119:K119)-5,0)</f>
        <v>0</v>
      </c>
      <c r="M110" s="62">
        <f>MAX(SUM(Fin_Statements!$J$132:R132)-SUM($D$112:L112)-SUM($D$119:L119)-5,0)</f>
        <v>0</v>
      </c>
      <c r="N110" s="62">
        <f>MAX(SUM(Fin_Statements!$J$132:S132)-SUM($D$112:M112)-SUM($D$119:M119)-5,0)</f>
        <v>0</v>
      </c>
      <c r="O110" s="62">
        <f>MAX(SUM(Fin_Statements!$J$132:T132)-SUM($D$112:N112)-SUM($D$119:N119)-5,0)</f>
        <v>0</v>
      </c>
      <c r="P110" s="62">
        <f>MAX(SUM(Fin_Statements!$J$132:U132)-SUM($D$112:O112)-SUM($D$119:O119)-5,0)</f>
        <v>0</v>
      </c>
      <c r="Q110" s="62">
        <f>MAX(SUM(Fin_Statements!$J$132:V132)-SUM($D$112:P112)-SUM($D$119:P119)-5,0)</f>
        <v>0</v>
      </c>
      <c r="R110" s="62">
        <f>MAX(SUM(Fin_Statements!$J$132:W132)-SUM($D$112:Q112)-SUM($D$119:Q119)-5,0)</f>
        <v>0</v>
      </c>
      <c r="S110" s="62">
        <f>MAX(SUM(Fin_Statements!$J$132:X132)-SUM($D$112:R112)-SUM($D$119:R119)-5,0)</f>
        <v>0</v>
      </c>
      <c r="T110" s="62">
        <f>MAX(SUM(Fin_Statements!$J$132:Y132)-SUM($D$112:S112)-SUM($D$119:S119)-5,0)</f>
        <v>0</v>
      </c>
      <c r="U110" s="62">
        <f>MAX(SUM(Fin_Statements!$J$132:Z132)-SUM($D$112:T112)-SUM($D$119:T119)-5,0)</f>
        <v>0</v>
      </c>
      <c r="V110" s="62">
        <f>MAX(SUM(Fin_Statements!$J$132:AA132)-SUM($D$112:U112)-SUM($D$119:U119)-5,0)</f>
        <v>0</v>
      </c>
      <c r="W110" s="62">
        <f>MAX(SUM(Fin_Statements!$J$132:AB132)-SUM($D$112:V112)-SUM($D$119:V119)-5,0)</f>
        <v>0</v>
      </c>
      <c r="X110" s="62">
        <f>MAX(SUM(Fin_Statements!$J$132:AC132)-SUM($D$112:W112)-SUM($D$119:W119)-5,0)</f>
        <v>0</v>
      </c>
    </row>
    <row r="111" spans="1:57" hidden="1">
      <c r="A111" s="1"/>
      <c r="B111" s="60" t="s">
        <v>353</v>
      </c>
      <c r="C111" s="135"/>
      <c r="D111" s="62"/>
      <c r="E111" s="62">
        <f>Assumptions!$C$64*E103*(1+Assumptions!$C$128)</f>
        <v>0</v>
      </c>
      <c r="F111" s="62">
        <f>Assumptions!$C$64*F103*(1+Assumptions!$C$128)</f>
        <v>0</v>
      </c>
      <c r="G111" s="62">
        <f>Assumptions!$C$64*G103*(1+Assumptions!$C$128)</f>
        <v>0</v>
      </c>
      <c r="H111" s="62">
        <f>Assumptions!$C$64*H103*(1+Assumptions!$C$128)</f>
        <v>0</v>
      </c>
      <c r="I111" s="62">
        <f>Assumptions!$C$64*I103*(1+Assumptions!$C$128)</f>
        <v>0</v>
      </c>
      <c r="J111" s="62">
        <f>Assumptions!$C$64*J103*(1+Assumptions!$C$128)</f>
        <v>0</v>
      </c>
      <c r="K111" s="62">
        <f>Assumptions!$C$64*K103*(1+Assumptions!$C$128)</f>
        <v>0</v>
      </c>
      <c r="L111" s="62">
        <f>Assumptions!$C$64*L103*(1+Assumptions!$C$128)</f>
        <v>0</v>
      </c>
      <c r="M111" s="62">
        <f>Assumptions!$C$64*M103*(1+Assumptions!$C$128)</f>
        <v>0</v>
      </c>
      <c r="N111" s="62">
        <f>Assumptions!$C$64*N103*(1+Assumptions!$C$128)</f>
        <v>0</v>
      </c>
      <c r="O111" s="62">
        <f>Assumptions!$C$64*O103*(1+Assumptions!$C$128)</f>
        <v>0</v>
      </c>
      <c r="P111" s="62">
        <f>Assumptions!$C$64*P103*(1+Assumptions!$C$128)</f>
        <v>0</v>
      </c>
      <c r="Q111" s="62">
        <f>Assumptions!$C$64*Q103*(1+Assumptions!$C$128)</f>
        <v>0</v>
      </c>
      <c r="R111" s="62">
        <f>Assumptions!$C$64*R103*(1+Assumptions!$C$128)</f>
        <v>0</v>
      </c>
      <c r="S111" s="62">
        <f>Assumptions!$C$64*S103*(1+Assumptions!$C$128)</f>
        <v>0</v>
      </c>
      <c r="T111" s="62">
        <f>Assumptions!$C$64*T103*(1+Assumptions!$C$128)</f>
        <v>0</v>
      </c>
      <c r="U111" s="62">
        <f>Assumptions!$C$64*U103*(1+Assumptions!$C$128)</f>
        <v>0</v>
      </c>
      <c r="V111" s="62">
        <f>Assumptions!$C$64*V103*(1+Assumptions!$C$128)</f>
        <v>0</v>
      </c>
      <c r="W111" s="62">
        <f>Assumptions!$C$64*W103*(1+Assumptions!$C$128)</f>
        <v>0</v>
      </c>
      <c r="X111" s="62">
        <f>Assumptions!$C$64*X103*(1+Assumptions!$C$128)</f>
        <v>0</v>
      </c>
    </row>
    <row r="112" spans="1:57" s="2" customFormat="1" hidden="1">
      <c r="A112" s="59"/>
      <c r="B112" s="220" t="s">
        <v>281</v>
      </c>
      <c r="C112" s="211"/>
      <c r="D112" s="65"/>
      <c r="E112" s="65">
        <f t="shared" ref="E112:X112" si="84">MAX(MIN(E109:E111),0)</f>
        <v>0</v>
      </c>
      <c r="F112" s="65">
        <f t="shared" si="84"/>
        <v>0</v>
      </c>
      <c r="G112" s="65">
        <f t="shared" si="84"/>
        <v>0</v>
      </c>
      <c r="H112" s="65">
        <f t="shared" si="84"/>
        <v>0</v>
      </c>
      <c r="I112" s="65">
        <f t="shared" si="84"/>
        <v>0</v>
      </c>
      <c r="J112" s="65">
        <f t="shared" si="84"/>
        <v>0</v>
      </c>
      <c r="K112" s="65">
        <f t="shared" si="84"/>
        <v>0</v>
      </c>
      <c r="L112" s="65">
        <f t="shared" si="84"/>
        <v>0</v>
      </c>
      <c r="M112" s="65">
        <f t="shared" si="84"/>
        <v>0</v>
      </c>
      <c r="N112" s="65">
        <f t="shared" si="84"/>
        <v>0</v>
      </c>
      <c r="O112" s="65">
        <f t="shared" si="84"/>
        <v>0</v>
      </c>
      <c r="P112" s="65">
        <f t="shared" si="84"/>
        <v>0</v>
      </c>
      <c r="Q112" s="65">
        <f t="shared" si="84"/>
        <v>0</v>
      </c>
      <c r="R112" s="65">
        <f t="shared" si="84"/>
        <v>0</v>
      </c>
      <c r="S112" s="65">
        <f t="shared" si="84"/>
        <v>0</v>
      </c>
      <c r="T112" s="65">
        <f t="shared" si="84"/>
        <v>0</v>
      </c>
      <c r="U112" s="65">
        <f t="shared" si="84"/>
        <v>0</v>
      </c>
      <c r="V112" s="65">
        <f t="shared" si="84"/>
        <v>0</v>
      </c>
      <c r="W112" s="65">
        <f t="shared" si="84"/>
        <v>0</v>
      </c>
      <c r="X112" s="212">
        <f t="shared" si="84"/>
        <v>0</v>
      </c>
    </row>
    <row r="113" spans="1:24" hidden="1">
      <c r="A113" s="7"/>
      <c r="B113" s="60" t="s">
        <v>297</v>
      </c>
      <c r="C113" s="61"/>
      <c r="D113" s="62"/>
      <c r="E113" s="62">
        <f t="shared" ref="E113:X113" si="85">E111-E112</f>
        <v>0</v>
      </c>
      <c r="F113" s="62">
        <f t="shared" si="85"/>
        <v>0</v>
      </c>
      <c r="G113" s="62">
        <f t="shared" si="85"/>
        <v>0</v>
      </c>
      <c r="H113" s="62">
        <f t="shared" si="85"/>
        <v>0</v>
      </c>
      <c r="I113" s="62">
        <f t="shared" si="85"/>
        <v>0</v>
      </c>
      <c r="J113" s="62">
        <f t="shared" si="85"/>
        <v>0</v>
      </c>
      <c r="K113" s="62">
        <f t="shared" si="85"/>
        <v>0</v>
      </c>
      <c r="L113" s="62">
        <f t="shared" si="85"/>
        <v>0</v>
      </c>
      <c r="M113" s="62">
        <f t="shared" si="85"/>
        <v>0</v>
      </c>
      <c r="N113" s="62">
        <f t="shared" si="85"/>
        <v>0</v>
      </c>
      <c r="O113" s="62">
        <f t="shared" si="85"/>
        <v>0</v>
      </c>
      <c r="P113" s="62">
        <f t="shared" si="85"/>
        <v>0</v>
      </c>
      <c r="Q113" s="62">
        <f t="shared" si="85"/>
        <v>0</v>
      </c>
      <c r="R113" s="62">
        <f t="shared" si="85"/>
        <v>0</v>
      </c>
      <c r="S113" s="62">
        <f t="shared" si="85"/>
        <v>0</v>
      </c>
      <c r="T113" s="62">
        <f t="shared" si="85"/>
        <v>0</v>
      </c>
      <c r="U113" s="62">
        <f t="shared" si="85"/>
        <v>0</v>
      </c>
      <c r="V113" s="62">
        <f t="shared" si="85"/>
        <v>0</v>
      </c>
      <c r="W113" s="62">
        <f t="shared" si="85"/>
        <v>0</v>
      </c>
      <c r="X113" s="210">
        <f t="shared" si="85"/>
        <v>0</v>
      </c>
    </row>
    <row r="114" spans="1:24" hidden="1">
      <c r="A114" s="136"/>
      <c r="B114" s="60"/>
      <c r="C114" s="62"/>
      <c r="D114" s="62"/>
      <c r="E114" s="62"/>
      <c r="F114" s="62"/>
      <c r="G114" s="62"/>
      <c r="H114" s="62"/>
      <c r="I114" s="62"/>
      <c r="J114" s="62"/>
      <c r="K114" s="62"/>
      <c r="L114" s="134"/>
      <c r="M114" s="134"/>
      <c r="N114" s="134"/>
      <c r="O114" s="134"/>
      <c r="P114" s="134"/>
      <c r="Q114" s="134"/>
      <c r="R114" s="134"/>
      <c r="S114" s="134"/>
      <c r="T114" s="134"/>
      <c r="U114" s="134"/>
      <c r="V114" s="134"/>
      <c r="W114" s="134"/>
      <c r="X114" s="209"/>
    </row>
    <row r="115" spans="1:24" hidden="1">
      <c r="B115" s="60" t="s">
        <v>443</v>
      </c>
      <c r="C115" s="221"/>
      <c r="D115" s="62"/>
      <c r="E115" s="62">
        <f>E110-E112</f>
        <v>0</v>
      </c>
      <c r="F115" s="62">
        <f t="shared" ref="F115:X115" si="86">F110-F112</f>
        <v>0</v>
      </c>
      <c r="G115" s="62">
        <f t="shared" si="86"/>
        <v>0</v>
      </c>
      <c r="H115" s="62">
        <f t="shared" si="86"/>
        <v>0</v>
      </c>
      <c r="I115" s="62">
        <f t="shared" si="86"/>
        <v>0</v>
      </c>
      <c r="J115" s="62">
        <f t="shared" si="86"/>
        <v>0</v>
      </c>
      <c r="K115" s="62">
        <f t="shared" si="86"/>
        <v>0</v>
      </c>
      <c r="L115" s="62">
        <f t="shared" si="86"/>
        <v>0</v>
      </c>
      <c r="M115" s="62">
        <f t="shared" si="86"/>
        <v>0</v>
      </c>
      <c r="N115" s="62">
        <f t="shared" si="86"/>
        <v>0</v>
      </c>
      <c r="O115" s="62">
        <f t="shared" si="86"/>
        <v>0</v>
      </c>
      <c r="P115" s="62">
        <f t="shared" si="86"/>
        <v>0</v>
      </c>
      <c r="Q115" s="62">
        <f t="shared" si="86"/>
        <v>0</v>
      </c>
      <c r="R115" s="62">
        <f t="shared" si="86"/>
        <v>0</v>
      </c>
      <c r="S115" s="62">
        <f t="shared" si="86"/>
        <v>0</v>
      </c>
      <c r="T115" s="62">
        <f t="shared" si="86"/>
        <v>0</v>
      </c>
      <c r="U115" s="62">
        <f t="shared" si="86"/>
        <v>0</v>
      </c>
      <c r="V115" s="62">
        <f t="shared" si="86"/>
        <v>0</v>
      </c>
      <c r="W115" s="62">
        <f t="shared" si="86"/>
        <v>0</v>
      </c>
      <c r="X115" s="62">
        <f t="shared" si="86"/>
        <v>0</v>
      </c>
    </row>
    <row r="116" spans="1:24" hidden="1">
      <c r="B116" s="60"/>
      <c r="C116" s="221"/>
      <c r="D116" s="62"/>
      <c r="E116" s="62"/>
      <c r="F116" s="62"/>
      <c r="G116" s="62"/>
      <c r="H116" s="62"/>
      <c r="I116" s="62"/>
      <c r="J116" s="62"/>
      <c r="K116" s="62"/>
      <c r="L116" s="62"/>
      <c r="M116" s="62"/>
      <c r="N116" s="62"/>
      <c r="O116" s="62"/>
      <c r="P116" s="62"/>
      <c r="Q116" s="62"/>
      <c r="R116" s="62"/>
      <c r="S116" s="62"/>
      <c r="T116" s="62"/>
      <c r="U116" s="62"/>
      <c r="V116" s="62"/>
      <c r="W116" s="62"/>
      <c r="X116" s="210"/>
    </row>
    <row r="117" spans="1:24" hidden="1">
      <c r="B117" s="60" t="s">
        <v>298</v>
      </c>
      <c r="C117" s="135"/>
      <c r="D117" s="62"/>
      <c r="E117" s="62">
        <f>D120</f>
        <v>0</v>
      </c>
      <c r="F117" s="62">
        <f>E120</f>
        <v>0</v>
      </c>
      <c r="G117" s="62">
        <f>F120</f>
        <v>0</v>
      </c>
      <c r="H117" s="62">
        <f t="shared" ref="H117:X117" si="87">G120</f>
        <v>0</v>
      </c>
      <c r="I117" s="62">
        <f t="shared" si="87"/>
        <v>0</v>
      </c>
      <c r="J117" s="62">
        <f t="shared" si="87"/>
        <v>0</v>
      </c>
      <c r="K117" s="62">
        <f t="shared" si="87"/>
        <v>0</v>
      </c>
      <c r="L117" s="62">
        <f t="shared" si="87"/>
        <v>0</v>
      </c>
      <c r="M117" s="62">
        <f t="shared" si="87"/>
        <v>0</v>
      </c>
      <c r="N117" s="62">
        <f t="shared" si="87"/>
        <v>0</v>
      </c>
      <c r="O117" s="62">
        <f t="shared" si="87"/>
        <v>0</v>
      </c>
      <c r="P117" s="62">
        <f t="shared" si="87"/>
        <v>0</v>
      </c>
      <c r="Q117" s="62">
        <f t="shared" si="87"/>
        <v>0</v>
      </c>
      <c r="R117" s="62">
        <f t="shared" si="87"/>
        <v>0</v>
      </c>
      <c r="S117" s="62">
        <f t="shared" si="87"/>
        <v>0</v>
      </c>
      <c r="T117" s="62">
        <f t="shared" si="87"/>
        <v>0</v>
      </c>
      <c r="U117" s="62">
        <f t="shared" si="87"/>
        <v>0</v>
      </c>
      <c r="V117" s="62">
        <f t="shared" si="87"/>
        <v>0</v>
      </c>
      <c r="W117" s="62">
        <f t="shared" si="87"/>
        <v>0</v>
      </c>
      <c r="X117" s="210">
        <f t="shared" si="87"/>
        <v>0</v>
      </c>
    </row>
    <row r="118" spans="1:24" hidden="1">
      <c r="B118" s="60" t="s">
        <v>255</v>
      </c>
      <c r="C118" s="135"/>
      <c r="D118" s="62"/>
      <c r="E118" s="62">
        <f t="shared" ref="E118:X118" si="88">E113</f>
        <v>0</v>
      </c>
      <c r="F118" s="62">
        <f t="shared" si="88"/>
        <v>0</v>
      </c>
      <c r="G118" s="62">
        <f t="shared" si="88"/>
        <v>0</v>
      </c>
      <c r="H118" s="62">
        <f t="shared" si="88"/>
        <v>0</v>
      </c>
      <c r="I118" s="62">
        <f t="shared" si="88"/>
        <v>0</v>
      </c>
      <c r="J118" s="62">
        <f t="shared" si="88"/>
        <v>0</v>
      </c>
      <c r="K118" s="62">
        <f t="shared" si="88"/>
        <v>0</v>
      </c>
      <c r="L118" s="62">
        <f t="shared" si="88"/>
        <v>0</v>
      </c>
      <c r="M118" s="62">
        <f t="shared" si="88"/>
        <v>0</v>
      </c>
      <c r="N118" s="62">
        <f t="shared" si="88"/>
        <v>0</v>
      </c>
      <c r="O118" s="62">
        <f t="shared" si="88"/>
        <v>0</v>
      </c>
      <c r="P118" s="62">
        <f t="shared" si="88"/>
        <v>0</v>
      </c>
      <c r="Q118" s="62">
        <f t="shared" si="88"/>
        <v>0</v>
      </c>
      <c r="R118" s="62">
        <f t="shared" si="88"/>
        <v>0</v>
      </c>
      <c r="S118" s="62">
        <f t="shared" si="88"/>
        <v>0</v>
      </c>
      <c r="T118" s="62">
        <f t="shared" si="88"/>
        <v>0</v>
      </c>
      <c r="U118" s="62">
        <f t="shared" si="88"/>
        <v>0</v>
      </c>
      <c r="V118" s="62">
        <f t="shared" si="88"/>
        <v>0</v>
      </c>
      <c r="W118" s="62">
        <f t="shared" si="88"/>
        <v>0</v>
      </c>
      <c r="X118" s="210">
        <f t="shared" si="88"/>
        <v>0</v>
      </c>
    </row>
    <row r="119" spans="1:24" s="2" customFormat="1" hidden="1">
      <c r="A119" s="59"/>
      <c r="B119" s="64" t="s">
        <v>299</v>
      </c>
      <c r="C119" s="211"/>
      <c r="D119" s="65"/>
      <c r="E119" s="65">
        <f t="shared" ref="E119:X119" si="89">IF(E109&gt;0,MAX(MIN(E117+E118,E115),0),0)</f>
        <v>0</v>
      </c>
      <c r="F119" s="65">
        <f t="shared" si="89"/>
        <v>0</v>
      </c>
      <c r="G119" s="65">
        <f t="shared" si="89"/>
        <v>0</v>
      </c>
      <c r="H119" s="65">
        <f t="shared" si="89"/>
        <v>0</v>
      </c>
      <c r="I119" s="65">
        <f t="shared" si="89"/>
        <v>0</v>
      </c>
      <c r="J119" s="65">
        <f t="shared" si="89"/>
        <v>0</v>
      </c>
      <c r="K119" s="65">
        <f t="shared" si="89"/>
        <v>0</v>
      </c>
      <c r="L119" s="65">
        <f t="shared" si="89"/>
        <v>0</v>
      </c>
      <c r="M119" s="65">
        <f t="shared" si="89"/>
        <v>0</v>
      </c>
      <c r="N119" s="65">
        <f t="shared" si="89"/>
        <v>0</v>
      </c>
      <c r="O119" s="65">
        <f t="shared" si="89"/>
        <v>0</v>
      </c>
      <c r="P119" s="65">
        <f t="shared" si="89"/>
        <v>0</v>
      </c>
      <c r="Q119" s="65">
        <f t="shared" si="89"/>
        <v>0</v>
      </c>
      <c r="R119" s="65">
        <f t="shared" si="89"/>
        <v>0</v>
      </c>
      <c r="S119" s="65">
        <f t="shared" si="89"/>
        <v>0</v>
      </c>
      <c r="T119" s="65">
        <f t="shared" si="89"/>
        <v>0</v>
      </c>
      <c r="U119" s="65">
        <f t="shared" si="89"/>
        <v>0</v>
      </c>
      <c r="V119" s="65">
        <f t="shared" si="89"/>
        <v>0</v>
      </c>
      <c r="W119" s="65">
        <f t="shared" si="89"/>
        <v>0</v>
      </c>
      <c r="X119" s="65">
        <f t="shared" si="89"/>
        <v>0</v>
      </c>
    </row>
    <row r="120" spans="1:24" ht="13.5" hidden="1" thickBot="1">
      <c r="B120" s="76" t="s">
        <v>300</v>
      </c>
      <c r="C120" s="215"/>
      <c r="D120" s="67"/>
      <c r="E120" s="67">
        <f t="shared" ref="E120:X120" si="90">E117+E118-E119</f>
        <v>0</v>
      </c>
      <c r="F120" s="67">
        <f t="shared" si="90"/>
        <v>0</v>
      </c>
      <c r="G120" s="67">
        <f t="shared" si="90"/>
        <v>0</v>
      </c>
      <c r="H120" s="67">
        <f t="shared" si="90"/>
        <v>0</v>
      </c>
      <c r="I120" s="67">
        <f t="shared" si="90"/>
        <v>0</v>
      </c>
      <c r="J120" s="67">
        <f t="shared" si="90"/>
        <v>0</v>
      </c>
      <c r="K120" s="67">
        <f t="shared" si="90"/>
        <v>0</v>
      </c>
      <c r="L120" s="67">
        <f t="shared" si="90"/>
        <v>0</v>
      </c>
      <c r="M120" s="67">
        <f t="shared" si="90"/>
        <v>0</v>
      </c>
      <c r="N120" s="67">
        <f t="shared" si="90"/>
        <v>0</v>
      </c>
      <c r="O120" s="67">
        <f t="shared" si="90"/>
        <v>0</v>
      </c>
      <c r="P120" s="67">
        <f t="shared" si="90"/>
        <v>0</v>
      </c>
      <c r="Q120" s="67">
        <f t="shared" si="90"/>
        <v>0</v>
      </c>
      <c r="R120" s="67">
        <f t="shared" si="90"/>
        <v>0</v>
      </c>
      <c r="S120" s="67">
        <f t="shared" si="90"/>
        <v>0</v>
      </c>
      <c r="T120" s="67">
        <f t="shared" si="90"/>
        <v>0</v>
      </c>
      <c r="U120" s="67">
        <f t="shared" si="90"/>
        <v>0</v>
      </c>
      <c r="V120" s="67">
        <f t="shared" si="90"/>
        <v>0</v>
      </c>
      <c r="W120" s="67">
        <f t="shared" si="90"/>
        <v>0</v>
      </c>
      <c r="X120" s="216">
        <f t="shared" si="90"/>
        <v>0</v>
      </c>
    </row>
    <row r="121" spans="1:24" hidden="1"/>
    <row r="122" spans="1:24" ht="13.5" thickBot="1"/>
    <row r="123" spans="1:24">
      <c r="B123" s="77" t="s">
        <v>302</v>
      </c>
      <c r="C123" s="213"/>
      <c r="D123" s="207">
        <f t="shared" ref="D123:X123" si="91">D102</f>
        <v>43921</v>
      </c>
      <c r="E123" s="207">
        <f t="shared" si="91"/>
        <v>44286</v>
      </c>
      <c r="F123" s="207">
        <f t="shared" si="91"/>
        <v>44651</v>
      </c>
      <c r="G123" s="207">
        <f t="shared" si="91"/>
        <v>45016</v>
      </c>
      <c r="H123" s="207">
        <f t="shared" si="91"/>
        <v>45382</v>
      </c>
      <c r="I123" s="207">
        <f t="shared" si="91"/>
        <v>45747</v>
      </c>
      <c r="J123" s="207">
        <f t="shared" si="91"/>
        <v>46112</v>
      </c>
      <c r="K123" s="207">
        <f t="shared" si="91"/>
        <v>46477</v>
      </c>
      <c r="L123" s="207">
        <f t="shared" si="91"/>
        <v>46843</v>
      </c>
      <c r="M123" s="207">
        <f t="shared" si="91"/>
        <v>47208</v>
      </c>
      <c r="N123" s="207">
        <f t="shared" si="91"/>
        <v>47573</v>
      </c>
      <c r="O123" s="207">
        <f t="shared" si="91"/>
        <v>47938</v>
      </c>
      <c r="P123" s="207">
        <f t="shared" si="91"/>
        <v>48304</v>
      </c>
      <c r="Q123" s="207">
        <f t="shared" si="91"/>
        <v>48669</v>
      </c>
      <c r="R123" s="207">
        <f t="shared" si="91"/>
        <v>49034</v>
      </c>
      <c r="S123" s="207">
        <f t="shared" si="91"/>
        <v>49399</v>
      </c>
      <c r="T123" s="207">
        <f t="shared" si="91"/>
        <v>49765</v>
      </c>
      <c r="U123" s="207">
        <f t="shared" si="91"/>
        <v>50130</v>
      </c>
      <c r="V123" s="207">
        <f t="shared" si="91"/>
        <v>50495</v>
      </c>
      <c r="W123" s="207">
        <f t="shared" si="91"/>
        <v>50860</v>
      </c>
      <c r="X123" s="208">
        <f t="shared" si="91"/>
        <v>51226</v>
      </c>
    </row>
    <row r="124" spans="1:24" s="25" customFormat="1">
      <c r="A124" s="24"/>
      <c r="B124" s="153" t="s">
        <v>308</v>
      </c>
      <c r="C124" s="29"/>
      <c r="D124" s="81">
        <f>(Assumptions!$C$65/4)*SUM(E6,E9,E15,E18,E43,E46)</f>
        <v>20.223625000000002</v>
      </c>
      <c r="E124" s="81">
        <f>(Assumptions!$C$65/4)*SUM(F6,F9,F15,F18,F43,F46)</f>
        <v>20.223625000000002</v>
      </c>
      <c r="F124" s="81">
        <f>(Assumptions!$C$65/4)*SUM(G6,G9,G15,G18,G43,G46)</f>
        <v>31.999375000000001</v>
      </c>
      <c r="G124" s="81">
        <f>(Assumptions!$C$65/4)*SUM(H6,H9,H15,H18,H43,H46)</f>
        <v>39.412375000000004</v>
      </c>
      <c r="H124" s="81">
        <f>(Assumptions!$C$65/4)*SUM(I6,I9,I15,I18,I43,I46)</f>
        <v>51.400750000000002</v>
      </c>
      <c r="I124" s="81">
        <f>(Assumptions!$C$65/4)*SUM(J6,J9,J15,J18,J43,J46)</f>
        <v>79.737625000000008</v>
      </c>
      <c r="J124" s="81">
        <f>(Assumptions!$C$65/4)*SUM(K6,K9,K15,K18,K43,K46)</f>
        <v>88.041375000000002</v>
      </c>
      <c r="K124" s="81">
        <f>(Assumptions!$C$65/4)*SUM(L6,L9,L15,L18,L43,L46)</f>
        <v>82.675875000000005</v>
      </c>
      <c r="L124" s="81">
        <f>(Assumptions!$C$65/4)*SUM(M6,M9,M15,M18,M43,M46)</f>
        <v>77.310375000000008</v>
      </c>
      <c r="M124" s="81">
        <f>(Assumptions!$C$65/4)*SUM(N6,N9,N15,N18,N43,N46)</f>
        <v>71.94487500000001</v>
      </c>
      <c r="N124" s="81">
        <f>(Assumptions!$C$65/4)*SUM(O6,O9,O15,O18,O43,O46)</f>
        <v>66.579375000000013</v>
      </c>
      <c r="O124" s="81">
        <f>(Assumptions!$C$65/4)*SUM(P6,P9,P15,P18,P43,P46)</f>
        <v>61.213875000000009</v>
      </c>
      <c r="P124" s="81">
        <f>(Assumptions!$C$65/4)*SUM(Q6,Q9,Q15,Q18,Q43,Q46)</f>
        <v>20.206125000000007</v>
      </c>
      <c r="Q124" s="81">
        <f>(Assumptions!$C$65/4)*SUM(R6,R9,R15,R18,R43,R46)</f>
        <v>20.206125000000007</v>
      </c>
      <c r="R124" s="81">
        <f>(Assumptions!$C$65/4)*SUM(S6,S9,S15,S18,S43,S46)</f>
        <v>20.206125000000007</v>
      </c>
      <c r="S124" s="81">
        <f>(Assumptions!$C$65/4)*SUM(T6,T9,T15,T18,T43,T46)</f>
        <v>20.206125000000007</v>
      </c>
      <c r="T124" s="81">
        <f>(Assumptions!$C$65/4)*SUM(U6,U9,U15,U18,U43,U46)</f>
        <v>20.206125000000007</v>
      </c>
      <c r="U124" s="81">
        <f>(Assumptions!$C$65/4)*SUM(V6,V9,V15,V18,V43,V46)</f>
        <v>20.206125000000007</v>
      </c>
      <c r="V124" s="81">
        <f>(Assumptions!$C$65/4)*SUM(W6,W9,W15,W18,W43,W46)</f>
        <v>20.206125000000007</v>
      </c>
      <c r="W124" s="81">
        <f>(Assumptions!$C$65/4)*SUM(X6,X9,X15,X18,X43,X46)</f>
        <v>20.206125000000007</v>
      </c>
      <c r="X124" s="81">
        <f>(Assumptions!$C$65/4)*SUM(Y6,Y9,Y15,Y18,Y43,Y46)</f>
        <v>0</v>
      </c>
    </row>
    <row r="125" spans="1:24" s="25" customFormat="1">
      <c r="A125" s="24"/>
      <c r="B125" s="153" t="s">
        <v>328</v>
      </c>
      <c r="C125" s="29"/>
      <c r="D125" s="81">
        <f>MAX(Fin_Statements!I131-5,0)</f>
        <v>0</v>
      </c>
      <c r="E125" s="81">
        <f>MAX(Fin_Statements!J131-5,0)</f>
        <v>0</v>
      </c>
      <c r="F125" s="81">
        <f>MAX(Fin_Statements!K131-5,0)</f>
        <v>0</v>
      </c>
      <c r="G125" s="81">
        <f>MAX(Fin_Statements!L131-5,0)</f>
        <v>0</v>
      </c>
      <c r="H125" s="81">
        <f>MAX(Fin_Statements!M131-5,0)</f>
        <v>0</v>
      </c>
      <c r="I125" s="81">
        <f>MAX(Fin_Statements!N131-5,0)</f>
        <v>0</v>
      </c>
      <c r="J125" s="81">
        <f>MAX(Fin_Statements!O131-5,0)</f>
        <v>0</v>
      </c>
      <c r="K125" s="81">
        <f>MAX(Fin_Statements!P131-5,0)</f>
        <v>0</v>
      </c>
      <c r="L125" s="81">
        <f>MAX(Fin_Statements!Q131-5,0)</f>
        <v>0</v>
      </c>
      <c r="M125" s="81">
        <f>MAX(Fin_Statements!R131-5,0)</f>
        <v>0</v>
      </c>
      <c r="N125" s="81">
        <f>MAX(Fin_Statements!S131-5,0)</f>
        <v>0</v>
      </c>
      <c r="O125" s="81">
        <f>MAX(Fin_Statements!T131-5,0)</f>
        <v>0</v>
      </c>
      <c r="P125" s="81">
        <f>MAX(Fin_Statements!U131-5,0)</f>
        <v>0</v>
      </c>
      <c r="Q125" s="81">
        <f>MAX(Fin_Statements!V131-5,0)</f>
        <v>0</v>
      </c>
      <c r="R125" s="81">
        <f>MAX(Fin_Statements!W131-5,0)</f>
        <v>0</v>
      </c>
      <c r="S125" s="81">
        <f>MAX(Fin_Statements!X131-5,0)</f>
        <v>0</v>
      </c>
      <c r="T125" s="81">
        <f>MAX(Fin_Statements!Y131-5,0)</f>
        <v>0</v>
      </c>
      <c r="U125" s="81">
        <f>MAX(Fin_Statements!Z131-5,0)</f>
        <v>0</v>
      </c>
      <c r="V125" s="81">
        <f>MAX(Fin_Statements!AA131-5,0)</f>
        <v>0</v>
      </c>
      <c r="W125" s="81">
        <f>MAX(Fin_Statements!AB131-5,0)</f>
        <v>0</v>
      </c>
      <c r="X125" s="81">
        <f>MAX(Fin_Statements!AC131-5,0)</f>
        <v>0</v>
      </c>
    </row>
    <row r="126" spans="1:24">
      <c r="B126" s="60" t="s">
        <v>303</v>
      </c>
      <c r="C126" s="135"/>
      <c r="D126" s="134">
        <v>0</v>
      </c>
      <c r="E126" s="62">
        <f>D129</f>
        <v>0</v>
      </c>
      <c r="F126" s="62">
        <f>E129</f>
        <v>0</v>
      </c>
      <c r="G126" s="62">
        <f>F129</f>
        <v>0</v>
      </c>
      <c r="H126" s="62">
        <f t="shared" ref="H126:X126" si="92">G129</f>
        <v>0</v>
      </c>
      <c r="I126" s="62">
        <f t="shared" si="92"/>
        <v>0</v>
      </c>
      <c r="J126" s="62">
        <f t="shared" si="92"/>
        <v>0</v>
      </c>
      <c r="K126" s="62">
        <f t="shared" si="92"/>
        <v>0</v>
      </c>
      <c r="L126" s="62">
        <f t="shared" si="92"/>
        <v>0</v>
      </c>
      <c r="M126" s="62">
        <f t="shared" si="92"/>
        <v>0</v>
      </c>
      <c r="N126" s="62">
        <f t="shared" si="92"/>
        <v>0</v>
      </c>
      <c r="O126" s="62">
        <f t="shared" si="92"/>
        <v>0</v>
      </c>
      <c r="P126" s="62">
        <f t="shared" si="92"/>
        <v>0</v>
      </c>
      <c r="Q126" s="62">
        <f t="shared" si="92"/>
        <v>0</v>
      </c>
      <c r="R126" s="62">
        <f t="shared" si="92"/>
        <v>0</v>
      </c>
      <c r="S126" s="62">
        <f t="shared" si="92"/>
        <v>0</v>
      </c>
      <c r="T126" s="62">
        <f t="shared" si="92"/>
        <v>0</v>
      </c>
      <c r="U126" s="62">
        <f t="shared" si="92"/>
        <v>0</v>
      </c>
      <c r="V126" s="62">
        <f t="shared" si="92"/>
        <v>0</v>
      </c>
      <c r="W126" s="62">
        <f t="shared" si="92"/>
        <v>0</v>
      </c>
      <c r="X126" s="210">
        <f t="shared" si="92"/>
        <v>0</v>
      </c>
    </row>
    <row r="127" spans="1:24">
      <c r="B127" s="60" t="s">
        <v>255</v>
      </c>
      <c r="C127" s="135"/>
      <c r="D127" s="62">
        <f t="shared" ref="D127:I127" si="93">MAX(MIN(D124-D126,D125),0)</f>
        <v>0</v>
      </c>
      <c r="E127" s="62">
        <f t="shared" si="93"/>
        <v>0</v>
      </c>
      <c r="F127" s="62">
        <f t="shared" si="93"/>
        <v>0</v>
      </c>
      <c r="G127" s="62">
        <f t="shared" si="93"/>
        <v>0</v>
      </c>
      <c r="H127" s="62">
        <f t="shared" si="93"/>
        <v>0</v>
      </c>
      <c r="I127" s="62">
        <f t="shared" si="93"/>
        <v>0</v>
      </c>
      <c r="J127" s="62">
        <f t="shared" ref="J127:X127" si="94">MAX(MIN(J124-J126,J125),0)</f>
        <v>0</v>
      </c>
      <c r="K127" s="62">
        <f t="shared" si="94"/>
        <v>0</v>
      </c>
      <c r="L127" s="62">
        <f t="shared" si="94"/>
        <v>0</v>
      </c>
      <c r="M127" s="62">
        <f t="shared" si="94"/>
        <v>0</v>
      </c>
      <c r="N127" s="62">
        <f t="shared" si="94"/>
        <v>0</v>
      </c>
      <c r="O127" s="62">
        <f t="shared" si="94"/>
        <v>0</v>
      </c>
      <c r="P127" s="62">
        <f t="shared" si="94"/>
        <v>0</v>
      </c>
      <c r="Q127" s="62">
        <f t="shared" si="94"/>
        <v>0</v>
      </c>
      <c r="R127" s="62">
        <f t="shared" si="94"/>
        <v>0</v>
      </c>
      <c r="S127" s="62">
        <f t="shared" si="94"/>
        <v>0</v>
      </c>
      <c r="T127" s="62">
        <f t="shared" si="94"/>
        <v>0</v>
      </c>
      <c r="U127" s="62">
        <f t="shared" si="94"/>
        <v>0</v>
      </c>
      <c r="V127" s="62">
        <f t="shared" si="94"/>
        <v>0</v>
      </c>
      <c r="W127" s="62">
        <f t="shared" si="94"/>
        <v>0</v>
      </c>
      <c r="X127" s="210">
        <f t="shared" si="94"/>
        <v>0</v>
      </c>
    </row>
    <row r="128" spans="1:24">
      <c r="B128" s="60" t="s">
        <v>304</v>
      </c>
      <c r="C128" s="135"/>
      <c r="D128" s="62">
        <f>MAX(D126-D124,0)</f>
        <v>0</v>
      </c>
      <c r="E128" s="62">
        <f>MAX(E126-E124,0)</f>
        <v>0</v>
      </c>
      <c r="F128" s="62">
        <f>MAX(F126-F124,0)</f>
        <v>0</v>
      </c>
      <c r="G128" s="62">
        <f t="shared" ref="G128:X128" si="95">MAX(G126-G124,0)</f>
        <v>0</v>
      </c>
      <c r="H128" s="62">
        <f t="shared" si="95"/>
        <v>0</v>
      </c>
      <c r="I128" s="62">
        <f t="shared" si="95"/>
        <v>0</v>
      </c>
      <c r="J128" s="62">
        <f t="shared" si="95"/>
        <v>0</v>
      </c>
      <c r="K128" s="62">
        <f t="shared" si="95"/>
        <v>0</v>
      </c>
      <c r="L128" s="62">
        <f t="shared" si="95"/>
        <v>0</v>
      </c>
      <c r="M128" s="62">
        <f t="shared" si="95"/>
        <v>0</v>
      </c>
      <c r="N128" s="62">
        <f t="shared" si="95"/>
        <v>0</v>
      </c>
      <c r="O128" s="62">
        <f t="shared" si="95"/>
        <v>0</v>
      </c>
      <c r="P128" s="62">
        <f t="shared" si="95"/>
        <v>0</v>
      </c>
      <c r="Q128" s="62">
        <f t="shared" si="95"/>
        <v>0</v>
      </c>
      <c r="R128" s="62">
        <f t="shared" si="95"/>
        <v>0</v>
      </c>
      <c r="S128" s="62">
        <f t="shared" si="95"/>
        <v>0</v>
      </c>
      <c r="T128" s="62">
        <f t="shared" si="95"/>
        <v>0</v>
      </c>
      <c r="U128" s="62">
        <f t="shared" si="95"/>
        <v>0</v>
      </c>
      <c r="V128" s="62">
        <f t="shared" si="95"/>
        <v>0</v>
      </c>
      <c r="W128" s="62">
        <f t="shared" si="95"/>
        <v>0</v>
      </c>
      <c r="X128" s="210">
        <f t="shared" si="95"/>
        <v>0</v>
      </c>
    </row>
    <row r="129" spans="1:45" ht="13.5" thickBot="1">
      <c r="B129" s="76" t="s">
        <v>300</v>
      </c>
      <c r="C129" s="215"/>
      <c r="D129" s="67">
        <f t="shared" ref="D129:X129" si="96">D126+D127-D128</f>
        <v>0</v>
      </c>
      <c r="E129" s="67">
        <f t="shared" si="96"/>
        <v>0</v>
      </c>
      <c r="F129" s="67">
        <f t="shared" si="96"/>
        <v>0</v>
      </c>
      <c r="G129" s="67">
        <f t="shared" si="96"/>
        <v>0</v>
      </c>
      <c r="H129" s="67">
        <f t="shared" si="96"/>
        <v>0</v>
      </c>
      <c r="I129" s="67">
        <f t="shared" si="96"/>
        <v>0</v>
      </c>
      <c r="J129" s="67">
        <f t="shared" si="96"/>
        <v>0</v>
      </c>
      <c r="K129" s="67">
        <f t="shared" si="96"/>
        <v>0</v>
      </c>
      <c r="L129" s="67">
        <f t="shared" si="96"/>
        <v>0</v>
      </c>
      <c r="M129" s="67">
        <f t="shared" si="96"/>
        <v>0</v>
      </c>
      <c r="N129" s="67">
        <f t="shared" si="96"/>
        <v>0</v>
      </c>
      <c r="O129" s="67">
        <f t="shared" si="96"/>
        <v>0</v>
      </c>
      <c r="P129" s="67">
        <f t="shared" si="96"/>
        <v>0</v>
      </c>
      <c r="Q129" s="67">
        <f t="shared" si="96"/>
        <v>0</v>
      </c>
      <c r="R129" s="67">
        <f t="shared" si="96"/>
        <v>0</v>
      </c>
      <c r="S129" s="67">
        <f t="shared" si="96"/>
        <v>0</v>
      </c>
      <c r="T129" s="67">
        <f t="shared" si="96"/>
        <v>0</v>
      </c>
      <c r="U129" s="67">
        <f t="shared" si="96"/>
        <v>0</v>
      </c>
      <c r="V129" s="67">
        <f t="shared" si="96"/>
        <v>0</v>
      </c>
      <c r="W129" s="67">
        <f t="shared" si="96"/>
        <v>0</v>
      </c>
      <c r="X129" s="216">
        <f t="shared" si="96"/>
        <v>0</v>
      </c>
    </row>
    <row r="131" spans="1:45">
      <c r="B131" s="2"/>
      <c r="D131" s="59"/>
    </row>
    <row r="132" spans="1:45">
      <c r="B132" s="2"/>
    </row>
    <row r="133" spans="1:45">
      <c r="B133" s="2"/>
    </row>
    <row r="135" spans="1:45">
      <c r="B135" s="23" t="s">
        <v>127</v>
      </c>
      <c r="C135" s="23"/>
      <c r="D135" s="4">
        <f>D4</f>
        <v>43921</v>
      </c>
      <c r="E135" s="4">
        <f t="shared" ref="E135:X135" si="97">E4</f>
        <v>44286</v>
      </c>
      <c r="F135" s="4">
        <f t="shared" si="97"/>
        <v>44651</v>
      </c>
      <c r="G135" s="4">
        <f t="shared" si="97"/>
        <v>45016</v>
      </c>
      <c r="H135" s="4">
        <f t="shared" si="97"/>
        <v>45382</v>
      </c>
      <c r="I135" s="4">
        <f t="shared" si="97"/>
        <v>45747</v>
      </c>
      <c r="J135" s="4">
        <f t="shared" si="97"/>
        <v>46112</v>
      </c>
      <c r="K135" s="4">
        <f t="shared" si="97"/>
        <v>46477</v>
      </c>
      <c r="L135" s="4">
        <f t="shared" si="97"/>
        <v>46843</v>
      </c>
      <c r="M135" s="4">
        <f t="shared" si="97"/>
        <v>47208</v>
      </c>
      <c r="N135" s="4">
        <f t="shared" si="97"/>
        <v>47573</v>
      </c>
      <c r="O135" s="4">
        <f t="shared" si="97"/>
        <v>47938</v>
      </c>
      <c r="P135" s="4">
        <f t="shared" si="97"/>
        <v>48304</v>
      </c>
      <c r="Q135" s="4">
        <f t="shared" si="97"/>
        <v>48669</v>
      </c>
      <c r="R135" s="4">
        <f t="shared" si="97"/>
        <v>49034</v>
      </c>
      <c r="S135" s="4">
        <f t="shared" si="97"/>
        <v>49399</v>
      </c>
      <c r="T135" s="4">
        <f t="shared" si="97"/>
        <v>49765</v>
      </c>
      <c r="U135" s="4">
        <f t="shared" si="97"/>
        <v>50130</v>
      </c>
      <c r="V135" s="4">
        <f t="shared" si="97"/>
        <v>50495</v>
      </c>
      <c r="W135" s="4">
        <f t="shared" si="97"/>
        <v>50860</v>
      </c>
      <c r="X135" s="4">
        <f t="shared" si="97"/>
        <v>51226</v>
      </c>
      <c r="AB135" s="240">
        <f>EOMONTH(AC135,-3)</f>
        <v>44012</v>
      </c>
      <c r="AC135" s="240">
        <v>44104</v>
      </c>
      <c r="AD135" s="240">
        <f t="shared" ref="AD135:AI135" si="98">EOMONTH(AC135,3)</f>
        <v>44196</v>
      </c>
      <c r="AE135" s="240">
        <f t="shared" si="98"/>
        <v>44286</v>
      </c>
      <c r="AF135" s="240">
        <f t="shared" si="98"/>
        <v>44377</v>
      </c>
      <c r="AG135" s="240">
        <f t="shared" si="98"/>
        <v>44469</v>
      </c>
      <c r="AH135" s="240">
        <f t="shared" si="98"/>
        <v>44561</v>
      </c>
      <c r="AI135" s="240">
        <f t="shared" si="98"/>
        <v>44651</v>
      </c>
      <c r="AJ135" s="240">
        <f>EOMONTH(AI135,12)</f>
        <v>45016</v>
      </c>
      <c r="AK135" s="240">
        <f>EOMONTH(AJ135,12)</f>
        <v>45382</v>
      </c>
      <c r="AL135" s="240"/>
      <c r="AM135" s="240"/>
      <c r="AN135" s="240"/>
      <c r="AO135" s="240"/>
      <c r="AP135" s="240"/>
      <c r="AQ135" s="240"/>
      <c r="AR135" s="240"/>
      <c r="AS135" s="240"/>
    </row>
    <row r="136" spans="1:45">
      <c r="B136" s="1" t="s">
        <v>120</v>
      </c>
      <c r="D136" s="7"/>
      <c r="E136" s="7">
        <v>0</v>
      </c>
      <c r="F136" s="7">
        <f t="shared" ref="F136:X136" si="99">E139</f>
        <v>0</v>
      </c>
      <c r="G136" s="7">
        <f t="shared" si="99"/>
        <v>0</v>
      </c>
      <c r="H136" s="7">
        <f t="shared" si="99"/>
        <v>0</v>
      </c>
      <c r="I136" s="7">
        <f t="shared" si="99"/>
        <v>0</v>
      </c>
      <c r="J136" s="7">
        <f t="shared" si="99"/>
        <v>0</v>
      </c>
      <c r="K136" s="7">
        <f t="shared" si="99"/>
        <v>0</v>
      </c>
      <c r="L136" s="7">
        <f t="shared" si="99"/>
        <v>0</v>
      </c>
      <c r="M136" s="7">
        <f t="shared" si="99"/>
        <v>0</v>
      </c>
      <c r="N136" s="7">
        <f t="shared" si="99"/>
        <v>0</v>
      </c>
      <c r="O136" s="7">
        <f t="shared" si="99"/>
        <v>0</v>
      </c>
      <c r="P136" s="7">
        <f t="shared" si="99"/>
        <v>0</v>
      </c>
      <c r="Q136" s="7">
        <f t="shared" si="99"/>
        <v>0</v>
      </c>
      <c r="R136" s="7">
        <f t="shared" si="99"/>
        <v>0</v>
      </c>
      <c r="S136" s="7">
        <f t="shared" si="99"/>
        <v>0</v>
      </c>
      <c r="T136" s="7">
        <f t="shared" si="99"/>
        <v>0</v>
      </c>
      <c r="U136" s="7">
        <f t="shared" si="99"/>
        <v>0</v>
      </c>
      <c r="V136" s="7">
        <f t="shared" si="99"/>
        <v>0</v>
      </c>
      <c r="W136" s="7">
        <f t="shared" si="99"/>
        <v>0</v>
      </c>
      <c r="X136" s="7">
        <f t="shared" si="99"/>
        <v>0</v>
      </c>
      <c r="AA136" s="1" t="s">
        <v>360</v>
      </c>
      <c r="AC136" s="1">
        <f t="shared" ref="AC136:AK136" si="100">AB138</f>
        <v>0</v>
      </c>
      <c r="AD136" s="1">
        <f t="shared" si="100"/>
        <v>0</v>
      </c>
      <c r="AE136" s="1">
        <f t="shared" si="100"/>
        <v>0</v>
      </c>
      <c r="AF136" s="1">
        <f t="shared" si="100"/>
        <v>0</v>
      </c>
      <c r="AG136" s="1">
        <f t="shared" si="100"/>
        <v>0</v>
      </c>
      <c r="AH136" s="1">
        <f t="shared" si="100"/>
        <v>0</v>
      </c>
      <c r="AI136" s="897">
        <f t="shared" si="100"/>
        <v>0</v>
      </c>
      <c r="AJ136" s="897">
        <f t="shared" si="100"/>
        <v>0</v>
      </c>
      <c r="AK136" s="897">
        <f t="shared" si="100"/>
        <v>0</v>
      </c>
    </row>
    <row r="137" spans="1:45">
      <c r="B137" s="1" t="s">
        <v>255</v>
      </c>
      <c r="D137" s="7"/>
      <c r="E137" s="7">
        <f>SUM(AB137:AE137)</f>
        <v>0</v>
      </c>
      <c r="F137" s="7"/>
      <c r="G137" s="7"/>
      <c r="H137" s="7"/>
      <c r="I137" s="7"/>
      <c r="J137" s="7">
        <f>(-Old!G18)*0</f>
        <v>0</v>
      </c>
      <c r="K137" s="7">
        <f>-Old!H18*0</f>
        <v>0</v>
      </c>
      <c r="L137" s="7">
        <f>-Old!I18*0</f>
        <v>0</v>
      </c>
      <c r="M137" s="7"/>
      <c r="N137" s="7"/>
      <c r="O137" s="7"/>
      <c r="P137" s="7"/>
      <c r="Q137" s="7"/>
      <c r="R137" s="7"/>
      <c r="S137" s="7"/>
      <c r="T137" s="7"/>
      <c r="U137" s="7"/>
      <c r="V137" s="7"/>
      <c r="W137" s="7"/>
      <c r="X137" s="7"/>
      <c r="AA137" s="1" t="s">
        <v>255</v>
      </c>
      <c r="AB137" s="294"/>
      <c r="AC137" s="294">
        <f t="shared" ref="AC137:AH137" si="101">AB137</f>
        <v>0</v>
      </c>
      <c r="AD137" s="294">
        <f t="shared" si="101"/>
        <v>0</v>
      </c>
      <c r="AE137" s="294">
        <f t="shared" si="101"/>
        <v>0</v>
      </c>
      <c r="AF137" s="294">
        <f t="shared" si="101"/>
        <v>0</v>
      </c>
      <c r="AG137" s="294">
        <f t="shared" si="101"/>
        <v>0</v>
      </c>
      <c r="AH137" s="295">
        <f t="shared" si="101"/>
        <v>0</v>
      </c>
      <c r="AI137" s="898">
        <f>F184</f>
        <v>0</v>
      </c>
      <c r="AJ137" s="898">
        <f>G184</f>
        <v>0</v>
      </c>
      <c r="AK137" s="898">
        <f>H184</f>
        <v>0</v>
      </c>
    </row>
    <row r="138" spans="1:45">
      <c r="A138" s="7">
        <f>SUM(D138:X138)</f>
        <v>0</v>
      </c>
      <c r="B138" s="1" t="s">
        <v>123</v>
      </c>
      <c r="D138" s="7"/>
      <c r="E138" s="7">
        <f>Assumptions!$C$147*E140</f>
        <v>0</v>
      </c>
      <c r="F138" s="7">
        <f>Assumptions!$C$147*F140</f>
        <v>0</v>
      </c>
      <c r="G138" s="7">
        <f>Assumptions!$C$147*G140</f>
        <v>0</v>
      </c>
      <c r="H138" s="7">
        <f>Assumptions!$C$147*H140</f>
        <v>0</v>
      </c>
      <c r="I138" s="7">
        <f>Assumptions!$C$147*I140</f>
        <v>0</v>
      </c>
      <c r="J138" s="7"/>
      <c r="K138" s="7"/>
      <c r="L138" s="7"/>
      <c r="M138" s="7"/>
      <c r="N138" s="7"/>
      <c r="O138" s="7"/>
      <c r="P138" s="7"/>
      <c r="Q138" s="7">
        <f>Assumptions!$C$147*Q140</f>
        <v>0</v>
      </c>
      <c r="R138" s="7">
        <f>Assumptions!$C$147*R140</f>
        <v>0</v>
      </c>
      <c r="S138" s="7">
        <f>Assumptions!$C$147*S140</f>
        <v>0</v>
      </c>
      <c r="T138" s="7">
        <f>Assumptions!$C$147*T140</f>
        <v>0</v>
      </c>
      <c r="U138" s="7">
        <f>Assumptions!$C$147*U140</f>
        <v>0</v>
      </c>
      <c r="V138" s="7">
        <f>Assumptions!$C$147*V140</f>
        <v>0</v>
      </c>
      <c r="W138" s="7">
        <f>Assumptions!$C$147*W140</f>
        <v>0</v>
      </c>
      <c r="X138" s="7">
        <f>Assumptions!$C$147*X140</f>
        <v>0</v>
      </c>
      <c r="AA138" s="1" t="s">
        <v>300</v>
      </c>
      <c r="AB138" s="1">
        <f>AB136+AB137</f>
        <v>0</v>
      </c>
      <c r="AC138" s="1">
        <f>AC136+AC137</f>
        <v>0</v>
      </c>
      <c r="AD138" s="1">
        <f t="shared" ref="AD138:AK138" si="102">AD136+AD137</f>
        <v>0</v>
      </c>
      <c r="AE138" s="1">
        <f t="shared" si="102"/>
        <v>0</v>
      </c>
      <c r="AF138" s="1">
        <f t="shared" si="102"/>
        <v>0</v>
      </c>
      <c r="AG138" s="1">
        <f t="shared" si="102"/>
        <v>0</v>
      </c>
      <c r="AH138" s="1">
        <f t="shared" si="102"/>
        <v>0</v>
      </c>
      <c r="AI138" s="897">
        <f t="shared" si="102"/>
        <v>0</v>
      </c>
      <c r="AJ138" s="897">
        <f t="shared" si="102"/>
        <v>0</v>
      </c>
      <c r="AK138" s="897">
        <f t="shared" si="102"/>
        <v>0</v>
      </c>
    </row>
    <row r="139" spans="1:45">
      <c r="B139" s="1" t="s">
        <v>122</v>
      </c>
      <c r="D139" s="7"/>
      <c r="E139" s="7">
        <f>E136+E137-E138</f>
        <v>0</v>
      </c>
      <c r="F139" s="7">
        <f t="shared" ref="F139:X139" si="103">F136+F137-F138</f>
        <v>0</v>
      </c>
      <c r="G139" s="7">
        <f t="shared" si="103"/>
        <v>0</v>
      </c>
      <c r="H139" s="7">
        <f t="shared" si="103"/>
        <v>0</v>
      </c>
      <c r="I139" s="7">
        <f t="shared" si="103"/>
        <v>0</v>
      </c>
      <c r="J139" s="7">
        <f t="shared" si="103"/>
        <v>0</v>
      </c>
      <c r="K139" s="7">
        <f t="shared" si="103"/>
        <v>0</v>
      </c>
      <c r="L139" s="7">
        <f t="shared" si="103"/>
        <v>0</v>
      </c>
      <c r="M139" s="7">
        <f t="shared" si="103"/>
        <v>0</v>
      </c>
      <c r="N139" s="7">
        <f t="shared" si="103"/>
        <v>0</v>
      </c>
      <c r="O139" s="7">
        <f t="shared" si="103"/>
        <v>0</v>
      </c>
      <c r="P139" s="7">
        <f t="shared" si="103"/>
        <v>0</v>
      </c>
      <c r="Q139" s="7">
        <f t="shared" si="103"/>
        <v>0</v>
      </c>
      <c r="R139" s="7">
        <f t="shared" si="103"/>
        <v>0</v>
      </c>
      <c r="S139" s="7">
        <f t="shared" si="103"/>
        <v>0</v>
      </c>
      <c r="T139" s="7">
        <f t="shared" si="103"/>
        <v>0</v>
      </c>
      <c r="U139" s="7">
        <f t="shared" si="103"/>
        <v>0</v>
      </c>
      <c r="V139" s="7">
        <f t="shared" si="103"/>
        <v>0</v>
      </c>
      <c r="W139" s="7">
        <f t="shared" si="103"/>
        <v>0</v>
      </c>
      <c r="X139" s="7">
        <f t="shared" si="103"/>
        <v>0</v>
      </c>
      <c r="AA139" s="1" t="s">
        <v>244</v>
      </c>
      <c r="AB139" s="241">
        <f>AB136*$E$47/4</f>
        <v>0</v>
      </c>
      <c r="AC139" s="241">
        <f t="shared" ref="AC139:AK139" si="104">AC136*$E$47/4</f>
        <v>0</v>
      </c>
      <c r="AD139" s="241">
        <f t="shared" si="104"/>
        <v>0</v>
      </c>
      <c r="AE139" s="241">
        <f t="shared" si="104"/>
        <v>0</v>
      </c>
      <c r="AF139" s="241">
        <f t="shared" si="104"/>
        <v>0</v>
      </c>
      <c r="AG139" s="241">
        <f t="shared" si="104"/>
        <v>0</v>
      </c>
      <c r="AH139" s="241">
        <f t="shared" si="104"/>
        <v>0</v>
      </c>
      <c r="AI139" s="897">
        <f t="shared" si="104"/>
        <v>0</v>
      </c>
      <c r="AJ139" s="897">
        <f t="shared" si="104"/>
        <v>0</v>
      </c>
      <c r="AK139" s="897">
        <f t="shared" si="104"/>
        <v>0</v>
      </c>
    </row>
    <row r="140" spans="1:45">
      <c r="B140" s="50" t="s">
        <v>121</v>
      </c>
      <c r="C140" s="50"/>
      <c r="D140" s="13"/>
      <c r="E140" s="13"/>
      <c r="F140" s="13"/>
      <c r="G140" s="13"/>
      <c r="H140" s="13"/>
      <c r="I140" s="13"/>
      <c r="J140" s="13"/>
      <c r="K140" s="13"/>
      <c r="L140" s="13"/>
      <c r="M140" s="13"/>
      <c r="N140" s="13"/>
      <c r="O140" s="13"/>
      <c r="P140" s="13"/>
      <c r="Q140" s="51"/>
      <c r="R140" s="51"/>
      <c r="S140" s="51"/>
      <c r="T140" s="51"/>
      <c r="U140" s="51"/>
      <c r="V140" s="51"/>
      <c r="W140" s="51"/>
      <c r="X140" s="51"/>
    </row>
    <row r="141" spans="1:45">
      <c r="A141" s="7">
        <f>SUM(D141:X141)</f>
        <v>0</v>
      </c>
      <c r="B141" s="53" t="s">
        <v>124</v>
      </c>
      <c r="C141" s="53"/>
      <c r="D141" s="55"/>
      <c r="E141" s="54">
        <f>SUM(AB139:AE139)</f>
        <v>0</v>
      </c>
      <c r="F141" s="235">
        <f>F139*F142</f>
        <v>0</v>
      </c>
      <c r="G141" s="235">
        <f>G137*G142</f>
        <v>0</v>
      </c>
      <c r="H141" s="54">
        <f t="shared" ref="H141:X141" si="105">AVERAGE(H136,H139)*H142</f>
        <v>0</v>
      </c>
      <c r="I141" s="54">
        <f t="shared" si="105"/>
        <v>0</v>
      </c>
      <c r="J141" s="54">
        <f t="shared" si="105"/>
        <v>0</v>
      </c>
      <c r="K141" s="54">
        <f t="shared" si="105"/>
        <v>0</v>
      </c>
      <c r="L141" s="54">
        <f t="shared" si="105"/>
        <v>0</v>
      </c>
      <c r="M141" s="54">
        <f t="shared" si="105"/>
        <v>0</v>
      </c>
      <c r="N141" s="54">
        <f t="shared" si="105"/>
        <v>0</v>
      </c>
      <c r="O141" s="54">
        <f t="shared" si="105"/>
        <v>0</v>
      </c>
      <c r="P141" s="54">
        <f t="shared" si="105"/>
        <v>0</v>
      </c>
      <c r="Q141" s="54">
        <f t="shared" si="105"/>
        <v>0</v>
      </c>
      <c r="R141" s="54">
        <f t="shared" si="105"/>
        <v>0</v>
      </c>
      <c r="S141" s="54">
        <f t="shared" si="105"/>
        <v>0</v>
      </c>
      <c r="T141" s="54">
        <f t="shared" si="105"/>
        <v>0</v>
      </c>
      <c r="U141" s="54">
        <f t="shared" si="105"/>
        <v>0</v>
      </c>
      <c r="V141" s="54">
        <f t="shared" si="105"/>
        <v>0</v>
      </c>
      <c r="W141" s="54">
        <f t="shared" si="105"/>
        <v>0</v>
      </c>
      <c r="X141" s="54">
        <f t="shared" si="105"/>
        <v>0</v>
      </c>
    </row>
    <row r="142" spans="1:45">
      <c r="B142" s="1" t="s">
        <v>125</v>
      </c>
      <c r="D142" s="55"/>
      <c r="E142" s="13">
        <f>Assumptions!C156</f>
        <v>0</v>
      </c>
      <c r="F142" s="55"/>
      <c r="G142" s="55">
        <v>0.11</v>
      </c>
      <c r="H142" s="55">
        <f t="shared" ref="H142:X142" si="106">G142</f>
        <v>0.11</v>
      </c>
      <c r="I142" s="55">
        <f t="shared" si="106"/>
        <v>0.11</v>
      </c>
      <c r="J142" s="55">
        <f t="shared" si="106"/>
        <v>0.11</v>
      </c>
      <c r="K142" s="55">
        <f t="shared" si="106"/>
        <v>0.11</v>
      </c>
      <c r="L142" s="55">
        <f t="shared" si="106"/>
        <v>0.11</v>
      </c>
      <c r="M142" s="55">
        <f t="shared" si="106"/>
        <v>0.11</v>
      </c>
      <c r="N142" s="55">
        <f t="shared" si="106"/>
        <v>0.11</v>
      </c>
      <c r="O142" s="55">
        <f t="shared" si="106"/>
        <v>0.11</v>
      </c>
      <c r="P142" s="55">
        <f t="shared" si="106"/>
        <v>0.11</v>
      </c>
      <c r="Q142" s="55">
        <f t="shared" si="106"/>
        <v>0.11</v>
      </c>
      <c r="R142" s="55">
        <f t="shared" si="106"/>
        <v>0.11</v>
      </c>
      <c r="S142" s="55">
        <f t="shared" si="106"/>
        <v>0.11</v>
      </c>
      <c r="T142" s="55">
        <f t="shared" si="106"/>
        <v>0.11</v>
      </c>
      <c r="U142" s="55">
        <f t="shared" si="106"/>
        <v>0.11</v>
      </c>
      <c r="V142" s="55">
        <f t="shared" si="106"/>
        <v>0.11</v>
      </c>
      <c r="W142" s="55">
        <f t="shared" si="106"/>
        <v>0.11</v>
      </c>
      <c r="X142" s="55">
        <f t="shared" si="106"/>
        <v>0.11</v>
      </c>
    </row>
  </sheetData>
  <conditionalFormatting sqref="D119:X119 D113:X113">
    <cfRule type="cellIs" dxfId="1" priority="3" operator="greaterThan">
      <formula>0</formula>
    </cfRule>
  </conditionalFormatting>
  <pageMargins left="0.7" right="0.7" top="0.75" bottom="0.75" header="0.3" footer="0.3"/>
  <pageSetup paperSize="9" orientation="portrait" verticalDpi="0" r:id="rId1"/>
  <ignoredErrors>
    <ignoredError sqref="D129" emptyCellReference="1"/>
    <ignoredError sqref="D94:G94 E42" formulaRange="1"/>
    <ignoredError sqref="M9:X9 D18:E18 E27 F27:X27 F18:X18"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H220"/>
  <sheetViews>
    <sheetView showGridLines="0" zoomScale="110" zoomScaleNormal="110" workbookViewId="0">
      <pane xSplit="1" ySplit="9" topLeftCell="AT90" activePane="bottomRight" state="frozen"/>
      <selection activeCell="B91" sqref="B91"/>
      <selection pane="topRight" activeCell="B91" sqref="B91"/>
      <selection pane="bottomLeft" activeCell="B91" sqref="B91"/>
      <selection pane="bottomRight" activeCell="AT99" sqref="AT99"/>
    </sheetView>
  </sheetViews>
  <sheetFormatPr defaultColWidth="9.140625" defaultRowHeight="12.75" outlineLevelCol="1"/>
  <cols>
    <col min="1" max="1" width="3" style="517" customWidth="1"/>
    <col min="2" max="2" width="6.7109375" style="517" customWidth="1"/>
    <col min="3" max="3" width="21.5703125" style="517" customWidth="1"/>
    <col min="4" max="4" width="8.85546875" style="517" bestFit="1" customWidth="1"/>
    <col min="5" max="9" width="8.5703125" style="517" hidden="1" customWidth="1" outlineLevel="1"/>
    <col min="10" max="10" width="9.28515625" style="517" bestFit="1" customWidth="1" collapsed="1"/>
    <col min="11" max="30" width="9.28515625" style="517" bestFit="1" customWidth="1"/>
    <col min="31" max="31" width="15.5703125" style="517" customWidth="1"/>
    <col min="32" max="32" width="4.5703125" style="517" customWidth="1"/>
    <col min="33" max="33" width="21.5703125" style="517" customWidth="1"/>
    <col min="34" max="34" width="9.28515625" style="517" customWidth="1"/>
    <col min="35" max="38" width="9.28515625" style="517" bestFit="1" customWidth="1"/>
    <col min="39" max="39" width="11.7109375" style="517" customWidth="1"/>
    <col min="40" max="45" width="9.28515625" style="517" bestFit="1" customWidth="1"/>
    <col min="46" max="46" width="19.140625" style="517" bestFit="1" customWidth="1"/>
    <col min="47" max="59" width="9.28515625" style="517" bestFit="1" customWidth="1"/>
    <col min="60" max="16384" width="9.140625" style="517"/>
  </cols>
  <sheetData>
    <row r="1" spans="2:59">
      <c r="B1" s="516"/>
    </row>
    <row r="2" spans="2:59">
      <c r="B2" s="518" t="s">
        <v>490</v>
      </c>
    </row>
    <row r="4" spans="2:59">
      <c r="B4" s="519" t="s">
        <v>491</v>
      </c>
      <c r="C4" s="519"/>
      <c r="D4" s="519"/>
      <c r="E4" s="519"/>
      <c r="F4" s="519"/>
      <c r="G4" s="519"/>
      <c r="H4" s="519"/>
      <c r="I4" s="519"/>
      <c r="J4" s="519"/>
      <c r="K4" s="519"/>
      <c r="L4" s="519"/>
      <c r="M4" s="519"/>
      <c r="N4" s="519"/>
      <c r="O4" s="519"/>
      <c r="P4" s="519"/>
      <c r="Q4" s="519"/>
      <c r="R4" s="519"/>
      <c r="S4" s="519"/>
      <c r="T4" s="519"/>
      <c r="U4" s="519"/>
      <c r="V4" s="519"/>
      <c r="W4" s="519"/>
      <c r="X4" s="519"/>
      <c r="Y4" s="519"/>
      <c r="Z4" s="519"/>
      <c r="AA4" s="519"/>
      <c r="AB4" s="519"/>
      <c r="AC4" s="519"/>
      <c r="AD4" s="519"/>
      <c r="AF4" s="519" t="s">
        <v>492</v>
      </c>
      <c r="AG4" s="519"/>
      <c r="AH4" s="519"/>
      <c r="AI4" s="519"/>
      <c r="AJ4" s="519"/>
      <c r="AK4" s="519"/>
      <c r="AL4" s="519"/>
      <c r="AM4" s="519"/>
      <c r="AN4" s="519"/>
      <c r="AO4" s="519"/>
      <c r="AP4" s="519"/>
      <c r="AQ4" s="519"/>
      <c r="AR4" s="519"/>
      <c r="AS4" s="519"/>
      <c r="AT4" s="519"/>
      <c r="AU4" s="519"/>
      <c r="AV4" s="519"/>
      <c r="AW4" s="519"/>
      <c r="AX4" s="519"/>
      <c r="AY4" s="519"/>
      <c r="AZ4" s="519"/>
      <c r="BA4" s="519"/>
    </row>
    <row r="5" spans="2:59">
      <c r="B5" s="520"/>
      <c r="C5" s="521"/>
      <c r="D5" s="521"/>
      <c r="E5" s="522"/>
      <c r="F5" s="519"/>
      <c r="G5" s="519"/>
      <c r="H5" s="522"/>
      <c r="I5" s="522"/>
      <c r="J5" s="522"/>
      <c r="K5" s="522"/>
      <c r="L5" s="522"/>
      <c r="M5" s="522"/>
      <c r="N5" s="522"/>
      <c r="O5" s="522"/>
      <c r="P5" s="522"/>
      <c r="R5" s="522"/>
      <c r="S5" s="522"/>
      <c r="T5" s="522"/>
      <c r="U5" s="522"/>
      <c r="V5" s="522"/>
      <c r="W5" s="522"/>
      <c r="X5" s="522"/>
      <c r="Y5" s="522"/>
      <c r="Z5" s="522"/>
      <c r="AA5" s="522"/>
      <c r="AB5" s="522"/>
      <c r="AC5" s="522"/>
      <c r="AD5" s="522"/>
      <c r="AF5" s="520"/>
      <c r="AG5" s="521"/>
      <c r="AH5" s="521"/>
      <c r="AI5" s="522"/>
      <c r="AJ5" s="522"/>
      <c r="AK5" s="522"/>
      <c r="AL5" s="522"/>
      <c r="AM5" s="522"/>
      <c r="AN5" s="522"/>
      <c r="AO5" s="522"/>
      <c r="AP5" s="522"/>
      <c r="AQ5" s="522"/>
      <c r="AR5" s="522"/>
      <c r="AS5" s="522"/>
      <c r="AT5" s="518" t="s">
        <v>490</v>
      </c>
      <c r="AU5" s="522"/>
      <c r="AV5" s="522"/>
      <c r="AW5" s="522"/>
      <c r="AX5" s="522"/>
      <c r="AY5" s="522"/>
      <c r="AZ5" s="522"/>
      <c r="BA5" s="522"/>
    </row>
    <row r="6" spans="2:59">
      <c r="B6" s="1242" t="s">
        <v>493</v>
      </c>
      <c r="C6" s="523" t="s">
        <v>494</v>
      </c>
      <c r="D6" s="524"/>
      <c r="E6" s="525">
        <v>42460</v>
      </c>
      <c r="F6" s="525">
        <f t="shared" ref="F6:M6" si="0">EDATE(E6,12)</f>
        <v>42825</v>
      </c>
      <c r="G6" s="525">
        <f>EDATE(F6,12)</f>
        <v>43190</v>
      </c>
      <c r="H6" s="525">
        <f>EDATE(G6,12)</f>
        <v>43555</v>
      </c>
      <c r="I6" s="525">
        <f t="shared" si="0"/>
        <v>43921</v>
      </c>
      <c r="J6" s="525">
        <f t="shared" si="0"/>
        <v>44286</v>
      </c>
      <c r="K6" s="525">
        <f t="shared" si="0"/>
        <v>44651</v>
      </c>
      <c r="L6" s="525">
        <f>EDATE(K6,12)</f>
        <v>45016</v>
      </c>
      <c r="M6" s="525">
        <f t="shared" si="0"/>
        <v>45382</v>
      </c>
      <c r="N6" s="525">
        <f>EDATE(M6,12)</f>
        <v>45747</v>
      </c>
      <c r="O6" s="525">
        <f>EDATE(N6,12)</f>
        <v>46112</v>
      </c>
      <c r="P6" s="525">
        <f>EDATE(O6,12)</f>
        <v>46477</v>
      </c>
      <c r="Q6" s="525">
        <f t="shared" ref="Q6:AD6" si="1">EDATE(P6,12)</f>
        <v>46843</v>
      </c>
      <c r="R6" s="525">
        <f t="shared" si="1"/>
        <v>47208</v>
      </c>
      <c r="S6" s="525">
        <f t="shared" si="1"/>
        <v>47573</v>
      </c>
      <c r="T6" s="525">
        <f t="shared" si="1"/>
        <v>47938</v>
      </c>
      <c r="U6" s="525">
        <f t="shared" si="1"/>
        <v>48304</v>
      </c>
      <c r="V6" s="525">
        <f t="shared" si="1"/>
        <v>48669</v>
      </c>
      <c r="W6" s="525">
        <f t="shared" si="1"/>
        <v>49034</v>
      </c>
      <c r="X6" s="525">
        <f t="shared" si="1"/>
        <v>49399</v>
      </c>
      <c r="Y6" s="525">
        <f t="shared" si="1"/>
        <v>49765</v>
      </c>
      <c r="Z6" s="525">
        <f t="shared" si="1"/>
        <v>50130</v>
      </c>
      <c r="AA6" s="525">
        <f t="shared" si="1"/>
        <v>50495</v>
      </c>
      <c r="AB6" s="525">
        <f t="shared" si="1"/>
        <v>50860</v>
      </c>
      <c r="AC6" s="525">
        <f t="shared" si="1"/>
        <v>51226</v>
      </c>
      <c r="AD6" s="525">
        <f t="shared" si="1"/>
        <v>51591</v>
      </c>
      <c r="AF6" s="1242" t="s">
        <v>493</v>
      </c>
      <c r="AG6" s="523" t="s">
        <v>494</v>
      </c>
      <c r="AH6" s="524"/>
      <c r="AI6" s="526">
        <v>42460</v>
      </c>
      <c r="AJ6" s="526">
        <f t="shared" ref="AJ6:AQ6" si="2">EDATE(AI6,12)</f>
        <v>42825</v>
      </c>
      <c r="AK6" s="526">
        <f t="shared" si="2"/>
        <v>43190</v>
      </c>
      <c r="AL6" s="526">
        <f t="shared" si="2"/>
        <v>43555</v>
      </c>
      <c r="AM6" s="526">
        <f t="shared" si="2"/>
        <v>43921</v>
      </c>
      <c r="AN6" s="525">
        <f t="shared" si="2"/>
        <v>44286</v>
      </c>
      <c r="AO6" s="525">
        <f>EDATE(AN6,12)</f>
        <v>44651</v>
      </c>
      <c r="AP6" s="525">
        <f t="shared" si="2"/>
        <v>45016</v>
      </c>
      <c r="AQ6" s="525">
        <f t="shared" si="2"/>
        <v>45382</v>
      </c>
      <c r="AR6" s="525">
        <f>EDATE(AQ6,12)</f>
        <v>45747</v>
      </c>
      <c r="AS6" s="525">
        <f>EDATE(AR6,12)</f>
        <v>46112</v>
      </c>
      <c r="AT6" s="525">
        <f>EDATE(AS6,12)</f>
        <v>46477</v>
      </c>
      <c r="AU6" s="525">
        <f t="shared" ref="AU6:BG6" si="3">EDATE(AT6,12)</f>
        <v>46843</v>
      </c>
      <c r="AV6" s="525">
        <f t="shared" si="3"/>
        <v>47208</v>
      </c>
      <c r="AW6" s="525">
        <f t="shared" si="3"/>
        <v>47573</v>
      </c>
      <c r="AX6" s="525">
        <f t="shared" si="3"/>
        <v>47938</v>
      </c>
      <c r="AY6" s="525">
        <f t="shared" si="3"/>
        <v>48304</v>
      </c>
      <c r="AZ6" s="525">
        <f t="shared" si="3"/>
        <v>48669</v>
      </c>
      <c r="BA6" s="525">
        <f t="shared" si="3"/>
        <v>49034</v>
      </c>
      <c r="BB6" s="525">
        <f t="shared" si="3"/>
        <v>49399</v>
      </c>
      <c r="BC6" s="525">
        <f t="shared" si="3"/>
        <v>49765</v>
      </c>
      <c r="BD6" s="525">
        <f t="shared" si="3"/>
        <v>50130</v>
      </c>
      <c r="BE6" s="525">
        <f t="shared" si="3"/>
        <v>50495</v>
      </c>
      <c r="BF6" s="525">
        <f t="shared" si="3"/>
        <v>50860</v>
      </c>
      <c r="BG6" s="525">
        <f t="shared" si="3"/>
        <v>51226</v>
      </c>
    </row>
    <row r="7" spans="2:59" ht="15">
      <c r="B7" s="1243"/>
      <c r="C7" s="527" t="s">
        <v>495</v>
      </c>
      <c r="D7" s="528"/>
      <c r="E7" s="529">
        <f>IF(MONTH(E6)&gt;3,YEAR(E6)+1,YEAR(E6))</f>
        <v>2016</v>
      </c>
      <c r="F7" s="529">
        <f t="shared" ref="F7:L7" si="4">IF(MONTH(F6)&gt;3,YEAR(F6)+1,YEAR(F6))</f>
        <v>2017</v>
      </c>
      <c r="G7" s="530">
        <f t="shared" si="4"/>
        <v>2018</v>
      </c>
      <c r="H7" s="529">
        <f t="shared" si="4"/>
        <v>2019</v>
      </c>
      <c r="I7" s="529">
        <f t="shared" si="4"/>
        <v>2020</v>
      </c>
      <c r="J7" s="529">
        <f t="shared" si="4"/>
        <v>2021</v>
      </c>
      <c r="K7" s="529">
        <f t="shared" si="4"/>
        <v>2022</v>
      </c>
      <c r="L7" s="529">
        <f t="shared" si="4"/>
        <v>2023</v>
      </c>
      <c r="M7" s="529">
        <f>IF(MONTH(M6)&gt;3,YEAR(M6)+1,YEAR(M6))</f>
        <v>2024</v>
      </c>
      <c r="N7" s="529">
        <f>IF(MONTH(N6)&gt;3,YEAR(N6)+1,YEAR(N6))</f>
        <v>2025</v>
      </c>
      <c r="O7" s="529">
        <f>IF(MONTH(O6)&gt;3,YEAR(O6)+1,YEAR(O6))</f>
        <v>2026</v>
      </c>
      <c r="P7" s="529">
        <f>IF(MONTH(P6)&gt;3,YEAR(P6)+1,YEAR(P6))</f>
        <v>2027</v>
      </c>
      <c r="Q7" s="529">
        <f t="shared" ref="Q7:AD7" si="5">IF(MONTH(Q6)&gt;3,YEAR(Q6)+1,YEAR(Q6))</f>
        <v>2028</v>
      </c>
      <c r="R7" s="529">
        <f t="shared" si="5"/>
        <v>2029</v>
      </c>
      <c r="S7" s="529">
        <f t="shared" si="5"/>
        <v>2030</v>
      </c>
      <c r="T7" s="529">
        <f t="shared" si="5"/>
        <v>2031</v>
      </c>
      <c r="U7" s="529">
        <f t="shared" si="5"/>
        <v>2032</v>
      </c>
      <c r="V7" s="529">
        <f t="shared" si="5"/>
        <v>2033</v>
      </c>
      <c r="W7" s="529">
        <f t="shared" si="5"/>
        <v>2034</v>
      </c>
      <c r="X7" s="529">
        <f t="shared" si="5"/>
        <v>2035</v>
      </c>
      <c r="Y7" s="529">
        <f t="shared" si="5"/>
        <v>2036</v>
      </c>
      <c r="Z7" s="529">
        <f t="shared" si="5"/>
        <v>2037</v>
      </c>
      <c r="AA7" s="529">
        <f t="shared" si="5"/>
        <v>2038</v>
      </c>
      <c r="AB7" s="529">
        <f t="shared" si="5"/>
        <v>2039</v>
      </c>
      <c r="AC7" s="529">
        <f t="shared" si="5"/>
        <v>2040</v>
      </c>
      <c r="AD7" s="529">
        <f t="shared" si="5"/>
        <v>2041</v>
      </c>
      <c r="AF7" s="1243"/>
      <c r="AG7" s="527" t="s">
        <v>495</v>
      </c>
      <c r="AH7" s="528"/>
      <c r="AI7" s="531">
        <f>IF(MONTH(AI6)&gt;3,YEAR(AI6)+1,YEAR(AI6))</f>
        <v>2016</v>
      </c>
      <c r="AJ7" s="531">
        <f t="shared" ref="AJ7:AP7" si="6">IF(MONTH(AJ6)&gt;3,YEAR(AJ6)+1,YEAR(AJ6))</f>
        <v>2017</v>
      </c>
      <c r="AK7" s="532">
        <f>IF(MONTH(AK6)&gt;3,YEAR(AK6)+1,YEAR(AK6))</f>
        <v>2018</v>
      </c>
      <c r="AL7" s="531">
        <f t="shared" si="6"/>
        <v>2019</v>
      </c>
      <c r="AM7" s="531">
        <f t="shared" si="6"/>
        <v>2020</v>
      </c>
      <c r="AN7" s="529">
        <f t="shared" si="6"/>
        <v>2021</v>
      </c>
      <c r="AO7" s="529">
        <f t="shared" si="6"/>
        <v>2022</v>
      </c>
      <c r="AP7" s="529">
        <f t="shared" si="6"/>
        <v>2023</v>
      </c>
      <c r="AQ7" s="529">
        <f>IF(MONTH(AQ6)&gt;3,YEAR(AQ6)+1,YEAR(AQ6))</f>
        <v>2024</v>
      </c>
      <c r="AR7" s="529">
        <f>IF(MONTH(AR6)&gt;3,YEAR(AR6)+1,YEAR(AR6))</f>
        <v>2025</v>
      </c>
      <c r="AS7" s="529">
        <f>IF(MONTH(AS6)&gt;3,YEAR(AS6)+1,YEAR(AS6))</f>
        <v>2026</v>
      </c>
      <c r="AT7" s="529">
        <f>IF(MONTH(AT6)&gt;3,YEAR(AT6)+1,YEAR(AT6))</f>
        <v>2027</v>
      </c>
      <c r="AU7" s="529">
        <f t="shared" ref="AU7:BG7" si="7">IF(MONTH(AU6)&gt;3,YEAR(AU6)+1,YEAR(AU6))</f>
        <v>2028</v>
      </c>
      <c r="AV7" s="529">
        <f t="shared" si="7"/>
        <v>2029</v>
      </c>
      <c r="AW7" s="529">
        <f t="shared" si="7"/>
        <v>2030</v>
      </c>
      <c r="AX7" s="529">
        <f t="shared" si="7"/>
        <v>2031</v>
      </c>
      <c r="AY7" s="529">
        <f t="shared" si="7"/>
        <v>2032</v>
      </c>
      <c r="AZ7" s="529">
        <f t="shared" si="7"/>
        <v>2033</v>
      </c>
      <c r="BA7" s="529">
        <f t="shared" si="7"/>
        <v>2034</v>
      </c>
      <c r="BB7" s="529">
        <f t="shared" si="7"/>
        <v>2035</v>
      </c>
      <c r="BC7" s="529">
        <f t="shared" si="7"/>
        <v>2036</v>
      </c>
      <c r="BD7" s="529">
        <f t="shared" si="7"/>
        <v>2037</v>
      </c>
      <c r="BE7" s="529">
        <f t="shared" si="7"/>
        <v>2038</v>
      </c>
      <c r="BF7" s="529">
        <f t="shared" si="7"/>
        <v>2039</v>
      </c>
      <c r="BG7" s="529">
        <f t="shared" si="7"/>
        <v>2040</v>
      </c>
    </row>
    <row r="8" spans="2:59">
      <c r="B8" s="1243"/>
      <c r="C8" s="527" t="s">
        <v>496</v>
      </c>
      <c r="D8" s="528"/>
      <c r="E8" s="529"/>
      <c r="F8" s="529"/>
      <c r="G8" s="530">
        <v>0</v>
      </c>
      <c r="H8" s="529">
        <f t="shared" ref="H8:M8" si="8">G8+1</f>
        <v>1</v>
      </c>
      <c r="I8" s="529">
        <f t="shared" si="8"/>
        <v>2</v>
      </c>
      <c r="J8" s="529">
        <f t="shared" si="8"/>
        <v>3</v>
      </c>
      <c r="K8" s="529">
        <f t="shared" si="8"/>
        <v>4</v>
      </c>
      <c r="L8" s="529">
        <f t="shared" si="8"/>
        <v>5</v>
      </c>
      <c r="M8" s="529">
        <f t="shared" si="8"/>
        <v>6</v>
      </c>
      <c r="N8" s="529">
        <f>M8+1</f>
        <v>7</v>
      </c>
      <c r="O8" s="529">
        <f>N8+1</f>
        <v>8</v>
      </c>
      <c r="P8" s="529">
        <f>O8+1</f>
        <v>9</v>
      </c>
      <c r="Q8" s="529">
        <f t="shared" ref="Q8:AD8" si="9">P8+1</f>
        <v>10</v>
      </c>
      <c r="R8" s="529">
        <f t="shared" si="9"/>
        <v>11</v>
      </c>
      <c r="S8" s="529">
        <f t="shared" si="9"/>
        <v>12</v>
      </c>
      <c r="T8" s="529">
        <f t="shared" si="9"/>
        <v>13</v>
      </c>
      <c r="U8" s="529">
        <f t="shared" si="9"/>
        <v>14</v>
      </c>
      <c r="V8" s="529">
        <f t="shared" si="9"/>
        <v>15</v>
      </c>
      <c r="W8" s="529">
        <f t="shared" si="9"/>
        <v>16</v>
      </c>
      <c r="X8" s="529">
        <f t="shared" si="9"/>
        <v>17</v>
      </c>
      <c r="Y8" s="529">
        <f t="shared" si="9"/>
        <v>18</v>
      </c>
      <c r="Z8" s="529">
        <f t="shared" si="9"/>
        <v>19</v>
      </c>
      <c r="AA8" s="529">
        <f t="shared" si="9"/>
        <v>20</v>
      </c>
      <c r="AB8" s="529">
        <f t="shared" si="9"/>
        <v>21</v>
      </c>
      <c r="AC8" s="529">
        <f t="shared" si="9"/>
        <v>22</v>
      </c>
      <c r="AD8" s="529">
        <f t="shared" si="9"/>
        <v>23</v>
      </c>
      <c r="AF8" s="1243"/>
      <c r="AG8" s="527" t="s">
        <v>496</v>
      </c>
      <c r="AH8" s="528"/>
      <c r="AI8" s="531"/>
      <c r="AJ8" s="531"/>
      <c r="AK8" s="532">
        <v>0</v>
      </c>
      <c r="AL8" s="531">
        <f t="shared" ref="AL8:AQ8" si="10">AK8+1</f>
        <v>1</v>
      </c>
      <c r="AM8" s="531">
        <f t="shared" si="10"/>
        <v>2</v>
      </c>
      <c r="AN8" s="529">
        <f t="shared" si="10"/>
        <v>3</v>
      </c>
      <c r="AO8" s="529">
        <f t="shared" si="10"/>
        <v>4</v>
      </c>
      <c r="AP8" s="529">
        <f t="shared" si="10"/>
        <v>5</v>
      </c>
      <c r="AQ8" s="529">
        <f t="shared" si="10"/>
        <v>6</v>
      </c>
      <c r="AR8" s="529">
        <f>AQ8+1</f>
        <v>7</v>
      </c>
      <c r="AS8" s="529">
        <f>AR8+1</f>
        <v>8</v>
      </c>
      <c r="AT8" s="529">
        <f>AS8+1</f>
        <v>9</v>
      </c>
      <c r="AU8" s="529">
        <f t="shared" ref="AU8:BG8" si="11">AT8+1</f>
        <v>10</v>
      </c>
      <c r="AV8" s="529">
        <f t="shared" si="11"/>
        <v>11</v>
      </c>
      <c r="AW8" s="529">
        <f t="shared" si="11"/>
        <v>12</v>
      </c>
      <c r="AX8" s="529">
        <f t="shared" si="11"/>
        <v>13</v>
      </c>
      <c r="AY8" s="529">
        <f t="shared" si="11"/>
        <v>14</v>
      </c>
      <c r="AZ8" s="529">
        <f t="shared" si="11"/>
        <v>15</v>
      </c>
      <c r="BA8" s="529">
        <f t="shared" si="11"/>
        <v>16</v>
      </c>
      <c r="BB8" s="529">
        <f t="shared" si="11"/>
        <v>17</v>
      </c>
      <c r="BC8" s="529">
        <f t="shared" si="11"/>
        <v>18</v>
      </c>
      <c r="BD8" s="529">
        <f t="shared" si="11"/>
        <v>19</v>
      </c>
      <c r="BE8" s="529">
        <f t="shared" si="11"/>
        <v>20</v>
      </c>
      <c r="BF8" s="529">
        <f t="shared" si="11"/>
        <v>21</v>
      </c>
      <c r="BG8" s="529">
        <f t="shared" si="11"/>
        <v>22</v>
      </c>
    </row>
    <row r="9" spans="2:59">
      <c r="B9" s="533" t="s">
        <v>486</v>
      </c>
      <c r="C9" s="534" t="s">
        <v>120</v>
      </c>
      <c r="D9" s="535"/>
      <c r="E9" s="536"/>
      <c r="F9" s="536"/>
      <c r="G9" s="537"/>
      <c r="H9" s="536"/>
      <c r="I9" s="536"/>
      <c r="J9" s="536"/>
      <c r="K9" s="536"/>
      <c r="L9" s="536"/>
      <c r="M9" s="536"/>
      <c r="N9" s="536"/>
      <c r="O9" s="536"/>
      <c r="P9" s="536"/>
      <c r="Q9" s="536"/>
      <c r="R9" s="536"/>
      <c r="S9" s="536"/>
      <c r="T9" s="536"/>
      <c r="U9" s="536"/>
      <c r="V9" s="536"/>
      <c r="W9" s="536"/>
      <c r="X9" s="536"/>
      <c r="Y9" s="536"/>
      <c r="Z9" s="536"/>
      <c r="AA9" s="536"/>
      <c r="AB9" s="536"/>
      <c r="AC9" s="536"/>
      <c r="AD9" s="538"/>
      <c r="AF9" s="533" t="s">
        <v>486</v>
      </c>
      <c r="AG9" s="534" t="s">
        <v>120</v>
      </c>
      <c r="AH9" s="535"/>
      <c r="AI9" s="539"/>
      <c r="AJ9" s="539"/>
      <c r="AK9" s="540"/>
      <c r="AL9" s="539"/>
      <c r="AM9" s="539"/>
      <c r="AN9" s="536"/>
      <c r="AO9" s="536"/>
      <c r="AP9" s="536"/>
      <c r="AQ9" s="536"/>
      <c r="AR9" s="536"/>
      <c r="AS9" s="536"/>
      <c r="AT9" s="536"/>
      <c r="AU9" s="536"/>
      <c r="AV9" s="536"/>
      <c r="AW9" s="536"/>
      <c r="AX9" s="536"/>
      <c r="AY9" s="536"/>
      <c r="AZ9" s="536"/>
      <c r="BA9" s="536"/>
      <c r="BB9" s="536"/>
      <c r="BC9" s="536"/>
      <c r="BD9" s="536"/>
      <c r="BE9" s="536"/>
      <c r="BF9" s="536"/>
      <c r="BG9" s="536"/>
    </row>
    <row r="10" spans="2:59">
      <c r="B10" s="541">
        <v>1</v>
      </c>
      <c r="C10" s="542" t="s">
        <v>497</v>
      </c>
      <c r="D10" s="543"/>
      <c r="E10" s="544"/>
      <c r="F10" s="544"/>
      <c r="G10" s="545"/>
      <c r="H10" s="544"/>
      <c r="I10" s="546">
        <v>23.794590455000002</v>
      </c>
      <c r="J10" s="546">
        <f>'IT Dep'!C64/10^7</f>
        <v>21.424463226</v>
      </c>
      <c r="K10" s="546">
        <f t="shared" ref="K10:Z12" si="12">J26</f>
        <v>19.312042961</v>
      </c>
      <c r="L10" s="546">
        <f>K26*0+13.76+3.81</f>
        <v>17.57</v>
      </c>
      <c r="M10" s="546">
        <f t="shared" si="12"/>
        <v>15.813000000000001</v>
      </c>
      <c r="N10" s="546">
        <f t="shared" si="12"/>
        <v>14.2317</v>
      </c>
      <c r="O10" s="546">
        <f t="shared" si="12"/>
        <v>12.808529999999999</v>
      </c>
      <c r="P10" s="546">
        <f t="shared" si="12"/>
        <v>11.527676999999999</v>
      </c>
      <c r="Q10" s="546">
        <f t="shared" si="12"/>
        <v>10.374909299999999</v>
      </c>
      <c r="R10" s="546">
        <f t="shared" si="12"/>
        <v>9.3374183699999982</v>
      </c>
      <c r="S10" s="546">
        <f t="shared" si="12"/>
        <v>8.4036765329999987</v>
      </c>
      <c r="T10" s="546">
        <f t="shared" si="12"/>
        <v>7.5633088796999992</v>
      </c>
      <c r="U10" s="546">
        <f t="shared" si="12"/>
        <v>6.8069779917299993</v>
      </c>
      <c r="V10" s="546">
        <f t="shared" si="12"/>
        <v>6.1262801925569992</v>
      </c>
      <c r="W10" s="546">
        <f t="shared" si="12"/>
        <v>5.5136521733012991</v>
      </c>
      <c r="X10" s="546">
        <f t="shared" si="12"/>
        <v>4.9622869559711695</v>
      </c>
      <c r="Y10" s="546">
        <f t="shared" si="12"/>
        <v>4.4660582603740524</v>
      </c>
      <c r="Z10" s="546">
        <f t="shared" si="12"/>
        <v>4.0194524343366469</v>
      </c>
      <c r="AA10" s="546">
        <f t="shared" ref="Y10:AC13" si="13">Z26</f>
        <v>3.6175071909029821</v>
      </c>
      <c r="AB10" s="546">
        <f t="shared" si="13"/>
        <v>3.2557564718126839</v>
      </c>
      <c r="AC10" s="546">
        <f t="shared" si="13"/>
        <v>2.9301808246314156</v>
      </c>
      <c r="AD10" s="547"/>
      <c r="AE10" s="548"/>
      <c r="AF10" s="541">
        <v>1</v>
      </c>
      <c r="AG10" s="549" t="s">
        <v>498</v>
      </c>
      <c r="AH10" s="543"/>
      <c r="AI10" s="550"/>
      <c r="AJ10" s="550"/>
      <c r="AK10" s="551">
        <f t="shared" ref="AK10:AZ17" si="14">AJ39</f>
        <v>0</v>
      </c>
      <c r="AL10" s="552">
        <f t="shared" si="14"/>
        <v>0</v>
      </c>
      <c r="AM10" s="552">
        <f t="shared" si="14"/>
        <v>166.51200728500001</v>
      </c>
      <c r="AN10" s="546">
        <f t="shared" si="14"/>
        <v>166.51200728500001</v>
      </c>
      <c r="AO10" s="546">
        <f t="shared" si="14"/>
        <v>166.51200728500001</v>
      </c>
      <c r="AP10" s="546">
        <f t="shared" si="14"/>
        <v>130.51999999999998</v>
      </c>
      <c r="AQ10" s="546">
        <f t="shared" si="14"/>
        <v>130.51999999999998</v>
      </c>
      <c r="AR10" s="546">
        <f t="shared" si="14"/>
        <v>130.51999999999998</v>
      </c>
      <c r="AS10" s="546">
        <f t="shared" si="14"/>
        <v>130.51999999999998</v>
      </c>
      <c r="AT10" s="546">
        <f t="shared" si="14"/>
        <v>130.51999999999998</v>
      </c>
      <c r="AU10" s="546">
        <f t="shared" si="14"/>
        <v>130.51999999999998</v>
      </c>
      <c r="AV10" s="546">
        <f t="shared" si="14"/>
        <v>130.51999999999998</v>
      </c>
      <c r="AW10" s="546">
        <f t="shared" si="14"/>
        <v>130.51999999999998</v>
      </c>
      <c r="AX10" s="546">
        <f t="shared" si="14"/>
        <v>130.51999999999998</v>
      </c>
      <c r="AY10" s="546">
        <f t="shared" si="14"/>
        <v>130.51999999999998</v>
      </c>
      <c r="AZ10" s="546">
        <f t="shared" si="14"/>
        <v>130.51999999999998</v>
      </c>
      <c r="BA10" s="546">
        <f t="shared" ref="AZ10:BG17" si="15">AZ39</f>
        <v>130.51999999999998</v>
      </c>
      <c r="BB10" s="546">
        <f t="shared" si="15"/>
        <v>130.51999999999998</v>
      </c>
      <c r="BC10" s="546">
        <f t="shared" si="15"/>
        <v>130.51999999999998</v>
      </c>
      <c r="BD10" s="546">
        <f t="shared" si="15"/>
        <v>130.51999999999998</v>
      </c>
      <c r="BE10" s="546">
        <f t="shared" si="15"/>
        <v>130.51999999999998</v>
      </c>
      <c r="BF10" s="546">
        <f t="shared" si="15"/>
        <v>130.51999999999998</v>
      </c>
      <c r="BG10" s="546">
        <f t="shared" si="15"/>
        <v>130.51999999999998</v>
      </c>
    </row>
    <row r="11" spans="2:59">
      <c r="B11" s="541">
        <f>B10+1</f>
        <v>2</v>
      </c>
      <c r="C11" s="542" t="s">
        <v>499</v>
      </c>
      <c r="D11" s="543"/>
      <c r="E11" s="544"/>
      <c r="F11" s="544"/>
      <c r="G11" s="545"/>
      <c r="H11" s="544"/>
      <c r="I11" s="546">
        <v>93.84086680499999</v>
      </c>
      <c r="J11" s="546">
        <f>'IT Dep'!C65/10^7</f>
        <v>79.73495385999999</v>
      </c>
      <c r="K11" s="546">
        <f>J27</f>
        <v>67.762296585999991</v>
      </c>
      <c r="L11" s="546">
        <f>K27*0+67.6+0.6254+0.09</f>
        <v>68.315399999999997</v>
      </c>
      <c r="M11" s="546">
        <f>L27</f>
        <v>123.35484</v>
      </c>
      <c r="N11" s="546">
        <f t="shared" si="12"/>
        <v>186.57111399999999</v>
      </c>
      <c r="O11" s="546">
        <f t="shared" si="12"/>
        <v>219.90321689999999</v>
      </c>
      <c r="P11" s="546">
        <f t="shared" si="12"/>
        <v>210.44573436499999</v>
      </c>
      <c r="Q11" s="546">
        <f t="shared" si="12"/>
        <v>200.15012421025</v>
      </c>
      <c r="R11" s="546">
        <f t="shared" si="12"/>
        <v>189.51610557871251</v>
      </c>
      <c r="S11" s="546">
        <f t="shared" si="12"/>
        <v>182.89543974190565</v>
      </c>
      <c r="T11" s="546">
        <f t="shared" si="12"/>
        <v>168.36837378061981</v>
      </c>
      <c r="U11" s="546">
        <f t="shared" si="12"/>
        <v>162.19986771352686</v>
      </c>
      <c r="V11" s="546">
        <f t="shared" si="12"/>
        <v>153.02538755649783</v>
      </c>
      <c r="W11" s="546">
        <f t="shared" si="12"/>
        <v>143.04682942302315</v>
      </c>
      <c r="X11" s="546">
        <f t="shared" si="12"/>
        <v>139.34630500956968</v>
      </c>
      <c r="Y11" s="546">
        <f t="shared" si="13"/>
        <v>134.09710925813422</v>
      </c>
      <c r="Z11" s="546">
        <f t="shared" si="13"/>
        <v>124.85404286941409</v>
      </c>
      <c r="AA11" s="546">
        <f t="shared" si="13"/>
        <v>121.60018643900199</v>
      </c>
      <c r="AB11" s="546">
        <f t="shared" si="13"/>
        <v>120.81915847315169</v>
      </c>
      <c r="AC11" s="546">
        <f t="shared" si="13"/>
        <v>122.32703470217895</v>
      </c>
      <c r="AD11" s="547"/>
      <c r="AE11" s="548"/>
      <c r="AF11" s="541">
        <v>2</v>
      </c>
      <c r="AG11" s="549" t="s">
        <v>500</v>
      </c>
      <c r="AH11" s="543"/>
      <c r="AI11" s="550"/>
      <c r="AJ11" s="550"/>
      <c r="AK11" s="551">
        <f t="shared" si="14"/>
        <v>0</v>
      </c>
      <c r="AL11" s="552">
        <f t="shared" si="14"/>
        <v>0</v>
      </c>
      <c r="AM11" s="552">
        <f>AL40</f>
        <v>1949.191</v>
      </c>
      <c r="AN11" s="546">
        <f>AM40</f>
        <v>1924.9976999999999</v>
      </c>
      <c r="AO11" s="546">
        <f>AN40</f>
        <v>1924.9976999999999</v>
      </c>
      <c r="AP11" s="546">
        <f>AO40</f>
        <v>1499.04</v>
      </c>
      <c r="AQ11" s="546">
        <f>AP40</f>
        <v>1593.4949999999999</v>
      </c>
      <c r="AR11" s="546">
        <f t="shared" si="14"/>
        <v>1713.165</v>
      </c>
      <c r="AS11" s="546">
        <f t="shared" si="14"/>
        <v>1803.9908</v>
      </c>
      <c r="AT11" s="546">
        <f t="shared" si="14"/>
        <v>1831.6708000000001</v>
      </c>
      <c r="AU11" s="546">
        <f t="shared" si="14"/>
        <v>1856.6958000000002</v>
      </c>
      <c r="AV11" s="546">
        <f t="shared" si="14"/>
        <v>1879.5058000000001</v>
      </c>
      <c r="AW11" s="546">
        <f t="shared" si="14"/>
        <v>1905.1608000000001</v>
      </c>
      <c r="AX11" s="546">
        <f t="shared" si="14"/>
        <v>1920.3458000000001</v>
      </c>
      <c r="AY11" s="546">
        <f t="shared" si="14"/>
        <v>1942.8008</v>
      </c>
      <c r="AZ11" s="546">
        <f t="shared" si="15"/>
        <v>1960.6307999999999</v>
      </c>
      <c r="BA11" s="546">
        <f t="shared" si="15"/>
        <v>1975.8958</v>
      </c>
      <c r="BB11" s="546">
        <f t="shared" si="15"/>
        <v>1996.7858000000001</v>
      </c>
      <c r="BC11" s="546">
        <f t="shared" si="15"/>
        <v>2015.2008000000001</v>
      </c>
      <c r="BD11" s="546">
        <f t="shared" si="15"/>
        <v>2027.9908</v>
      </c>
      <c r="BE11" s="546">
        <f t="shared" si="15"/>
        <v>2046.1958</v>
      </c>
      <c r="BF11" s="546">
        <f t="shared" si="15"/>
        <v>2066.7357999999999</v>
      </c>
      <c r="BG11" s="546">
        <f t="shared" si="15"/>
        <v>2089.8307999999997</v>
      </c>
    </row>
    <row r="12" spans="2:59">
      <c r="B12" s="541">
        <f>B11+1</f>
        <v>3</v>
      </c>
      <c r="C12" s="542" t="s">
        <v>501</v>
      </c>
      <c r="D12" s="543"/>
      <c r="E12" s="544"/>
      <c r="F12" s="544"/>
      <c r="G12" s="545"/>
      <c r="H12" s="544"/>
      <c r="I12" s="546">
        <v>1.7346183199999998</v>
      </c>
      <c r="J12" s="546">
        <f>'IT Dep'!C66/10^7</f>
        <v>1.0389048999999999</v>
      </c>
      <c r="K12" s="546">
        <f t="shared" si="12"/>
        <v>12.653341931000002</v>
      </c>
      <c r="L12" s="546"/>
      <c r="M12" s="546">
        <f t="shared" si="12"/>
        <v>0</v>
      </c>
      <c r="N12" s="546">
        <f t="shared" si="12"/>
        <v>0</v>
      </c>
      <c r="O12" s="546">
        <f t="shared" si="12"/>
        <v>0</v>
      </c>
      <c r="P12" s="546">
        <f t="shared" si="12"/>
        <v>0</v>
      </c>
      <c r="Q12" s="546">
        <f t="shared" si="12"/>
        <v>0</v>
      </c>
      <c r="R12" s="546">
        <f t="shared" si="12"/>
        <v>0</v>
      </c>
      <c r="S12" s="546">
        <f t="shared" si="12"/>
        <v>0</v>
      </c>
      <c r="T12" s="546">
        <f t="shared" si="12"/>
        <v>0</v>
      </c>
      <c r="U12" s="546">
        <f t="shared" si="12"/>
        <v>0</v>
      </c>
      <c r="V12" s="546">
        <f t="shared" si="12"/>
        <v>0</v>
      </c>
      <c r="W12" s="546">
        <f t="shared" si="12"/>
        <v>0</v>
      </c>
      <c r="X12" s="546">
        <f t="shared" si="12"/>
        <v>0</v>
      </c>
      <c r="Y12" s="546">
        <f t="shared" si="13"/>
        <v>0</v>
      </c>
      <c r="Z12" s="546">
        <f t="shared" si="13"/>
        <v>0</v>
      </c>
      <c r="AA12" s="546">
        <f t="shared" si="13"/>
        <v>0</v>
      </c>
      <c r="AB12" s="546">
        <f t="shared" si="13"/>
        <v>0</v>
      </c>
      <c r="AC12" s="546">
        <f t="shared" si="13"/>
        <v>0</v>
      </c>
      <c r="AD12" s="547"/>
      <c r="AE12" s="548"/>
      <c r="AF12" s="541">
        <v>3</v>
      </c>
      <c r="AG12" s="549" t="s">
        <v>502</v>
      </c>
      <c r="AH12" s="543"/>
      <c r="AI12" s="550"/>
      <c r="AJ12" s="550"/>
      <c r="AK12" s="551">
        <f t="shared" si="14"/>
        <v>0</v>
      </c>
      <c r="AL12" s="552">
        <f t="shared" si="14"/>
        <v>0</v>
      </c>
      <c r="AM12" s="552">
        <f t="shared" si="14"/>
        <v>1.8149999999999999</v>
      </c>
      <c r="AN12" s="546">
        <f t="shared" si="14"/>
        <v>1.7323652</v>
      </c>
      <c r="AO12" s="546">
        <f t="shared" si="14"/>
        <v>1.7323652</v>
      </c>
      <c r="AP12" s="546">
        <f t="shared" si="14"/>
        <v>1.34</v>
      </c>
      <c r="AQ12" s="546">
        <f t="shared" si="14"/>
        <v>1.34</v>
      </c>
      <c r="AR12" s="546">
        <f t="shared" si="14"/>
        <v>1.34</v>
      </c>
      <c r="AS12" s="546">
        <f t="shared" si="14"/>
        <v>1.34</v>
      </c>
      <c r="AT12" s="546">
        <f t="shared" si="14"/>
        <v>1.34</v>
      </c>
      <c r="AU12" s="546">
        <f t="shared" si="14"/>
        <v>1.34</v>
      </c>
      <c r="AV12" s="546">
        <f t="shared" si="14"/>
        <v>1.34</v>
      </c>
      <c r="AW12" s="546">
        <f t="shared" si="14"/>
        <v>1.34</v>
      </c>
      <c r="AX12" s="546">
        <f t="shared" si="14"/>
        <v>1.34</v>
      </c>
      <c r="AY12" s="546">
        <f t="shared" si="14"/>
        <v>1.34</v>
      </c>
      <c r="AZ12" s="546">
        <f t="shared" si="15"/>
        <v>1.34</v>
      </c>
      <c r="BA12" s="546">
        <f t="shared" si="15"/>
        <v>1.34</v>
      </c>
      <c r="BB12" s="546">
        <f t="shared" si="15"/>
        <v>1.34</v>
      </c>
      <c r="BC12" s="546">
        <f t="shared" si="15"/>
        <v>1.34</v>
      </c>
      <c r="BD12" s="546">
        <f t="shared" si="15"/>
        <v>1.34</v>
      </c>
      <c r="BE12" s="546">
        <f t="shared" si="15"/>
        <v>1.34</v>
      </c>
      <c r="BF12" s="546">
        <f t="shared" si="15"/>
        <v>1.34</v>
      </c>
      <c r="BG12" s="546">
        <f t="shared" si="15"/>
        <v>1.34</v>
      </c>
    </row>
    <row r="13" spans="2:59">
      <c r="B13" s="541">
        <f>B12+1</f>
        <v>4</v>
      </c>
      <c r="C13" s="518" t="s">
        <v>503</v>
      </c>
      <c r="D13" s="553"/>
      <c r="E13" s="544"/>
      <c r="F13" s="544"/>
      <c r="G13" s="545"/>
      <c r="H13" s="544"/>
      <c r="I13" s="546">
        <v>0</v>
      </c>
      <c r="J13" s="546">
        <f t="shared" ref="J13:X13" si="16">I29</f>
        <v>0</v>
      </c>
      <c r="K13" s="546">
        <f t="shared" si="16"/>
        <v>0</v>
      </c>
      <c r="L13" s="546">
        <f t="shared" si="16"/>
        <v>0</v>
      </c>
      <c r="M13" s="546">
        <f t="shared" si="16"/>
        <v>0</v>
      </c>
      <c r="N13" s="546">
        <f t="shared" si="16"/>
        <v>0</v>
      </c>
      <c r="O13" s="546">
        <f t="shared" si="16"/>
        <v>0</v>
      </c>
      <c r="P13" s="546">
        <f t="shared" si="16"/>
        <v>0</v>
      </c>
      <c r="Q13" s="546">
        <f t="shared" si="16"/>
        <v>0</v>
      </c>
      <c r="R13" s="546">
        <f t="shared" si="16"/>
        <v>0</v>
      </c>
      <c r="S13" s="546">
        <f t="shared" si="16"/>
        <v>0</v>
      </c>
      <c r="T13" s="546">
        <f t="shared" si="16"/>
        <v>0</v>
      </c>
      <c r="U13" s="546">
        <f t="shared" si="16"/>
        <v>0</v>
      </c>
      <c r="V13" s="546">
        <f t="shared" si="16"/>
        <v>0</v>
      </c>
      <c r="W13" s="546">
        <f t="shared" si="16"/>
        <v>0</v>
      </c>
      <c r="X13" s="546">
        <f t="shared" si="16"/>
        <v>0</v>
      </c>
      <c r="Y13" s="546">
        <f t="shared" si="13"/>
        <v>0</v>
      </c>
      <c r="Z13" s="546">
        <f t="shared" si="13"/>
        <v>0</v>
      </c>
      <c r="AA13" s="546">
        <f t="shared" si="13"/>
        <v>0</v>
      </c>
      <c r="AB13" s="546">
        <f t="shared" si="13"/>
        <v>0</v>
      </c>
      <c r="AC13" s="546">
        <f t="shared" si="13"/>
        <v>0</v>
      </c>
      <c r="AD13" s="547"/>
      <c r="AE13" s="548"/>
      <c r="AF13" s="541">
        <v>4</v>
      </c>
      <c r="AG13" s="549" t="s">
        <v>504</v>
      </c>
      <c r="AH13" s="543"/>
      <c r="AI13" s="550"/>
      <c r="AJ13" s="550"/>
      <c r="AK13" s="551">
        <f t="shared" si="14"/>
        <v>0</v>
      </c>
      <c r="AL13" s="552">
        <f t="shared" si="14"/>
        <v>0</v>
      </c>
      <c r="AM13" s="552">
        <f t="shared" si="14"/>
        <v>8.6519999999999992</v>
      </c>
      <c r="AN13" s="546">
        <f t="shared" si="14"/>
        <v>8.0436999999999994</v>
      </c>
      <c r="AO13" s="546">
        <f t="shared" si="14"/>
        <v>8.0436999999999994</v>
      </c>
      <c r="AP13" s="546">
        <f t="shared" si="14"/>
        <v>5.85</v>
      </c>
      <c r="AQ13" s="546">
        <f t="shared" si="14"/>
        <v>5.85</v>
      </c>
      <c r="AR13" s="546">
        <f t="shared" si="14"/>
        <v>5.85</v>
      </c>
      <c r="AS13" s="546">
        <f t="shared" si="14"/>
        <v>5.85</v>
      </c>
      <c r="AT13" s="546">
        <f t="shared" si="14"/>
        <v>5.85</v>
      </c>
      <c r="AU13" s="546">
        <f t="shared" si="14"/>
        <v>5.85</v>
      </c>
      <c r="AV13" s="546">
        <f t="shared" si="14"/>
        <v>5.85</v>
      </c>
      <c r="AW13" s="546">
        <f t="shared" si="14"/>
        <v>5.85</v>
      </c>
      <c r="AX13" s="546">
        <f t="shared" si="14"/>
        <v>5.85</v>
      </c>
      <c r="AY13" s="546">
        <f t="shared" si="14"/>
        <v>5.85</v>
      </c>
      <c r="AZ13" s="546">
        <f t="shared" si="15"/>
        <v>5.85</v>
      </c>
      <c r="BA13" s="546">
        <f t="shared" si="15"/>
        <v>5.85</v>
      </c>
      <c r="BB13" s="546">
        <f t="shared" si="15"/>
        <v>5.85</v>
      </c>
      <c r="BC13" s="546">
        <f t="shared" si="15"/>
        <v>5.85</v>
      </c>
      <c r="BD13" s="546">
        <f t="shared" si="15"/>
        <v>5.85</v>
      </c>
      <c r="BE13" s="546">
        <f t="shared" si="15"/>
        <v>5.85</v>
      </c>
      <c r="BF13" s="546">
        <f t="shared" si="15"/>
        <v>5.85</v>
      </c>
      <c r="BG13" s="546">
        <f t="shared" si="15"/>
        <v>5.85</v>
      </c>
    </row>
    <row r="14" spans="2:59">
      <c r="B14" s="554" t="s">
        <v>487</v>
      </c>
      <c r="C14" s="555" t="s">
        <v>505</v>
      </c>
      <c r="D14" s="556"/>
      <c r="E14" s="557"/>
      <c r="F14" s="557"/>
      <c r="G14" s="558"/>
      <c r="H14" s="557"/>
      <c r="I14" s="557"/>
      <c r="J14" s="557"/>
      <c r="K14" s="557"/>
      <c r="L14" s="557"/>
      <c r="M14" s="557"/>
      <c r="N14" s="557"/>
      <c r="O14" s="557"/>
      <c r="P14" s="557"/>
      <c r="Q14" s="557"/>
      <c r="R14" s="557"/>
      <c r="S14" s="557"/>
      <c r="T14" s="557"/>
      <c r="U14" s="557"/>
      <c r="V14" s="557"/>
      <c r="W14" s="557"/>
      <c r="X14" s="557"/>
      <c r="Y14" s="557"/>
      <c r="Z14" s="557"/>
      <c r="AA14" s="557"/>
      <c r="AB14" s="557"/>
      <c r="AC14" s="557"/>
      <c r="AD14" s="559"/>
      <c r="AF14" s="541">
        <v>5</v>
      </c>
      <c r="AG14" s="549" t="s">
        <v>506</v>
      </c>
      <c r="AH14" s="543"/>
      <c r="AI14" s="550"/>
      <c r="AJ14" s="550"/>
      <c r="AK14" s="551">
        <f t="shared" si="14"/>
        <v>0</v>
      </c>
      <c r="AL14" s="552">
        <f t="shared" si="14"/>
        <v>0</v>
      </c>
      <c r="AM14" s="552">
        <f t="shared" si="14"/>
        <v>15.977</v>
      </c>
      <c r="AN14" s="546">
        <f t="shared" si="14"/>
        <v>14.0787</v>
      </c>
      <c r="AO14" s="546">
        <f t="shared" si="14"/>
        <v>14.0787</v>
      </c>
      <c r="AP14" s="546">
        <f t="shared" si="14"/>
        <v>7.01</v>
      </c>
      <c r="AQ14" s="546">
        <f t="shared" si="14"/>
        <v>7.01</v>
      </c>
      <c r="AR14" s="546">
        <f t="shared" si="14"/>
        <v>7.01</v>
      </c>
      <c r="AS14" s="546">
        <f t="shared" si="14"/>
        <v>7.01</v>
      </c>
      <c r="AT14" s="546">
        <f t="shared" si="14"/>
        <v>7.01</v>
      </c>
      <c r="AU14" s="546">
        <f t="shared" si="14"/>
        <v>7.01</v>
      </c>
      <c r="AV14" s="546">
        <f t="shared" si="14"/>
        <v>7.01</v>
      </c>
      <c r="AW14" s="546">
        <f t="shared" si="14"/>
        <v>7.01</v>
      </c>
      <c r="AX14" s="546">
        <f t="shared" si="14"/>
        <v>7.01</v>
      </c>
      <c r="AY14" s="546">
        <f t="shared" si="14"/>
        <v>7.01</v>
      </c>
      <c r="AZ14" s="546">
        <f t="shared" si="15"/>
        <v>7.01</v>
      </c>
      <c r="BA14" s="546">
        <f t="shared" si="15"/>
        <v>7.01</v>
      </c>
      <c r="BB14" s="546">
        <f t="shared" si="15"/>
        <v>7.01</v>
      </c>
      <c r="BC14" s="546">
        <f t="shared" si="15"/>
        <v>7.01</v>
      </c>
      <c r="BD14" s="546">
        <f t="shared" si="15"/>
        <v>7.01</v>
      </c>
      <c r="BE14" s="546">
        <f t="shared" si="15"/>
        <v>7.01</v>
      </c>
      <c r="BF14" s="546">
        <f t="shared" si="15"/>
        <v>7.01</v>
      </c>
      <c r="BG14" s="546">
        <f t="shared" si="15"/>
        <v>7.01</v>
      </c>
    </row>
    <row r="15" spans="2:59">
      <c r="B15" s="541">
        <f>B12+1</f>
        <v>4</v>
      </c>
      <c r="C15" s="542" t="str">
        <f>C10</f>
        <v xml:space="preserve">10% Block </v>
      </c>
      <c r="D15" s="543"/>
      <c r="E15" s="560"/>
      <c r="F15" s="560"/>
      <c r="G15" s="561"/>
      <c r="H15" s="560"/>
      <c r="I15" s="562"/>
      <c r="J15" s="562"/>
      <c r="K15" s="562"/>
      <c r="L15" s="562"/>
      <c r="M15" s="562"/>
      <c r="N15" s="562"/>
      <c r="O15" s="562"/>
      <c r="P15" s="562"/>
      <c r="Q15" s="562"/>
      <c r="R15" s="562"/>
      <c r="S15" s="562"/>
      <c r="T15" s="562"/>
      <c r="U15" s="562"/>
      <c r="V15" s="562"/>
      <c r="W15" s="562"/>
      <c r="X15" s="562"/>
      <c r="Y15" s="562"/>
      <c r="Z15" s="562"/>
      <c r="AA15" s="562"/>
      <c r="AB15" s="562"/>
      <c r="AC15" s="562"/>
      <c r="AD15" s="563"/>
      <c r="AE15" s="564"/>
      <c r="AF15" s="541">
        <v>6</v>
      </c>
      <c r="AG15" s="549" t="s">
        <v>507</v>
      </c>
      <c r="AH15" s="543"/>
      <c r="AI15" s="550"/>
      <c r="AJ15" s="550"/>
      <c r="AK15" s="551">
        <f t="shared" si="14"/>
        <v>0</v>
      </c>
      <c r="AL15" s="552">
        <f t="shared" si="14"/>
        <v>0</v>
      </c>
      <c r="AM15" s="552">
        <f>AL44</f>
        <v>3.4380000000000002</v>
      </c>
      <c r="AN15" s="546">
        <f>AM44</f>
        <v>2.8075000000000001</v>
      </c>
      <c r="AO15" s="546">
        <f>AN44</f>
        <v>2.8075000000000001</v>
      </c>
      <c r="AP15" s="546">
        <f>AO44</f>
        <v>0.89</v>
      </c>
      <c r="AQ15" s="546">
        <f>AP44</f>
        <v>0.89</v>
      </c>
      <c r="AR15" s="546">
        <f t="shared" si="14"/>
        <v>0.89</v>
      </c>
      <c r="AS15" s="546">
        <f t="shared" si="14"/>
        <v>0.89</v>
      </c>
      <c r="AT15" s="546">
        <f t="shared" si="14"/>
        <v>0.89</v>
      </c>
      <c r="AU15" s="546">
        <f t="shared" si="14"/>
        <v>0.89</v>
      </c>
      <c r="AV15" s="546">
        <f t="shared" si="14"/>
        <v>0.89</v>
      </c>
      <c r="AW15" s="546">
        <f t="shared" si="14"/>
        <v>0.89</v>
      </c>
      <c r="AX15" s="546">
        <f t="shared" si="14"/>
        <v>0.89</v>
      </c>
      <c r="AY15" s="546">
        <f t="shared" si="14"/>
        <v>0.89</v>
      </c>
      <c r="AZ15" s="546">
        <f t="shared" si="15"/>
        <v>0.89</v>
      </c>
      <c r="BA15" s="546">
        <f t="shared" si="15"/>
        <v>0.89</v>
      </c>
      <c r="BB15" s="546">
        <f t="shared" si="15"/>
        <v>0.89</v>
      </c>
      <c r="BC15" s="546">
        <f t="shared" si="15"/>
        <v>0.89</v>
      </c>
      <c r="BD15" s="546">
        <f t="shared" si="15"/>
        <v>0.89</v>
      </c>
      <c r="BE15" s="546">
        <f t="shared" si="15"/>
        <v>0.89</v>
      </c>
      <c r="BF15" s="546">
        <f t="shared" si="15"/>
        <v>0.89</v>
      </c>
      <c r="BG15" s="546">
        <f t="shared" si="15"/>
        <v>0.89</v>
      </c>
    </row>
    <row r="16" spans="2:59">
      <c r="B16" s="541"/>
      <c r="C16" s="565" t="s">
        <v>508</v>
      </c>
      <c r="D16" s="566"/>
      <c r="E16" s="567"/>
      <c r="F16" s="568"/>
      <c r="G16" s="545"/>
      <c r="H16" s="567"/>
      <c r="I16" s="569">
        <v>-6.5693500000000002E-2</v>
      </c>
      <c r="J16" s="569">
        <v>2.2082226E-2</v>
      </c>
      <c r="K16" s="569">
        <f t="shared" ref="K16:AC16" si="17">AO21+AO22+AO27</f>
        <v>0</v>
      </c>
      <c r="L16" s="569">
        <f t="shared" si="17"/>
        <v>0</v>
      </c>
      <c r="M16" s="569">
        <f t="shared" si="17"/>
        <v>0</v>
      </c>
      <c r="N16" s="569">
        <f t="shared" si="17"/>
        <v>0</v>
      </c>
      <c r="O16" s="569">
        <f t="shared" si="17"/>
        <v>0</v>
      </c>
      <c r="P16" s="569">
        <f t="shared" si="17"/>
        <v>0</v>
      </c>
      <c r="Q16" s="569">
        <f t="shared" si="17"/>
        <v>0</v>
      </c>
      <c r="R16" s="569">
        <f t="shared" si="17"/>
        <v>0</v>
      </c>
      <c r="S16" s="569">
        <f t="shared" si="17"/>
        <v>0</v>
      </c>
      <c r="T16" s="569">
        <f t="shared" si="17"/>
        <v>0</v>
      </c>
      <c r="U16" s="569">
        <f t="shared" si="17"/>
        <v>0</v>
      </c>
      <c r="V16" s="569">
        <f t="shared" si="17"/>
        <v>0</v>
      </c>
      <c r="W16" s="569">
        <f t="shared" si="17"/>
        <v>0</v>
      </c>
      <c r="X16" s="569">
        <f t="shared" si="17"/>
        <v>0</v>
      </c>
      <c r="Y16" s="569">
        <f t="shared" si="17"/>
        <v>0</v>
      </c>
      <c r="Z16" s="569">
        <f t="shared" si="17"/>
        <v>0</v>
      </c>
      <c r="AA16" s="569">
        <f t="shared" si="17"/>
        <v>0</v>
      </c>
      <c r="AB16" s="569">
        <f t="shared" si="17"/>
        <v>0</v>
      </c>
      <c r="AC16" s="569">
        <f t="shared" si="17"/>
        <v>0</v>
      </c>
      <c r="AD16" s="570"/>
      <c r="AE16" s="548"/>
      <c r="AF16" s="541">
        <v>7</v>
      </c>
      <c r="AG16" s="549" t="s">
        <v>509</v>
      </c>
      <c r="AH16" s="543"/>
      <c r="AI16" s="550"/>
      <c r="AJ16" s="550"/>
      <c r="AK16" s="551">
        <f t="shared" si="14"/>
        <v>0</v>
      </c>
      <c r="AL16" s="552">
        <f t="shared" si="14"/>
        <v>0</v>
      </c>
      <c r="AM16" s="552">
        <f t="shared" si="14"/>
        <v>1160.278</v>
      </c>
      <c r="AN16" s="546">
        <f>AM45</f>
        <v>1160.278</v>
      </c>
      <c r="AO16" s="546">
        <f t="shared" si="14"/>
        <v>1160.278</v>
      </c>
      <c r="AP16" s="546">
        <f t="shared" si="14"/>
        <v>1160.278</v>
      </c>
      <c r="AQ16" s="546">
        <f t="shared" si="14"/>
        <v>1160.278</v>
      </c>
      <c r="AR16" s="546">
        <f t="shared" si="14"/>
        <v>1160.278</v>
      </c>
      <c r="AS16" s="546">
        <f t="shared" si="14"/>
        <v>1160.278</v>
      </c>
      <c r="AT16" s="546">
        <f t="shared" si="14"/>
        <v>1160.278</v>
      </c>
      <c r="AU16" s="546">
        <f t="shared" si="14"/>
        <v>1160.278</v>
      </c>
      <c r="AV16" s="546">
        <f t="shared" si="14"/>
        <v>1160.278</v>
      </c>
      <c r="AW16" s="546">
        <f t="shared" si="14"/>
        <v>1160.278</v>
      </c>
      <c r="AX16" s="546">
        <f t="shared" si="14"/>
        <v>1160.278</v>
      </c>
      <c r="AY16" s="546">
        <f t="shared" si="14"/>
        <v>1160.278</v>
      </c>
      <c r="AZ16" s="546">
        <f t="shared" si="15"/>
        <v>1160.278</v>
      </c>
      <c r="BA16" s="546">
        <f t="shared" si="15"/>
        <v>1160.278</v>
      </c>
      <c r="BB16" s="546">
        <f t="shared" si="15"/>
        <v>1160.278</v>
      </c>
      <c r="BC16" s="546">
        <f t="shared" si="15"/>
        <v>1160.278</v>
      </c>
      <c r="BD16" s="546">
        <f t="shared" si="15"/>
        <v>1160.278</v>
      </c>
      <c r="BE16" s="546">
        <f t="shared" si="15"/>
        <v>1160.278</v>
      </c>
      <c r="BF16" s="546">
        <f t="shared" si="15"/>
        <v>1160.278</v>
      </c>
      <c r="BG16" s="546">
        <f t="shared" si="15"/>
        <v>1160.278</v>
      </c>
    </row>
    <row r="17" spans="2:59">
      <c r="B17" s="541"/>
      <c r="C17" s="565"/>
      <c r="D17" s="566"/>
      <c r="E17" s="567"/>
      <c r="F17" s="567"/>
      <c r="G17" s="545"/>
      <c r="H17" s="544"/>
      <c r="I17" s="546"/>
      <c r="J17" s="546"/>
      <c r="K17" s="546"/>
      <c r="L17" s="546"/>
      <c r="M17" s="546"/>
      <c r="N17" s="546"/>
      <c r="O17" s="546"/>
      <c r="P17" s="546"/>
      <c r="Q17" s="546"/>
      <c r="R17" s="546"/>
      <c r="S17" s="546"/>
      <c r="T17" s="546"/>
      <c r="U17" s="546"/>
      <c r="V17" s="546"/>
      <c r="W17" s="546"/>
      <c r="X17" s="546"/>
      <c r="Y17" s="546"/>
      <c r="Z17" s="546"/>
      <c r="AA17" s="546"/>
      <c r="AB17" s="546"/>
      <c r="AC17" s="546"/>
      <c r="AD17" s="547"/>
      <c r="AF17" s="541">
        <v>8</v>
      </c>
      <c r="AG17" s="549" t="s">
        <v>510</v>
      </c>
      <c r="AH17" s="543"/>
      <c r="AI17" s="550"/>
      <c r="AJ17" s="550"/>
      <c r="AK17" s="551">
        <f t="shared" si="14"/>
        <v>0</v>
      </c>
      <c r="AL17" s="552">
        <f t="shared" si="14"/>
        <v>0</v>
      </c>
      <c r="AM17" s="552">
        <f t="shared" si="14"/>
        <v>49.14</v>
      </c>
      <c r="AN17" s="546">
        <f t="shared" si="14"/>
        <v>49.14</v>
      </c>
      <c r="AO17" s="546">
        <f t="shared" si="14"/>
        <v>49.14</v>
      </c>
      <c r="AP17" s="546">
        <f t="shared" si="14"/>
        <v>0</v>
      </c>
      <c r="AQ17" s="546">
        <f t="shared" si="14"/>
        <v>0</v>
      </c>
      <c r="AR17" s="546">
        <f t="shared" si="14"/>
        <v>0</v>
      </c>
      <c r="AS17" s="546">
        <f t="shared" si="14"/>
        <v>0</v>
      </c>
      <c r="AT17" s="546">
        <f t="shared" si="14"/>
        <v>0</v>
      </c>
      <c r="AU17" s="546">
        <f t="shared" si="14"/>
        <v>0</v>
      </c>
      <c r="AV17" s="546">
        <f t="shared" si="14"/>
        <v>0</v>
      </c>
      <c r="AW17" s="546">
        <f t="shared" si="14"/>
        <v>0</v>
      </c>
      <c r="AX17" s="546">
        <f t="shared" si="14"/>
        <v>0</v>
      </c>
      <c r="AY17" s="546">
        <f t="shared" si="14"/>
        <v>0</v>
      </c>
      <c r="AZ17" s="546">
        <f t="shared" si="15"/>
        <v>0</v>
      </c>
      <c r="BA17" s="546">
        <f t="shared" si="15"/>
        <v>0</v>
      </c>
      <c r="BB17" s="546">
        <f t="shared" si="15"/>
        <v>0</v>
      </c>
      <c r="BC17" s="546">
        <f t="shared" si="15"/>
        <v>0</v>
      </c>
      <c r="BD17" s="546">
        <f t="shared" si="15"/>
        <v>0</v>
      </c>
      <c r="BE17" s="546">
        <f t="shared" si="15"/>
        <v>0</v>
      </c>
      <c r="BF17" s="546">
        <f t="shared" si="15"/>
        <v>0</v>
      </c>
      <c r="BG17" s="546">
        <f t="shared" si="15"/>
        <v>0</v>
      </c>
    </row>
    <row r="18" spans="2:59">
      <c r="B18" s="541">
        <f>B15+1</f>
        <v>5</v>
      </c>
      <c r="C18" s="542" t="str">
        <f>C11</f>
        <v xml:space="preserve">15% Block </v>
      </c>
      <c r="D18" s="543"/>
      <c r="E18" s="567"/>
      <c r="F18" s="567"/>
      <c r="G18" s="545"/>
      <c r="H18" s="544"/>
      <c r="I18" s="546"/>
      <c r="J18" s="546"/>
      <c r="K18" s="546"/>
      <c r="L18" s="546"/>
      <c r="M18" s="546"/>
      <c r="N18" s="546"/>
      <c r="O18" s="546"/>
      <c r="P18" s="546"/>
      <c r="Q18" s="546"/>
      <c r="R18" s="546"/>
      <c r="S18" s="546"/>
      <c r="T18" s="546"/>
      <c r="U18" s="546"/>
      <c r="V18" s="546"/>
      <c r="W18" s="546"/>
      <c r="X18" s="546"/>
      <c r="Y18" s="546"/>
      <c r="Z18" s="546"/>
      <c r="AA18" s="546"/>
      <c r="AB18" s="546"/>
      <c r="AC18" s="546"/>
      <c r="AD18" s="547"/>
      <c r="AF18" s="541"/>
      <c r="AG18" s="542"/>
      <c r="AH18" s="543"/>
      <c r="AI18" s="571"/>
      <c r="AJ18" s="571"/>
      <c r="AK18" s="551"/>
      <c r="AL18" s="552"/>
      <c r="AM18" s="552"/>
      <c r="AN18" s="546"/>
      <c r="AO18" s="546"/>
      <c r="AP18" s="546"/>
      <c r="AQ18" s="546"/>
      <c r="AR18" s="546"/>
      <c r="AS18" s="546"/>
      <c r="AT18" s="546"/>
      <c r="AU18" s="546"/>
      <c r="AV18" s="546"/>
      <c r="AW18" s="546"/>
      <c r="AX18" s="546"/>
      <c r="AY18" s="546"/>
      <c r="AZ18" s="546"/>
      <c r="BA18" s="546"/>
      <c r="BB18" s="546"/>
      <c r="BC18" s="546"/>
      <c r="BD18" s="546"/>
      <c r="BE18" s="546"/>
      <c r="BF18" s="546"/>
      <c r="BG18" s="546"/>
    </row>
    <row r="19" spans="2:59">
      <c r="B19" s="541"/>
      <c r="C19" s="565" t="s">
        <v>508</v>
      </c>
      <c r="D19" s="566"/>
      <c r="E19" s="544"/>
      <c r="F19" s="544"/>
      <c r="G19" s="545"/>
      <c r="H19" s="544"/>
      <c r="I19" s="546">
        <v>-4.5863895799999996</v>
      </c>
      <c r="J19" s="546">
        <v>-1.4604935999999999E-2</v>
      </c>
      <c r="K19" s="546">
        <f t="shared" ref="K19:AC19" si="18">AO24+AO25+AO29+AO33</f>
        <v>0</v>
      </c>
      <c r="L19" s="546">
        <f t="shared" si="18"/>
        <v>94.454999999999998</v>
      </c>
      <c r="M19" s="546">
        <f t="shared" si="18"/>
        <v>119.67</v>
      </c>
      <c r="N19" s="546">
        <f t="shared" si="18"/>
        <v>90.825800000000001</v>
      </c>
      <c r="O19" s="546">
        <f t="shared" si="18"/>
        <v>27.68</v>
      </c>
      <c r="P19" s="546">
        <f t="shared" si="18"/>
        <v>25.024999999999999</v>
      </c>
      <c r="Q19" s="546">
        <f t="shared" si="18"/>
        <v>22.81</v>
      </c>
      <c r="R19" s="546">
        <f t="shared" si="18"/>
        <v>25.655000000000001</v>
      </c>
      <c r="S19" s="546">
        <f t="shared" si="18"/>
        <v>15.185</v>
      </c>
      <c r="T19" s="546">
        <f t="shared" si="18"/>
        <v>22.454999999999998</v>
      </c>
      <c r="U19" s="546">
        <f t="shared" si="18"/>
        <v>17.829999999999998</v>
      </c>
      <c r="V19" s="546">
        <f t="shared" si="18"/>
        <v>15.265000000000001</v>
      </c>
      <c r="W19" s="546">
        <f t="shared" si="18"/>
        <v>20.89</v>
      </c>
      <c r="X19" s="546">
        <f t="shared" si="18"/>
        <v>18.414999999999999</v>
      </c>
      <c r="Y19" s="546">
        <f t="shared" si="18"/>
        <v>12.79</v>
      </c>
      <c r="Z19" s="546">
        <f t="shared" si="18"/>
        <v>18.204999999999998</v>
      </c>
      <c r="AA19" s="546">
        <f t="shared" si="18"/>
        <v>20.54</v>
      </c>
      <c r="AB19" s="546">
        <f t="shared" si="18"/>
        <v>23.094999999999999</v>
      </c>
      <c r="AC19" s="546">
        <f t="shared" si="18"/>
        <v>16.13</v>
      </c>
      <c r="AD19" s="547"/>
      <c r="AE19" s="548"/>
      <c r="AF19" s="554" t="s">
        <v>487</v>
      </c>
      <c r="AG19" s="555" t="s">
        <v>505</v>
      </c>
      <c r="AH19" s="556"/>
      <c r="AI19" s="572"/>
      <c r="AJ19" s="572"/>
      <c r="AK19" s="573"/>
      <c r="AL19" s="572"/>
      <c r="AM19" s="572"/>
      <c r="AN19" s="557"/>
      <c r="AO19" s="557"/>
      <c r="AP19" s="557"/>
      <c r="AQ19" s="557"/>
      <c r="AR19" s="557"/>
      <c r="AS19" s="557"/>
      <c r="AT19" s="557"/>
      <c r="AU19" s="557"/>
      <c r="AV19" s="557"/>
      <c r="AW19" s="557"/>
      <c r="AX19" s="557"/>
      <c r="AY19" s="557"/>
      <c r="AZ19" s="557"/>
      <c r="BA19" s="557"/>
      <c r="BB19" s="557"/>
      <c r="BC19" s="557"/>
      <c r="BD19" s="557"/>
      <c r="BE19" s="557"/>
      <c r="BF19" s="557"/>
      <c r="BG19" s="557"/>
    </row>
    <row r="20" spans="2:59">
      <c r="B20" s="541"/>
      <c r="C20" s="565"/>
      <c r="D20" s="566"/>
      <c r="E20" s="567"/>
      <c r="F20" s="567"/>
      <c r="G20" s="545"/>
      <c r="H20" s="544"/>
      <c r="I20" s="546"/>
      <c r="J20" s="546"/>
      <c r="K20" s="546"/>
      <c r="L20" s="546"/>
      <c r="M20" s="546"/>
      <c r="N20" s="546"/>
      <c r="O20" s="546"/>
      <c r="P20" s="546"/>
      <c r="Q20" s="546"/>
      <c r="R20" s="546"/>
      <c r="S20" s="546"/>
      <c r="T20" s="546"/>
      <c r="U20" s="546"/>
      <c r="V20" s="546"/>
      <c r="W20" s="546"/>
      <c r="X20" s="546"/>
      <c r="Y20" s="546"/>
      <c r="Z20" s="546"/>
      <c r="AA20" s="546"/>
      <c r="AB20" s="546"/>
      <c r="AC20" s="546"/>
      <c r="AD20" s="547"/>
      <c r="AE20" s="564"/>
      <c r="AF20" s="541">
        <v>1</v>
      </c>
      <c r="AG20" s="542" t="str">
        <f>AG10</f>
        <v xml:space="preserve">Civil Works </v>
      </c>
      <c r="AH20" s="543"/>
      <c r="AI20" s="574"/>
      <c r="AJ20" s="574"/>
      <c r="AK20" s="575"/>
      <c r="AL20" s="576"/>
      <c r="AM20" s="576"/>
      <c r="AN20" s="562"/>
      <c r="AO20" s="562"/>
      <c r="AP20" s="562"/>
      <c r="AQ20" s="562"/>
      <c r="AR20" s="562"/>
      <c r="AS20" s="562"/>
      <c r="AT20" s="562"/>
      <c r="AU20" s="562"/>
      <c r="AV20" s="562"/>
      <c r="AW20" s="562"/>
      <c r="AX20" s="562"/>
      <c r="AY20" s="562"/>
      <c r="AZ20" s="562"/>
      <c r="BA20" s="562"/>
      <c r="BB20" s="562"/>
      <c r="BC20" s="562"/>
      <c r="BD20" s="562"/>
      <c r="BE20" s="562"/>
      <c r="BF20" s="562"/>
      <c r="BG20" s="562"/>
    </row>
    <row r="21" spans="2:59">
      <c r="B21" s="541">
        <f>B18+1</f>
        <v>6</v>
      </c>
      <c r="C21" s="542" t="str">
        <f>C12</f>
        <v xml:space="preserve">60% Block </v>
      </c>
      <c r="D21" s="543"/>
      <c r="E21" s="567"/>
      <c r="F21" s="567"/>
      <c r="G21" s="545"/>
      <c r="H21" s="544"/>
      <c r="I21" s="546"/>
      <c r="J21" s="546"/>
      <c r="K21" s="546"/>
      <c r="L21" s="546"/>
      <c r="M21" s="546"/>
      <c r="N21" s="546"/>
      <c r="O21" s="546"/>
      <c r="P21" s="546"/>
      <c r="Q21" s="546"/>
      <c r="R21" s="546"/>
      <c r="S21" s="546"/>
      <c r="T21" s="546"/>
      <c r="U21" s="546"/>
      <c r="V21" s="546"/>
      <c r="W21" s="546"/>
      <c r="X21" s="546"/>
      <c r="Y21" s="546"/>
      <c r="Z21" s="546"/>
      <c r="AA21" s="546"/>
      <c r="AB21" s="546"/>
      <c r="AC21" s="546"/>
      <c r="AD21" s="547"/>
      <c r="AE21" s="564"/>
      <c r="AF21" s="541"/>
      <c r="AG21" s="565" t="s">
        <v>511</v>
      </c>
      <c r="AH21" s="566"/>
      <c r="AI21" s="571"/>
      <c r="AJ21" s="577"/>
      <c r="AK21" s="578"/>
      <c r="AL21" s="579"/>
      <c r="AM21" s="552">
        <f t="shared" ref="AM21:BB22" si="19">AL21</f>
        <v>0</v>
      </c>
      <c r="AN21" s="546">
        <f t="shared" si="19"/>
        <v>0</v>
      </c>
      <c r="AO21" s="546">
        <f t="shared" si="19"/>
        <v>0</v>
      </c>
      <c r="AP21" s="546">
        <f t="shared" si="19"/>
        <v>0</v>
      </c>
      <c r="AQ21" s="546">
        <f t="shared" si="19"/>
        <v>0</v>
      </c>
      <c r="AR21" s="546">
        <f t="shared" si="19"/>
        <v>0</v>
      </c>
      <c r="AS21" s="546">
        <f t="shared" si="19"/>
        <v>0</v>
      </c>
      <c r="AT21" s="546">
        <f t="shared" si="19"/>
        <v>0</v>
      </c>
      <c r="AU21" s="546">
        <f t="shared" si="19"/>
        <v>0</v>
      </c>
      <c r="AV21" s="546">
        <f t="shared" si="19"/>
        <v>0</v>
      </c>
      <c r="AW21" s="546">
        <f t="shared" si="19"/>
        <v>0</v>
      </c>
      <c r="AX21" s="546">
        <f t="shared" si="19"/>
        <v>0</v>
      </c>
      <c r="AY21" s="546">
        <f t="shared" si="19"/>
        <v>0</v>
      </c>
      <c r="AZ21" s="546">
        <f t="shared" si="19"/>
        <v>0</v>
      </c>
      <c r="BA21" s="546">
        <f t="shared" si="19"/>
        <v>0</v>
      </c>
      <c r="BB21" s="546">
        <f t="shared" si="19"/>
        <v>0</v>
      </c>
      <c r="BC21" s="546">
        <f t="shared" ref="BC21:BG22" si="20">BB21</f>
        <v>0</v>
      </c>
      <c r="BD21" s="546">
        <f t="shared" si="20"/>
        <v>0</v>
      </c>
      <c r="BE21" s="546">
        <f t="shared" si="20"/>
        <v>0</v>
      </c>
      <c r="BF21" s="546">
        <f t="shared" si="20"/>
        <v>0</v>
      </c>
      <c r="BG21" s="546">
        <f t="shared" si="20"/>
        <v>0</v>
      </c>
    </row>
    <row r="22" spans="2:59">
      <c r="B22" s="541"/>
      <c r="C22" s="565" t="s">
        <v>512</v>
      </c>
      <c r="D22" s="566"/>
      <c r="E22" s="567"/>
      <c r="F22" s="568"/>
      <c r="G22" s="545"/>
      <c r="H22" s="567"/>
      <c r="I22" s="569">
        <v>0.28742460999999997</v>
      </c>
      <c r="J22" s="569">
        <f>('IT Dep'!D66+'IT Dep'!E66-'IT Dep'!F66)/10^7</f>
        <v>18.511862386000001</v>
      </c>
      <c r="K22" s="569">
        <f t="shared" ref="K22:AC22" si="21">AO31</f>
        <v>0</v>
      </c>
      <c r="L22" s="569">
        <f t="shared" si="21"/>
        <v>0</v>
      </c>
      <c r="M22" s="569">
        <f t="shared" si="21"/>
        <v>0</v>
      </c>
      <c r="N22" s="569">
        <f t="shared" si="21"/>
        <v>0</v>
      </c>
      <c r="O22" s="569">
        <f t="shared" si="21"/>
        <v>0</v>
      </c>
      <c r="P22" s="569">
        <f t="shared" si="21"/>
        <v>0</v>
      </c>
      <c r="Q22" s="569">
        <f t="shared" si="21"/>
        <v>0</v>
      </c>
      <c r="R22" s="569">
        <f t="shared" si="21"/>
        <v>0</v>
      </c>
      <c r="S22" s="569">
        <f t="shared" si="21"/>
        <v>0</v>
      </c>
      <c r="T22" s="569">
        <f t="shared" si="21"/>
        <v>0</v>
      </c>
      <c r="U22" s="569">
        <f t="shared" si="21"/>
        <v>0</v>
      </c>
      <c r="V22" s="569">
        <f t="shared" si="21"/>
        <v>0</v>
      </c>
      <c r="W22" s="569">
        <f t="shared" si="21"/>
        <v>0</v>
      </c>
      <c r="X22" s="569">
        <f t="shared" si="21"/>
        <v>0</v>
      </c>
      <c r="Y22" s="569">
        <f t="shared" si="21"/>
        <v>0</v>
      </c>
      <c r="Z22" s="569">
        <f t="shared" si="21"/>
        <v>0</v>
      </c>
      <c r="AA22" s="569">
        <f t="shared" si="21"/>
        <v>0</v>
      </c>
      <c r="AB22" s="569">
        <f t="shared" si="21"/>
        <v>0</v>
      </c>
      <c r="AC22" s="569">
        <f t="shared" si="21"/>
        <v>0</v>
      </c>
      <c r="AD22" s="570"/>
      <c r="AE22" s="548"/>
      <c r="AF22" s="541"/>
      <c r="AG22" s="565" t="s">
        <v>513</v>
      </c>
      <c r="AH22" s="566"/>
      <c r="AI22" s="571"/>
      <c r="AJ22" s="577"/>
      <c r="AK22" s="578"/>
      <c r="AL22" s="552"/>
      <c r="AM22" s="552">
        <f t="shared" si="19"/>
        <v>0</v>
      </c>
      <c r="AN22" s="546">
        <f t="shared" si="19"/>
        <v>0</v>
      </c>
      <c r="AO22" s="546">
        <f t="shared" si="19"/>
        <v>0</v>
      </c>
      <c r="AP22" s="546">
        <f t="shared" si="19"/>
        <v>0</v>
      </c>
      <c r="AQ22" s="546">
        <f t="shared" si="19"/>
        <v>0</v>
      </c>
      <c r="AR22" s="546">
        <f t="shared" si="19"/>
        <v>0</v>
      </c>
      <c r="AS22" s="546">
        <f t="shared" si="19"/>
        <v>0</v>
      </c>
      <c r="AT22" s="546">
        <f t="shared" si="19"/>
        <v>0</v>
      </c>
      <c r="AU22" s="546">
        <f t="shared" si="19"/>
        <v>0</v>
      </c>
      <c r="AV22" s="546">
        <f t="shared" si="19"/>
        <v>0</v>
      </c>
      <c r="AW22" s="546">
        <f t="shared" si="19"/>
        <v>0</v>
      </c>
      <c r="AX22" s="546">
        <f t="shared" si="19"/>
        <v>0</v>
      </c>
      <c r="AY22" s="546">
        <f t="shared" si="19"/>
        <v>0</v>
      </c>
      <c r="AZ22" s="546">
        <f t="shared" si="19"/>
        <v>0</v>
      </c>
      <c r="BA22" s="546">
        <f t="shared" si="19"/>
        <v>0</v>
      </c>
      <c r="BB22" s="546">
        <f t="shared" si="19"/>
        <v>0</v>
      </c>
      <c r="BC22" s="546">
        <f t="shared" si="20"/>
        <v>0</v>
      </c>
      <c r="BD22" s="546">
        <f t="shared" si="20"/>
        <v>0</v>
      </c>
      <c r="BE22" s="546">
        <f t="shared" si="20"/>
        <v>0</v>
      </c>
      <c r="BF22" s="546">
        <f t="shared" si="20"/>
        <v>0</v>
      </c>
      <c r="BG22" s="546">
        <f t="shared" si="20"/>
        <v>0</v>
      </c>
    </row>
    <row r="23" spans="2:59">
      <c r="B23" s="541">
        <v>7</v>
      </c>
      <c r="C23" s="542" t="str">
        <f>C13</f>
        <v>25% Block (Intangible)</v>
      </c>
      <c r="D23" s="553"/>
      <c r="E23" s="580"/>
      <c r="F23" s="581"/>
      <c r="G23" s="582"/>
      <c r="H23" s="580"/>
      <c r="I23" s="583">
        <v>0</v>
      </c>
      <c r="J23" s="583">
        <f t="shared" ref="J23:AC23" si="22">AN37</f>
        <v>0</v>
      </c>
      <c r="K23" s="584">
        <f t="shared" si="22"/>
        <v>0</v>
      </c>
      <c r="L23" s="584">
        <f t="shared" si="22"/>
        <v>0</v>
      </c>
      <c r="M23" s="584">
        <f t="shared" si="22"/>
        <v>0</v>
      </c>
      <c r="N23" s="584">
        <f t="shared" si="22"/>
        <v>0</v>
      </c>
      <c r="O23" s="584">
        <f t="shared" si="22"/>
        <v>0</v>
      </c>
      <c r="P23" s="584">
        <f t="shared" si="22"/>
        <v>0</v>
      </c>
      <c r="Q23" s="584">
        <f t="shared" si="22"/>
        <v>0</v>
      </c>
      <c r="R23" s="584">
        <f t="shared" si="22"/>
        <v>0</v>
      </c>
      <c r="S23" s="584">
        <f t="shared" si="22"/>
        <v>0</v>
      </c>
      <c r="T23" s="584">
        <f t="shared" si="22"/>
        <v>0</v>
      </c>
      <c r="U23" s="584">
        <f t="shared" si="22"/>
        <v>0</v>
      </c>
      <c r="V23" s="584">
        <f t="shared" si="22"/>
        <v>0</v>
      </c>
      <c r="W23" s="584">
        <f t="shared" si="22"/>
        <v>0</v>
      </c>
      <c r="X23" s="584">
        <f t="shared" si="22"/>
        <v>0</v>
      </c>
      <c r="Y23" s="584">
        <f t="shared" si="22"/>
        <v>0</v>
      </c>
      <c r="Z23" s="584">
        <f t="shared" si="22"/>
        <v>0</v>
      </c>
      <c r="AA23" s="584">
        <f t="shared" si="22"/>
        <v>0</v>
      </c>
      <c r="AB23" s="584">
        <f t="shared" si="22"/>
        <v>0</v>
      </c>
      <c r="AC23" s="584">
        <f t="shared" si="22"/>
        <v>0</v>
      </c>
      <c r="AD23" s="585"/>
      <c r="AE23" s="548"/>
      <c r="AF23" s="541">
        <f>AF20+1</f>
        <v>2</v>
      </c>
      <c r="AG23" s="542" t="str">
        <f>AG11</f>
        <v xml:space="preserve">Plant &amp; Machinery </v>
      </c>
      <c r="AH23" s="543"/>
      <c r="AI23" s="571"/>
      <c r="AJ23" s="577"/>
      <c r="AK23" s="578"/>
      <c r="AL23" s="586"/>
      <c r="AM23" s="552"/>
      <c r="AN23" s="546"/>
      <c r="AO23" s="546"/>
      <c r="AP23" s="546"/>
      <c r="AQ23" s="546"/>
      <c r="AR23" s="546"/>
      <c r="AS23" s="546"/>
      <c r="AT23" s="546"/>
      <c r="AU23" s="546"/>
      <c r="AV23" s="546"/>
      <c r="AW23" s="546"/>
      <c r="AX23" s="546"/>
      <c r="AY23" s="546"/>
      <c r="AZ23" s="546"/>
      <c r="BA23" s="546"/>
      <c r="BB23" s="546"/>
      <c r="BC23" s="546"/>
      <c r="BD23" s="546"/>
      <c r="BE23" s="546"/>
      <c r="BF23" s="546"/>
      <c r="BG23" s="546"/>
    </row>
    <row r="24" spans="2:59">
      <c r="B24" s="587"/>
      <c r="D24" s="553"/>
      <c r="E24" s="588"/>
      <c r="F24" s="588"/>
      <c r="G24" s="589"/>
      <c r="H24" s="588"/>
      <c r="I24" s="590"/>
      <c r="J24" s="591"/>
      <c r="K24" s="590"/>
      <c r="L24" s="590"/>
      <c r="M24" s="590"/>
      <c r="N24" s="590"/>
      <c r="O24" s="590"/>
      <c r="P24" s="590"/>
      <c r="Q24" s="590"/>
      <c r="R24" s="590"/>
      <c r="S24" s="590"/>
      <c r="T24" s="590"/>
      <c r="U24" s="590"/>
      <c r="V24" s="590"/>
      <c r="W24" s="590"/>
      <c r="X24" s="590"/>
      <c r="Y24" s="590"/>
      <c r="Z24" s="590"/>
      <c r="AA24" s="590"/>
      <c r="AB24" s="590"/>
      <c r="AC24" s="590"/>
      <c r="AD24" s="592"/>
      <c r="AF24" s="541"/>
      <c r="AG24" s="565" t="s">
        <v>511</v>
      </c>
      <c r="AH24" s="566"/>
      <c r="AI24" s="571"/>
      <c r="AJ24" s="577"/>
      <c r="AK24" s="578"/>
      <c r="AL24" s="593"/>
      <c r="AM24" s="594">
        <v>0</v>
      </c>
      <c r="AN24" s="595">
        <f t="shared" ref="AN24:BG24" si="23">AN109</f>
        <v>0</v>
      </c>
      <c r="AO24" s="595">
        <f t="shared" si="23"/>
        <v>0</v>
      </c>
      <c r="AP24" s="595">
        <f t="shared" si="23"/>
        <v>75</v>
      </c>
      <c r="AQ24" s="595">
        <f t="shared" si="23"/>
        <v>100</v>
      </c>
      <c r="AR24" s="595">
        <f t="shared" si="23"/>
        <v>79.4208</v>
      </c>
      <c r="AS24" s="595">
        <f t="shared" si="23"/>
        <v>0</v>
      </c>
      <c r="AT24" s="595">
        <f t="shared" si="23"/>
        <v>0</v>
      </c>
      <c r="AU24" s="595">
        <f t="shared" si="23"/>
        <v>0</v>
      </c>
      <c r="AV24" s="595">
        <f t="shared" si="23"/>
        <v>0</v>
      </c>
      <c r="AW24" s="595">
        <f t="shared" si="23"/>
        <v>0</v>
      </c>
      <c r="AX24" s="595">
        <f t="shared" si="23"/>
        <v>0</v>
      </c>
      <c r="AY24" s="595">
        <f t="shared" si="23"/>
        <v>0</v>
      </c>
      <c r="AZ24" s="595">
        <f t="shared" si="23"/>
        <v>0</v>
      </c>
      <c r="BA24" s="595">
        <f t="shared" si="23"/>
        <v>0</v>
      </c>
      <c r="BB24" s="595">
        <f t="shared" si="23"/>
        <v>0</v>
      </c>
      <c r="BC24" s="595">
        <f t="shared" si="23"/>
        <v>0</v>
      </c>
      <c r="BD24" s="595">
        <f t="shared" si="23"/>
        <v>0</v>
      </c>
      <c r="BE24" s="595">
        <f t="shared" si="23"/>
        <v>0</v>
      </c>
      <c r="BF24" s="595">
        <f t="shared" si="23"/>
        <v>0</v>
      </c>
      <c r="BG24" s="595">
        <f t="shared" si="23"/>
        <v>0</v>
      </c>
    </row>
    <row r="25" spans="2:59">
      <c r="B25" s="554" t="s">
        <v>488</v>
      </c>
      <c r="C25" s="555" t="s">
        <v>514</v>
      </c>
      <c r="D25" s="556"/>
      <c r="E25" s="596"/>
      <c r="F25" s="596"/>
      <c r="G25" s="558"/>
      <c r="H25" s="557"/>
      <c r="I25" s="557"/>
      <c r="J25" s="557"/>
      <c r="K25" s="557"/>
      <c r="L25" s="557"/>
      <c r="M25" s="557"/>
      <c r="N25" s="557"/>
      <c r="O25" s="557"/>
      <c r="P25" s="557"/>
      <c r="Q25" s="557"/>
      <c r="R25" s="557"/>
      <c r="S25" s="557"/>
      <c r="T25" s="557"/>
      <c r="U25" s="557"/>
      <c r="V25" s="557"/>
      <c r="W25" s="557"/>
      <c r="X25" s="557"/>
      <c r="Y25" s="557"/>
      <c r="Z25" s="557"/>
      <c r="AA25" s="557"/>
      <c r="AB25" s="557"/>
      <c r="AC25" s="557"/>
      <c r="AD25" s="559"/>
      <c r="AF25" s="541"/>
      <c r="AG25" s="565" t="s">
        <v>513</v>
      </c>
      <c r="AH25" s="566"/>
      <c r="AI25" s="571"/>
      <c r="AJ25" s="577"/>
      <c r="AK25" s="578"/>
      <c r="AL25" s="552"/>
      <c r="AM25" s="552">
        <f>1924.9977-AL40</f>
        <v>-24.193300000000136</v>
      </c>
      <c r="AN25" s="546">
        <f>AN99-SUM(AN27,AN29,AN31,AN37,AN33)</f>
        <v>0</v>
      </c>
      <c r="AO25" s="546">
        <f t="shared" ref="AO25:BG25" si="24">AO99-SUM(AO27,AO29,AO31,AO37,AO33)</f>
        <v>0</v>
      </c>
      <c r="AP25" s="546">
        <f t="shared" si="24"/>
        <v>19.454999999999998</v>
      </c>
      <c r="AQ25" s="546">
        <f t="shared" si="24"/>
        <v>19.670000000000002</v>
      </c>
      <c r="AR25" s="546">
        <f t="shared" si="24"/>
        <v>11.404999999999999</v>
      </c>
      <c r="AS25" s="546">
        <f t="shared" si="24"/>
        <v>27.68</v>
      </c>
      <c r="AT25" s="546">
        <f t="shared" si="24"/>
        <v>25.024999999999999</v>
      </c>
      <c r="AU25" s="546">
        <f t="shared" si="24"/>
        <v>22.81</v>
      </c>
      <c r="AV25" s="546">
        <f t="shared" si="24"/>
        <v>25.655000000000001</v>
      </c>
      <c r="AW25" s="546">
        <f t="shared" si="24"/>
        <v>15.185</v>
      </c>
      <c r="AX25" s="546">
        <f t="shared" si="24"/>
        <v>22.454999999999998</v>
      </c>
      <c r="AY25" s="546">
        <f t="shared" si="24"/>
        <v>17.829999999999998</v>
      </c>
      <c r="AZ25" s="546">
        <f t="shared" si="24"/>
        <v>15.265000000000001</v>
      </c>
      <c r="BA25" s="546">
        <f t="shared" si="24"/>
        <v>20.89</v>
      </c>
      <c r="BB25" s="546">
        <f t="shared" si="24"/>
        <v>18.414999999999999</v>
      </c>
      <c r="BC25" s="546">
        <f t="shared" si="24"/>
        <v>12.79</v>
      </c>
      <c r="BD25" s="546">
        <f t="shared" si="24"/>
        <v>18.204999999999998</v>
      </c>
      <c r="BE25" s="546">
        <f t="shared" si="24"/>
        <v>20.54</v>
      </c>
      <c r="BF25" s="546">
        <f t="shared" si="24"/>
        <v>23.094999999999999</v>
      </c>
      <c r="BG25" s="546">
        <f t="shared" si="24"/>
        <v>16.13</v>
      </c>
    </row>
    <row r="26" spans="2:59">
      <c r="B26" s="541">
        <f>+B21+1</f>
        <v>7</v>
      </c>
      <c r="C26" s="542" t="str">
        <f>C15</f>
        <v xml:space="preserve">10% Block </v>
      </c>
      <c r="D26" s="543"/>
      <c r="E26" s="544"/>
      <c r="F26" s="544"/>
      <c r="G26" s="545"/>
      <c r="H26" s="544"/>
      <c r="I26" s="546">
        <f>I10+I16+I17-I38</f>
        <v>21.360000092000003</v>
      </c>
      <c r="J26" s="546">
        <v>19.312042961</v>
      </c>
      <c r="K26" s="546">
        <f t="shared" ref="K26:AC26" si="25">K10+K16+K17-K38</f>
        <v>17.380838664900001</v>
      </c>
      <c r="L26" s="546">
        <f t="shared" si="25"/>
        <v>15.813000000000001</v>
      </c>
      <c r="M26" s="546">
        <f t="shared" si="25"/>
        <v>14.2317</v>
      </c>
      <c r="N26" s="546">
        <f t="shared" si="25"/>
        <v>12.808529999999999</v>
      </c>
      <c r="O26" s="546">
        <f t="shared" si="25"/>
        <v>11.527676999999999</v>
      </c>
      <c r="P26" s="546">
        <f t="shared" si="25"/>
        <v>10.374909299999999</v>
      </c>
      <c r="Q26" s="546">
        <f t="shared" si="25"/>
        <v>9.3374183699999982</v>
      </c>
      <c r="R26" s="546">
        <f t="shared" si="25"/>
        <v>8.4036765329999987</v>
      </c>
      <c r="S26" s="546">
        <f t="shared" si="25"/>
        <v>7.5633088796999992</v>
      </c>
      <c r="T26" s="546">
        <f t="shared" si="25"/>
        <v>6.8069779917299993</v>
      </c>
      <c r="U26" s="546">
        <f t="shared" si="25"/>
        <v>6.1262801925569992</v>
      </c>
      <c r="V26" s="546">
        <f t="shared" si="25"/>
        <v>5.5136521733012991</v>
      </c>
      <c r="W26" s="546">
        <f t="shared" si="25"/>
        <v>4.9622869559711695</v>
      </c>
      <c r="X26" s="546">
        <f t="shared" si="25"/>
        <v>4.4660582603740524</v>
      </c>
      <c r="Y26" s="546">
        <f t="shared" si="25"/>
        <v>4.0194524343366469</v>
      </c>
      <c r="Z26" s="546">
        <f t="shared" si="25"/>
        <v>3.6175071909029821</v>
      </c>
      <c r="AA26" s="546">
        <f t="shared" si="25"/>
        <v>3.2557564718126839</v>
      </c>
      <c r="AB26" s="546">
        <f t="shared" si="25"/>
        <v>2.9301808246314156</v>
      </c>
      <c r="AC26" s="546">
        <f t="shared" si="25"/>
        <v>2.637162742168274</v>
      </c>
      <c r="AD26" s="547"/>
      <c r="AF26" s="541">
        <f>AF23+1</f>
        <v>3</v>
      </c>
      <c r="AG26" s="542" t="str">
        <f>AG12</f>
        <v>Furniture &amp; Fittings</v>
      </c>
      <c r="AH26" s="543"/>
      <c r="AI26" s="571"/>
      <c r="AJ26" s="577"/>
      <c r="AK26" s="578"/>
      <c r="AL26" s="552"/>
      <c r="AM26" s="552"/>
      <c r="AN26" s="546"/>
      <c r="AO26" s="546"/>
      <c r="AP26" s="546"/>
      <c r="AQ26" s="546"/>
      <c r="AR26" s="546"/>
      <c r="AS26" s="546"/>
      <c r="AT26" s="546"/>
      <c r="AU26" s="546"/>
      <c r="AV26" s="546"/>
      <c r="AW26" s="546"/>
      <c r="AX26" s="546"/>
      <c r="AY26" s="546"/>
      <c r="AZ26" s="546"/>
      <c r="BA26" s="546"/>
      <c r="BB26" s="546"/>
      <c r="BC26" s="546"/>
      <c r="BD26" s="546"/>
      <c r="BE26" s="546"/>
      <c r="BF26" s="546"/>
      <c r="BG26" s="546"/>
    </row>
    <row r="27" spans="2:59">
      <c r="B27" s="541">
        <f>B26+1</f>
        <v>8</v>
      </c>
      <c r="C27" s="542" t="str">
        <f>C18</f>
        <v xml:space="preserve">15% Block </v>
      </c>
      <c r="D27" s="543"/>
      <c r="E27" s="544"/>
      <c r="F27" s="544"/>
      <c r="G27" s="545"/>
      <c r="H27" s="544"/>
      <c r="I27" s="546">
        <f>I11+I19+I20-I39</f>
        <v>75.247985447999994</v>
      </c>
      <c r="J27" s="546">
        <v>67.762296585999991</v>
      </c>
      <c r="K27" s="546">
        <f t="shared" ref="K27:AC27" si="26">K11+K19+K20-K39</f>
        <v>57.597952098099995</v>
      </c>
      <c r="L27" s="546">
        <f t="shared" si="26"/>
        <v>123.35484</v>
      </c>
      <c r="M27" s="546">
        <f t="shared" si="26"/>
        <v>186.57111399999999</v>
      </c>
      <c r="N27" s="546">
        <f t="shared" si="26"/>
        <v>219.90321689999999</v>
      </c>
      <c r="O27" s="546">
        <f t="shared" si="26"/>
        <v>210.44573436499999</v>
      </c>
      <c r="P27" s="546">
        <f t="shared" si="26"/>
        <v>200.15012421025</v>
      </c>
      <c r="Q27" s="546">
        <f t="shared" si="26"/>
        <v>189.51610557871251</v>
      </c>
      <c r="R27" s="546">
        <f t="shared" si="26"/>
        <v>182.89543974190565</v>
      </c>
      <c r="S27" s="546">
        <f t="shared" si="26"/>
        <v>168.36837378061981</v>
      </c>
      <c r="T27" s="546">
        <f t="shared" si="26"/>
        <v>162.19986771352686</v>
      </c>
      <c r="U27" s="546">
        <f t="shared" si="26"/>
        <v>153.02538755649783</v>
      </c>
      <c r="V27" s="546">
        <f t="shared" si="26"/>
        <v>143.04682942302315</v>
      </c>
      <c r="W27" s="546">
        <f t="shared" si="26"/>
        <v>139.34630500956968</v>
      </c>
      <c r="X27" s="546">
        <f t="shared" si="26"/>
        <v>134.09710925813422</v>
      </c>
      <c r="Y27" s="546">
        <f t="shared" si="26"/>
        <v>124.85404286941409</v>
      </c>
      <c r="Z27" s="546">
        <f t="shared" si="26"/>
        <v>121.60018643900199</v>
      </c>
      <c r="AA27" s="546">
        <f t="shared" si="26"/>
        <v>120.81915847315169</v>
      </c>
      <c r="AB27" s="546">
        <f t="shared" si="26"/>
        <v>122.32703470217895</v>
      </c>
      <c r="AC27" s="546">
        <f t="shared" si="26"/>
        <v>117.68847949685211</v>
      </c>
      <c r="AD27" s="547"/>
      <c r="AF27" s="541"/>
      <c r="AG27" s="565" t="s">
        <v>515</v>
      </c>
      <c r="AH27" s="566"/>
      <c r="AI27" s="571"/>
      <c r="AJ27" s="577"/>
      <c r="AK27" s="578"/>
      <c r="AL27" s="586"/>
      <c r="AM27" s="586">
        <f>1.7323652-AL41</f>
        <v>-8.2634799999999897E-2</v>
      </c>
      <c r="AN27" s="597">
        <f>Assumptions!$C$173*AN$12</f>
        <v>0</v>
      </c>
      <c r="AO27" s="597">
        <f>Assumptions!$C$173*AO$12</f>
        <v>0</v>
      </c>
      <c r="AP27" s="597">
        <f>Assumptions!$C$173*AP$12</f>
        <v>0</v>
      </c>
      <c r="AQ27" s="597">
        <f>Assumptions!$C$173*AQ$12</f>
        <v>0</v>
      </c>
      <c r="AR27" s="597">
        <f>Assumptions!$C$173*AR$12</f>
        <v>0</v>
      </c>
      <c r="AS27" s="597">
        <f>Assumptions!$C$173*AS$12</f>
        <v>0</v>
      </c>
      <c r="AT27" s="597">
        <f>Assumptions!$C$173*AT$12</f>
        <v>0</v>
      </c>
      <c r="AU27" s="597">
        <f>Assumptions!$C$173*AU$12</f>
        <v>0</v>
      </c>
      <c r="AV27" s="597">
        <f>Assumptions!$C$173*AV$12</f>
        <v>0</v>
      </c>
      <c r="AW27" s="597">
        <f>Assumptions!$C$173*AW$12</f>
        <v>0</v>
      </c>
      <c r="AX27" s="597">
        <f>Assumptions!$C$173*AX$12</f>
        <v>0</v>
      </c>
      <c r="AY27" s="597">
        <f>Assumptions!$C$173*AY$12</f>
        <v>0</v>
      </c>
      <c r="AZ27" s="597">
        <f>Assumptions!$C$173*AZ$12</f>
        <v>0</v>
      </c>
      <c r="BA27" s="597">
        <f>Assumptions!$C$173*BA$12</f>
        <v>0</v>
      </c>
      <c r="BB27" s="597">
        <f>Assumptions!$C$173*BB$12</f>
        <v>0</v>
      </c>
      <c r="BC27" s="597">
        <f>Assumptions!$C$173*BC$12</f>
        <v>0</v>
      </c>
      <c r="BD27" s="597">
        <f>Assumptions!$C$173*BD$12</f>
        <v>0</v>
      </c>
      <c r="BE27" s="597">
        <f>Assumptions!$C$173*BE$12</f>
        <v>0</v>
      </c>
      <c r="BF27" s="597">
        <f>Assumptions!$C$173*BF$12</f>
        <v>0</v>
      </c>
      <c r="BG27" s="597">
        <f>Assumptions!$C$173*BG$12</f>
        <v>0</v>
      </c>
    </row>
    <row r="28" spans="2:59">
      <c r="B28" s="541">
        <f>B27+1</f>
        <v>9</v>
      </c>
      <c r="C28" s="542" t="str">
        <f>C21</f>
        <v xml:space="preserve">60% Block </v>
      </c>
      <c r="D28" s="543"/>
      <c r="E28" s="544"/>
      <c r="F28" s="544"/>
      <c r="G28" s="545"/>
      <c r="H28" s="544"/>
      <c r="I28" s="546">
        <f t="shared" ref="I28:AC29" si="27">I12+I22-I40</f>
        <v>1.3252002039999995</v>
      </c>
      <c r="J28" s="546">
        <v>12.653341931000002</v>
      </c>
      <c r="K28" s="546">
        <f t="shared" si="27"/>
        <v>5.0613367723999998</v>
      </c>
      <c r="L28" s="546">
        <f t="shared" si="27"/>
        <v>0</v>
      </c>
      <c r="M28" s="546">
        <f t="shared" si="27"/>
        <v>0</v>
      </c>
      <c r="N28" s="546">
        <f t="shared" si="27"/>
        <v>0</v>
      </c>
      <c r="O28" s="546">
        <f t="shared" si="27"/>
        <v>0</v>
      </c>
      <c r="P28" s="546">
        <f t="shared" si="27"/>
        <v>0</v>
      </c>
      <c r="Q28" s="546">
        <f t="shared" si="27"/>
        <v>0</v>
      </c>
      <c r="R28" s="546">
        <f t="shared" si="27"/>
        <v>0</v>
      </c>
      <c r="S28" s="546">
        <f t="shared" si="27"/>
        <v>0</v>
      </c>
      <c r="T28" s="546">
        <f t="shared" si="27"/>
        <v>0</v>
      </c>
      <c r="U28" s="546">
        <f t="shared" si="27"/>
        <v>0</v>
      </c>
      <c r="V28" s="546">
        <f t="shared" si="27"/>
        <v>0</v>
      </c>
      <c r="W28" s="546">
        <f t="shared" si="27"/>
        <v>0</v>
      </c>
      <c r="X28" s="546">
        <f t="shared" si="27"/>
        <v>0</v>
      </c>
      <c r="Y28" s="546">
        <f t="shared" si="27"/>
        <v>0</v>
      </c>
      <c r="Z28" s="546">
        <f t="shared" si="27"/>
        <v>0</v>
      </c>
      <c r="AA28" s="546">
        <f t="shared" si="27"/>
        <v>0</v>
      </c>
      <c r="AB28" s="546">
        <f t="shared" si="27"/>
        <v>0</v>
      </c>
      <c r="AC28" s="546">
        <f t="shared" si="27"/>
        <v>0</v>
      </c>
      <c r="AD28" s="547"/>
      <c r="AF28" s="541">
        <v>4</v>
      </c>
      <c r="AG28" s="598" t="s">
        <v>504</v>
      </c>
      <c r="AH28" s="566"/>
      <c r="AI28" s="571"/>
      <c r="AJ28" s="577"/>
      <c r="AK28" s="578"/>
      <c r="AL28" s="586"/>
      <c r="AM28" s="586"/>
      <c r="AN28" s="597"/>
      <c r="AO28" s="597"/>
      <c r="AP28" s="597"/>
      <c r="AQ28" s="597"/>
      <c r="AR28" s="597"/>
      <c r="AS28" s="597"/>
      <c r="AT28" s="597"/>
      <c r="AU28" s="597"/>
      <c r="AV28" s="597"/>
      <c r="AW28" s="597"/>
      <c r="AX28" s="597"/>
      <c r="AY28" s="597"/>
      <c r="AZ28" s="597"/>
      <c r="BA28" s="597"/>
      <c r="BB28" s="597"/>
      <c r="BC28" s="597"/>
      <c r="BD28" s="597"/>
      <c r="BE28" s="597"/>
      <c r="BF28" s="597"/>
      <c r="BG28" s="597"/>
    </row>
    <row r="29" spans="2:59">
      <c r="B29" s="541">
        <f>B28+1</f>
        <v>10</v>
      </c>
      <c r="C29" s="599" t="str">
        <f>C23</f>
        <v>25% Block (Intangible)</v>
      </c>
      <c r="D29" s="553"/>
      <c r="E29" s="544"/>
      <c r="F29" s="544"/>
      <c r="G29" s="545"/>
      <c r="H29" s="544"/>
      <c r="I29" s="546">
        <f t="shared" si="27"/>
        <v>0</v>
      </c>
      <c r="J29" s="546">
        <f t="shared" si="27"/>
        <v>0</v>
      </c>
      <c r="K29" s="546">
        <f t="shared" si="27"/>
        <v>0</v>
      </c>
      <c r="L29" s="546">
        <f t="shared" si="27"/>
        <v>0</v>
      </c>
      <c r="M29" s="546">
        <f t="shared" si="27"/>
        <v>0</v>
      </c>
      <c r="N29" s="546">
        <f t="shared" si="27"/>
        <v>0</v>
      </c>
      <c r="O29" s="546">
        <f t="shared" si="27"/>
        <v>0</v>
      </c>
      <c r="P29" s="546">
        <f t="shared" si="27"/>
        <v>0</v>
      </c>
      <c r="Q29" s="546">
        <f t="shared" si="27"/>
        <v>0</v>
      </c>
      <c r="R29" s="546">
        <f t="shared" si="27"/>
        <v>0</v>
      </c>
      <c r="S29" s="546">
        <f t="shared" si="27"/>
        <v>0</v>
      </c>
      <c r="T29" s="546">
        <f t="shared" si="27"/>
        <v>0</v>
      </c>
      <c r="U29" s="546">
        <f t="shared" si="27"/>
        <v>0</v>
      </c>
      <c r="V29" s="546">
        <f t="shared" si="27"/>
        <v>0</v>
      </c>
      <c r="W29" s="546">
        <f t="shared" si="27"/>
        <v>0</v>
      </c>
      <c r="X29" s="546">
        <f t="shared" si="27"/>
        <v>0</v>
      </c>
      <c r="Y29" s="546">
        <f t="shared" si="27"/>
        <v>0</v>
      </c>
      <c r="Z29" s="546">
        <f t="shared" si="27"/>
        <v>0</v>
      </c>
      <c r="AA29" s="546">
        <f t="shared" si="27"/>
        <v>0</v>
      </c>
      <c r="AB29" s="546">
        <f t="shared" si="27"/>
        <v>0</v>
      </c>
      <c r="AC29" s="546">
        <f t="shared" si="27"/>
        <v>0</v>
      </c>
      <c r="AD29" s="547"/>
      <c r="AF29" s="541"/>
      <c r="AG29" s="565" t="s">
        <v>515</v>
      </c>
      <c r="AH29" s="566"/>
      <c r="AI29" s="571"/>
      <c r="AJ29" s="577"/>
      <c r="AK29" s="578"/>
      <c r="AL29" s="579"/>
      <c r="AM29" s="579">
        <f>8.0437-AL42</f>
        <v>-0.60829999999999984</v>
      </c>
      <c r="AN29" s="600">
        <f>Assumptions!$C$173*AN$13</f>
        <v>0</v>
      </c>
      <c r="AO29" s="600">
        <f>Assumptions!$C$173*AO$13</f>
        <v>0</v>
      </c>
      <c r="AP29" s="600">
        <f>Assumptions!$C$173*AP$13</f>
        <v>0</v>
      </c>
      <c r="AQ29" s="600">
        <f>Assumptions!$C$173*AQ$13</f>
        <v>0</v>
      </c>
      <c r="AR29" s="600">
        <f>Assumptions!$C$173*AR$13</f>
        <v>0</v>
      </c>
      <c r="AS29" s="600">
        <f>Assumptions!$C$173*AS$13</f>
        <v>0</v>
      </c>
      <c r="AT29" s="600">
        <f>Assumptions!$C$173*AT$13</f>
        <v>0</v>
      </c>
      <c r="AU29" s="600">
        <f>Assumptions!$C$173*AU$13</f>
        <v>0</v>
      </c>
      <c r="AV29" s="600">
        <f>Assumptions!$C$173*AV$13</f>
        <v>0</v>
      </c>
      <c r="AW29" s="600">
        <f>Assumptions!$C$173*AW$13</f>
        <v>0</v>
      </c>
      <c r="AX29" s="600">
        <f>Assumptions!$C$173*AX$13</f>
        <v>0</v>
      </c>
      <c r="AY29" s="600">
        <f>Assumptions!$C$173*AY$13</f>
        <v>0</v>
      </c>
      <c r="AZ29" s="600">
        <f>Assumptions!$C$173*AZ$13</f>
        <v>0</v>
      </c>
      <c r="BA29" s="600">
        <f>Assumptions!$C$173*BA$13</f>
        <v>0</v>
      </c>
      <c r="BB29" s="600">
        <f>Assumptions!$C$173*BB$13</f>
        <v>0</v>
      </c>
      <c r="BC29" s="600">
        <f>Assumptions!$C$173*BC$13</f>
        <v>0</v>
      </c>
      <c r="BD29" s="600">
        <f>Assumptions!$C$173*BD$13</f>
        <v>0</v>
      </c>
      <c r="BE29" s="600">
        <f>Assumptions!$C$173*BE$13</f>
        <v>0</v>
      </c>
      <c r="BF29" s="600">
        <f>Assumptions!$C$173*BF$13</f>
        <v>0</v>
      </c>
      <c r="BG29" s="600">
        <f>Assumptions!$C$173*BG$13</f>
        <v>0</v>
      </c>
    </row>
    <row r="30" spans="2:59">
      <c r="B30" s="601" t="s">
        <v>441</v>
      </c>
      <c r="C30" s="555" t="s">
        <v>516</v>
      </c>
      <c r="D30" s="556"/>
      <c r="E30" s="602"/>
      <c r="F30" s="602"/>
      <c r="G30" s="603"/>
      <c r="H30" s="604"/>
      <c r="I30" s="604"/>
      <c r="J30" s="604"/>
      <c r="K30" s="604"/>
      <c r="L30" s="604"/>
      <c r="M30" s="604"/>
      <c r="N30" s="604"/>
      <c r="O30" s="604"/>
      <c r="P30" s="604"/>
      <c r="Q30" s="604"/>
      <c r="R30" s="604"/>
      <c r="S30" s="604"/>
      <c r="T30" s="604"/>
      <c r="U30" s="604"/>
      <c r="V30" s="604"/>
      <c r="W30" s="604"/>
      <c r="X30" s="604"/>
      <c r="Y30" s="604"/>
      <c r="Z30" s="604"/>
      <c r="AA30" s="604"/>
      <c r="AB30" s="604"/>
      <c r="AC30" s="604"/>
      <c r="AD30" s="605"/>
      <c r="AF30" s="541">
        <v>5</v>
      </c>
      <c r="AG30" s="542" t="s">
        <v>506</v>
      </c>
      <c r="AH30" s="566"/>
      <c r="AI30" s="571"/>
      <c r="AJ30" s="577"/>
      <c r="AK30" s="578"/>
      <c r="AL30" s="552"/>
      <c r="AM30" s="552"/>
      <c r="AN30" s="546"/>
      <c r="AO30" s="546"/>
      <c r="AP30" s="546"/>
      <c r="AQ30" s="546"/>
      <c r="AR30" s="546"/>
      <c r="AS30" s="546"/>
      <c r="AT30" s="546"/>
      <c r="AU30" s="546"/>
      <c r="AV30" s="546"/>
      <c r="AW30" s="546"/>
      <c r="AX30" s="546"/>
      <c r="AY30" s="546"/>
      <c r="AZ30" s="546"/>
      <c r="BA30" s="546"/>
      <c r="BB30" s="546"/>
      <c r="BC30" s="546"/>
      <c r="BD30" s="546"/>
      <c r="BE30" s="546"/>
      <c r="BF30" s="546"/>
      <c r="BG30" s="546"/>
    </row>
    <row r="31" spans="2:59">
      <c r="B31" s="541">
        <f>B29+1</f>
        <v>11</v>
      </c>
      <c r="C31" s="606" t="str">
        <f>C26</f>
        <v xml:space="preserve">10% Block </v>
      </c>
      <c r="D31" s="607"/>
      <c r="E31" s="608"/>
      <c r="F31" s="608"/>
      <c r="G31" s="609">
        <v>0.1</v>
      </c>
      <c r="H31" s="610">
        <f t="shared" ref="H31:W34" si="28">G31</f>
        <v>0.1</v>
      </c>
      <c r="I31" s="611">
        <f t="shared" si="28"/>
        <v>0.1</v>
      </c>
      <c r="J31" s="611">
        <f t="shared" si="28"/>
        <v>0.1</v>
      </c>
      <c r="K31" s="611">
        <f t="shared" si="28"/>
        <v>0.1</v>
      </c>
      <c r="L31" s="611">
        <f t="shared" si="28"/>
        <v>0.1</v>
      </c>
      <c r="M31" s="611">
        <f t="shared" si="28"/>
        <v>0.1</v>
      </c>
      <c r="N31" s="611">
        <f t="shared" si="28"/>
        <v>0.1</v>
      </c>
      <c r="O31" s="611">
        <f t="shared" si="28"/>
        <v>0.1</v>
      </c>
      <c r="P31" s="611">
        <f t="shared" si="28"/>
        <v>0.1</v>
      </c>
      <c r="Q31" s="611">
        <f t="shared" si="28"/>
        <v>0.1</v>
      </c>
      <c r="R31" s="611">
        <f t="shared" si="28"/>
        <v>0.1</v>
      </c>
      <c r="S31" s="611">
        <f t="shared" si="28"/>
        <v>0.1</v>
      </c>
      <c r="T31" s="611">
        <f t="shared" si="28"/>
        <v>0.1</v>
      </c>
      <c r="U31" s="611">
        <f t="shared" si="28"/>
        <v>0.1</v>
      </c>
      <c r="V31" s="611">
        <f t="shared" si="28"/>
        <v>0.1</v>
      </c>
      <c r="W31" s="611">
        <f t="shared" si="28"/>
        <v>0.1</v>
      </c>
      <c r="X31" s="611">
        <f t="shared" ref="X31:AC34" si="29">W31</f>
        <v>0.1</v>
      </c>
      <c r="Y31" s="611">
        <f t="shared" si="29"/>
        <v>0.1</v>
      </c>
      <c r="Z31" s="611">
        <f t="shared" si="29"/>
        <v>0.1</v>
      </c>
      <c r="AA31" s="611">
        <f t="shared" si="29"/>
        <v>0.1</v>
      </c>
      <c r="AB31" s="611">
        <f t="shared" si="29"/>
        <v>0.1</v>
      </c>
      <c r="AC31" s="611">
        <f t="shared" si="29"/>
        <v>0.1</v>
      </c>
      <c r="AD31" s="612"/>
      <c r="AF31" s="541"/>
      <c r="AG31" s="565" t="s">
        <v>515</v>
      </c>
      <c r="AH31" s="566"/>
      <c r="AI31" s="571"/>
      <c r="AJ31" s="577"/>
      <c r="AK31" s="578"/>
      <c r="AL31" s="586"/>
      <c r="AM31" s="586">
        <f>14.0787-AL43</f>
        <v>-1.8983000000000008</v>
      </c>
      <c r="AN31" s="597">
        <f>Assumptions!$C$173*AN$14</f>
        <v>0</v>
      </c>
      <c r="AO31" s="597">
        <f>Assumptions!$C$173*AO$14</f>
        <v>0</v>
      </c>
      <c r="AP31" s="597">
        <f>Assumptions!$C$173*AP$14</f>
        <v>0</v>
      </c>
      <c r="AQ31" s="597">
        <f>Assumptions!$C$173*AQ$14</f>
        <v>0</v>
      </c>
      <c r="AR31" s="597">
        <f>Assumptions!$C$173*AR$14</f>
        <v>0</v>
      </c>
      <c r="AS31" s="597">
        <f>Assumptions!$C$173*AS$14</f>
        <v>0</v>
      </c>
      <c r="AT31" s="597">
        <f>Assumptions!$C$173*AT$14</f>
        <v>0</v>
      </c>
      <c r="AU31" s="597">
        <f>Assumptions!$C$173*AU$14</f>
        <v>0</v>
      </c>
      <c r="AV31" s="597">
        <f>Assumptions!$C$173*AV$14</f>
        <v>0</v>
      </c>
      <c r="AW31" s="597">
        <f>Assumptions!$C$173*AW$14</f>
        <v>0</v>
      </c>
      <c r="AX31" s="597">
        <f>Assumptions!$C$173*AX$14</f>
        <v>0</v>
      </c>
      <c r="AY31" s="597">
        <f>Assumptions!$C$173*AY$14</f>
        <v>0</v>
      </c>
      <c r="AZ31" s="597">
        <f>Assumptions!$C$173*AZ$14</f>
        <v>0</v>
      </c>
      <c r="BA31" s="597">
        <f>Assumptions!$C$173*BA$14</f>
        <v>0</v>
      </c>
      <c r="BB31" s="597">
        <f>Assumptions!$C$173*BB$14</f>
        <v>0</v>
      </c>
      <c r="BC31" s="597">
        <f>Assumptions!$C$173*BC$14</f>
        <v>0</v>
      </c>
      <c r="BD31" s="597">
        <f>Assumptions!$C$173*BD$14</f>
        <v>0</v>
      </c>
      <c r="BE31" s="597">
        <f>Assumptions!$C$173*BE$14</f>
        <v>0</v>
      </c>
      <c r="BF31" s="597">
        <f>Assumptions!$C$173*BF$14</f>
        <v>0</v>
      </c>
      <c r="BG31" s="597">
        <f>Assumptions!$C$173*BG$14</f>
        <v>0</v>
      </c>
    </row>
    <row r="32" spans="2:59">
      <c r="B32" s="541">
        <f>+B31+1</f>
        <v>12</v>
      </c>
      <c r="C32" s="606" t="str">
        <f>C27</f>
        <v xml:space="preserve">15% Block </v>
      </c>
      <c r="D32" s="607"/>
      <c r="E32" s="608"/>
      <c r="F32" s="608"/>
      <c r="G32" s="609">
        <v>0.15</v>
      </c>
      <c r="H32" s="610">
        <f t="shared" si="28"/>
        <v>0.15</v>
      </c>
      <c r="I32" s="611">
        <f t="shared" si="28"/>
        <v>0.15</v>
      </c>
      <c r="J32" s="611">
        <f t="shared" si="28"/>
        <v>0.15</v>
      </c>
      <c r="K32" s="611">
        <f t="shared" si="28"/>
        <v>0.15</v>
      </c>
      <c r="L32" s="611">
        <f t="shared" si="28"/>
        <v>0.15</v>
      </c>
      <c r="M32" s="611">
        <f t="shared" si="28"/>
        <v>0.15</v>
      </c>
      <c r="N32" s="611">
        <f t="shared" si="28"/>
        <v>0.15</v>
      </c>
      <c r="O32" s="611">
        <f t="shared" si="28"/>
        <v>0.15</v>
      </c>
      <c r="P32" s="611">
        <f t="shared" si="28"/>
        <v>0.15</v>
      </c>
      <c r="Q32" s="611">
        <f t="shared" si="28"/>
        <v>0.15</v>
      </c>
      <c r="R32" s="611">
        <f t="shared" si="28"/>
        <v>0.15</v>
      </c>
      <c r="S32" s="611">
        <f t="shared" si="28"/>
        <v>0.15</v>
      </c>
      <c r="T32" s="611">
        <f t="shared" si="28"/>
        <v>0.15</v>
      </c>
      <c r="U32" s="611">
        <f t="shared" si="28"/>
        <v>0.15</v>
      </c>
      <c r="V32" s="611">
        <f t="shared" si="28"/>
        <v>0.15</v>
      </c>
      <c r="W32" s="611">
        <f t="shared" si="28"/>
        <v>0.15</v>
      </c>
      <c r="X32" s="611">
        <f t="shared" si="29"/>
        <v>0.15</v>
      </c>
      <c r="Y32" s="611">
        <f t="shared" si="29"/>
        <v>0.15</v>
      </c>
      <c r="Z32" s="611">
        <f t="shared" si="29"/>
        <v>0.15</v>
      </c>
      <c r="AA32" s="611">
        <f t="shared" si="29"/>
        <v>0.15</v>
      </c>
      <c r="AB32" s="611">
        <f t="shared" si="29"/>
        <v>0.15</v>
      </c>
      <c r="AC32" s="611">
        <f t="shared" si="29"/>
        <v>0.15</v>
      </c>
      <c r="AD32" s="612"/>
      <c r="AF32" s="541">
        <v>6</v>
      </c>
      <c r="AG32" s="542" t="str">
        <f>AG15</f>
        <v>Vehicles</v>
      </c>
      <c r="AH32" s="566"/>
      <c r="AI32" s="571"/>
      <c r="AJ32" s="577"/>
      <c r="AK32" s="578"/>
      <c r="AL32" s="552"/>
      <c r="AM32" s="552"/>
      <c r="AN32" s="546"/>
      <c r="AO32" s="546"/>
      <c r="AP32" s="546"/>
      <c r="AQ32" s="546"/>
      <c r="AR32" s="546"/>
      <c r="AS32" s="546"/>
      <c r="AT32" s="546"/>
      <c r="AU32" s="546"/>
      <c r="AV32" s="546"/>
      <c r="AW32" s="546"/>
      <c r="AX32" s="546"/>
      <c r="AY32" s="546"/>
      <c r="AZ32" s="546"/>
      <c r="BA32" s="546"/>
      <c r="BB32" s="546"/>
      <c r="BC32" s="546"/>
      <c r="BD32" s="546"/>
      <c r="BE32" s="546"/>
      <c r="BF32" s="546"/>
      <c r="BG32" s="546"/>
    </row>
    <row r="33" spans="2:59">
      <c r="B33" s="541">
        <f>+B32+1</f>
        <v>13</v>
      </c>
      <c r="C33" s="606" t="str">
        <f>C28</f>
        <v xml:space="preserve">60% Block </v>
      </c>
      <c r="D33" s="607"/>
      <c r="E33" s="608"/>
      <c r="F33" s="608"/>
      <c r="G33" s="609">
        <v>0.6</v>
      </c>
      <c r="H33" s="610">
        <f t="shared" si="28"/>
        <v>0.6</v>
      </c>
      <c r="I33" s="611">
        <f t="shared" si="28"/>
        <v>0.6</v>
      </c>
      <c r="J33" s="611">
        <f t="shared" si="28"/>
        <v>0.6</v>
      </c>
      <c r="K33" s="611">
        <f t="shared" si="28"/>
        <v>0.6</v>
      </c>
      <c r="L33" s="611">
        <f t="shared" si="28"/>
        <v>0.6</v>
      </c>
      <c r="M33" s="611">
        <f t="shared" si="28"/>
        <v>0.6</v>
      </c>
      <c r="N33" s="611">
        <f t="shared" si="28"/>
        <v>0.6</v>
      </c>
      <c r="O33" s="611">
        <f t="shared" si="28"/>
        <v>0.6</v>
      </c>
      <c r="P33" s="611">
        <f t="shared" si="28"/>
        <v>0.6</v>
      </c>
      <c r="Q33" s="611">
        <f t="shared" si="28"/>
        <v>0.6</v>
      </c>
      <c r="R33" s="611">
        <f t="shared" si="28"/>
        <v>0.6</v>
      </c>
      <c r="S33" s="611">
        <f t="shared" si="28"/>
        <v>0.6</v>
      </c>
      <c r="T33" s="611">
        <f t="shared" si="28"/>
        <v>0.6</v>
      </c>
      <c r="U33" s="611">
        <f t="shared" si="28"/>
        <v>0.6</v>
      </c>
      <c r="V33" s="611">
        <f t="shared" si="28"/>
        <v>0.6</v>
      </c>
      <c r="W33" s="611">
        <f t="shared" si="28"/>
        <v>0.6</v>
      </c>
      <c r="X33" s="611">
        <f t="shared" si="29"/>
        <v>0.6</v>
      </c>
      <c r="Y33" s="611">
        <f t="shared" si="29"/>
        <v>0.6</v>
      </c>
      <c r="Z33" s="611">
        <f t="shared" si="29"/>
        <v>0.6</v>
      </c>
      <c r="AA33" s="611">
        <f t="shared" si="29"/>
        <v>0.6</v>
      </c>
      <c r="AB33" s="611">
        <f t="shared" si="29"/>
        <v>0.6</v>
      </c>
      <c r="AC33" s="611">
        <f t="shared" si="29"/>
        <v>0.6</v>
      </c>
      <c r="AD33" s="612"/>
      <c r="AF33" s="541"/>
      <c r="AG33" s="565" t="s">
        <v>515</v>
      </c>
      <c r="AH33" s="566"/>
      <c r="AI33" s="571"/>
      <c r="AJ33" s="577"/>
      <c r="AK33" s="578"/>
      <c r="AL33" s="593"/>
      <c r="AM33" s="593">
        <f>2.8075-AL44</f>
        <v>-0.63050000000000006</v>
      </c>
      <c r="AN33" s="613">
        <f>0</f>
        <v>0</v>
      </c>
      <c r="AO33" s="613">
        <f>0</f>
        <v>0</v>
      </c>
      <c r="AP33" s="613">
        <f>0</f>
        <v>0</v>
      </c>
      <c r="AQ33" s="613">
        <f>0</f>
        <v>0</v>
      </c>
      <c r="AR33" s="613">
        <f>0</f>
        <v>0</v>
      </c>
      <c r="AS33" s="613">
        <f>0</f>
        <v>0</v>
      </c>
      <c r="AT33" s="613">
        <f>0</f>
        <v>0</v>
      </c>
      <c r="AU33" s="613">
        <f>0</f>
        <v>0</v>
      </c>
      <c r="AV33" s="613">
        <f>0</f>
        <v>0</v>
      </c>
      <c r="AW33" s="613">
        <f>0</f>
        <v>0</v>
      </c>
      <c r="AX33" s="613">
        <f>0</f>
        <v>0</v>
      </c>
      <c r="AY33" s="613">
        <f>0</f>
        <v>0</v>
      </c>
      <c r="AZ33" s="613">
        <f>0</f>
        <v>0</v>
      </c>
      <c r="BA33" s="613">
        <f>0</f>
        <v>0</v>
      </c>
      <c r="BB33" s="613">
        <f>0</f>
        <v>0</v>
      </c>
      <c r="BC33" s="613">
        <f>0</f>
        <v>0</v>
      </c>
      <c r="BD33" s="613">
        <f>0</f>
        <v>0</v>
      </c>
      <c r="BE33" s="613">
        <f>0</f>
        <v>0</v>
      </c>
      <c r="BF33" s="613">
        <f>0</f>
        <v>0</v>
      </c>
      <c r="BG33" s="613">
        <f>0</f>
        <v>0</v>
      </c>
    </row>
    <row r="34" spans="2:59">
      <c r="B34" s="541">
        <f>+B33+1</f>
        <v>14</v>
      </c>
      <c r="C34" s="614" t="str">
        <f>C29</f>
        <v>25% Block (Intangible)</v>
      </c>
      <c r="D34" s="553"/>
      <c r="E34" s="615"/>
      <c r="F34" s="615"/>
      <c r="G34" s="609">
        <v>0.25</v>
      </c>
      <c r="H34" s="610">
        <f t="shared" si="28"/>
        <v>0.25</v>
      </c>
      <c r="I34" s="611">
        <f t="shared" si="28"/>
        <v>0.25</v>
      </c>
      <c r="J34" s="611">
        <f t="shared" si="28"/>
        <v>0.25</v>
      </c>
      <c r="K34" s="611">
        <f t="shared" si="28"/>
        <v>0.25</v>
      </c>
      <c r="L34" s="611">
        <f t="shared" si="28"/>
        <v>0.25</v>
      </c>
      <c r="M34" s="611">
        <f t="shared" si="28"/>
        <v>0.25</v>
      </c>
      <c r="N34" s="611">
        <f t="shared" si="28"/>
        <v>0.25</v>
      </c>
      <c r="O34" s="611">
        <f t="shared" si="28"/>
        <v>0.25</v>
      </c>
      <c r="P34" s="611">
        <f t="shared" si="28"/>
        <v>0.25</v>
      </c>
      <c r="Q34" s="611">
        <f t="shared" si="28"/>
        <v>0.25</v>
      </c>
      <c r="R34" s="611">
        <f t="shared" si="28"/>
        <v>0.25</v>
      </c>
      <c r="S34" s="611">
        <f t="shared" si="28"/>
        <v>0.25</v>
      </c>
      <c r="T34" s="611">
        <f t="shared" si="28"/>
        <v>0.25</v>
      </c>
      <c r="U34" s="611">
        <f t="shared" si="28"/>
        <v>0.25</v>
      </c>
      <c r="V34" s="611">
        <f t="shared" si="28"/>
        <v>0.25</v>
      </c>
      <c r="W34" s="611">
        <f t="shared" si="28"/>
        <v>0.25</v>
      </c>
      <c r="X34" s="611">
        <f t="shared" si="29"/>
        <v>0.25</v>
      </c>
      <c r="Y34" s="611">
        <f t="shared" si="29"/>
        <v>0.25</v>
      </c>
      <c r="Z34" s="611">
        <f t="shared" si="29"/>
        <v>0.25</v>
      </c>
      <c r="AA34" s="611">
        <f t="shared" si="29"/>
        <v>0.25</v>
      </c>
      <c r="AB34" s="611">
        <f t="shared" si="29"/>
        <v>0.25</v>
      </c>
      <c r="AC34" s="611">
        <f t="shared" si="29"/>
        <v>0.25</v>
      </c>
      <c r="AD34" s="612"/>
      <c r="AF34" s="541">
        <v>7</v>
      </c>
      <c r="AG34" s="542" t="s">
        <v>509</v>
      </c>
      <c r="AH34" s="566"/>
      <c r="AI34" s="571"/>
      <c r="AJ34" s="577"/>
      <c r="AK34" s="578"/>
      <c r="AL34" s="552"/>
      <c r="AM34" s="552"/>
      <c r="AN34" s="546"/>
      <c r="AO34" s="546"/>
      <c r="AP34" s="546"/>
      <c r="AQ34" s="546"/>
      <c r="AR34" s="546"/>
      <c r="AS34" s="546"/>
      <c r="AT34" s="546"/>
      <c r="AU34" s="546"/>
      <c r="AV34" s="546"/>
      <c r="AW34" s="546"/>
      <c r="AX34" s="546"/>
      <c r="AY34" s="546"/>
      <c r="AZ34" s="546"/>
      <c r="BA34" s="546"/>
      <c r="BB34" s="546"/>
      <c r="BC34" s="546"/>
      <c r="BD34" s="546"/>
      <c r="BE34" s="546"/>
      <c r="BF34" s="546"/>
      <c r="BG34" s="546"/>
    </row>
    <row r="35" spans="2:59">
      <c r="B35" s="601" t="s">
        <v>517</v>
      </c>
      <c r="C35" s="555" t="s">
        <v>518</v>
      </c>
      <c r="D35" s="556"/>
      <c r="E35" s="604"/>
      <c r="F35" s="604"/>
      <c r="G35" s="603"/>
      <c r="H35" s="604"/>
      <c r="I35" s="604"/>
      <c r="J35" s="604"/>
      <c r="K35" s="604"/>
      <c r="L35" s="604"/>
      <c r="M35" s="604"/>
      <c r="N35" s="604"/>
      <c r="O35" s="604"/>
      <c r="P35" s="604"/>
      <c r="Q35" s="604"/>
      <c r="R35" s="604"/>
      <c r="S35" s="604"/>
      <c r="T35" s="604"/>
      <c r="U35" s="604"/>
      <c r="V35" s="604"/>
      <c r="W35" s="604"/>
      <c r="X35" s="604"/>
      <c r="Y35" s="604"/>
      <c r="Z35" s="604"/>
      <c r="AA35" s="604"/>
      <c r="AB35" s="604"/>
      <c r="AC35" s="604"/>
      <c r="AD35" s="605"/>
      <c r="AF35" s="541"/>
      <c r="AG35" s="565" t="s">
        <v>485</v>
      </c>
      <c r="AH35" s="566"/>
      <c r="AI35" s="571"/>
      <c r="AJ35" s="577"/>
      <c r="AK35" s="578"/>
      <c r="AL35" s="552"/>
      <c r="AM35" s="552">
        <f>0</f>
        <v>0</v>
      </c>
      <c r="AN35" s="546">
        <f>0</f>
        <v>0</v>
      </c>
      <c r="AO35" s="546">
        <f>0</f>
        <v>0</v>
      </c>
      <c r="AP35" s="546">
        <f>0</f>
        <v>0</v>
      </c>
      <c r="AQ35" s="546">
        <v>0</v>
      </c>
      <c r="AR35" s="546">
        <v>0</v>
      </c>
      <c r="AS35" s="546">
        <v>0</v>
      </c>
      <c r="AT35" s="546">
        <v>0</v>
      </c>
      <c r="AU35" s="546">
        <v>0</v>
      </c>
      <c r="AV35" s="546">
        <v>0</v>
      </c>
      <c r="AW35" s="546">
        <v>0</v>
      </c>
      <c r="AX35" s="546">
        <v>0</v>
      </c>
      <c r="AY35" s="546">
        <v>0</v>
      </c>
      <c r="AZ35" s="546">
        <v>0</v>
      </c>
      <c r="BA35" s="546">
        <v>0</v>
      </c>
      <c r="BB35" s="546">
        <v>0</v>
      </c>
      <c r="BC35" s="546">
        <v>0</v>
      </c>
      <c r="BD35" s="546">
        <v>0</v>
      </c>
      <c r="BE35" s="546">
        <v>0</v>
      </c>
      <c r="BF35" s="546">
        <v>0</v>
      </c>
      <c r="BG35" s="546">
        <v>0</v>
      </c>
    </row>
    <row r="36" spans="2:59">
      <c r="B36" s="541">
        <f>+B34+1</f>
        <v>15</v>
      </c>
      <c r="C36" s="616" t="s">
        <v>518</v>
      </c>
      <c r="D36" s="617"/>
      <c r="E36" s="618"/>
      <c r="F36" s="618">
        <v>365</v>
      </c>
      <c r="G36" s="619">
        <v>365</v>
      </c>
      <c r="H36" s="618">
        <v>365</v>
      </c>
      <c r="I36" s="620">
        <v>365</v>
      </c>
      <c r="J36" s="620">
        <v>365</v>
      </c>
      <c r="K36" s="620">
        <v>365</v>
      </c>
      <c r="L36" s="620">
        <v>365</v>
      </c>
      <c r="M36" s="620">
        <v>365</v>
      </c>
      <c r="N36" s="620">
        <v>365</v>
      </c>
      <c r="O36" s="620">
        <v>365</v>
      </c>
      <c r="P36" s="620">
        <v>365</v>
      </c>
      <c r="Q36" s="620">
        <v>365</v>
      </c>
      <c r="R36" s="620">
        <v>365</v>
      </c>
      <c r="S36" s="620">
        <v>365</v>
      </c>
      <c r="T36" s="620">
        <v>365</v>
      </c>
      <c r="U36" s="620">
        <v>365</v>
      </c>
      <c r="V36" s="620">
        <v>365</v>
      </c>
      <c r="W36" s="620">
        <v>365</v>
      </c>
      <c r="X36" s="620">
        <v>365</v>
      </c>
      <c r="Y36" s="620">
        <v>365</v>
      </c>
      <c r="Z36" s="620">
        <v>365</v>
      </c>
      <c r="AA36" s="620">
        <v>365</v>
      </c>
      <c r="AB36" s="620">
        <v>365</v>
      </c>
      <c r="AC36" s="620">
        <v>365</v>
      </c>
      <c r="AD36" s="621"/>
      <c r="AF36" s="541">
        <v>8</v>
      </c>
      <c r="AG36" s="542" t="s">
        <v>510</v>
      </c>
      <c r="AH36" s="566"/>
      <c r="AI36" s="571"/>
      <c r="AJ36" s="622"/>
      <c r="AK36" s="578"/>
      <c r="AL36" s="552"/>
      <c r="AM36" s="552"/>
      <c r="AN36" s="546"/>
      <c r="AO36" s="546"/>
      <c r="AP36" s="546"/>
      <c r="AQ36" s="546"/>
      <c r="AR36" s="546"/>
      <c r="AS36" s="546"/>
      <c r="AT36" s="546"/>
      <c r="AU36" s="546"/>
      <c r="AV36" s="546"/>
      <c r="AW36" s="546"/>
      <c r="AX36" s="546"/>
      <c r="AY36" s="546"/>
      <c r="AZ36" s="546"/>
      <c r="BA36" s="546"/>
      <c r="BB36" s="546"/>
      <c r="BC36" s="546"/>
      <c r="BD36" s="546"/>
      <c r="BE36" s="546"/>
      <c r="BF36" s="546"/>
      <c r="BG36" s="546"/>
    </row>
    <row r="37" spans="2:59">
      <c r="B37" s="601" t="s">
        <v>519</v>
      </c>
      <c r="C37" s="555" t="s">
        <v>86</v>
      </c>
      <c r="D37" s="556"/>
      <c r="E37" s="602"/>
      <c r="F37" s="602"/>
      <c r="G37" s="603"/>
      <c r="H37" s="604"/>
      <c r="I37" s="604"/>
      <c r="J37" s="604"/>
      <c r="K37" s="604"/>
      <c r="L37" s="604"/>
      <c r="M37" s="604"/>
      <c r="N37" s="604"/>
      <c r="O37" s="604"/>
      <c r="P37" s="604"/>
      <c r="Q37" s="604"/>
      <c r="R37" s="604"/>
      <c r="S37" s="604"/>
      <c r="T37" s="604"/>
      <c r="U37" s="604"/>
      <c r="V37" s="604"/>
      <c r="W37" s="604"/>
      <c r="X37" s="604"/>
      <c r="Y37" s="604"/>
      <c r="Z37" s="604"/>
      <c r="AA37" s="604"/>
      <c r="AB37" s="604"/>
      <c r="AC37" s="604"/>
      <c r="AD37" s="605"/>
      <c r="AF37" s="541"/>
      <c r="AG37" s="565" t="s">
        <v>485</v>
      </c>
      <c r="AH37" s="566"/>
      <c r="AI37" s="571"/>
      <c r="AJ37" s="577"/>
      <c r="AK37" s="578"/>
      <c r="AL37" s="579"/>
      <c r="AM37" s="579">
        <f>49.14-AL46</f>
        <v>0</v>
      </c>
      <c r="AN37" s="600">
        <f>Assumptions!$C$173*AN$17*0</f>
        <v>0</v>
      </c>
      <c r="AO37" s="600">
        <f>Assumptions!$C$173*AO$17*0</f>
        <v>0</v>
      </c>
      <c r="AP37" s="600">
        <f>Assumptions!$C$173*AP$17*0</f>
        <v>0</v>
      </c>
      <c r="AQ37" s="600">
        <f>Assumptions!$C$173*AQ$17*0</f>
        <v>0</v>
      </c>
      <c r="AR37" s="600">
        <f>Assumptions!$C$173*AR$17*0</f>
        <v>0</v>
      </c>
      <c r="AS37" s="600">
        <f>Assumptions!$C$173*AS$17*0</f>
        <v>0</v>
      </c>
      <c r="AT37" s="600">
        <f>Assumptions!$C$173*AT$17*0</f>
        <v>0</v>
      </c>
      <c r="AU37" s="600">
        <f>Assumptions!$C$173*AU$17*0</f>
        <v>0</v>
      </c>
      <c r="AV37" s="600">
        <f>Assumptions!$C$173*AV$17*0</f>
        <v>0</v>
      </c>
      <c r="AW37" s="600">
        <f>Assumptions!$C$173*AW$17*0</f>
        <v>0</v>
      </c>
      <c r="AX37" s="600">
        <f>Assumptions!$C$173*AX$17*0</f>
        <v>0</v>
      </c>
      <c r="AY37" s="600">
        <f>Assumptions!$C$173*AY$17*0</f>
        <v>0</v>
      </c>
      <c r="AZ37" s="600">
        <f>Assumptions!$C$173*AZ$17*0</f>
        <v>0</v>
      </c>
      <c r="BA37" s="600">
        <f>Assumptions!$C$173*BA$17*0</f>
        <v>0</v>
      </c>
      <c r="BB37" s="600">
        <f>Assumptions!$C$173*BB$17*0</f>
        <v>0</v>
      </c>
      <c r="BC37" s="600">
        <f>Assumptions!$C$173*BC$17*0</f>
        <v>0</v>
      </c>
      <c r="BD37" s="600">
        <f>Assumptions!$C$173*BD$17*0</f>
        <v>0</v>
      </c>
      <c r="BE37" s="600">
        <f>Assumptions!$C$173*BE$17*0</f>
        <v>0</v>
      </c>
      <c r="BF37" s="600">
        <f>Assumptions!$C$173*BF$17*0</f>
        <v>0</v>
      </c>
      <c r="BG37" s="600">
        <f>Assumptions!$C$173*BG$17*0</f>
        <v>0</v>
      </c>
    </row>
    <row r="38" spans="2:59">
      <c r="B38" s="541">
        <f>B36+1</f>
        <v>16</v>
      </c>
      <c r="C38" s="616" t="str">
        <f>C31</f>
        <v xml:space="preserve">10% Block </v>
      </c>
      <c r="D38" s="617"/>
      <c r="E38" s="544"/>
      <c r="F38" s="623"/>
      <c r="G38" s="624"/>
      <c r="H38" s="544"/>
      <c r="I38" s="546">
        <v>2.3688968630000002</v>
      </c>
      <c r="J38" s="546">
        <v>2.1345024909999997</v>
      </c>
      <c r="K38" s="546">
        <f t="shared" ref="K38:AC38" si="30">+IF(K10=0,0,MIN(K10+K16+K17,(K10+K16+K17)*K31*K$36/365))</f>
        <v>1.9312042961000002</v>
      </c>
      <c r="L38" s="546">
        <f t="shared" si="30"/>
        <v>1.7570000000000001</v>
      </c>
      <c r="M38" s="546">
        <f t="shared" si="30"/>
        <v>1.5813000000000001</v>
      </c>
      <c r="N38" s="546">
        <f t="shared" si="30"/>
        <v>1.42317</v>
      </c>
      <c r="O38" s="546">
        <f t="shared" si="30"/>
        <v>1.280853</v>
      </c>
      <c r="P38" s="546">
        <f t="shared" si="30"/>
        <v>1.1527676999999998</v>
      </c>
      <c r="Q38" s="546">
        <f t="shared" si="30"/>
        <v>1.0374909299999999</v>
      </c>
      <c r="R38" s="546">
        <f t="shared" si="30"/>
        <v>0.93374183700000002</v>
      </c>
      <c r="S38" s="546">
        <f t="shared" si="30"/>
        <v>0.84036765329999996</v>
      </c>
      <c r="T38" s="546">
        <f t="shared" si="30"/>
        <v>0.75633088796999992</v>
      </c>
      <c r="U38" s="546">
        <f t="shared" si="30"/>
        <v>0.680697799173</v>
      </c>
      <c r="V38" s="546">
        <f t="shared" si="30"/>
        <v>0.61262801925569998</v>
      </c>
      <c r="W38" s="546">
        <f t="shared" si="30"/>
        <v>0.55136521733012989</v>
      </c>
      <c r="X38" s="546">
        <f t="shared" si="30"/>
        <v>0.49622869559711696</v>
      </c>
      <c r="Y38" s="546">
        <f t="shared" si="30"/>
        <v>0.44660582603740523</v>
      </c>
      <c r="Z38" s="546">
        <f t="shared" si="30"/>
        <v>0.40194524343366472</v>
      </c>
      <c r="AA38" s="546">
        <f t="shared" si="30"/>
        <v>0.36175071909029821</v>
      </c>
      <c r="AB38" s="546">
        <f t="shared" si="30"/>
        <v>0.32557564718126841</v>
      </c>
      <c r="AC38" s="546">
        <f t="shared" si="30"/>
        <v>0.29301808246314159</v>
      </c>
      <c r="AD38" s="547"/>
      <c r="AF38" s="554" t="s">
        <v>488</v>
      </c>
      <c r="AG38" s="555" t="s">
        <v>520</v>
      </c>
      <c r="AH38" s="556"/>
      <c r="AI38" s="572"/>
      <c r="AJ38" s="572"/>
      <c r="AK38" s="573"/>
      <c r="AL38" s="572"/>
      <c r="AM38" s="572"/>
      <c r="AN38" s="557"/>
      <c r="AO38" s="557"/>
      <c r="AP38" s="557"/>
      <c r="AQ38" s="557"/>
      <c r="AR38" s="557"/>
      <c r="AS38" s="557"/>
      <c r="AT38" s="557"/>
      <c r="AU38" s="557"/>
      <c r="AV38" s="557"/>
      <c r="AW38" s="557"/>
      <c r="AX38" s="557"/>
      <c r="AY38" s="557"/>
      <c r="AZ38" s="557"/>
      <c r="BA38" s="557"/>
      <c r="BB38" s="557"/>
      <c r="BC38" s="557"/>
      <c r="BD38" s="557"/>
      <c r="BE38" s="557"/>
      <c r="BF38" s="557"/>
      <c r="BG38" s="557"/>
    </row>
    <row r="39" spans="2:59">
      <c r="B39" s="541">
        <f>B38+1</f>
        <v>17</v>
      </c>
      <c r="C39" s="616" t="str">
        <f>C32</f>
        <v xml:space="preserve">15% Block </v>
      </c>
      <c r="D39" s="617"/>
      <c r="E39" s="544"/>
      <c r="F39" s="623"/>
      <c r="G39" s="624"/>
      <c r="H39" s="544"/>
      <c r="I39" s="546">
        <v>14.006491776999997</v>
      </c>
      <c r="J39" s="546">
        <v>11.958052338000002</v>
      </c>
      <c r="K39" s="625">
        <f t="shared" ref="K39:AC39" si="31">+IF(K11=0,0,MIN(K11+K19+K20,(K11+K19+K20)*K32*K$36/365))+AO24*(20%)</f>
        <v>10.164344487899998</v>
      </c>
      <c r="L39" s="625">
        <f t="shared" si="31"/>
        <v>39.415559999999999</v>
      </c>
      <c r="M39" s="625">
        <f t="shared" si="31"/>
        <v>56.453725999999996</v>
      </c>
      <c r="N39" s="625">
        <f t="shared" si="31"/>
        <v>57.493697099999999</v>
      </c>
      <c r="O39" s="625">
        <f t="shared" si="31"/>
        <v>37.137482534999997</v>
      </c>
      <c r="P39" s="625">
        <f t="shared" si="31"/>
        <v>35.32061015475</v>
      </c>
      <c r="Q39" s="625">
        <f t="shared" si="31"/>
        <v>33.444018631537496</v>
      </c>
      <c r="R39" s="625">
        <f t="shared" si="31"/>
        <v>32.275665836806873</v>
      </c>
      <c r="S39" s="625">
        <f t="shared" si="31"/>
        <v>29.712065961285845</v>
      </c>
      <c r="T39" s="625">
        <f t="shared" si="31"/>
        <v>28.623506067092972</v>
      </c>
      <c r="U39" s="625">
        <f t="shared" si="31"/>
        <v>27.004480157029032</v>
      </c>
      <c r="V39" s="625">
        <f t="shared" si="31"/>
        <v>25.243558133474671</v>
      </c>
      <c r="W39" s="625">
        <f t="shared" si="31"/>
        <v>24.590524413453469</v>
      </c>
      <c r="X39" s="625">
        <f t="shared" si="31"/>
        <v>23.66419575143545</v>
      </c>
      <c r="Y39" s="625">
        <f t="shared" si="31"/>
        <v>22.033066388720133</v>
      </c>
      <c r="Z39" s="625">
        <f t="shared" si="31"/>
        <v>21.458856430412116</v>
      </c>
      <c r="AA39" s="625">
        <f t="shared" si="31"/>
        <v>21.321027965850295</v>
      </c>
      <c r="AB39" s="625">
        <f t="shared" si="31"/>
        <v>21.587123770972756</v>
      </c>
      <c r="AC39" s="625">
        <f t="shared" si="31"/>
        <v>20.768555205326845</v>
      </c>
      <c r="AD39" s="626"/>
      <c r="AF39" s="541">
        <v>1</v>
      </c>
      <c r="AG39" s="549" t="s">
        <v>498</v>
      </c>
      <c r="AH39" s="543"/>
      <c r="AI39" s="550"/>
      <c r="AJ39" s="550"/>
      <c r="AK39" s="627"/>
      <c r="AL39" s="628">
        <v>166.51200728500001</v>
      </c>
      <c r="AM39" s="552">
        <f t="shared" ref="AM39:BG39" si="32">IFERROR(AM10+AM21+AM22,0)</f>
        <v>166.51200728500001</v>
      </c>
      <c r="AN39" s="546">
        <f t="shared" si="32"/>
        <v>166.51200728500001</v>
      </c>
      <c r="AO39" s="546">
        <f>IFERROR(AO10+AO21+AO22,0)*0+128.73+1.32+0.47</f>
        <v>130.51999999999998</v>
      </c>
      <c r="AP39" s="546">
        <f t="shared" si="32"/>
        <v>130.51999999999998</v>
      </c>
      <c r="AQ39" s="546">
        <f t="shared" si="32"/>
        <v>130.51999999999998</v>
      </c>
      <c r="AR39" s="546">
        <f t="shared" si="32"/>
        <v>130.51999999999998</v>
      </c>
      <c r="AS39" s="546">
        <f t="shared" si="32"/>
        <v>130.51999999999998</v>
      </c>
      <c r="AT39" s="546">
        <f t="shared" si="32"/>
        <v>130.51999999999998</v>
      </c>
      <c r="AU39" s="546">
        <f t="shared" si="32"/>
        <v>130.51999999999998</v>
      </c>
      <c r="AV39" s="546">
        <f t="shared" si="32"/>
        <v>130.51999999999998</v>
      </c>
      <c r="AW39" s="546">
        <f t="shared" si="32"/>
        <v>130.51999999999998</v>
      </c>
      <c r="AX39" s="546">
        <f t="shared" si="32"/>
        <v>130.51999999999998</v>
      </c>
      <c r="AY39" s="546">
        <f t="shared" si="32"/>
        <v>130.51999999999998</v>
      </c>
      <c r="AZ39" s="546">
        <f t="shared" si="32"/>
        <v>130.51999999999998</v>
      </c>
      <c r="BA39" s="546">
        <f t="shared" si="32"/>
        <v>130.51999999999998</v>
      </c>
      <c r="BB39" s="546">
        <f t="shared" si="32"/>
        <v>130.51999999999998</v>
      </c>
      <c r="BC39" s="546">
        <f t="shared" si="32"/>
        <v>130.51999999999998</v>
      </c>
      <c r="BD39" s="546">
        <f t="shared" si="32"/>
        <v>130.51999999999998</v>
      </c>
      <c r="BE39" s="546">
        <f t="shared" si="32"/>
        <v>130.51999999999998</v>
      </c>
      <c r="BF39" s="546">
        <f t="shared" si="32"/>
        <v>130.51999999999998</v>
      </c>
      <c r="BG39" s="546">
        <f t="shared" si="32"/>
        <v>130.51999999999998</v>
      </c>
    </row>
    <row r="40" spans="2:59">
      <c r="B40" s="541">
        <f>B39+1</f>
        <v>18</v>
      </c>
      <c r="C40" s="616" t="str">
        <f>C33</f>
        <v xml:space="preserve">60% Block </v>
      </c>
      <c r="D40" s="617"/>
      <c r="E40" s="567"/>
      <c r="F40" s="629"/>
      <c r="G40" s="624"/>
      <c r="H40" s="567"/>
      <c r="I40" s="546">
        <v>0.69684272600000008</v>
      </c>
      <c r="J40" s="546">
        <v>6.8974253549999993</v>
      </c>
      <c r="K40" s="569">
        <f t="shared" ref="K40:AC41" si="33">+IF(K12=0,0,MIN(K12+K22,(K12+K22)*K33*K$36/365))</f>
        <v>7.5920051586000019</v>
      </c>
      <c r="L40" s="569">
        <f t="shared" si="33"/>
        <v>0</v>
      </c>
      <c r="M40" s="569">
        <f t="shared" si="33"/>
        <v>0</v>
      </c>
      <c r="N40" s="569">
        <f t="shared" si="33"/>
        <v>0</v>
      </c>
      <c r="O40" s="569">
        <f t="shared" si="33"/>
        <v>0</v>
      </c>
      <c r="P40" s="569">
        <f t="shared" si="33"/>
        <v>0</v>
      </c>
      <c r="Q40" s="569">
        <f t="shared" si="33"/>
        <v>0</v>
      </c>
      <c r="R40" s="569">
        <f t="shared" si="33"/>
        <v>0</v>
      </c>
      <c r="S40" s="569">
        <f t="shared" si="33"/>
        <v>0</v>
      </c>
      <c r="T40" s="569">
        <f t="shared" si="33"/>
        <v>0</v>
      </c>
      <c r="U40" s="569">
        <f t="shared" si="33"/>
        <v>0</v>
      </c>
      <c r="V40" s="569">
        <f t="shared" si="33"/>
        <v>0</v>
      </c>
      <c r="W40" s="569">
        <f t="shared" si="33"/>
        <v>0</v>
      </c>
      <c r="X40" s="569">
        <f t="shared" si="33"/>
        <v>0</v>
      </c>
      <c r="Y40" s="569">
        <f t="shared" si="33"/>
        <v>0</v>
      </c>
      <c r="Z40" s="569">
        <f t="shared" si="33"/>
        <v>0</v>
      </c>
      <c r="AA40" s="569">
        <f t="shared" si="33"/>
        <v>0</v>
      </c>
      <c r="AB40" s="569">
        <f t="shared" si="33"/>
        <v>0</v>
      </c>
      <c r="AC40" s="569">
        <f t="shared" si="33"/>
        <v>0</v>
      </c>
      <c r="AD40" s="570"/>
      <c r="AF40" s="541">
        <v>2</v>
      </c>
      <c r="AG40" s="549" t="s">
        <v>500</v>
      </c>
      <c r="AH40" s="543"/>
      <c r="AI40" s="550"/>
      <c r="AJ40" s="550"/>
      <c r="AK40" s="627"/>
      <c r="AL40" s="628">
        <v>1949.191</v>
      </c>
      <c r="AM40" s="552">
        <f t="shared" ref="AM40:BG40" si="34">IFERROR(AM11+AM24+AM25,0)</f>
        <v>1924.9976999999999</v>
      </c>
      <c r="AN40" s="546">
        <f t="shared" si="34"/>
        <v>1924.9976999999999</v>
      </c>
      <c r="AO40" s="546">
        <f>IFERROR(AO11+AO24+AO25,0)*0+1499.04</f>
        <v>1499.04</v>
      </c>
      <c r="AP40" s="546">
        <f t="shared" si="34"/>
        <v>1593.4949999999999</v>
      </c>
      <c r="AQ40" s="546">
        <f t="shared" si="34"/>
        <v>1713.165</v>
      </c>
      <c r="AR40" s="546">
        <f t="shared" si="34"/>
        <v>1803.9908</v>
      </c>
      <c r="AS40" s="546">
        <f t="shared" si="34"/>
        <v>1831.6708000000001</v>
      </c>
      <c r="AT40" s="546">
        <f t="shared" si="34"/>
        <v>1856.6958000000002</v>
      </c>
      <c r="AU40" s="546">
        <f t="shared" si="34"/>
        <v>1879.5058000000001</v>
      </c>
      <c r="AV40" s="546">
        <f t="shared" si="34"/>
        <v>1905.1608000000001</v>
      </c>
      <c r="AW40" s="546">
        <f t="shared" si="34"/>
        <v>1920.3458000000001</v>
      </c>
      <c r="AX40" s="546">
        <f t="shared" si="34"/>
        <v>1942.8008</v>
      </c>
      <c r="AY40" s="546">
        <f t="shared" si="34"/>
        <v>1960.6307999999999</v>
      </c>
      <c r="AZ40" s="546">
        <f t="shared" si="34"/>
        <v>1975.8958</v>
      </c>
      <c r="BA40" s="546">
        <f t="shared" si="34"/>
        <v>1996.7858000000001</v>
      </c>
      <c r="BB40" s="546">
        <f t="shared" si="34"/>
        <v>2015.2008000000001</v>
      </c>
      <c r="BC40" s="546">
        <f t="shared" si="34"/>
        <v>2027.9908</v>
      </c>
      <c r="BD40" s="546">
        <f t="shared" si="34"/>
        <v>2046.1958</v>
      </c>
      <c r="BE40" s="546">
        <f t="shared" si="34"/>
        <v>2066.7357999999999</v>
      </c>
      <c r="BF40" s="546">
        <f t="shared" si="34"/>
        <v>2089.8307999999997</v>
      </c>
      <c r="BG40" s="546">
        <f t="shared" si="34"/>
        <v>2105.9607999999998</v>
      </c>
    </row>
    <row r="41" spans="2:59">
      <c r="B41" s="541">
        <f>B40+1</f>
        <v>19</v>
      </c>
      <c r="C41" s="616" t="str">
        <f>C34</f>
        <v>25% Block (Intangible)</v>
      </c>
      <c r="D41" s="553"/>
      <c r="E41" s="544"/>
      <c r="F41" s="623"/>
      <c r="G41" s="624"/>
      <c r="H41" s="544"/>
      <c r="I41" s="546">
        <f>+IF(I13=0,0,MIN(I13+I23,(I13+I23)*I34*I$36/365))</f>
        <v>0</v>
      </c>
      <c r="J41" s="546"/>
      <c r="K41" s="546">
        <f t="shared" si="33"/>
        <v>0</v>
      </c>
      <c r="L41" s="546">
        <f t="shared" si="33"/>
        <v>0</v>
      </c>
      <c r="M41" s="546">
        <f t="shared" si="33"/>
        <v>0</v>
      </c>
      <c r="N41" s="546">
        <f t="shared" si="33"/>
        <v>0</v>
      </c>
      <c r="O41" s="546">
        <f t="shared" si="33"/>
        <v>0</v>
      </c>
      <c r="P41" s="546">
        <f t="shared" si="33"/>
        <v>0</v>
      </c>
      <c r="Q41" s="546">
        <f t="shared" si="33"/>
        <v>0</v>
      </c>
      <c r="R41" s="546">
        <f t="shared" si="33"/>
        <v>0</v>
      </c>
      <c r="S41" s="546">
        <f t="shared" si="33"/>
        <v>0</v>
      </c>
      <c r="T41" s="546">
        <f t="shared" si="33"/>
        <v>0</v>
      </c>
      <c r="U41" s="546">
        <f t="shared" si="33"/>
        <v>0</v>
      </c>
      <c r="V41" s="546">
        <f t="shared" si="33"/>
        <v>0</v>
      </c>
      <c r="W41" s="546">
        <f t="shared" si="33"/>
        <v>0</v>
      </c>
      <c r="X41" s="546">
        <f t="shared" si="33"/>
        <v>0</v>
      </c>
      <c r="Y41" s="546">
        <f t="shared" si="33"/>
        <v>0</v>
      </c>
      <c r="Z41" s="546">
        <f t="shared" si="33"/>
        <v>0</v>
      </c>
      <c r="AA41" s="546">
        <f t="shared" si="33"/>
        <v>0</v>
      </c>
      <c r="AB41" s="546">
        <f t="shared" si="33"/>
        <v>0</v>
      </c>
      <c r="AC41" s="546">
        <f t="shared" si="33"/>
        <v>0</v>
      </c>
      <c r="AD41" s="547"/>
      <c r="AF41" s="541">
        <v>3</v>
      </c>
      <c r="AG41" s="549" t="s">
        <v>502</v>
      </c>
      <c r="AH41" s="543"/>
      <c r="AI41" s="550"/>
      <c r="AJ41" s="550"/>
      <c r="AK41" s="627"/>
      <c r="AL41" s="628">
        <v>1.8149999999999999</v>
      </c>
      <c r="AM41" s="552">
        <f t="shared" ref="AM41:BG41" si="35">IFERROR(AM12+AM27,0)</f>
        <v>1.7323652</v>
      </c>
      <c r="AN41" s="546">
        <f t="shared" si="35"/>
        <v>1.7323652</v>
      </c>
      <c r="AO41" s="546">
        <f>IFERROR(AO12+AO27,0)*0+1.34</f>
        <v>1.34</v>
      </c>
      <c r="AP41" s="546">
        <f t="shared" si="35"/>
        <v>1.34</v>
      </c>
      <c r="AQ41" s="546">
        <f t="shared" si="35"/>
        <v>1.34</v>
      </c>
      <c r="AR41" s="546">
        <f t="shared" si="35"/>
        <v>1.34</v>
      </c>
      <c r="AS41" s="546">
        <f t="shared" si="35"/>
        <v>1.34</v>
      </c>
      <c r="AT41" s="546">
        <f t="shared" si="35"/>
        <v>1.34</v>
      </c>
      <c r="AU41" s="546">
        <f t="shared" si="35"/>
        <v>1.34</v>
      </c>
      <c r="AV41" s="546">
        <f t="shared" si="35"/>
        <v>1.34</v>
      </c>
      <c r="AW41" s="546">
        <f t="shared" si="35"/>
        <v>1.34</v>
      </c>
      <c r="AX41" s="546">
        <f t="shared" si="35"/>
        <v>1.34</v>
      </c>
      <c r="AY41" s="546">
        <f t="shared" si="35"/>
        <v>1.34</v>
      </c>
      <c r="AZ41" s="546">
        <f t="shared" si="35"/>
        <v>1.34</v>
      </c>
      <c r="BA41" s="546">
        <f t="shared" si="35"/>
        <v>1.34</v>
      </c>
      <c r="BB41" s="546">
        <f t="shared" si="35"/>
        <v>1.34</v>
      </c>
      <c r="BC41" s="546">
        <f t="shared" si="35"/>
        <v>1.34</v>
      </c>
      <c r="BD41" s="546">
        <f t="shared" si="35"/>
        <v>1.34</v>
      </c>
      <c r="BE41" s="546">
        <f t="shared" si="35"/>
        <v>1.34</v>
      </c>
      <c r="BF41" s="546">
        <f t="shared" si="35"/>
        <v>1.34</v>
      </c>
      <c r="BG41" s="546">
        <f t="shared" si="35"/>
        <v>1.34</v>
      </c>
    </row>
    <row r="42" spans="2:59">
      <c r="B42" s="587"/>
      <c r="D42" s="553"/>
      <c r="E42" s="588"/>
      <c r="F42" s="588"/>
      <c r="G42" s="630"/>
      <c r="H42" s="588"/>
      <c r="I42" s="591"/>
      <c r="J42" s="590"/>
      <c r="K42" s="590"/>
      <c r="L42" s="590"/>
      <c r="M42" s="590"/>
      <c r="N42" s="590"/>
      <c r="O42" s="590"/>
      <c r="P42" s="590"/>
      <c r="Q42" s="590"/>
      <c r="R42" s="590"/>
      <c r="S42" s="590"/>
      <c r="T42" s="590"/>
      <c r="U42" s="590"/>
      <c r="V42" s="590"/>
      <c r="W42" s="590"/>
      <c r="X42" s="590"/>
      <c r="Y42" s="590"/>
      <c r="Z42" s="590"/>
      <c r="AA42" s="590"/>
      <c r="AB42" s="590"/>
      <c r="AC42" s="590"/>
      <c r="AD42" s="592"/>
      <c r="AF42" s="541">
        <v>4</v>
      </c>
      <c r="AG42" s="549" t="s">
        <v>504</v>
      </c>
      <c r="AH42" s="543"/>
      <c r="AI42" s="550"/>
      <c r="AJ42" s="550"/>
      <c r="AK42" s="627"/>
      <c r="AL42" s="628">
        <v>8.6519999999999992</v>
      </c>
      <c r="AM42" s="552">
        <f t="shared" ref="AM42:BG42" si="36">IFERROR(AM13+AM29,0)</f>
        <v>8.0436999999999994</v>
      </c>
      <c r="AN42" s="546">
        <f t="shared" si="36"/>
        <v>8.0436999999999994</v>
      </c>
      <c r="AO42" s="546">
        <f>IFERROR(AO13+AO29,0)*0+5.85</f>
        <v>5.85</v>
      </c>
      <c r="AP42" s="546">
        <f t="shared" si="36"/>
        <v>5.85</v>
      </c>
      <c r="AQ42" s="546">
        <f t="shared" si="36"/>
        <v>5.85</v>
      </c>
      <c r="AR42" s="546">
        <f t="shared" si="36"/>
        <v>5.85</v>
      </c>
      <c r="AS42" s="546">
        <f t="shared" si="36"/>
        <v>5.85</v>
      </c>
      <c r="AT42" s="546">
        <f t="shared" si="36"/>
        <v>5.85</v>
      </c>
      <c r="AU42" s="546">
        <f t="shared" si="36"/>
        <v>5.85</v>
      </c>
      <c r="AV42" s="546">
        <f t="shared" si="36"/>
        <v>5.85</v>
      </c>
      <c r="AW42" s="546">
        <f t="shared" si="36"/>
        <v>5.85</v>
      </c>
      <c r="AX42" s="546">
        <f t="shared" si="36"/>
        <v>5.85</v>
      </c>
      <c r="AY42" s="546">
        <f t="shared" si="36"/>
        <v>5.85</v>
      </c>
      <c r="AZ42" s="546">
        <f t="shared" si="36"/>
        <v>5.85</v>
      </c>
      <c r="BA42" s="546">
        <f t="shared" si="36"/>
        <v>5.85</v>
      </c>
      <c r="BB42" s="546">
        <f t="shared" si="36"/>
        <v>5.85</v>
      </c>
      <c r="BC42" s="546">
        <f t="shared" si="36"/>
        <v>5.85</v>
      </c>
      <c r="BD42" s="546">
        <f t="shared" si="36"/>
        <v>5.85</v>
      </c>
      <c r="BE42" s="546">
        <f t="shared" si="36"/>
        <v>5.85</v>
      </c>
      <c r="BF42" s="546">
        <f t="shared" si="36"/>
        <v>5.85</v>
      </c>
      <c r="BG42" s="546">
        <f t="shared" si="36"/>
        <v>5.85</v>
      </c>
    </row>
    <row r="43" spans="2:59">
      <c r="B43" s="601" t="s">
        <v>521</v>
      </c>
      <c r="C43" s="555" t="s">
        <v>522</v>
      </c>
      <c r="D43" s="556"/>
      <c r="E43" s="631"/>
      <c r="F43" s="631"/>
      <c r="G43" s="632"/>
      <c r="H43" s="633"/>
      <c r="I43" s="633"/>
      <c r="J43" s="633"/>
      <c r="K43" s="633"/>
      <c r="L43" s="633"/>
      <c r="M43" s="633"/>
      <c r="N43" s="633"/>
      <c r="O43" s="633"/>
      <c r="P43" s="633"/>
      <c r="Q43" s="633"/>
      <c r="R43" s="633"/>
      <c r="S43" s="633"/>
      <c r="T43" s="633"/>
      <c r="U43" s="633"/>
      <c r="V43" s="633"/>
      <c r="W43" s="633"/>
      <c r="X43" s="633"/>
      <c r="Y43" s="633"/>
      <c r="Z43" s="633"/>
      <c r="AA43" s="633"/>
      <c r="AB43" s="633"/>
      <c r="AC43" s="633"/>
      <c r="AD43" s="634"/>
      <c r="AF43" s="541">
        <v>5</v>
      </c>
      <c r="AG43" s="549" t="s">
        <v>506</v>
      </c>
      <c r="AH43" s="543"/>
      <c r="AI43" s="550"/>
      <c r="AJ43" s="550"/>
      <c r="AK43" s="627"/>
      <c r="AL43" s="628">
        <v>15.977</v>
      </c>
      <c r="AM43" s="552">
        <f t="shared" ref="AM43:BG43" si="37">IFERROR(AM14+AM31,0)</f>
        <v>14.0787</v>
      </c>
      <c r="AN43" s="546">
        <f t="shared" si="37"/>
        <v>14.0787</v>
      </c>
      <c r="AO43" s="546">
        <f>IFERROR(AO14+AO31,0)*0+7.01</f>
        <v>7.01</v>
      </c>
      <c r="AP43" s="546">
        <f t="shared" si="37"/>
        <v>7.01</v>
      </c>
      <c r="AQ43" s="546">
        <f t="shared" si="37"/>
        <v>7.01</v>
      </c>
      <c r="AR43" s="546">
        <f t="shared" si="37"/>
        <v>7.01</v>
      </c>
      <c r="AS43" s="546">
        <f t="shared" si="37"/>
        <v>7.01</v>
      </c>
      <c r="AT43" s="546">
        <f t="shared" si="37"/>
        <v>7.01</v>
      </c>
      <c r="AU43" s="546">
        <f t="shared" si="37"/>
        <v>7.01</v>
      </c>
      <c r="AV43" s="546">
        <f t="shared" si="37"/>
        <v>7.01</v>
      </c>
      <c r="AW43" s="546">
        <f t="shared" si="37"/>
        <v>7.01</v>
      </c>
      <c r="AX43" s="546">
        <f t="shared" si="37"/>
        <v>7.01</v>
      </c>
      <c r="AY43" s="546">
        <f t="shared" si="37"/>
        <v>7.01</v>
      </c>
      <c r="AZ43" s="546">
        <f t="shared" si="37"/>
        <v>7.01</v>
      </c>
      <c r="BA43" s="546">
        <f t="shared" si="37"/>
        <v>7.01</v>
      </c>
      <c r="BB43" s="546">
        <f t="shared" si="37"/>
        <v>7.01</v>
      </c>
      <c r="BC43" s="546">
        <f t="shared" si="37"/>
        <v>7.01</v>
      </c>
      <c r="BD43" s="546">
        <f t="shared" si="37"/>
        <v>7.01</v>
      </c>
      <c r="BE43" s="546">
        <f t="shared" si="37"/>
        <v>7.01</v>
      </c>
      <c r="BF43" s="546">
        <f t="shared" si="37"/>
        <v>7.01</v>
      </c>
      <c r="BG43" s="546">
        <f t="shared" si="37"/>
        <v>7.01</v>
      </c>
    </row>
    <row r="44" spans="2:59">
      <c r="B44" s="635"/>
      <c r="C44" s="636" t="s">
        <v>94</v>
      </c>
      <c r="D44" s="637"/>
      <c r="E44" s="633"/>
      <c r="F44" s="638"/>
      <c r="G44" s="639"/>
      <c r="H44" s="633">
        <f t="shared" ref="H44:M44" si="38">SUM(H38:H41)</f>
        <v>0</v>
      </c>
      <c r="I44" s="640">
        <f t="shared" si="38"/>
        <v>17.072231365999997</v>
      </c>
      <c r="J44" s="640">
        <f t="shared" si="38"/>
        <v>20.989980184</v>
      </c>
      <c r="K44" s="640">
        <f t="shared" si="38"/>
        <v>19.687553942600001</v>
      </c>
      <c r="L44" s="640">
        <f t="shared" si="38"/>
        <v>41.172559999999997</v>
      </c>
      <c r="M44" s="640">
        <f t="shared" si="38"/>
        <v>58.035025999999995</v>
      </c>
      <c r="N44" s="640">
        <f>SUM(N38:N41)</f>
        <v>58.916867099999997</v>
      </c>
      <c r="O44" s="640">
        <f>SUM(O38:O41)</f>
        <v>38.418335534999997</v>
      </c>
      <c r="P44" s="640">
        <f>SUM(P38:P41)</f>
        <v>36.473377854749998</v>
      </c>
      <c r="Q44" s="640">
        <f t="shared" ref="Q44:AC44" si="39">SUM(Q38:Q41)</f>
        <v>34.481509561537493</v>
      </c>
      <c r="R44" s="640">
        <f t="shared" si="39"/>
        <v>33.209407673806872</v>
      </c>
      <c r="S44" s="640">
        <f t="shared" si="39"/>
        <v>30.552433614585844</v>
      </c>
      <c r="T44" s="640">
        <f t="shared" si="39"/>
        <v>29.37983695506297</v>
      </c>
      <c r="U44" s="640">
        <f t="shared" si="39"/>
        <v>27.685177956202033</v>
      </c>
      <c r="V44" s="640">
        <f t="shared" si="39"/>
        <v>25.85618615273037</v>
      </c>
      <c r="W44" s="640">
        <f t="shared" si="39"/>
        <v>25.141889630783599</v>
      </c>
      <c r="X44" s="640">
        <f t="shared" si="39"/>
        <v>24.160424447032568</v>
      </c>
      <c r="Y44" s="640">
        <f t="shared" si="39"/>
        <v>22.479672214757539</v>
      </c>
      <c r="Z44" s="640">
        <f t="shared" si="39"/>
        <v>21.860801673845781</v>
      </c>
      <c r="AA44" s="640">
        <f t="shared" si="39"/>
        <v>21.682778684940594</v>
      </c>
      <c r="AB44" s="640">
        <f t="shared" si="39"/>
        <v>21.912699418154023</v>
      </c>
      <c r="AC44" s="640">
        <f t="shared" si="39"/>
        <v>21.061573287789987</v>
      </c>
      <c r="AD44" s="641"/>
      <c r="AF44" s="541">
        <v>6</v>
      </c>
      <c r="AG44" s="549" t="str">
        <f>AG15</f>
        <v>Vehicles</v>
      </c>
      <c r="AH44" s="543"/>
      <c r="AI44" s="550"/>
      <c r="AJ44" s="550"/>
      <c r="AK44" s="627"/>
      <c r="AL44" s="628">
        <v>3.4380000000000002</v>
      </c>
      <c r="AM44" s="552">
        <f t="shared" ref="AM44:BG44" si="40">IFERROR(AM15+AM33,0)</f>
        <v>2.8075000000000001</v>
      </c>
      <c r="AN44" s="546">
        <f t="shared" si="40"/>
        <v>2.8075000000000001</v>
      </c>
      <c r="AO44" s="546">
        <f>IFERROR(AO15+AO33,0)*0+0.89</f>
        <v>0.89</v>
      </c>
      <c r="AP44" s="546">
        <f t="shared" si="40"/>
        <v>0.89</v>
      </c>
      <c r="AQ44" s="546">
        <f t="shared" si="40"/>
        <v>0.89</v>
      </c>
      <c r="AR44" s="546">
        <f t="shared" si="40"/>
        <v>0.89</v>
      </c>
      <c r="AS44" s="546">
        <f t="shared" si="40"/>
        <v>0.89</v>
      </c>
      <c r="AT44" s="546">
        <f t="shared" si="40"/>
        <v>0.89</v>
      </c>
      <c r="AU44" s="546">
        <f t="shared" si="40"/>
        <v>0.89</v>
      </c>
      <c r="AV44" s="546">
        <f t="shared" si="40"/>
        <v>0.89</v>
      </c>
      <c r="AW44" s="546">
        <f t="shared" si="40"/>
        <v>0.89</v>
      </c>
      <c r="AX44" s="546">
        <f t="shared" si="40"/>
        <v>0.89</v>
      </c>
      <c r="AY44" s="546">
        <f t="shared" si="40"/>
        <v>0.89</v>
      </c>
      <c r="AZ44" s="546">
        <f t="shared" si="40"/>
        <v>0.89</v>
      </c>
      <c r="BA44" s="546">
        <f t="shared" si="40"/>
        <v>0.89</v>
      </c>
      <c r="BB44" s="546">
        <f t="shared" si="40"/>
        <v>0.89</v>
      </c>
      <c r="BC44" s="546">
        <f t="shared" si="40"/>
        <v>0.89</v>
      </c>
      <c r="BD44" s="546">
        <f t="shared" si="40"/>
        <v>0.89</v>
      </c>
      <c r="BE44" s="546">
        <f t="shared" si="40"/>
        <v>0.89</v>
      </c>
      <c r="BF44" s="546">
        <f t="shared" si="40"/>
        <v>0.89</v>
      </c>
      <c r="BG44" s="546">
        <f t="shared" si="40"/>
        <v>0.89</v>
      </c>
    </row>
    <row r="45" spans="2:59">
      <c r="B45" s="642"/>
      <c r="C45" s="521"/>
      <c r="D45" s="643"/>
      <c r="E45" s="644"/>
      <c r="F45" s="644"/>
      <c r="G45" s="645"/>
      <c r="H45" s="646"/>
      <c r="I45" s="647"/>
      <c r="J45" s="647"/>
      <c r="K45" s="647"/>
      <c r="L45" s="647"/>
      <c r="M45" s="647"/>
      <c r="N45" s="647"/>
      <c r="O45" s="647"/>
      <c r="P45" s="647"/>
      <c r="Q45" s="647"/>
      <c r="R45" s="647"/>
      <c r="S45" s="647"/>
      <c r="T45" s="647"/>
      <c r="U45" s="647"/>
      <c r="V45" s="647"/>
      <c r="W45" s="647"/>
      <c r="X45" s="647"/>
      <c r="Y45" s="647"/>
      <c r="Z45" s="647"/>
      <c r="AA45" s="647"/>
      <c r="AB45" s="647"/>
      <c r="AC45" s="647"/>
      <c r="AD45" s="648"/>
      <c r="AF45" s="541">
        <v>7</v>
      </c>
      <c r="AG45" s="549" t="s">
        <v>509</v>
      </c>
      <c r="AH45" s="543"/>
      <c r="AI45" s="550"/>
      <c r="AJ45" s="550"/>
      <c r="AK45" s="627"/>
      <c r="AL45" s="628">
        <v>1160.278</v>
      </c>
      <c r="AM45" s="552">
        <f t="shared" ref="AM45:BG45" si="41">IFERROR(AM16+AM35,0)</f>
        <v>1160.278</v>
      </c>
      <c r="AN45" s="546">
        <f t="shared" si="41"/>
        <v>1160.278</v>
      </c>
      <c r="AO45" s="546">
        <f t="shared" si="41"/>
        <v>1160.278</v>
      </c>
      <c r="AP45" s="546">
        <f t="shared" si="41"/>
        <v>1160.278</v>
      </c>
      <c r="AQ45" s="546">
        <f t="shared" si="41"/>
        <v>1160.278</v>
      </c>
      <c r="AR45" s="546">
        <f t="shared" si="41"/>
        <v>1160.278</v>
      </c>
      <c r="AS45" s="546">
        <f t="shared" si="41"/>
        <v>1160.278</v>
      </c>
      <c r="AT45" s="546">
        <f t="shared" si="41"/>
        <v>1160.278</v>
      </c>
      <c r="AU45" s="546">
        <f t="shared" si="41"/>
        <v>1160.278</v>
      </c>
      <c r="AV45" s="546">
        <f t="shared" si="41"/>
        <v>1160.278</v>
      </c>
      <c r="AW45" s="546">
        <f t="shared" si="41"/>
        <v>1160.278</v>
      </c>
      <c r="AX45" s="546">
        <f t="shared" si="41"/>
        <v>1160.278</v>
      </c>
      <c r="AY45" s="546">
        <f t="shared" si="41"/>
        <v>1160.278</v>
      </c>
      <c r="AZ45" s="546">
        <f t="shared" si="41"/>
        <v>1160.278</v>
      </c>
      <c r="BA45" s="546">
        <f t="shared" si="41"/>
        <v>1160.278</v>
      </c>
      <c r="BB45" s="546">
        <f t="shared" si="41"/>
        <v>1160.278</v>
      </c>
      <c r="BC45" s="546">
        <f t="shared" si="41"/>
        <v>1160.278</v>
      </c>
      <c r="BD45" s="546">
        <f t="shared" si="41"/>
        <v>1160.278</v>
      </c>
      <c r="BE45" s="546">
        <f t="shared" si="41"/>
        <v>1160.278</v>
      </c>
      <c r="BF45" s="546">
        <f t="shared" si="41"/>
        <v>1160.278</v>
      </c>
      <c r="BG45" s="546">
        <f t="shared" si="41"/>
        <v>1160.278</v>
      </c>
    </row>
    <row r="46" spans="2:59">
      <c r="B46" s="564"/>
      <c r="C46" s="564"/>
      <c r="D46" s="564"/>
      <c r="E46" s="564"/>
      <c r="F46" s="564"/>
      <c r="G46" s="564"/>
      <c r="H46" s="649"/>
      <c r="I46" s="649"/>
      <c r="J46" s="649"/>
      <c r="K46" s="649"/>
      <c r="L46" s="649"/>
      <c r="M46" s="649"/>
      <c r="N46" s="649"/>
      <c r="O46" s="649"/>
      <c r="P46" s="649"/>
      <c r="Q46" s="649"/>
      <c r="R46" s="649"/>
      <c r="S46" s="649"/>
      <c r="T46" s="649"/>
      <c r="U46" s="649"/>
      <c r="V46" s="649"/>
      <c r="W46" s="649"/>
      <c r="X46" s="649"/>
      <c r="Y46" s="649"/>
      <c r="Z46" s="649"/>
      <c r="AA46" s="649"/>
      <c r="AB46" s="649"/>
      <c r="AC46" s="649"/>
      <c r="AD46" s="649"/>
      <c r="AF46" s="541">
        <v>8</v>
      </c>
      <c r="AG46" s="549" t="s">
        <v>510</v>
      </c>
      <c r="AH46" s="543"/>
      <c r="AI46" s="550"/>
      <c r="AJ46" s="550"/>
      <c r="AK46" s="551"/>
      <c r="AL46" s="628">
        <v>49.14</v>
      </c>
      <c r="AM46" s="552">
        <f t="shared" ref="AM46:BG46" si="42">IFERROR(AM17+AM37,0)</f>
        <v>49.14</v>
      </c>
      <c r="AN46" s="546">
        <f t="shared" si="42"/>
        <v>49.14</v>
      </c>
      <c r="AO46" s="546">
        <f>IFERROR(AO17+AO37,0)*0</f>
        <v>0</v>
      </c>
      <c r="AP46" s="546">
        <f t="shared" si="42"/>
        <v>0</v>
      </c>
      <c r="AQ46" s="546">
        <f t="shared" si="42"/>
        <v>0</v>
      </c>
      <c r="AR46" s="546">
        <f t="shared" si="42"/>
        <v>0</v>
      </c>
      <c r="AS46" s="546">
        <f t="shared" si="42"/>
        <v>0</v>
      </c>
      <c r="AT46" s="546">
        <f t="shared" si="42"/>
        <v>0</v>
      </c>
      <c r="AU46" s="546">
        <f t="shared" si="42"/>
        <v>0</v>
      </c>
      <c r="AV46" s="546">
        <f t="shared" si="42"/>
        <v>0</v>
      </c>
      <c r="AW46" s="546">
        <f t="shared" si="42"/>
        <v>0</v>
      </c>
      <c r="AX46" s="546">
        <f t="shared" si="42"/>
        <v>0</v>
      </c>
      <c r="AY46" s="546">
        <f t="shared" si="42"/>
        <v>0</v>
      </c>
      <c r="AZ46" s="546">
        <f t="shared" si="42"/>
        <v>0</v>
      </c>
      <c r="BA46" s="546">
        <f t="shared" si="42"/>
        <v>0</v>
      </c>
      <c r="BB46" s="546">
        <f t="shared" si="42"/>
        <v>0</v>
      </c>
      <c r="BC46" s="546">
        <f t="shared" si="42"/>
        <v>0</v>
      </c>
      <c r="BD46" s="546">
        <f t="shared" si="42"/>
        <v>0</v>
      </c>
      <c r="BE46" s="546">
        <f t="shared" si="42"/>
        <v>0</v>
      </c>
      <c r="BF46" s="546">
        <f t="shared" si="42"/>
        <v>0</v>
      </c>
      <c r="BG46" s="546">
        <f t="shared" si="42"/>
        <v>0</v>
      </c>
    </row>
    <row r="47" spans="2:59">
      <c r="B47" s="650"/>
      <c r="C47" s="651"/>
      <c r="D47" s="651"/>
      <c r="E47" s="652"/>
      <c r="F47" s="652"/>
      <c r="G47" s="651"/>
      <c r="H47" s="651"/>
      <c r="I47" s="651"/>
      <c r="J47" s="651"/>
      <c r="K47" s="651"/>
      <c r="L47" s="651"/>
      <c r="M47" s="651"/>
      <c r="N47" s="651"/>
      <c r="O47" s="651"/>
      <c r="P47" s="651"/>
      <c r="Q47" s="651"/>
      <c r="R47" s="651"/>
      <c r="S47" s="651"/>
      <c r="T47" s="651"/>
      <c r="U47" s="651"/>
      <c r="V47" s="651"/>
      <c r="W47" s="651"/>
      <c r="X47" s="651"/>
      <c r="Y47" s="651"/>
      <c r="Z47" s="651"/>
      <c r="AA47" s="651"/>
      <c r="AB47" s="651"/>
      <c r="AC47" s="651"/>
      <c r="AD47" s="651"/>
      <c r="AF47" s="541"/>
      <c r="AG47" s="549"/>
      <c r="AH47" s="543"/>
      <c r="AI47" s="653"/>
      <c r="AJ47" s="653"/>
      <c r="AK47" s="551"/>
      <c r="AL47" s="552"/>
      <c r="AM47" s="552"/>
      <c r="AN47" s="546"/>
      <c r="AO47" s="546"/>
      <c r="AP47" s="546"/>
      <c r="AQ47" s="546"/>
      <c r="AR47" s="546"/>
      <c r="AS47" s="546"/>
      <c r="AT47" s="546"/>
      <c r="AU47" s="546"/>
      <c r="AV47" s="546"/>
      <c r="AW47" s="546"/>
      <c r="AX47" s="546"/>
      <c r="AY47" s="546"/>
      <c r="AZ47" s="546"/>
      <c r="BA47" s="546"/>
      <c r="BB47" s="546"/>
      <c r="BC47" s="546"/>
      <c r="BD47" s="546"/>
      <c r="BE47" s="546"/>
      <c r="BF47" s="546"/>
      <c r="BG47" s="546"/>
    </row>
    <row r="48" spans="2:59" ht="11.25" customHeight="1">
      <c r="B48" s="654"/>
      <c r="C48" s="655"/>
      <c r="D48" s="655"/>
      <c r="E48" s="656"/>
      <c r="F48" s="656"/>
      <c r="G48" s="657"/>
      <c r="H48" s="658"/>
      <c r="I48" s="658"/>
      <c r="J48" s="658"/>
      <c r="K48" s="658"/>
      <c r="L48" s="658"/>
      <c r="M48" s="658"/>
      <c r="N48" s="658"/>
      <c r="O48" s="658"/>
      <c r="P48" s="658"/>
      <c r="Q48" s="658"/>
      <c r="R48" s="658"/>
      <c r="S48" s="658"/>
      <c r="T48" s="658"/>
      <c r="U48" s="658"/>
      <c r="V48" s="658"/>
      <c r="W48" s="658"/>
      <c r="X48" s="658"/>
      <c r="Y48" s="658"/>
      <c r="Z48" s="658"/>
      <c r="AA48" s="658"/>
      <c r="AB48" s="658"/>
      <c r="AC48" s="658"/>
      <c r="AD48" s="658"/>
      <c r="AF48" s="554" t="s">
        <v>489</v>
      </c>
      <c r="AG48" s="555" t="s">
        <v>523</v>
      </c>
      <c r="AH48" s="556"/>
      <c r="AI48" s="659"/>
      <c r="AJ48" s="659"/>
      <c r="AK48" s="573"/>
      <c r="AL48" s="572"/>
      <c r="AM48" s="572"/>
      <c r="AN48" s="557"/>
      <c r="AO48" s="557"/>
      <c r="AP48" s="557"/>
      <c r="AQ48" s="557"/>
      <c r="AR48" s="557"/>
      <c r="AS48" s="557"/>
      <c r="AT48" s="557"/>
      <c r="AU48" s="557"/>
      <c r="AV48" s="557"/>
      <c r="AW48" s="557"/>
      <c r="AX48" s="557"/>
      <c r="AY48" s="557"/>
      <c r="AZ48" s="557"/>
      <c r="BA48" s="557"/>
      <c r="BB48" s="557"/>
      <c r="BC48" s="557"/>
      <c r="BD48" s="557"/>
      <c r="BE48" s="557"/>
      <c r="BF48" s="557"/>
      <c r="BG48" s="557"/>
    </row>
    <row r="49" spans="2:59" ht="11.25" customHeight="1">
      <c r="B49" s="654"/>
      <c r="C49" s="655"/>
      <c r="D49" s="655"/>
      <c r="E49" s="656"/>
      <c r="F49" s="656"/>
      <c r="G49" s="657"/>
      <c r="H49" s="658"/>
      <c r="I49" s="658"/>
      <c r="J49" s="658"/>
      <c r="K49" s="658"/>
      <c r="L49" s="658"/>
      <c r="M49" s="658"/>
      <c r="N49" s="658"/>
      <c r="O49" s="658"/>
      <c r="P49" s="658"/>
      <c r="Q49" s="658"/>
      <c r="R49" s="658"/>
      <c r="S49" s="658"/>
      <c r="T49" s="658"/>
      <c r="U49" s="658"/>
      <c r="V49" s="658"/>
      <c r="W49" s="658"/>
      <c r="X49" s="658"/>
      <c r="Y49" s="658"/>
      <c r="Z49" s="658"/>
      <c r="AA49" s="658"/>
      <c r="AB49" s="658"/>
      <c r="AC49" s="658"/>
      <c r="AD49" s="658"/>
      <c r="AF49" s="660"/>
      <c r="AG49" s="661"/>
      <c r="AH49" s="662"/>
      <c r="AI49" s="663"/>
      <c r="AJ49" s="663"/>
      <c r="AK49" s="664"/>
      <c r="AL49" s="665"/>
      <c r="AM49" s="665"/>
      <c r="AN49" s="618"/>
      <c r="AO49" s="618"/>
      <c r="AP49" s="618"/>
      <c r="AQ49" s="618"/>
      <c r="AR49" s="618"/>
      <c r="AS49" s="618"/>
      <c r="AT49" s="618"/>
      <c r="AU49" s="618"/>
      <c r="AV49" s="618"/>
      <c r="AW49" s="618"/>
      <c r="AX49" s="618"/>
      <c r="AY49" s="618"/>
      <c r="AZ49" s="618"/>
      <c r="BA49" s="618"/>
      <c r="BB49" s="618"/>
      <c r="BC49" s="618"/>
      <c r="BD49" s="618"/>
      <c r="BE49" s="618"/>
      <c r="BF49" s="618"/>
      <c r="BG49" s="618"/>
    </row>
    <row r="50" spans="2:59" ht="11.25" customHeight="1">
      <c r="B50" s="654"/>
      <c r="C50" s="655"/>
      <c r="D50" s="655"/>
      <c r="E50" s="656"/>
      <c r="F50" s="656"/>
      <c r="G50" s="657"/>
      <c r="H50" s="658"/>
      <c r="I50" s="658"/>
      <c r="J50" s="658"/>
      <c r="K50" s="658"/>
      <c r="L50" s="658"/>
      <c r="M50" s="658"/>
      <c r="N50" s="658"/>
      <c r="O50" s="658"/>
      <c r="P50" s="658"/>
      <c r="Q50" s="658"/>
      <c r="R50" s="658"/>
      <c r="S50" s="658"/>
      <c r="T50" s="658"/>
      <c r="U50" s="658"/>
      <c r="V50" s="658"/>
      <c r="W50" s="658"/>
      <c r="X50" s="658"/>
      <c r="Y50" s="658"/>
      <c r="Z50" s="658"/>
      <c r="AA50" s="658"/>
      <c r="AB50" s="658"/>
      <c r="AC50" s="658"/>
      <c r="AD50" s="658"/>
      <c r="AF50" s="541">
        <v>1</v>
      </c>
      <c r="AG50" s="549" t="s">
        <v>498</v>
      </c>
      <c r="AH50" s="543"/>
      <c r="AI50" s="666"/>
      <c r="AJ50" s="666"/>
      <c r="AK50" s="667"/>
      <c r="AL50" s="668">
        <v>99.613</v>
      </c>
      <c r="AM50" s="668">
        <f>IFERROR(AL50-AM85+AM21+AM22,0)</f>
        <v>91.899799999999999</v>
      </c>
      <c r="AN50" s="669">
        <f t="shared" ref="AN50:BG50" si="43">IFERROR(AM50-AN85+AN21+AN22,0)</f>
        <v>84.218299999999999</v>
      </c>
      <c r="AO50" s="669">
        <f>IFERROR(AN50-AO85+AO21+AO22,0)*0+75.4+0.68+0.47</f>
        <v>76.550000000000011</v>
      </c>
      <c r="AP50" s="669">
        <f t="shared" si="43"/>
        <v>68.224500000000006</v>
      </c>
      <c r="AQ50" s="669">
        <f t="shared" si="43"/>
        <v>59.899000000000008</v>
      </c>
      <c r="AR50" s="669">
        <f t="shared" si="43"/>
        <v>51.57350000000001</v>
      </c>
      <c r="AS50" s="669">
        <f t="shared" si="43"/>
        <v>43.248000000000012</v>
      </c>
      <c r="AT50" s="669">
        <f t="shared" si="43"/>
        <v>34.922500000000014</v>
      </c>
      <c r="AU50" s="669">
        <f t="shared" si="43"/>
        <v>26.597000000000016</v>
      </c>
      <c r="AV50" s="669">
        <f t="shared" si="43"/>
        <v>18.271500000000017</v>
      </c>
      <c r="AW50" s="669">
        <f t="shared" si="43"/>
        <v>9.9460000000000175</v>
      </c>
      <c r="AX50" s="669">
        <f t="shared" si="43"/>
        <v>1.6205000000000176</v>
      </c>
      <c r="AY50" s="669">
        <f t="shared" si="43"/>
        <v>-6.7049999999999823</v>
      </c>
      <c r="AZ50" s="669">
        <f t="shared" si="43"/>
        <v>-15.030499999999982</v>
      </c>
      <c r="BA50" s="669">
        <f t="shared" si="43"/>
        <v>-23.35599999999998</v>
      </c>
      <c r="BB50" s="669">
        <f t="shared" si="43"/>
        <v>-31.681499999999978</v>
      </c>
      <c r="BC50" s="669">
        <f t="shared" si="43"/>
        <v>-40.006999999999977</v>
      </c>
      <c r="BD50" s="669">
        <f t="shared" si="43"/>
        <v>-48.332499999999975</v>
      </c>
      <c r="BE50" s="669">
        <f t="shared" si="43"/>
        <v>-56.657999999999973</v>
      </c>
      <c r="BF50" s="669">
        <f t="shared" si="43"/>
        <v>-64.983499999999978</v>
      </c>
      <c r="BG50" s="669">
        <f t="shared" si="43"/>
        <v>-73.308999999999983</v>
      </c>
    </row>
    <row r="51" spans="2:59" ht="11.25" customHeight="1">
      <c r="B51" s="654"/>
      <c r="C51" s="655"/>
      <c r="D51" s="655"/>
      <c r="E51" s="656"/>
      <c r="F51" s="656"/>
      <c r="G51" s="657"/>
      <c r="H51" s="658"/>
      <c r="I51" s="658"/>
      <c r="J51" s="658"/>
      <c r="K51" s="658"/>
      <c r="L51" s="658"/>
      <c r="M51" s="658"/>
      <c r="N51" s="658"/>
      <c r="O51" s="658"/>
      <c r="P51" s="658"/>
      <c r="Q51" s="658"/>
      <c r="R51" s="658"/>
      <c r="S51" s="658"/>
      <c r="T51" s="658"/>
      <c r="U51" s="658"/>
      <c r="V51" s="658"/>
      <c r="W51" s="658"/>
      <c r="X51" s="658"/>
      <c r="Y51" s="658"/>
      <c r="Z51" s="658"/>
      <c r="AA51" s="658"/>
      <c r="AB51" s="658"/>
      <c r="AC51" s="658"/>
      <c r="AD51" s="658"/>
      <c r="AF51" s="541">
        <v>2</v>
      </c>
      <c r="AG51" s="549" t="s">
        <v>500</v>
      </c>
      <c r="AH51" s="543"/>
      <c r="AI51" s="666"/>
      <c r="AJ51" s="666"/>
      <c r="AK51" s="667"/>
      <c r="AL51" s="628">
        <v>1213.482</v>
      </c>
      <c r="AM51" s="628">
        <f>IFERROR(AL51-AM86+AM24+AM25,0)*0+1140.9435</f>
        <v>1140.9435000000001</v>
      </c>
      <c r="AN51" s="546">
        <f>IFERROR(AM51-AN86+AN24+AN25,0)*0+1080.33</f>
        <v>1080.33</v>
      </c>
      <c r="AO51" s="546">
        <f>IFERROR(AN51-AO86+AO24+AO25,0)*0+1007.19</f>
        <v>1007.19</v>
      </c>
      <c r="AP51" s="546">
        <f t="shared" ref="AP51:BG51" si="44">IFERROR(AO51-AP86+AP24+AP25,0)</f>
        <v>1020.4583007569601</v>
      </c>
      <c r="AQ51" s="546">
        <f t="shared" si="44"/>
        <v>1054.1548015139201</v>
      </c>
      <c r="AR51" s="546">
        <f t="shared" si="44"/>
        <v>1055.3740702708801</v>
      </c>
      <c r="AS51" s="546">
        <f t="shared" si="44"/>
        <v>992.34033902784006</v>
      </c>
      <c r="AT51" s="546">
        <f t="shared" si="44"/>
        <v>925.65060778480006</v>
      </c>
      <c r="AU51" s="546">
        <f t="shared" si="44"/>
        <v>855.83347654175998</v>
      </c>
      <c r="AV51" s="546">
        <f t="shared" si="44"/>
        <v>787.83514529871991</v>
      </c>
      <c r="AW51" s="546">
        <f t="shared" si="44"/>
        <v>708.75941405567983</v>
      </c>
      <c r="AX51" s="546">
        <f t="shared" si="44"/>
        <v>636.05548281263987</v>
      </c>
      <c r="AY51" s="546">
        <f t="shared" si="44"/>
        <v>558.01335156959988</v>
      </c>
      <c r="AZ51" s="546">
        <f t="shared" si="44"/>
        <v>476.79562032655986</v>
      </c>
      <c r="BA51" s="546">
        <f t="shared" si="44"/>
        <v>400.36728908351984</v>
      </c>
      <c r="BB51" s="546">
        <f t="shared" si="44"/>
        <v>320.7273578404799</v>
      </c>
      <c r="BC51" s="546">
        <f t="shared" si="44"/>
        <v>234.95082659743989</v>
      </c>
      <c r="BD51" s="546">
        <f t="shared" si="44"/>
        <v>153.86109535439988</v>
      </c>
      <c r="BE51" s="546">
        <f t="shared" si="44"/>
        <v>74.284764111359891</v>
      </c>
      <c r="BF51" s="546">
        <f t="shared" si="44"/>
        <v>-3.6603671316800899</v>
      </c>
      <c r="BG51" s="546">
        <f t="shared" si="44"/>
        <v>-89.215698374720077</v>
      </c>
    </row>
    <row r="52" spans="2:59" ht="11.25" customHeight="1">
      <c r="B52" s="654"/>
      <c r="C52" s="655"/>
      <c r="D52" s="655"/>
      <c r="E52" s="656"/>
      <c r="F52" s="656"/>
      <c r="G52" s="657"/>
      <c r="H52" s="657"/>
      <c r="I52" s="657"/>
      <c r="J52" s="657"/>
      <c r="K52" s="657"/>
      <c r="L52" s="657"/>
      <c r="M52" s="657"/>
      <c r="N52" s="657"/>
      <c r="O52" s="657"/>
      <c r="P52" s="657"/>
      <c r="Q52" s="657"/>
      <c r="R52" s="657"/>
      <c r="S52" s="657"/>
      <c r="T52" s="657"/>
      <c r="U52" s="657"/>
      <c r="V52" s="657"/>
      <c r="W52" s="657"/>
      <c r="X52" s="657"/>
      <c r="Y52" s="657"/>
      <c r="Z52" s="657"/>
      <c r="AA52" s="657"/>
      <c r="AB52" s="657"/>
      <c r="AC52" s="657"/>
      <c r="AD52" s="657"/>
      <c r="AF52" s="541">
        <v>3</v>
      </c>
      <c r="AG52" s="549" t="s">
        <v>502</v>
      </c>
      <c r="AH52" s="543"/>
      <c r="AI52" s="666"/>
      <c r="AJ52" s="666"/>
      <c r="AK52" s="667"/>
      <c r="AL52" s="628">
        <f>(65.98-10.31)/10</f>
        <v>5.5670000000000002</v>
      </c>
      <c r="AM52" s="628">
        <f>IFERROR(AL52-AM87+AM27,0)*0+4.8491</f>
        <v>4.8491</v>
      </c>
      <c r="AN52" s="546">
        <f>IFERROR(AM52-AN87+AN27,0)+0.12</f>
        <v>4.5081889999999998</v>
      </c>
      <c r="AO52" s="546">
        <f>IFERROR(AN52-AO87+AO27,0)*0+0.26</f>
        <v>0.26</v>
      </c>
      <c r="AP52" s="546">
        <f t="shared" ref="AP52:BG52" si="45">IFERROR(AO52-AP87+AP27,0)</f>
        <v>0.126</v>
      </c>
      <c r="AQ52" s="546">
        <f t="shared" si="45"/>
        <v>-8.0000000000000071E-3</v>
      </c>
      <c r="AR52" s="546">
        <f t="shared" si="45"/>
        <v>-0.14200000000000002</v>
      </c>
      <c r="AS52" s="546">
        <f t="shared" si="45"/>
        <v>-0.27600000000000002</v>
      </c>
      <c r="AT52" s="546">
        <f t="shared" si="45"/>
        <v>-0.41000000000000003</v>
      </c>
      <c r="AU52" s="546">
        <f t="shared" si="45"/>
        <v>-0.54400000000000004</v>
      </c>
      <c r="AV52" s="546">
        <f t="shared" si="45"/>
        <v>-0.67800000000000005</v>
      </c>
      <c r="AW52" s="546">
        <f t="shared" si="45"/>
        <v>-0.81200000000000006</v>
      </c>
      <c r="AX52" s="546">
        <f t="shared" si="45"/>
        <v>-0.94600000000000006</v>
      </c>
      <c r="AY52" s="546">
        <f t="shared" si="45"/>
        <v>-1.08</v>
      </c>
      <c r="AZ52" s="546">
        <f t="shared" si="45"/>
        <v>-1.214</v>
      </c>
      <c r="BA52" s="546">
        <f t="shared" si="45"/>
        <v>-1.3479999999999999</v>
      </c>
      <c r="BB52" s="546">
        <f t="shared" si="45"/>
        <v>-1.4819999999999998</v>
      </c>
      <c r="BC52" s="546">
        <f t="shared" si="45"/>
        <v>-1.6159999999999997</v>
      </c>
      <c r="BD52" s="546">
        <f t="shared" si="45"/>
        <v>-1.7499999999999996</v>
      </c>
      <c r="BE52" s="546">
        <f t="shared" si="45"/>
        <v>-1.8839999999999995</v>
      </c>
      <c r="BF52" s="546">
        <f t="shared" si="45"/>
        <v>-2.0179999999999993</v>
      </c>
      <c r="BG52" s="546">
        <f t="shared" si="45"/>
        <v>-2.1519999999999992</v>
      </c>
    </row>
    <row r="53" spans="2:59" ht="11.25" customHeight="1">
      <c r="B53" s="654"/>
      <c r="C53" s="655"/>
      <c r="D53" s="655"/>
      <c r="E53" s="656"/>
      <c r="F53" s="656"/>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F53" s="541">
        <v>4</v>
      </c>
      <c r="AG53" s="549" t="s">
        <v>504</v>
      </c>
      <c r="AH53" s="543"/>
      <c r="AI53" s="666"/>
      <c r="AJ53" s="666"/>
      <c r="AK53" s="667"/>
      <c r="AL53" s="628">
        <v>1.0312920000000001</v>
      </c>
      <c r="AM53" s="628">
        <f>IFERROR(AL53-AM88+AM29,0)*0</f>
        <v>0</v>
      </c>
      <c r="AN53" s="546">
        <f t="shared" ref="AN53:BG53" si="46">IFERROR(AM53-AN88+AN29,0)</f>
        <v>-0.93578900000000009</v>
      </c>
      <c r="AO53" s="546">
        <f>IFERROR(AN53-AO88+AO29,0)*0+1.13</f>
        <v>1.1299999999999999</v>
      </c>
      <c r="AP53" s="546">
        <f t="shared" si="46"/>
        <v>-4.0000000000000036E-2</v>
      </c>
      <c r="AQ53" s="546">
        <f t="shared" si="46"/>
        <v>-1.21</v>
      </c>
      <c r="AR53" s="546">
        <f t="shared" si="46"/>
        <v>-2.38</v>
      </c>
      <c r="AS53" s="546">
        <f t="shared" si="46"/>
        <v>-3.55</v>
      </c>
      <c r="AT53" s="546">
        <f t="shared" si="46"/>
        <v>-4.72</v>
      </c>
      <c r="AU53" s="546">
        <f t="shared" si="46"/>
        <v>-5.89</v>
      </c>
      <c r="AV53" s="546">
        <f t="shared" si="46"/>
        <v>-7.06</v>
      </c>
      <c r="AW53" s="546">
        <f t="shared" si="46"/>
        <v>-8.23</v>
      </c>
      <c r="AX53" s="546">
        <f t="shared" si="46"/>
        <v>-9.4</v>
      </c>
      <c r="AY53" s="546">
        <f t="shared" si="46"/>
        <v>-10.57</v>
      </c>
      <c r="AZ53" s="546">
        <f t="shared" si="46"/>
        <v>-11.74</v>
      </c>
      <c r="BA53" s="546">
        <f t="shared" si="46"/>
        <v>-12.91</v>
      </c>
      <c r="BB53" s="546">
        <f t="shared" si="46"/>
        <v>-14.08</v>
      </c>
      <c r="BC53" s="546">
        <f t="shared" si="46"/>
        <v>-15.25</v>
      </c>
      <c r="BD53" s="546">
        <f t="shared" si="46"/>
        <v>-16.420000000000002</v>
      </c>
      <c r="BE53" s="546">
        <f t="shared" si="46"/>
        <v>-17.590000000000003</v>
      </c>
      <c r="BF53" s="546">
        <f t="shared" si="46"/>
        <v>-18.760000000000005</v>
      </c>
      <c r="BG53" s="546">
        <f t="shared" si="46"/>
        <v>-19.930000000000007</v>
      </c>
    </row>
    <row r="54" spans="2:59" ht="11.25" customHeight="1">
      <c r="B54" s="654"/>
      <c r="C54" s="655"/>
      <c r="D54" s="655"/>
      <c r="E54" s="656"/>
      <c r="F54" s="656"/>
      <c r="G54" s="657"/>
      <c r="H54" s="657"/>
      <c r="I54" s="657"/>
      <c r="J54" s="657"/>
      <c r="K54" s="657"/>
      <c r="L54" s="657"/>
      <c r="M54" s="657"/>
      <c r="N54" s="657"/>
      <c r="O54" s="657"/>
      <c r="P54" s="657"/>
      <c r="Q54" s="657"/>
      <c r="R54" s="657"/>
      <c r="S54" s="657"/>
      <c r="T54" s="657"/>
      <c r="U54" s="657"/>
      <c r="V54" s="657"/>
      <c r="W54" s="657"/>
      <c r="X54" s="657"/>
      <c r="Y54" s="657"/>
      <c r="Z54" s="657"/>
      <c r="AA54" s="657"/>
      <c r="AB54" s="657"/>
      <c r="AC54" s="657"/>
      <c r="AD54" s="657"/>
      <c r="AF54" s="541">
        <v>5</v>
      </c>
      <c r="AG54" s="549" t="s">
        <v>506</v>
      </c>
      <c r="AH54" s="543"/>
      <c r="AI54" s="666"/>
      <c r="AJ54" s="666"/>
      <c r="AK54" s="667"/>
      <c r="AL54" s="628">
        <v>0</v>
      </c>
      <c r="AM54" s="628">
        <f>IFERROR(AL54-AM89+AM31,0)*0</f>
        <v>0</v>
      </c>
      <c r="AN54" s="546">
        <f t="shared" ref="AN54:BG54" si="47">IFERROR(AM54-AN89+AN31,0)</f>
        <v>0</v>
      </c>
      <c r="AO54" s="1080">
        <f>IFERROR(AN54-AO89+AO31,0)*0+1.35</f>
        <v>1.35</v>
      </c>
      <c r="AP54" s="1080">
        <f t="shared" si="47"/>
        <v>0.29850000000000021</v>
      </c>
      <c r="AQ54" s="546">
        <f t="shared" si="47"/>
        <v>-0.75299999999999967</v>
      </c>
      <c r="AR54" s="546">
        <f t="shared" si="47"/>
        <v>-1.8044999999999995</v>
      </c>
      <c r="AS54" s="546">
        <f t="shared" si="47"/>
        <v>-2.8559999999999994</v>
      </c>
      <c r="AT54" s="546">
        <f t="shared" si="47"/>
        <v>-3.9074999999999993</v>
      </c>
      <c r="AU54" s="546">
        <f t="shared" si="47"/>
        <v>-4.9589999999999996</v>
      </c>
      <c r="AV54" s="546">
        <f t="shared" si="47"/>
        <v>-6.0104999999999995</v>
      </c>
      <c r="AW54" s="546">
        <f t="shared" si="47"/>
        <v>-7.0619999999999994</v>
      </c>
      <c r="AX54" s="546">
        <f t="shared" si="47"/>
        <v>-8.1134999999999984</v>
      </c>
      <c r="AY54" s="546">
        <f t="shared" si="47"/>
        <v>-9.1649999999999991</v>
      </c>
      <c r="AZ54" s="546">
        <f t="shared" si="47"/>
        <v>-10.2165</v>
      </c>
      <c r="BA54" s="546">
        <f t="shared" si="47"/>
        <v>-11.268000000000001</v>
      </c>
      <c r="BB54" s="546">
        <f t="shared" si="47"/>
        <v>-12.319500000000001</v>
      </c>
      <c r="BC54" s="546">
        <f t="shared" si="47"/>
        <v>-13.371000000000002</v>
      </c>
      <c r="BD54" s="546">
        <f t="shared" si="47"/>
        <v>-14.422500000000003</v>
      </c>
      <c r="BE54" s="546">
        <f t="shared" si="47"/>
        <v>-15.474000000000004</v>
      </c>
      <c r="BF54" s="546">
        <f t="shared" si="47"/>
        <v>-16.525500000000005</v>
      </c>
      <c r="BG54" s="546">
        <f t="shared" si="47"/>
        <v>-17.577000000000005</v>
      </c>
    </row>
    <row r="55" spans="2:59" ht="11.25" customHeight="1">
      <c r="B55" s="564"/>
      <c r="C55" s="670"/>
      <c r="D55" s="670"/>
      <c r="E55" s="657"/>
      <c r="F55" s="657"/>
      <c r="G55" s="657"/>
      <c r="H55" s="657"/>
      <c r="I55" s="657"/>
      <c r="J55" s="657"/>
      <c r="K55" s="657"/>
      <c r="L55" s="657"/>
      <c r="M55" s="657"/>
      <c r="N55" s="657"/>
      <c r="O55" s="657"/>
      <c r="P55" s="657"/>
      <c r="Q55" s="657"/>
      <c r="R55" s="657"/>
      <c r="S55" s="657"/>
      <c r="T55" s="657"/>
      <c r="U55" s="657"/>
      <c r="V55" s="657"/>
      <c r="W55" s="657"/>
      <c r="X55" s="657"/>
      <c r="Y55" s="657"/>
      <c r="Z55" s="657"/>
      <c r="AA55" s="657"/>
      <c r="AB55" s="657"/>
      <c r="AC55" s="657"/>
      <c r="AD55" s="657"/>
      <c r="AF55" s="541">
        <v>6</v>
      </c>
      <c r="AG55" s="549" t="str">
        <f>AG44</f>
        <v>Vehicles</v>
      </c>
      <c r="AH55" s="543"/>
      <c r="AI55" s="666"/>
      <c r="AJ55" s="666"/>
      <c r="AK55" s="671"/>
      <c r="AL55" s="628">
        <v>0.48980000000000001</v>
      </c>
      <c r="AM55" s="628">
        <f>IFERROR(AL55-AM90+AM33,0)*0+0.3679</f>
        <v>0.3679</v>
      </c>
      <c r="AN55" s="546">
        <f t="shared" ref="AN55:BG55" si="48">IFERROR(AM55-AN90+AN33,0)</f>
        <v>0.2913</v>
      </c>
      <c r="AO55" s="1079">
        <f t="shared" si="48"/>
        <v>0.24440000000000001</v>
      </c>
      <c r="AP55" s="546">
        <f t="shared" si="48"/>
        <v>0.14650000000000002</v>
      </c>
      <c r="AQ55" s="546">
        <f t="shared" si="48"/>
        <v>4.8600000000000018E-2</v>
      </c>
      <c r="AR55" s="546">
        <f t="shared" si="48"/>
        <v>-4.9299999999999983E-2</v>
      </c>
      <c r="AS55" s="546">
        <f t="shared" si="48"/>
        <v>-0.1472</v>
      </c>
      <c r="AT55" s="546">
        <f t="shared" si="48"/>
        <v>-0.24509999999999998</v>
      </c>
      <c r="AU55" s="546">
        <f t="shared" si="48"/>
        <v>-0.34299999999999997</v>
      </c>
      <c r="AV55" s="546">
        <f t="shared" si="48"/>
        <v>-0.44089999999999996</v>
      </c>
      <c r="AW55" s="546">
        <f t="shared" si="48"/>
        <v>-0.53879999999999995</v>
      </c>
      <c r="AX55" s="546">
        <f t="shared" si="48"/>
        <v>-0.63669999999999993</v>
      </c>
      <c r="AY55" s="546">
        <f t="shared" si="48"/>
        <v>-0.73459999999999992</v>
      </c>
      <c r="AZ55" s="546">
        <f t="shared" si="48"/>
        <v>-0.83249999999999991</v>
      </c>
      <c r="BA55" s="546">
        <f t="shared" si="48"/>
        <v>-0.93039999999999989</v>
      </c>
      <c r="BB55" s="546">
        <f t="shared" si="48"/>
        <v>-1.0283</v>
      </c>
      <c r="BC55" s="546">
        <f t="shared" si="48"/>
        <v>-1.1262000000000001</v>
      </c>
      <c r="BD55" s="546">
        <f t="shared" si="48"/>
        <v>-1.2241000000000002</v>
      </c>
      <c r="BE55" s="546">
        <f t="shared" si="48"/>
        <v>-1.3220000000000003</v>
      </c>
      <c r="BF55" s="546">
        <f t="shared" si="48"/>
        <v>-1.4199000000000004</v>
      </c>
      <c r="BG55" s="546">
        <f t="shared" si="48"/>
        <v>-1.5178000000000005</v>
      </c>
    </row>
    <row r="56" spans="2:59" ht="11.25" customHeight="1">
      <c r="B56" s="564"/>
      <c r="C56" s="670"/>
      <c r="D56" s="670"/>
      <c r="E56" s="657"/>
      <c r="F56" s="657"/>
      <c r="G56" s="657"/>
      <c r="H56" s="657"/>
      <c r="I56" s="657"/>
      <c r="J56" s="657"/>
      <c r="K56" s="657"/>
      <c r="L56" s="657"/>
      <c r="M56" s="657"/>
      <c r="N56" s="657"/>
      <c r="O56" s="657"/>
      <c r="P56" s="657"/>
      <c r="Q56" s="657"/>
      <c r="R56" s="657"/>
      <c r="S56" s="657"/>
      <c r="T56" s="657"/>
      <c r="U56" s="657"/>
      <c r="V56" s="657"/>
      <c r="W56" s="657"/>
      <c r="X56" s="657"/>
      <c r="Y56" s="657"/>
      <c r="Z56" s="657"/>
      <c r="AA56" s="657"/>
      <c r="AB56" s="657"/>
      <c r="AC56" s="657"/>
      <c r="AD56" s="657"/>
      <c r="AE56" s="672"/>
      <c r="AF56" s="541">
        <v>7</v>
      </c>
      <c r="AG56" s="549" t="s">
        <v>509</v>
      </c>
      <c r="AH56" s="543"/>
      <c r="AI56" s="666"/>
      <c r="AJ56" s="666"/>
      <c r="AK56" s="667"/>
      <c r="AL56" s="628">
        <v>1160.278</v>
      </c>
      <c r="AM56" s="628">
        <f t="shared" ref="AM56:BG56" si="49">IFERROR(AL56-AM91+AM35,0)</f>
        <v>1160.278</v>
      </c>
      <c r="AN56" s="546">
        <f>IFERROR(AM56-AN91+AN35,0)*0+1019.46</f>
        <v>1019.46</v>
      </c>
      <c r="AO56" s="546">
        <f t="shared" si="49"/>
        <v>1019.46</v>
      </c>
      <c r="AP56" s="546">
        <f t="shared" si="49"/>
        <v>1019.46</v>
      </c>
      <c r="AQ56" s="546">
        <f t="shared" si="49"/>
        <v>1019.46</v>
      </c>
      <c r="AR56" s="546">
        <f t="shared" si="49"/>
        <v>1019.46</v>
      </c>
      <c r="AS56" s="546">
        <f t="shared" si="49"/>
        <v>1019.46</v>
      </c>
      <c r="AT56" s="546">
        <f t="shared" si="49"/>
        <v>1019.46</v>
      </c>
      <c r="AU56" s="546">
        <f t="shared" si="49"/>
        <v>1019.46</v>
      </c>
      <c r="AV56" s="546">
        <f t="shared" si="49"/>
        <v>1019.46</v>
      </c>
      <c r="AW56" s="546">
        <f t="shared" si="49"/>
        <v>1019.46</v>
      </c>
      <c r="AX56" s="546">
        <f t="shared" si="49"/>
        <v>1019.46</v>
      </c>
      <c r="AY56" s="546">
        <f t="shared" si="49"/>
        <v>1019.46</v>
      </c>
      <c r="AZ56" s="546">
        <f t="shared" si="49"/>
        <v>1019.46</v>
      </c>
      <c r="BA56" s="546">
        <f t="shared" si="49"/>
        <v>1019.46</v>
      </c>
      <c r="BB56" s="546">
        <f t="shared" si="49"/>
        <v>1019.46</v>
      </c>
      <c r="BC56" s="546">
        <f t="shared" si="49"/>
        <v>1019.46</v>
      </c>
      <c r="BD56" s="546">
        <f t="shared" si="49"/>
        <v>1019.46</v>
      </c>
      <c r="BE56" s="546">
        <f t="shared" si="49"/>
        <v>1019.46</v>
      </c>
      <c r="BF56" s="546">
        <f t="shared" si="49"/>
        <v>1019.46</v>
      </c>
      <c r="BG56" s="546">
        <f t="shared" si="49"/>
        <v>1019.46</v>
      </c>
    </row>
    <row r="57" spans="2:59" ht="11.25" customHeight="1">
      <c r="B57" s="564"/>
      <c r="C57" s="673"/>
      <c r="D57" s="673"/>
      <c r="E57" s="657"/>
      <c r="F57" s="657"/>
      <c r="G57" s="657"/>
      <c r="H57" s="657"/>
      <c r="I57" s="657"/>
      <c r="J57" s="657"/>
      <c r="K57" s="657"/>
      <c r="L57" s="657"/>
      <c r="M57" s="657"/>
      <c r="N57" s="657"/>
      <c r="O57" s="657"/>
      <c r="P57" s="657"/>
      <c r="Q57" s="657"/>
      <c r="R57" s="657"/>
      <c r="S57" s="657"/>
      <c r="T57" s="657"/>
      <c r="U57" s="657"/>
      <c r="V57" s="657"/>
      <c r="W57" s="657"/>
      <c r="X57" s="657"/>
      <c r="Y57" s="657"/>
      <c r="Z57" s="657"/>
      <c r="AA57" s="657"/>
      <c r="AB57" s="657"/>
      <c r="AC57" s="657"/>
      <c r="AD57" s="657"/>
      <c r="AF57" s="541">
        <v>8</v>
      </c>
      <c r="AG57" s="549" t="s">
        <v>510</v>
      </c>
      <c r="AH57" s="543"/>
      <c r="AI57" s="666"/>
      <c r="AJ57" s="666"/>
      <c r="AK57" s="667"/>
      <c r="AL57" s="552">
        <v>98.279999999999987</v>
      </c>
      <c r="AM57" s="552">
        <f>IFERROR(AL57-AM92+AM37,0)*0</f>
        <v>0</v>
      </c>
      <c r="AN57" s="546">
        <f t="shared" ref="AN57:BG57" si="50">IFERROR(AM57-AN92+AN37,0)</f>
        <v>0</v>
      </c>
      <c r="AO57" s="546">
        <f t="shared" si="50"/>
        <v>0</v>
      </c>
      <c r="AP57" s="546">
        <f t="shared" si="50"/>
        <v>0</v>
      </c>
      <c r="AQ57" s="546">
        <f t="shared" si="50"/>
        <v>0</v>
      </c>
      <c r="AR57" s="546">
        <f t="shared" si="50"/>
        <v>0</v>
      </c>
      <c r="AS57" s="546">
        <f t="shared" si="50"/>
        <v>0</v>
      </c>
      <c r="AT57" s="546">
        <f t="shared" si="50"/>
        <v>0</v>
      </c>
      <c r="AU57" s="546">
        <f t="shared" si="50"/>
        <v>0</v>
      </c>
      <c r="AV57" s="546">
        <f t="shared" si="50"/>
        <v>0</v>
      </c>
      <c r="AW57" s="546">
        <f t="shared" si="50"/>
        <v>0</v>
      </c>
      <c r="AX57" s="546">
        <f t="shared" si="50"/>
        <v>0</v>
      </c>
      <c r="AY57" s="546">
        <f t="shared" si="50"/>
        <v>0</v>
      </c>
      <c r="AZ57" s="546">
        <f t="shared" si="50"/>
        <v>0</v>
      </c>
      <c r="BA57" s="546">
        <f t="shared" si="50"/>
        <v>0</v>
      </c>
      <c r="BB57" s="546">
        <f t="shared" si="50"/>
        <v>0</v>
      </c>
      <c r="BC57" s="546">
        <f t="shared" si="50"/>
        <v>0</v>
      </c>
      <c r="BD57" s="546">
        <f t="shared" si="50"/>
        <v>0</v>
      </c>
      <c r="BE57" s="546">
        <f t="shared" si="50"/>
        <v>0</v>
      </c>
      <c r="BF57" s="546">
        <f t="shared" si="50"/>
        <v>0</v>
      </c>
      <c r="BG57" s="546">
        <f t="shared" si="50"/>
        <v>0</v>
      </c>
    </row>
    <row r="58" spans="2:59" ht="11.25" customHeight="1">
      <c r="B58" s="564"/>
      <c r="C58" s="674"/>
      <c r="D58" s="564"/>
      <c r="E58" s="657"/>
      <c r="F58" s="657"/>
      <c r="G58" s="675"/>
      <c r="H58" s="657"/>
      <c r="I58" s="657"/>
      <c r="J58" s="657"/>
      <c r="K58" s="657"/>
      <c r="L58" s="657"/>
      <c r="M58" s="657"/>
      <c r="N58" s="657"/>
      <c r="O58" s="657"/>
      <c r="P58" s="657"/>
      <c r="Q58" s="657"/>
      <c r="R58" s="657"/>
      <c r="S58" s="657"/>
      <c r="T58" s="657"/>
      <c r="U58" s="657"/>
      <c r="V58" s="657"/>
      <c r="W58" s="657"/>
      <c r="X58" s="657"/>
      <c r="Y58" s="657"/>
      <c r="Z58" s="657"/>
      <c r="AA58" s="657"/>
      <c r="AB58" s="657"/>
      <c r="AC58" s="657"/>
      <c r="AD58" s="657"/>
      <c r="AF58" s="541"/>
      <c r="AG58" s="542"/>
      <c r="AH58" s="543"/>
      <c r="AI58" s="653"/>
      <c r="AJ58" s="653"/>
      <c r="AK58" s="551"/>
      <c r="AL58" s="552"/>
      <c r="AM58" s="552"/>
      <c r="AN58" s="546"/>
      <c r="AO58" s="546"/>
      <c r="AP58" s="546"/>
      <c r="AQ58" s="546"/>
      <c r="AR58" s="546"/>
      <c r="AS58" s="546"/>
      <c r="AT58" s="546"/>
      <c r="AU58" s="546"/>
      <c r="AV58" s="546"/>
      <c r="AW58" s="546"/>
      <c r="AX58" s="546"/>
      <c r="AY58" s="546"/>
      <c r="AZ58" s="546"/>
      <c r="BA58" s="546"/>
      <c r="BB58" s="546"/>
      <c r="BC58" s="546"/>
      <c r="BD58" s="546"/>
      <c r="BE58" s="546"/>
      <c r="BF58" s="546"/>
      <c r="BG58" s="546"/>
    </row>
    <row r="59" spans="2:59" ht="11.25" customHeight="1">
      <c r="B59" s="564"/>
      <c r="C59" s="673"/>
      <c r="D59" s="564"/>
      <c r="E59" s="657"/>
      <c r="F59" s="657"/>
      <c r="G59" s="657"/>
      <c r="H59" s="657"/>
      <c r="I59" s="657"/>
      <c r="J59" s="657"/>
      <c r="K59" s="657"/>
      <c r="L59" s="657"/>
      <c r="M59" s="657"/>
      <c r="N59" s="657"/>
      <c r="O59" s="657"/>
      <c r="P59" s="657"/>
      <c r="Q59" s="657"/>
      <c r="R59" s="657"/>
      <c r="S59" s="657"/>
      <c r="T59" s="657"/>
      <c r="U59" s="657"/>
      <c r="V59" s="657"/>
      <c r="W59" s="657"/>
      <c r="X59" s="657"/>
      <c r="Y59" s="657"/>
      <c r="Z59" s="657"/>
      <c r="AA59" s="657"/>
      <c r="AB59" s="657"/>
      <c r="AC59" s="657"/>
      <c r="AD59" s="657"/>
      <c r="AF59" s="601" t="s">
        <v>441</v>
      </c>
      <c r="AG59" s="555" t="s">
        <v>516</v>
      </c>
      <c r="AH59" s="556"/>
      <c r="AI59" s="676"/>
      <c r="AJ59" s="676"/>
      <c r="AK59" s="677"/>
      <c r="AL59" s="678"/>
      <c r="AM59" s="678"/>
      <c r="AN59" s="604"/>
      <c r="AO59" s="604"/>
      <c r="AP59" s="604"/>
      <c r="AQ59" s="604"/>
      <c r="AR59" s="604"/>
      <c r="AS59" s="604"/>
      <c r="AT59" s="604"/>
      <c r="AU59" s="604"/>
      <c r="AV59" s="604"/>
      <c r="AW59" s="604"/>
      <c r="AX59" s="604"/>
      <c r="AY59" s="604"/>
      <c r="AZ59" s="604"/>
      <c r="BA59" s="604"/>
      <c r="BB59" s="604"/>
      <c r="BC59" s="604"/>
      <c r="BD59" s="604"/>
      <c r="BE59" s="604"/>
      <c r="BF59" s="604"/>
      <c r="BG59" s="604"/>
    </row>
    <row r="60" spans="2:59" ht="11.25" customHeight="1">
      <c r="B60" s="564"/>
      <c r="C60" s="673"/>
      <c r="D60" s="673"/>
      <c r="E60" s="657"/>
      <c r="F60" s="657"/>
      <c r="G60" s="657"/>
      <c r="H60" s="657"/>
      <c r="I60" s="657"/>
      <c r="J60" s="657"/>
      <c r="K60" s="657"/>
      <c r="L60" s="657"/>
      <c r="M60" s="657"/>
      <c r="N60" s="657"/>
      <c r="O60" s="657"/>
      <c r="P60" s="657"/>
      <c r="Q60" s="657"/>
      <c r="R60" s="657"/>
      <c r="S60" s="657"/>
      <c r="T60" s="657"/>
      <c r="U60" s="657"/>
      <c r="V60" s="657"/>
      <c r="W60" s="657"/>
      <c r="X60" s="657"/>
      <c r="Y60" s="657"/>
      <c r="Z60" s="657"/>
      <c r="AA60" s="657"/>
      <c r="AB60" s="657"/>
      <c r="AC60" s="657"/>
      <c r="AD60" s="657"/>
      <c r="AF60" s="541">
        <v>1</v>
      </c>
      <c r="AG60" s="549" t="s">
        <v>498</v>
      </c>
      <c r="AH60" s="607"/>
      <c r="AI60" s="679">
        <v>1.6E-2</v>
      </c>
      <c r="AJ60" s="679">
        <v>7.0000000000000007E-2</v>
      </c>
      <c r="AK60" s="680">
        <v>0.05</v>
      </c>
      <c r="AL60" s="681">
        <f t="shared" ref="AL60:BA67" si="51">AK60</f>
        <v>0.05</v>
      </c>
      <c r="AM60" s="681">
        <f t="shared" si="51"/>
        <v>0.05</v>
      </c>
      <c r="AN60" s="682">
        <f t="shared" si="51"/>
        <v>0.05</v>
      </c>
      <c r="AO60" s="682">
        <f t="shared" si="51"/>
        <v>0.05</v>
      </c>
      <c r="AP60" s="682">
        <f t="shared" si="51"/>
        <v>0.05</v>
      </c>
      <c r="AQ60" s="682">
        <f t="shared" si="51"/>
        <v>0.05</v>
      </c>
      <c r="AR60" s="682">
        <f t="shared" si="51"/>
        <v>0.05</v>
      </c>
      <c r="AS60" s="682">
        <f t="shared" si="51"/>
        <v>0.05</v>
      </c>
      <c r="AT60" s="682">
        <f t="shared" si="51"/>
        <v>0.05</v>
      </c>
      <c r="AU60" s="682">
        <f t="shared" si="51"/>
        <v>0.05</v>
      </c>
      <c r="AV60" s="682">
        <f t="shared" si="51"/>
        <v>0.05</v>
      </c>
      <c r="AW60" s="682">
        <f t="shared" si="51"/>
        <v>0.05</v>
      </c>
      <c r="AX60" s="682">
        <f t="shared" si="51"/>
        <v>0.05</v>
      </c>
      <c r="AY60" s="682">
        <f t="shared" si="51"/>
        <v>0.05</v>
      </c>
      <c r="AZ60" s="682">
        <f t="shared" si="51"/>
        <v>0.05</v>
      </c>
      <c r="BA60" s="682">
        <f t="shared" si="51"/>
        <v>0.05</v>
      </c>
      <c r="BB60" s="682">
        <f t="shared" ref="AZ60:BG67" si="52">BA60</f>
        <v>0.05</v>
      </c>
      <c r="BC60" s="682">
        <f t="shared" si="52"/>
        <v>0.05</v>
      </c>
      <c r="BD60" s="682">
        <f t="shared" si="52"/>
        <v>0.05</v>
      </c>
      <c r="BE60" s="682">
        <f t="shared" si="52"/>
        <v>0.05</v>
      </c>
      <c r="BF60" s="682">
        <f t="shared" si="52"/>
        <v>0.05</v>
      </c>
      <c r="BG60" s="682">
        <f t="shared" si="52"/>
        <v>0.05</v>
      </c>
    </row>
    <row r="61" spans="2:59" ht="11.25" customHeight="1">
      <c r="B61" s="564"/>
      <c r="C61" s="673"/>
      <c r="D61" s="673"/>
      <c r="E61" s="657"/>
      <c r="F61" s="657"/>
      <c r="G61" s="683"/>
      <c r="H61" s="657"/>
      <c r="I61" s="657"/>
      <c r="J61" s="657"/>
      <c r="K61" s="657"/>
      <c r="L61" s="657"/>
      <c r="M61" s="657"/>
      <c r="N61" s="657"/>
      <c r="O61" s="657"/>
      <c r="P61" s="657"/>
      <c r="Q61" s="657"/>
      <c r="R61" s="657"/>
      <c r="S61" s="657"/>
      <c r="T61" s="657"/>
      <c r="U61" s="657"/>
      <c r="V61" s="657"/>
      <c r="W61" s="657"/>
      <c r="X61" s="657"/>
      <c r="Y61" s="657"/>
      <c r="Z61" s="657"/>
      <c r="AA61" s="657"/>
      <c r="AB61" s="657"/>
      <c r="AC61" s="657"/>
      <c r="AD61" s="657"/>
      <c r="AF61" s="541">
        <v>2</v>
      </c>
      <c r="AG61" s="549" t="s">
        <v>500</v>
      </c>
      <c r="AH61" s="607"/>
      <c r="AI61" s="679">
        <v>7.4999999999999997E-2</v>
      </c>
      <c r="AJ61" s="679">
        <f t="shared" ref="AJ61:AJ67" si="53">AI61</f>
        <v>7.4999999999999997E-2</v>
      </c>
      <c r="AK61" s="680">
        <v>0.04</v>
      </c>
      <c r="AL61" s="681">
        <f t="shared" si="51"/>
        <v>0.04</v>
      </c>
      <c r="AM61" s="681">
        <f t="shared" si="51"/>
        <v>0.04</v>
      </c>
      <c r="AN61" s="682">
        <f t="shared" si="51"/>
        <v>0.04</v>
      </c>
      <c r="AO61" s="682">
        <f t="shared" si="51"/>
        <v>0.04</v>
      </c>
      <c r="AP61" s="682">
        <f t="shared" si="51"/>
        <v>0.04</v>
      </c>
      <c r="AQ61" s="682">
        <f t="shared" si="51"/>
        <v>0.04</v>
      </c>
      <c r="AR61" s="682">
        <f t="shared" si="51"/>
        <v>0.04</v>
      </c>
      <c r="AS61" s="682">
        <f t="shared" si="51"/>
        <v>0.04</v>
      </c>
      <c r="AT61" s="682">
        <f t="shared" si="51"/>
        <v>0.04</v>
      </c>
      <c r="AU61" s="682">
        <f t="shared" si="51"/>
        <v>0.04</v>
      </c>
      <c r="AV61" s="682">
        <f t="shared" si="51"/>
        <v>0.04</v>
      </c>
      <c r="AW61" s="682">
        <f t="shared" si="51"/>
        <v>0.04</v>
      </c>
      <c r="AX61" s="682">
        <f t="shared" si="51"/>
        <v>0.04</v>
      </c>
      <c r="AY61" s="682">
        <f t="shared" si="51"/>
        <v>0.04</v>
      </c>
      <c r="AZ61" s="682">
        <f t="shared" si="51"/>
        <v>0.04</v>
      </c>
      <c r="BA61" s="682">
        <f t="shared" si="51"/>
        <v>0.04</v>
      </c>
      <c r="BB61" s="682">
        <f t="shared" si="52"/>
        <v>0.04</v>
      </c>
      <c r="BC61" s="682">
        <f t="shared" si="52"/>
        <v>0.04</v>
      </c>
      <c r="BD61" s="682">
        <f t="shared" si="52"/>
        <v>0.04</v>
      </c>
      <c r="BE61" s="682">
        <f t="shared" si="52"/>
        <v>0.04</v>
      </c>
      <c r="BF61" s="682">
        <f t="shared" si="52"/>
        <v>0.04</v>
      </c>
      <c r="BG61" s="682">
        <f t="shared" si="52"/>
        <v>0.04</v>
      </c>
    </row>
    <row r="62" spans="2:59" ht="11.25" customHeight="1">
      <c r="B62" s="564"/>
      <c r="C62" s="684"/>
      <c r="D62" s="684"/>
      <c r="E62" s="685"/>
      <c r="F62" s="685"/>
      <c r="G62" s="686"/>
      <c r="H62" s="686"/>
      <c r="I62" s="686"/>
      <c r="J62" s="686"/>
      <c r="K62" s="686"/>
      <c r="L62" s="686"/>
      <c r="M62" s="686"/>
      <c r="N62" s="686"/>
      <c r="O62" s="686"/>
      <c r="P62" s="686"/>
      <c r="Q62" s="686"/>
      <c r="R62" s="686"/>
      <c r="S62" s="686"/>
      <c r="T62" s="686"/>
      <c r="U62" s="686"/>
      <c r="V62" s="686"/>
      <c r="W62" s="686"/>
      <c r="X62" s="686"/>
      <c r="Y62" s="686"/>
      <c r="Z62" s="686"/>
      <c r="AA62" s="686"/>
      <c r="AB62" s="686"/>
      <c r="AC62" s="686"/>
      <c r="AD62" s="686"/>
      <c r="AF62" s="541">
        <v>3</v>
      </c>
      <c r="AG62" s="549" t="s">
        <v>502</v>
      </c>
      <c r="AH62" s="607"/>
      <c r="AI62" s="679">
        <v>9.5000000000000001E-2</v>
      </c>
      <c r="AJ62" s="679">
        <f t="shared" si="53"/>
        <v>9.5000000000000001E-2</v>
      </c>
      <c r="AK62" s="680">
        <v>0.1</v>
      </c>
      <c r="AL62" s="681">
        <f t="shared" si="51"/>
        <v>0.1</v>
      </c>
      <c r="AM62" s="681">
        <f t="shared" si="51"/>
        <v>0.1</v>
      </c>
      <c r="AN62" s="682">
        <f t="shared" si="51"/>
        <v>0.1</v>
      </c>
      <c r="AO62" s="682">
        <f t="shared" si="51"/>
        <v>0.1</v>
      </c>
      <c r="AP62" s="682">
        <f t="shared" si="51"/>
        <v>0.1</v>
      </c>
      <c r="AQ62" s="682">
        <f t="shared" si="51"/>
        <v>0.1</v>
      </c>
      <c r="AR62" s="682">
        <f t="shared" si="51"/>
        <v>0.1</v>
      </c>
      <c r="AS62" s="682">
        <f t="shared" si="51"/>
        <v>0.1</v>
      </c>
      <c r="AT62" s="682">
        <f t="shared" si="51"/>
        <v>0.1</v>
      </c>
      <c r="AU62" s="682">
        <f t="shared" si="51"/>
        <v>0.1</v>
      </c>
      <c r="AV62" s="682">
        <f t="shared" si="51"/>
        <v>0.1</v>
      </c>
      <c r="AW62" s="682">
        <f t="shared" si="51"/>
        <v>0.1</v>
      </c>
      <c r="AX62" s="682">
        <f t="shared" si="51"/>
        <v>0.1</v>
      </c>
      <c r="AY62" s="682">
        <f t="shared" si="51"/>
        <v>0.1</v>
      </c>
      <c r="AZ62" s="682">
        <f t="shared" si="51"/>
        <v>0.1</v>
      </c>
      <c r="BA62" s="682">
        <f t="shared" si="51"/>
        <v>0.1</v>
      </c>
      <c r="BB62" s="682">
        <f t="shared" si="52"/>
        <v>0.1</v>
      </c>
      <c r="BC62" s="682">
        <f t="shared" si="52"/>
        <v>0.1</v>
      </c>
      <c r="BD62" s="682">
        <f t="shared" si="52"/>
        <v>0.1</v>
      </c>
      <c r="BE62" s="682">
        <f t="shared" si="52"/>
        <v>0.1</v>
      </c>
      <c r="BF62" s="682">
        <f t="shared" si="52"/>
        <v>0.1</v>
      </c>
      <c r="BG62" s="682">
        <f t="shared" si="52"/>
        <v>0.1</v>
      </c>
    </row>
    <row r="63" spans="2:59" ht="11.25" customHeight="1">
      <c r="B63" s="564"/>
      <c r="C63" s="684"/>
      <c r="D63" s="684"/>
      <c r="E63" s="685"/>
      <c r="F63" s="685"/>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F63" s="541">
        <v>4</v>
      </c>
      <c r="AG63" s="549" t="s">
        <v>504</v>
      </c>
      <c r="AH63" s="607"/>
      <c r="AI63" s="679">
        <v>0.19</v>
      </c>
      <c r="AJ63" s="679">
        <f t="shared" si="53"/>
        <v>0.19</v>
      </c>
      <c r="AK63" s="680">
        <v>0.2</v>
      </c>
      <c r="AL63" s="681">
        <f t="shared" si="51"/>
        <v>0.2</v>
      </c>
      <c r="AM63" s="681">
        <f t="shared" si="51"/>
        <v>0.2</v>
      </c>
      <c r="AN63" s="682">
        <f t="shared" si="51"/>
        <v>0.2</v>
      </c>
      <c r="AO63" s="682">
        <f t="shared" si="51"/>
        <v>0.2</v>
      </c>
      <c r="AP63" s="682">
        <f t="shared" si="51"/>
        <v>0.2</v>
      </c>
      <c r="AQ63" s="682">
        <f t="shared" si="51"/>
        <v>0.2</v>
      </c>
      <c r="AR63" s="682">
        <f t="shared" si="51"/>
        <v>0.2</v>
      </c>
      <c r="AS63" s="682">
        <f t="shared" si="51"/>
        <v>0.2</v>
      </c>
      <c r="AT63" s="682">
        <f t="shared" si="51"/>
        <v>0.2</v>
      </c>
      <c r="AU63" s="682">
        <f t="shared" si="51"/>
        <v>0.2</v>
      </c>
      <c r="AV63" s="682">
        <f t="shared" si="51"/>
        <v>0.2</v>
      </c>
      <c r="AW63" s="682">
        <f t="shared" si="51"/>
        <v>0.2</v>
      </c>
      <c r="AX63" s="682">
        <f t="shared" si="51"/>
        <v>0.2</v>
      </c>
      <c r="AY63" s="682">
        <f t="shared" si="51"/>
        <v>0.2</v>
      </c>
      <c r="AZ63" s="682">
        <f t="shared" si="51"/>
        <v>0.2</v>
      </c>
      <c r="BA63" s="682">
        <f t="shared" si="51"/>
        <v>0.2</v>
      </c>
      <c r="BB63" s="682">
        <f t="shared" si="52"/>
        <v>0.2</v>
      </c>
      <c r="BC63" s="682">
        <f t="shared" si="52"/>
        <v>0.2</v>
      </c>
      <c r="BD63" s="682">
        <f t="shared" si="52"/>
        <v>0.2</v>
      </c>
      <c r="BE63" s="682">
        <f t="shared" si="52"/>
        <v>0.2</v>
      </c>
      <c r="BF63" s="682">
        <f t="shared" si="52"/>
        <v>0.2</v>
      </c>
      <c r="BG63" s="682">
        <f t="shared" si="52"/>
        <v>0.2</v>
      </c>
    </row>
    <row r="64" spans="2:59" ht="11.25" customHeight="1">
      <c r="B64" s="688"/>
      <c r="C64" s="689"/>
      <c r="D64" s="689"/>
      <c r="E64" s="690"/>
      <c r="F64" s="690"/>
      <c r="G64" s="691"/>
      <c r="H64" s="690"/>
      <c r="I64" s="690"/>
      <c r="J64" s="690"/>
      <c r="K64" s="690"/>
      <c r="L64" s="690"/>
      <c r="M64" s="690"/>
      <c r="N64" s="690"/>
      <c r="O64" s="690"/>
      <c r="P64" s="690"/>
      <c r="Q64" s="690"/>
      <c r="R64" s="690"/>
      <c r="S64" s="690"/>
      <c r="T64" s="690"/>
      <c r="U64" s="690"/>
      <c r="V64" s="690"/>
      <c r="W64" s="690"/>
      <c r="X64" s="690"/>
      <c r="Y64" s="690"/>
      <c r="Z64" s="690"/>
      <c r="AA64" s="690"/>
      <c r="AB64" s="690"/>
      <c r="AC64" s="690"/>
      <c r="AD64" s="690"/>
      <c r="AF64" s="541">
        <v>5</v>
      </c>
      <c r="AG64" s="549" t="s">
        <v>524</v>
      </c>
      <c r="AH64" s="607"/>
      <c r="AI64" s="679">
        <v>0.31669999999999998</v>
      </c>
      <c r="AJ64" s="679">
        <f t="shared" si="53"/>
        <v>0.31669999999999998</v>
      </c>
      <c r="AK64" s="680">
        <v>0.15</v>
      </c>
      <c r="AL64" s="681">
        <f t="shared" si="51"/>
        <v>0.15</v>
      </c>
      <c r="AM64" s="681">
        <f t="shared" si="51"/>
        <v>0.15</v>
      </c>
      <c r="AN64" s="682">
        <f t="shared" si="51"/>
        <v>0.15</v>
      </c>
      <c r="AO64" s="682">
        <f t="shared" si="51"/>
        <v>0.15</v>
      </c>
      <c r="AP64" s="682">
        <f t="shared" si="51"/>
        <v>0.15</v>
      </c>
      <c r="AQ64" s="682">
        <f t="shared" si="51"/>
        <v>0.15</v>
      </c>
      <c r="AR64" s="682">
        <f t="shared" si="51"/>
        <v>0.15</v>
      </c>
      <c r="AS64" s="682">
        <f t="shared" si="51"/>
        <v>0.15</v>
      </c>
      <c r="AT64" s="682">
        <f t="shared" si="51"/>
        <v>0.15</v>
      </c>
      <c r="AU64" s="682">
        <f t="shared" si="51"/>
        <v>0.15</v>
      </c>
      <c r="AV64" s="682">
        <f t="shared" si="51"/>
        <v>0.15</v>
      </c>
      <c r="AW64" s="682">
        <f t="shared" si="51"/>
        <v>0.15</v>
      </c>
      <c r="AX64" s="682">
        <f t="shared" si="51"/>
        <v>0.15</v>
      </c>
      <c r="AY64" s="682">
        <f t="shared" si="51"/>
        <v>0.15</v>
      </c>
      <c r="AZ64" s="682">
        <f t="shared" si="51"/>
        <v>0.15</v>
      </c>
      <c r="BA64" s="682">
        <f t="shared" si="51"/>
        <v>0.15</v>
      </c>
      <c r="BB64" s="682">
        <f t="shared" si="52"/>
        <v>0.15</v>
      </c>
      <c r="BC64" s="682">
        <f t="shared" si="52"/>
        <v>0.15</v>
      </c>
      <c r="BD64" s="682">
        <f t="shared" si="52"/>
        <v>0.15</v>
      </c>
      <c r="BE64" s="682">
        <f t="shared" si="52"/>
        <v>0.15</v>
      </c>
      <c r="BF64" s="682">
        <f t="shared" si="52"/>
        <v>0.15</v>
      </c>
      <c r="BG64" s="682">
        <f t="shared" si="52"/>
        <v>0.15</v>
      </c>
    </row>
    <row r="65" spans="2:59" ht="11.25" customHeight="1">
      <c r="B65" s="692"/>
      <c r="C65" s="673"/>
      <c r="D65" s="673"/>
      <c r="E65" s="657"/>
      <c r="F65" s="657"/>
      <c r="G65" s="693"/>
      <c r="H65" s="657"/>
      <c r="I65" s="657"/>
      <c r="J65" s="657"/>
      <c r="K65" s="657"/>
      <c r="L65" s="657"/>
      <c r="M65" s="657"/>
      <c r="N65" s="657"/>
      <c r="O65" s="657"/>
      <c r="P65" s="657"/>
      <c r="Q65" s="657"/>
      <c r="R65" s="657"/>
      <c r="S65" s="657"/>
      <c r="T65" s="657"/>
      <c r="U65" s="657"/>
      <c r="V65" s="657"/>
      <c r="W65" s="657"/>
      <c r="X65" s="657"/>
      <c r="Y65" s="657"/>
      <c r="Z65" s="657"/>
      <c r="AA65" s="657"/>
      <c r="AB65" s="657"/>
      <c r="AC65" s="657"/>
      <c r="AD65" s="657"/>
      <c r="AF65" s="541">
        <v>6</v>
      </c>
      <c r="AG65" s="549" t="str">
        <f>AG55</f>
        <v>Vehicles</v>
      </c>
      <c r="AH65" s="607"/>
      <c r="AI65" s="679">
        <v>0.11</v>
      </c>
      <c r="AJ65" s="679">
        <f t="shared" si="53"/>
        <v>0.11</v>
      </c>
      <c r="AK65" s="680">
        <v>0.11</v>
      </c>
      <c r="AL65" s="681">
        <f t="shared" si="51"/>
        <v>0.11</v>
      </c>
      <c r="AM65" s="681">
        <f t="shared" si="51"/>
        <v>0.11</v>
      </c>
      <c r="AN65" s="682">
        <f t="shared" si="51"/>
        <v>0.11</v>
      </c>
      <c r="AO65" s="682">
        <f t="shared" si="51"/>
        <v>0.11</v>
      </c>
      <c r="AP65" s="682">
        <f t="shared" si="51"/>
        <v>0.11</v>
      </c>
      <c r="AQ65" s="682">
        <f t="shared" si="51"/>
        <v>0.11</v>
      </c>
      <c r="AR65" s="682">
        <f t="shared" si="51"/>
        <v>0.11</v>
      </c>
      <c r="AS65" s="682">
        <f t="shared" si="51"/>
        <v>0.11</v>
      </c>
      <c r="AT65" s="682">
        <f t="shared" si="51"/>
        <v>0.11</v>
      </c>
      <c r="AU65" s="682">
        <f t="shared" si="51"/>
        <v>0.11</v>
      </c>
      <c r="AV65" s="682">
        <f t="shared" si="51"/>
        <v>0.11</v>
      </c>
      <c r="AW65" s="682">
        <f t="shared" si="51"/>
        <v>0.11</v>
      </c>
      <c r="AX65" s="682">
        <f t="shared" si="51"/>
        <v>0.11</v>
      </c>
      <c r="AY65" s="682">
        <f t="shared" si="51"/>
        <v>0.11</v>
      </c>
      <c r="AZ65" s="682">
        <f t="shared" si="52"/>
        <v>0.11</v>
      </c>
      <c r="BA65" s="682">
        <f t="shared" si="52"/>
        <v>0.11</v>
      </c>
      <c r="BB65" s="682">
        <f t="shared" si="52"/>
        <v>0.11</v>
      </c>
      <c r="BC65" s="682">
        <f t="shared" si="52"/>
        <v>0.11</v>
      </c>
      <c r="BD65" s="682">
        <f t="shared" si="52"/>
        <v>0.11</v>
      </c>
      <c r="BE65" s="682">
        <f t="shared" si="52"/>
        <v>0.11</v>
      </c>
      <c r="BF65" s="682">
        <f t="shared" si="52"/>
        <v>0.11</v>
      </c>
      <c r="BG65" s="682">
        <f t="shared" si="52"/>
        <v>0.11</v>
      </c>
    </row>
    <row r="66" spans="2:59" ht="11.25" customHeight="1">
      <c r="B66" s="564"/>
      <c r="C66" s="673"/>
      <c r="D66" s="673"/>
      <c r="E66" s="657"/>
      <c r="F66" s="657"/>
      <c r="G66" s="693"/>
      <c r="H66" s="657"/>
      <c r="I66" s="657"/>
      <c r="J66" s="657"/>
      <c r="K66" s="657"/>
      <c r="L66" s="657"/>
      <c r="M66" s="657"/>
      <c r="N66" s="657"/>
      <c r="O66" s="657"/>
      <c r="P66" s="657"/>
      <c r="Q66" s="657"/>
      <c r="R66" s="657"/>
      <c r="S66" s="657"/>
      <c r="T66" s="657"/>
      <c r="U66" s="657"/>
      <c r="V66" s="657"/>
      <c r="W66" s="657"/>
      <c r="X66" s="657"/>
      <c r="Y66" s="657"/>
      <c r="Z66" s="657"/>
      <c r="AA66" s="657"/>
      <c r="AB66" s="657"/>
      <c r="AC66" s="657"/>
      <c r="AD66" s="657"/>
      <c r="AF66" s="541">
        <v>7</v>
      </c>
      <c r="AG66" s="549" t="s">
        <v>509</v>
      </c>
      <c r="AH66" s="607"/>
      <c r="AI66" s="679">
        <v>0</v>
      </c>
      <c r="AJ66" s="679">
        <f t="shared" si="53"/>
        <v>0</v>
      </c>
      <c r="AK66" s="680">
        <v>0</v>
      </c>
      <c r="AL66" s="681">
        <f t="shared" si="51"/>
        <v>0</v>
      </c>
      <c r="AM66" s="681">
        <f t="shared" si="51"/>
        <v>0</v>
      </c>
      <c r="AN66" s="682">
        <f t="shared" si="51"/>
        <v>0</v>
      </c>
      <c r="AO66" s="682">
        <f t="shared" si="51"/>
        <v>0</v>
      </c>
      <c r="AP66" s="682">
        <f t="shared" si="51"/>
        <v>0</v>
      </c>
      <c r="AQ66" s="682">
        <f t="shared" si="51"/>
        <v>0</v>
      </c>
      <c r="AR66" s="682">
        <f t="shared" si="51"/>
        <v>0</v>
      </c>
      <c r="AS66" s="682">
        <f t="shared" si="51"/>
        <v>0</v>
      </c>
      <c r="AT66" s="682">
        <f t="shared" si="51"/>
        <v>0</v>
      </c>
      <c r="AU66" s="682">
        <f t="shared" si="51"/>
        <v>0</v>
      </c>
      <c r="AV66" s="682">
        <f t="shared" si="51"/>
        <v>0</v>
      </c>
      <c r="AW66" s="682">
        <f t="shared" si="51"/>
        <v>0</v>
      </c>
      <c r="AX66" s="682">
        <f t="shared" si="51"/>
        <v>0</v>
      </c>
      <c r="AY66" s="682">
        <f t="shared" si="51"/>
        <v>0</v>
      </c>
      <c r="AZ66" s="682">
        <f t="shared" si="52"/>
        <v>0</v>
      </c>
      <c r="BA66" s="682">
        <f t="shared" si="52"/>
        <v>0</v>
      </c>
      <c r="BB66" s="682">
        <f t="shared" si="52"/>
        <v>0</v>
      </c>
      <c r="BC66" s="682">
        <f t="shared" si="52"/>
        <v>0</v>
      </c>
      <c r="BD66" s="682">
        <f t="shared" si="52"/>
        <v>0</v>
      </c>
      <c r="BE66" s="682">
        <f t="shared" si="52"/>
        <v>0</v>
      </c>
      <c r="BF66" s="682">
        <f t="shared" si="52"/>
        <v>0</v>
      </c>
      <c r="BG66" s="682">
        <f t="shared" si="52"/>
        <v>0</v>
      </c>
    </row>
    <row r="67" spans="2:59" ht="11.25" customHeight="1">
      <c r="B67" s="654"/>
      <c r="C67" s="673"/>
      <c r="D67" s="673"/>
      <c r="E67" s="657"/>
      <c r="F67" s="657"/>
      <c r="G67" s="693"/>
      <c r="H67" s="657"/>
      <c r="I67" s="657"/>
      <c r="J67" s="657"/>
      <c r="K67" s="657"/>
      <c r="L67" s="657"/>
      <c r="M67" s="657"/>
      <c r="N67" s="657"/>
      <c r="O67" s="657"/>
      <c r="P67" s="657"/>
      <c r="Q67" s="657"/>
      <c r="R67" s="657"/>
      <c r="S67" s="657"/>
      <c r="T67" s="657"/>
      <c r="U67" s="657"/>
      <c r="V67" s="657"/>
      <c r="W67" s="657"/>
      <c r="X67" s="657"/>
      <c r="Y67" s="657"/>
      <c r="Z67" s="657"/>
      <c r="AA67" s="657"/>
      <c r="AB67" s="657"/>
      <c r="AC67" s="657"/>
      <c r="AD67" s="657"/>
      <c r="AF67" s="541">
        <v>8</v>
      </c>
      <c r="AG67" s="549" t="s">
        <v>510</v>
      </c>
      <c r="AH67" s="607"/>
      <c r="AI67" s="679">
        <v>0.1</v>
      </c>
      <c r="AJ67" s="679">
        <f t="shared" si="53"/>
        <v>0.1</v>
      </c>
      <c r="AK67" s="680">
        <v>0.1</v>
      </c>
      <c r="AL67" s="681">
        <f t="shared" si="51"/>
        <v>0.1</v>
      </c>
      <c r="AM67" s="681">
        <f t="shared" si="51"/>
        <v>0.1</v>
      </c>
      <c r="AN67" s="682">
        <f t="shared" si="51"/>
        <v>0.1</v>
      </c>
      <c r="AO67" s="682">
        <f t="shared" si="51"/>
        <v>0.1</v>
      </c>
      <c r="AP67" s="682">
        <f t="shared" si="51"/>
        <v>0.1</v>
      </c>
      <c r="AQ67" s="682">
        <f t="shared" si="51"/>
        <v>0.1</v>
      </c>
      <c r="AR67" s="682">
        <f t="shared" si="51"/>
        <v>0.1</v>
      </c>
      <c r="AS67" s="682">
        <f t="shared" si="51"/>
        <v>0.1</v>
      </c>
      <c r="AT67" s="682">
        <f t="shared" si="51"/>
        <v>0.1</v>
      </c>
      <c r="AU67" s="682">
        <f t="shared" si="51"/>
        <v>0.1</v>
      </c>
      <c r="AV67" s="682">
        <f t="shared" si="51"/>
        <v>0.1</v>
      </c>
      <c r="AW67" s="682">
        <f t="shared" si="51"/>
        <v>0.1</v>
      </c>
      <c r="AX67" s="682">
        <f t="shared" si="51"/>
        <v>0.1</v>
      </c>
      <c r="AY67" s="682">
        <f t="shared" si="51"/>
        <v>0.1</v>
      </c>
      <c r="AZ67" s="682">
        <f t="shared" si="52"/>
        <v>0.1</v>
      </c>
      <c r="BA67" s="682">
        <f t="shared" si="52"/>
        <v>0.1</v>
      </c>
      <c r="BB67" s="682">
        <f t="shared" si="52"/>
        <v>0.1</v>
      </c>
      <c r="BC67" s="682">
        <f t="shared" si="52"/>
        <v>0.1</v>
      </c>
      <c r="BD67" s="682">
        <f t="shared" si="52"/>
        <v>0.1</v>
      </c>
      <c r="BE67" s="682">
        <f t="shared" si="52"/>
        <v>0.1</v>
      </c>
      <c r="BF67" s="682">
        <f t="shared" si="52"/>
        <v>0.1</v>
      </c>
      <c r="BG67" s="682">
        <f t="shared" si="52"/>
        <v>0.1</v>
      </c>
    </row>
    <row r="68" spans="2:59" ht="11.25" customHeight="1">
      <c r="B68" s="564"/>
      <c r="C68" s="673"/>
      <c r="D68" s="673"/>
      <c r="E68" s="657"/>
      <c r="F68" s="657"/>
      <c r="G68" s="693"/>
      <c r="H68" s="657"/>
      <c r="I68" s="657"/>
      <c r="J68" s="657"/>
      <c r="K68" s="657"/>
      <c r="L68" s="657"/>
      <c r="M68" s="657"/>
      <c r="N68" s="657"/>
      <c r="O68" s="657"/>
      <c r="P68" s="657"/>
      <c r="Q68" s="657"/>
      <c r="R68" s="657"/>
      <c r="S68" s="657"/>
      <c r="T68" s="657"/>
      <c r="U68" s="657"/>
      <c r="V68" s="657"/>
      <c r="W68" s="657"/>
      <c r="X68" s="657"/>
      <c r="Y68" s="657"/>
      <c r="Z68" s="657"/>
      <c r="AA68" s="657"/>
      <c r="AB68" s="657"/>
      <c r="AC68" s="657"/>
      <c r="AD68" s="657"/>
      <c r="AF68" s="541"/>
      <c r="AG68" s="549"/>
      <c r="AH68" s="607"/>
      <c r="AI68" s="679"/>
      <c r="AJ68" s="679"/>
      <c r="AK68" s="680"/>
      <c r="AL68" s="681"/>
      <c r="AM68" s="681"/>
      <c r="AN68" s="681"/>
      <c r="AO68" s="681"/>
      <c r="AP68" s="681"/>
      <c r="AQ68" s="681"/>
      <c r="AR68" s="681"/>
      <c r="AS68" s="681"/>
      <c r="AT68" s="681"/>
      <c r="AU68" s="681"/>
      <c r="AV68" s="681"/>
      <c r="AW68" s="681"/>
      <c r="AX68" s="681"/>
      <c r="AY68" s="681"/>
      <c r="AZ68" s="681"/>
      <c r="BA68" s="694"/>
      <c r="BB68" s="694"/>
      <c r="BC68" s="694"/>
      <c r="BD68" s="694"/>
      <c r="BE68" s="694"/>
      <c r="BF68" s="694"/>
      <c r="BG68" s="694"/>
    </row>
    <row r="69" spans="2:59" ht="11.25" customHeight="1">
      <c r="B69" s="564"/>
      <c r="C69" s="673"/>
      <c r="D69" s="673"/>
      <c r="E69" s="657"/>
      <c r="F69" s="657"/>
      <c r="G69" s="693"/>
      <c r="H69" s="657"/>
      <c r="I69" s="657"/>
      <c r="J69" s="657"/>
      <c r="K69" s="657"/>
      <c r="L69" s="657"/>
      <c r="M69" s="657"/>
      <c r="N69" s="657"/>
      <c r="O69" s="657"/>
      <c r="P69" s="657"/>
      <c r="Q69" s="657"/>
      <c r="R69" s="657"/>
      <c r="S69" s="657"/>
      <c r="T69" s="657"/>
      <c r="U69" s="657"/>
      <c r="V69" s="657"/>
      <c r="W69" s="657"/>
      <c r="X69" s="657"/>
      <c r="Y69" s="657"/>
      <c r="Z69" s="657"/>
      <c r="AA69" s="657"/>
      <c r="AB69" s="657"/>
      <c r="AC69" s="657"/>
      <c r="AD69" s="657"/>
      <c r="AF69" s="541"/>
      <c r="AG69" s="549"/>
      <c r="AH69" s="607"/>
      <c r="AI69" s="679"/>
      <c r="AJ69" s="679"/>
      <c r="AK69" s="680"/>
      <c r="AL69" s="681"/>
      <c r="AM69" s="681"/>
      <c r="AN69" s="681"/>
      <c r="AO69" s="681"/>
      <c r="AP69" s="681"/>
      <c r="AQ69" s="681"/>
      <c r="AR69" s="681"/>
      <c r="AS69" s="681"/>
      <c r="AT69" s="681"/>
      <c r="AU69" s="681"/>
      <c r="AV69" s="681"/>
      <c r="AW69" s="681"/>
      <c r="AX69" s="681"/>
      <c r="AY69" s="681"/>
      <c r="AZ69" s="681"/>
      <c r="BA69" s="694"/>
      <c r="BB69" s="694"/>
      <c r="BC69" s="694"/>
      <c r="BD69" s="694"/>
      <c r="BE69" s="694"/>
      <c r="BF69" s="694"/>
      <c r="BG69" s="694"/>
    </row>
    <row r="70" spans="2:59" ht="11.25" customHeight="1">
      <c r="B70" s="564"/>
      <c r="C70" s="673"/>
      <c r="D70" s="673"/>
      <c r="E70" s="657"/>
      <c r="F70" s="657"/>
      <c r="G70" s="693"/>
      <c r="H70" s="657"/>
      <c r="I70" s="657"/>
      <c r="J70" s="657"/>
      <c r="K70" s="657"/>
      <c r="L70" s="657"/>
      <c r="M70" s="657"/>
      <c r="N70" s="657"/>
      <c r="O70" s="657"/>
      <c r="P70" s="657"/>
      <c r="Q70" s="657"/>
      <c r="R70" s="657"/>
      <c r="S70" s="657"/>
      <c r="T70" s="657"/>
      <c r="U70" s="657"/>
      <c r="V70" s="657"/>
      <c r="W70" s="657"/>
      <c r="X70" s="657"/>
      <c r="Y70" s="657"/>
      <c r="Z70" s="657"/>
      <c r="AA70" s="657"/>
      <c r="AB70" s="657"/>
      <c r="AC70" s="657"/>
      <c r="AD70" s="657"/>
      <c r="AL70" s="647">
        <f t="shared" ref="AL70:BG70" si="54">AL95</f>
        <v>88.83</v>
      </c>
      <c r="AM70" s="647">
        <f>AM95</f>
        <v>82.134899999999988</v>
      </c>
      <c r="AN70" s="695">
        <f t="shared" si="54"/>
        <v>82.238299999999995</v>
      </c>
      <c r="AO70" s="695">
        <f t="shared" si="54"/>
        <v>82.087299999999999</v>
      </c>
      <c r="AP70" s="695">
        <f t="shared" si="54"/>
        <v>91.965599243040018</v>
      </c>
      <c r="AQ70" s="695">
        <f t="shared" si="54"/>
        <v>96.752399243040017</v>
      </c>
      <c r="AR70" s="695">
        <f t="shared" si="54"/>
        <v>100.38543124304002</v>
      </c>
      <c r="AS70" s="695">
        <f t="shared" si="54"/>
        <v>101.49263124304001</v>
      </c>
      <c r="AT70" s="695">
        <f t="shared" si="54"/>
        <v>102.49363124304001</v>
      </c>
      <c r="AU70" s="695">
        <f t="shared" si="54"/>
        <v>103.40603124304002</v>
      </c>
      <c r="AV70" s="695">
        <f t="shared" si="54"/>
        <v>104.43223124304002</v>
      </c>
      <c r="AW70" s="695">
        <f t="shared" si="54"/>
        <v>105.03963124304002</v>
      </c>
      <c r="AX70" s="695">
        <f t="shared" si="54"/>
        <v>105.93783124304001</v>
      </c>
      <c r="AY70" s="695">
        <f t="shared" si="54"/>
        <v>106.65103124304001</v>
      </c>
      <c r="AZ70" s="695">
        <f t="shared" si="54"/>
        <v>107.26163124304001</v>
      </c>
      <c r="BA70" s="695">
        <f t="shared" si="54"/>
        <v>108.09723124304</v>
      </c>
      <c r="BB70" s="695">
        <f t="shared" si="54"/>
        <v>108.83383124304</v>
      </c>
      <c r="BC70" s="695">
        <f t="shared" si="54"/>
        <v>109.34543124304</v>
      </c>
      <c r="BD70" s="695">
        <f t="shared" si="54"/>
        <v>110.07363124304</v>
      </c>
      <c r="BE70" s="695">
        <f t="shared" si="54"/>
        <v>110.89523124304</v>
      </c>
      <c r="BF70" s="695">
        <f t="shared" si="54"/>
        <v>111.81903124303999</v>
      </c>
      <c r="BG70" s="695">
        <f t="shared" si="54"/>
        <v>112.46423124303999</v>
      </c>
    </row>
    <row r="71" spans="2:59" ht="11.25" customHeight="1">
      <c r="B71" s="564"/>
      <c r="C71" s="673"/>
      <c r="D71" s="673"/>
      <c r="E71" s="657"/>
      <c r="F71" s="657"/>
      <c r="G71" s="693"/>
      <c r="H71" s="657"/>
      <c r="I71" s="657"/>
      <c r="J71" s="657"/>
      <c r="K71" s="657"/>
      <c r="L71" s="657"/>
      <c r="M71" s="657"/>
      <c r="N71" s="657"/>
      <c r="O71" s="657"/>
      <c r="P71" s="657"/>
      <c r="Q71" s="657"/>
      <c r="R71" s="657"/>
      <c r="S71" s="657"/>
      <c r="T71" s="657"/>
      <c r="U71" s="657"/>
      <c r="V71" s="657"/>
      <c r="W71" s="657"/>
      <c r="X71" s="657"/>
      <c r="Y71" s="657"/>
      <c r="Z71" s="657"/>
      <c r="AA71" s="657"/>
      <c r="AB71" s="657"/>
      <c r="AC71" s="657"/>
      <c r="AD71" s="657"/>
    </row>
    <row r="72" spans="2:59" ht="11.25" customHeight="1">
      <c r="B72" s="564"/>
      <c r="C72" s="673"/>
      <c r="D72" s="673"/>
      <c r="E72" s="657"/>
      <c r="F72" s="657"/>
      <c r="G72" s="693"/>
      <c r="H72" s="657"/>
      <c r="I72" s="657"/>
      <c r="J72" s="657"/>
      <c r="K72" s="657"/>
      <c r="L72" s="657"/>
      <c r="M72" s="657"/>
      <c r="N72" s="657"/>
      <c r="O72" s="657"/>
      <c r="P72" s="657"/>
      <c r="Q72" s="657"/>
      <c r="R72" s="657"/>
      <c r="S72" s="657"/>
      <c r="T72" s="657"/>
      <c r="U72" s="657"/>
      <c r="V72" s="657"/>
      <c r="W72" s="657"/>
      <c r="X72" s="657"/>
      <c r="Y72" s="657"/>
      <c r="Z72" s="657"/>
      <c r="AA72" s="657"/>
      <c r="AB72" s="657"/>
      <c r="AC72" s="657"/>
      <c r="AD72" s="657"/>
      <c r="AM72" s="647"/>
      <c r="AN72" s="647"/>
      <c r="AO72" s="647"/>
      <c r="AP72" s="647"/>
      <c r="AQ72" s="647"/>
      <c r="AR72" s="647"/>
      <c r="AS72" s="647"/>
      <c r="AT72" s="647"/>
      <c r="AU72" s="647"/>
      <c r="AV72" s="647"/>
      <c r="AW72" s="647"/>
      <c r="AX72" s="647"/>
      <c r="AY72" s="647"/>
      <c r="AZ72" s="647"/>
      <c r="BA72" s="647"/>
      <c r="BB72" s="647"/>
      <c r="BC72" s="647"/>
      <c r="BD72" s="647"/>
      <c r="BE72" s="647"/>
      <c r="BF72" s="647"/>
      <c r="BG72" s="647"/>
    </row>
    <row r="73" spans="2:59">
      <c r="B73" s="564"/>
      <c r="C73" s="673"/>
      <c r="D73" s="673"/>
      <c r="E73" s="657"/>
      <c r="F73" s="657"/>
      <c r="G73" s="693"/>
      <c r="H73" s="657"/>
      <c r="I73" s="657"/>
      <c r="J73" s="657"/>
      <c r="K73" s="657"/>
      <c r="L73" s="657"/>
      <c r="M73" s="657"/>
      <c r="N73" s="657"/>
      <c r="O73" s="657"/>
      <c r="P73" s="657"/>
      <c r="Q73" s="657"/>
      <c r="R73" s="657"/>
      <c r="S73" s="657"/>
      <c r="T73" s="657"/>
      <c r="U73" s="657"/>
      <c r="V73" s="657"/>
      <c r="W73" s="657"/>
      <c r="X73" s="657"/>
      <c r="Y73" s="657"/>
      <c r="Z73" s="657"/>
      <c r="AA73" s="657"/>
      <c r="AB73" s="657"/>
      <c r="AC73" s="657"/>
      <c r="AD73" s="657"/>
    </row>
    <row r="74" spans="2:59">
      <c r="B74" s="564"/>
      <c r="C74" s="673"/>
      <c r="D74" s="673"/>
      <c r="E74" s="657"/>
      <c r="F74" s="657"/>
      <c r="G74" s="693"/>
      <c r="H74" s="657"/>
      <c r="I74" s="657"/>
      <c r="J74" s="657"/>
      <c r="K74" s="657"/>
      <c r="L74" s="657"/>
      <c r="M74" s="657"/>
      <c r="N74" s="657"/>
      <c r="O74" s="657"/>
      <c r="P74" s="657"/>
      <c r="Q74" s="657"/>
      <c r="R74" s="657"/>
      <c r="S74" s="657"/>
      <c r="T74" s="657"/>
      <c r="U74" s="657"/>
      <c r="V74" s="657"/>
      <c r="W74" s="657"/>
      <c r="X74" s="657"/>
      <c r="Y74" s="657"/>
      <c r="Z74" s="657"/>
      <c r="AA74" s="657"/>
      <c r="AB74" s="657"/>
      <c r="AC74" s="657"/>
      <c r="AD74" s="657"/>
    </row>
    <row r="75" spans="2:59">
      <c r="B75" s="564"/>
      <c r="C75" s="564"/>
      <c r="D75" s="673"/>
      <c r="E75" s="564"/>
      <c r="F75" s="564"/>
      <c r="G75" s="675"/>
      <c r="H75" s="657"/>
      <c r="I75" s="657"/>
      <c r="J75" s="657"/>
      <c r="K75" s="657"/>
      <c r="L75" s="657"/>
      <c r="M75" s="657"/>
      <c r="N75" s="657"/>
      <c r="O75" s="657"/>
      <c r="P75" s="657"/>
      <c r="Q75" s="657"/>
      <c r="R75" s="657"/>
      <c r="S75" s="657"/>
      <c r="T75" s="657"/>
      <c r="U75" s="657"/>
      <c r="V75" s="657"/>
      <c r="W75" s="657"/>
      <c r="X75" s="657"/>
      <c r="Y75" s="657"/>
      <c r="Z75" s="657"/>
      <c r="AA75" s="657"/>
      <c r="AB75" s="657"/>
      <c r="AC75" s="657"/>
      <c r="AD75" s="564"/>
    </row>
    <row r="76" spans="2:59">
      <c r="B76" s="564"/>
      <c r="C76" s="564"/>
      <c r="D76" s="673"/>
      <c r="E76" s="564"/>
      <c r="F76" s="564"/>
      <c r="G76" s="693"/>
      <c r="H76" s="657"/>
      <c r="I76" s="657"/>
      <c r="J76" s="657"/>
      <c r="K76" s="657"/>
      <c r="L76" s="657"/>
      <c r="M76" s="657"/>
      <c r="N76" s="657"/>
      <c r="O76" s="657"/>
      <c r="P76" s="657"/>
      <c r="Q76" s="657"/>
      <c r="R76" s="657"/>
      <c r="S76" s="657"/>
      <c r="T76" s="657"/>
      <c r="U76" s="657"/>
      <c r="V76" s="657"/>
      <c r="W76" s="657"/>
      <c r="X76" s="657"/>
      <c r="Y76" s="657"/>
      <c r="Z76" s="657"/>
      <c r="AA76" s="657"/>
      <c r="AB76" s="657"/>
      <c r="AC76" s="657"/>
      <c r="AD76" s="564"/>
    </row>
    <row r="77" spans="2:59">
      <c r="B77" s="564"/>
      <c r="C77" s="564"/>
      <c r="D77" s="673"/>
      <c r="E77" s="564"/>
      <c r="F77" s="564"/>
      <c r="G77" s="693"/>
      <c r="H77" s="656"/>
      <c r="I77" s="656"/>
      <c r="J77" s="656"/>
      <c r="K77" s="656"/>
      <c r="L77" s="656"/>
      <c r="M77" s="656"/>
      <c r="N77" s="656"/>
      <c r="O77" s="656"/>
      <c r="P77" s="656"/>
      <c r="Q77" s="656"/>
      <c r="R77" s="656"/>
      <c r="S77" s="656"/>
      <c r="T77" s="656"/>
      <c r="U77" s="656"/>
      <c r="V77" s="656"/>
      <c r="W77" s="656"/>
      <c r="X77" s="656"/>
      <c r="Y77" s="656"/>
      <c r="Z77" s="656"/>
      <c r="AA77" s="656"/>
      <c r="AB77" s="656"/>
      <c r="AC77" s="656"/>
      <c r="AD77" s="564"/>
    </row>
    <row r="78" spans="2:59" ht="11.25" customHeight="1">
      <c r="B78" s="564"/>
      <c r="C78" s="564"/>
      <c r="D78" s="673"/>
      <c r="E78" s="564"/>
      <c r="F78" s="564"/>
      <c r="G78" s="693"/>
      <c r="H78" s="656"/>
      <c r="I78" s="656"/>
      <c r="J78" s="656"/>
      <c r="K78" s="656"/>
      <c r="L78" s="656"/>
      <c r="M78" s="656"/>
      <c r="N78" s="656"/>
      <c r="O78" s="656"/>
      <c r="P78" s="656"/>
      <c r="Q78" s="656"/>
      <c r="R78" s="656"/>
      <c r="S78" s="656"/>
      <c r="T78" s="656"/>
      <c r="U78" s="656"/>
      <c r="V78" s="656"/>
      <c r="W78" s="656"/>
      <c r="X78" s="656"/>
      <c r="Y78" s="656"/>
      <c r="Z78" s="656"/>
      <c r="AA78" s="656"/>
      <c r="AB78" s="656"/>
      <c r="AC78" s="656"/>
      <c r="AD78" s="564"/>
      <c r="AF78" s="541"/>
      <c r="AG78" s="549"/>
      <c r="AH78" s="607"/>
      <c r="AI78" s="679"/>
      <c r="AJ78" s="679"/>
      <c r="AK78" s="680"/>
      <c r="AL78" s="681"/>
      <c r="AM78" s="681"/>
      <c r="AN78" s="681"/>
      <c r="AO78" s="681"/>
      <c r="AP78" s="681"/>
      <c r="AQ78" s="681"/>
      <c r="AR78" s="681"/>
      <c r="AS78" s="681"/>
      <c r="AT78" s="681"/>
      <c r="AU78" s="681"/>
      <c r="AV78" s="681"/>
      <c r="AW78" s="681"/>
      <c r="AX78" s="681"/>
      <c r="AY78" s="681"/>
      <c r="AZ78" s="681"/>
      <c r="BA78" s="694"/>
      <c r="BB78" s="694"/>
      <c r="BC78" s="694"/>
      <c r="BD78" s="694"/>
      <c r="BE78" s="694"/>
      <c r="BF78" s="694"/>
      <c r="BG78" s="694"/>
    </row>
    <row r="79" spans="2:59" ht="11.25" customHeight="1">
      <c r="B79" s="564"/>
      <c r="C79" s="564"/>
      <c r="D79" s="673"/>
      <c r="E79" s="564"/>
      <c r="F79" s="564"/>
      <c r="G79" s="693"/>
      <c r="H79" s="656"/>
      <c r="I79" s="656"/>
      <c r="J79" s="656"/>
      <c r="K79" s="656"/>
      <c r="L79" s="656"/>
      <c r="M79" s="656"/>
      <c r="N79" s="656"/>
      <c r="O79" s="656"/>
      <c r="P79" s="656"/>
      <c r="Q79" s="656"/>
      <c r="R79" s="656"/>
      <c r="S79" s="656"/>
      <c r="T79" s="656"/>
      <c r="U79" s="656"/>
      <c r="V79" s="656"/>
      <c r="W79" s="656"/>
      <c r="X79" s="656"/>
      <c r="Y79" s="656"/>
      <c r="Z79" s="656"/>
      <c r="AA79" s="656"/>
      <c r="AB79" s="656"/>
      <c r="AC79" s="656"/>
      <c r="AD79" s="564"/>
      <c r="AF79" s="541"/>
      <c r="AG79" s="606"/>
      <c r="AH79" s="607"/>
      <c r="AI79" s="696"/>
      <c r="AJ79" s="696"/>
      <c r="AK79" s="697"/>
      <c r="AL79" s="698"/>
      <c r="AM79" s="698"/>
      <c r="AN79" s="698"/>
      <c r="AO79" s="698"/>
      <c r="AP79" s="698"/>
      <c r="AQ79" s="698"/>
      <c r="AR79" s="698"/>
      <c r="AS79" s="698"/>
      <c r="AT79" s="698"/>
      <c r="AU79" s="698"/>
      <c r="AV79" s="698"/>
      <c r="AW79" s="698"/>
      <c r="AX79" s="698"/>
      <c r="AY79" s="698"/>
      <c r="AZ79" s="698"/>
      <c r="BA79" s="699"/>
      <c r="BB79" s="699"/>
      <c r="BC79" s="699"/>
      <c r="BD79" s="699"/>
      <c r="BE79" s="699"/>
      <c r="BF79" s="699"/>
      <c r="BG79" s="699"/>
    </row>
    <row r="80" spans="2:59" ht="11.25" customHeight="1">
      <c r="B80" s="564"/>
      <c r="C80" s="673"/>
      <c r="D80" s="673"/>
      <c r="E80" s="657"/>
      <c r="F80" s="657"/>
      <c r="G80" s="693"/>
      <c r="H80" s="657"/>
      <c r="I80" s="657"/>
      <c r="J80" s="657"/>
      <c r="K80" s="657"/>
      <c r="L80" s="657"/>
      <c r="M80" s="657"/>
      <c r="N80" s="657"/>
      <c r="O80" s="657"/>
      <c r="P80" s="657"/>
      <c r="Q80" s="657"/>
      <c r="R80" s="657"/>
      <c r="S80" s="657"/>
      <c r="T80" s="657"/>
      <c r="U80" s="657"/>
      <c r="V80" s="657"/>
      <c r="W80" s="657"/>
      <c r="X80" s="657"/>
      <c r="Y80" s="657"/>
      <c r="Z80" s="657"/>
      <c r="AA80" s="657"/>
      <c r="AB80" s="657"/>
      <c r="AC80" s="657"/>
      <c r="AD80" s="657"/>
      <c r="AF80" s="541"/>
      <c r="AG80" s="606"/>
      <c r="AH80" s="607"/>
      <c r="AI80" s="696"/>
      <c r="AJ80" s="696"/>
      <c r="AK80" s="697"/>
      <c r="AL80" s="698"/>
      <c r="AM80" s="698"/>
      <c r="AN80" s="698"/>
      <c r="AO80" s="698"/>
      <c r="AP80" s="698"/>
      <c r="AQ80" s="698"/>
      <c r="AR80" s="698"/>
      <c r="AS80" s="698"/>
      <c r="AT80" s="698"/>
      <c r="AU80" s="698"/>
      <c r="AV80" s="698"/>
      <c r="AW80" s="698"/>
      <c r="AX80" s="698"/>
      <c r="AY80" s="698"/>
      <c r="AZ80" s="698"/>
      <c r="BA80" s="699"/>
      <c r="BB80" s="699"/>
      <c r="BC80" s="699"/>
      <c r="BD80" s="699"/>
      <c r="BE80" s="699"/>
      <c r="BF80" s="699"/>
      <c r="BG80" s="699"/>
    </row>
    <row r="81" spans="2:60" ht="11.25" customHeight="1">
      <c r="B81" s="564"/>
      <c r="C81" s="673"/>
      <c r="D81" s="673"/>
      <c r="E81" s="657"/>
      <c r="F81" s="657"/>
      <c r="G81" s="700"/>
      <c r="H81" s="657"/>
      <c r="I81" s="657"/>
      <c r="J81" s="657"/>
      <c r="K81" s="657"/>
      <c r="L81" s="657"/>
      <c r="M81" s="657"/>
      <c r="N81" s="657"/>
      <c r="O81" s="657"/>
      <c r="P81" s="657"/>
      <c r="Q81" s="657"/>
      <c r="R81" s="657"/>
      <c r="S81" s="657"/>
      <c r="T81" s="657"/>
      <c r="U81" s="657"/>
      <c r="V81" s="657"/>
      <c r="W81" s="657"/>
      <c r="X81" s="657"/>
      <c r="Y81" s="657"/>
      <c r="Z81" s="657"/>
      <c r="AA81" s="657"/>
      <c r="AB81" s="657"/>
      <c r="AC81" s="657"/>
      <c r="AD81" s="657"/>
      <c r="AF81" s="601" t="s">
        <v>517</v>
      </c>
      <c r="AG81" s="555" t="s">
        <v>518</v>
      </c>
      <c r="AH81" s="556"/>
      <c r="AI81" s="602"/>
      <c r="AJ81" s="602"/>
      <c r="AK81" s="677"/>
      <c r="AL81" s="678"/>
      <c r="AM81" s="678"/>
      <c r="AN81" s="678"/>
      <c r="AO81" s="678"/>
      <c r="AP81" s="678"/>
      <c r="AQ81" s="678"/>
      <c r="AR81" s="678"/>
      <c r="AS81" s="678"/>
      <c r="AT81" s="678"/>
      <c r="AU81" s="678"/>
      <c r="AV81" s="678"/>
      <c r="AW81" s="678"/>
      <c r="AX81" s="678"/>
      <c r="AY81" s="678"/>
      <c r="AZ81" s="678"/>
      <c r="BA81" s="701"/>
      <c r="BB81" s="701"/>
      <c r="BC81" s="701"/>
      <c r="BD81" s="701"/>
      <c r="BE81" s="701"/>
      <c r="BF81" s="701"/>
      <c r="BG81" s="701"/>
    </row>
    <row r="82" spans="2:60" ht="11.25" customHeight="1">
      <c r="B82" s="688"/>
      <c r="C82" s="702"/>
      <c r="D82" s="702"/>
      <c r="E82" s="703"/>
      <c r="F82" s="703"/>
      <c r="G82" s="704"/>
      <c r="H82" s="703"/>
      <c r="I82" s="703"/>
      <c r="J82" s="703"/>
      <c r="K82" s="703"/>
      <c r="L82" s="703"/>
      <c r="M82" s="703"/>
      <c r="N82" s="703"/>
      <c r="O82" s="703"/>
      <c r="P82" s="703"/>
      <c r="Q82" s="703"/>
      <c r="R82" s="703"/>
      <c r="S82" s="703"/>
      <c r="T82" s="703"/>
      <c r="U82" s="703"/>
      <c r="V82" s="703"/>
      <c r="W82" s="703"/>
      <c r="X82" s="703"/>
      <c r="Y82" s="703"/>
      <c r="Z82" s="703"/>
      <c r="AA82" s="703"/>
      <c r="AB82" s="703"/>
      <c r="AC82" s="703"/>
      <c r="AD82" s="703"/>
      <c r="AF82" s="541">
        <f>+AF61+1</f>
        <v>3</v>
      </c>
      <c r="AG82" s="616" t="s">
        <v>518</v>
      </c>
      <c r="AH82" s="617"/>
      <c r="AI82" s="618">
        <v>365</v>
      </c>
      <c r="AJ82" s="618">
        <v>365</v>
      </c>
      <c r="AK82" s="619">
        <v>365</v>
      </c>
      <c r="AL82" s="620">
        <v>365</v>
      </c>
      <c r="AM82" s="620">
        <v>365</v>
      </c>
      <c r="AN82" s="620">
        <v>365</v>
      </c>
      <c r="AO82" s="620">
        <v>365</v>
      </c>
      <c r="AP82" s="620">
        <v>365</v>
      </c>
      <c r="AQ82" s="620">
        <v>365</v>
      </c>
      <c r="AR82" s="620">
        <v>365</v>
      </c>
      <c r="AS82" s="620">
        <v>365</v>
      </c>
      <c r="AT82" s="620">
        <v>365</v>
      </c>
      <c r="AU82" s="620">
        <v>365</v>
      </c>
      <c r="AV82" s="620">
        <v>365</v>
      </c>
      <c r="AW82" s="620">
        <v>365</v>
      </c>
      <c r="AX82" s="620">
        <v>365</v>
      </c>
      <c r="AY82" s="620">
        <v>365</v>
      </c>
      <c r="AZ82" s="620">
        <v>365</v>
      </c>
      <c r="BA82" s="620">
        <v>365</v>
      </c>
      <c r="BB82" s="620">
        <v>365</v>
      </c>
      <c r="BC82" s="620">
        <v>365</v>
      </c>
      <c r="BD82" s="620">
        <v>365</v>
      </c>
      <c r="BE82" s="620">
        <v>365</v>
      </c>
      <c r="BF82" s="620">
        <v>365</v>
      </c>
      <c r="BG82" s="620">
        <v>365</v>
      </c>
    </row>
    <row r="83" spans="2:60" ht="11.25" customHeight="1">
      <c r="B83" s="705"/>
      <c r="C83" s="705"/>
      <c r="D83" s="705"/>
      <c r="E83" s="705"/>
      <c r="F83" s="705"/>
      <c r="G83" s="705"/>
      <c r="H83" s="706"/>
      <c r="I83" s="705"/>
      <c r="J83" s="705"/>
      <c r="K83" s="705"/>
      <c r="L83" s="705"/>
      <c r="M83" s="705"/>
      <c r="N83" s="705"/>
      <c r="O83" s="705"/>
      <c r="P83" s="705"/>
      <c r="Q83" s="705"/>
      <c r="R83" s="705"/>
      <c r="S83" s="705"/>
      <c r="T83" s="705"/>
      <c r="U83" s="705"/>
      <c r="V83" s="705"/>
      <c r="W83" s="705"/>
      <c r="X83" s="705"/>
      <c r="Y83" s="705"/>
      <c r="Z83" s="705"/>
      <c r="AA83" s="705"/>
      <c r="AB83" s="705"/>
      <c r="AC83" s="705"/>
      <c r="AD83" s="705"/>
      <c r="AF83" s="541"/>
      <c r="AG83" s="616"/>
      <c r="AH83" s="617"/>
      <c r="AI83" s="618"/>
      <c r="AJ83" s="618"/>
      <c r="AK83" s="619"/>
      <c r="AL83" s="620"/>
      <c r="AM83" s="620"/>
      <c r="AN83" s="620"/>
      <c r="AO83" s="620"/>
      <c r="AP83" s="620"/>
      <c r="AQ83" s="620"/>
      <c r="AR83" s="620"/>
      <c r="AS83" s="620"/>
      <c r="AT83" s="620"/>
      <c r="AU83" s="620"/>
      <c r="AV83" s="620"/>
      <c r="AW83" s="620"/>
      <c r="AX83" s="620"/>
      <c r="AY83" s="620"/>
      <c r="AZ83" s="620"/>
      <c r="BA83" s="621"/>
      <c r="BB83" s="621"/>
      <c r="BC83" s="621"/>
      <c r="BD83" s="621"/>
      <c r="BE83" s="621"/>
      <c r="BF83" s="621"/>
      <c r="BG83" s="621"/>
    </row>
    <row r="84" spans="2:60" ht="11.25" customHeight="1">
      <c r="B84" s="650"/>
      <c r="C84" s="651"/>
      <c r="D84" s="651"/>
      <c r="E84" s="652"/>
      <c r="F84" s="652"/>
      <c r="G84" s="651"/>
      <c r="H84" s="651"/>
      <c r="I84" s="651"/>
      <c r="J84" s="651"/>
      <c r="K84" s="651"/>
      <c r="L84" s="651"/>
      <c r="M84" s="651"/>
      <c r="N84" s="651"/>
      <c r="O84" s="651"/>
      <c r="P84" s="651"/>
      <c r="Q84" s="651"/>
      <c r="R84" s="651"/>
      <c r="S84" s="651"/>
      <c r="T84" s="651"/>
      <c r="U84" s="651"/>
      <c r="V84" s="651"/>
      <c r="W84" s="651"/>
      <c r="X84" s="651"/>
      <c r="Y84" s="651"/>
      <c r="Z84" s="651"/>
      <c r="AA84" s="651"/>
      <c r="AB84" s="651"/>
      <c r="AC84" s="651"/>
      <c r="AD84" s="651"/>
      <c r="AF84" s="601" t="s">
        <v>519</v>
      </c>
      <c r="AG84" s="555" t="s">
        <v>86</v>
      </c>
      <c r="AH84" s="556"/>
      <c r="AI84" s="676"/>
      <c r="AJ84" s="676"/>
      <c r="AK84" s="677"/>
      <c r="AL84" s="678"/>
      <c r="AM84" s="678"/>
      <c r="AN84" s="678"/>
      <c r="AO84" s="678"/>
      <c r="AP84" s="678"/>
      <c r="AQ84" s="678"/>
      <c r="AR84" s="678"/>
      <c r="AS84" s="678"/>
      <c r="AT84" s="678"/>
      <c r="AU84" s="678"/>
      <c r="AV84" s="678"/>
      <c r="AW84" s="678"/>
      <c r="AX84" s="678"/>
      <c r="AY84" s="678"/>
      <c r="AZ84" s="678"/>
      <c r="BA84" s="701"/>
      <c r="BB84" s="701"/>
      <c r="BC84" s="701"/>
      <c r="BD84" s="701"/>
      <c r="BE84" s="701"/>
      <c r="BF84" s="701"/>
      <c r="BG84" s="701"/>
    </row>
    <row r="85" spans="2:60">
      <c r="B85" s="707"/>
      <c r="C85" s="652"/>
      <c r="D85" s="652"/>
      <c r="E85" s="652"/>
      <c r="F85" s="652"/>
      <c r="G85" s="652"/>
      <c r="H85" s="708"/>
      <c r="I85" s="652"/>
      <c r="J85" s="652"/>
      <c r="K85" s="652"/>
      <c r="L85" s="652"/>
      <c r="M85" s="652"/>
      <c r="N85" s="652"/>
      <c r="O85" s="652"/>
      <c r="P85" s="652"/>
      <c r="Q85" s="652"/>
      <c r="R85" s="652"/>
      <c r="S85" s="652"/>
      <c r="T85" s="652"/>
      <c r="U85" s="652"/>
      <c r="V85" s="652"/>
      <c r="W85" s="652"/>
      <c r="X85" s="652"/>
      <c r="Y85" s="652"/>
      <c r="Z85" s="652"/>
      <c r="AA85" s="652"/>
      <c r="AB85" s="652"/>
      <c r="AC85" s="652"/>
      <c r="AD85" s="652"/>
      <c r="AF85" s="541">
        <v>1</v>
      </c>
      <c r="AG85" s="549" t="s">
        <v>498</v>
      </c>
      <c r="AH85" s="617"/>
      <c r="AI85" s="653"/>
      <c r="AJ85" s="550"/>
      <c r="AK85" s="545"/>
      <c r="AL85" s="709">
        <v>7.734</v>
      </c>
      <c r="AM85" s="709">
        <f>7.7132</f>
        <v>7.7131999999999996</v>
      </c>
      <c r="AN85" s="709">
        <f>7.6216+0.0599</f>
        <v>7.6814999999999998</v>
      </c>
      <c r="AO85" s="546">
        <f>7.6216+0.05</f>
        <v>7.6715999999999998</v>
      </c>
      <c r="AP85" s="1080">
        <f t="shared" ref="AP85:AR92" si="55">AP129*AP60</f>
        <v>8.3254999999999999</v>
      </c>
      <c r="AQ85" s="1080">
        <f t="shared" si="55"/>
        <v>8.3254999999999999</v>
      </c>
      <c r="AR85" s="1080">
        <f t="shared" si="55"/>
        <v>8.3254999999999999</v>
      </c>
      <c r="AS85" s="1080">
        <f t="shared" ref="AS85:BG85" si="56">AS129*AS60</f>
        <v>8.3254999999999999</v>
      </c>
      <c r="AT85" s="1080">
        <f t="shared" si="56"/>
        <v>8.3254999999999999</v>
      </c>
      <c r="AU85" s="1080">
        <f t="shared" si="56"/>
        <v>8.3254999999999999</v>
      </c>
      <c r="AV85" s="1080">
        <f t="shared" si="56"/>
        <v>8.3254999999999999</v>
      </c>
      <c r="AW85" s="1080">
        <f t="shared" si="56"/>
        <v>8.3254999999999999</v>
      </c>
      <c r="AX85" s="1080">
        <f t="shared" si="56"/>
        <v>8.3254999999999999</v>
      </c>
      <c r="AY85" s="1080">
        <f t="shared" si="56"/>
        <v>8.3254999999999999</v>
      </c>
      <c r="AZ85" s="1080">
        <f t="shared" si="56"/>
        <v>8.3254999999999999</v>
      </c>
      <c r="BA85" s="1080">
        <f t="shared" si="56"/>
        <v>8.3254999999999999</v>
      </c>
      <c r="BB85" s="1080">
        <f t="shared" si="56"/>
        <v>8.3254999999999999</v>
      </c>
      <c r="BC85" s="1080">
        <f t="shared" si="56"/>
        <v>8.3254999999999999</v>
      </c>
      <c r="BD85" s="1080">
        <f t="shared" si="56"/>
        <v>8.3254999999999999</v>
      </c>
      <c r="BE85" s="1080">
        <f t="shared" si="56"/>
        <v>8.3254999999999999</v>
      </c>
      <c r="BF85" s="1080">
        <f t="shared" si="56"/>
        <v>8.3254999999999999</v>
      </c>
      <c r="BG85" s="1080">
        <f t="shared" si="56"/>
        <v>8.3254999999999999</v>
      </c>
      <c r="BH85" s="1081">
        <f t="shared" ref="BH85:BH89" si="57">SUM(AP85:BG85)</f>
        <v>149.85900000000004</v>
      </c>
    </row>
    <row r="86" spans="2:60">
      <c r="B86" s="710"/>
      <c r="C86" s="564"/>
      <c r="D86" s="711"/>
      <c r="E86" s="711"/>
      <c r="F86" s="711"/>
      <c r="G86" s="546"/>
      <c r="H86" s="546"/>
      <c r="I86" s="546"/>
      <c r="J86" s="546"/>
      <c r="K86" s="546"/>
      <c r="L86" s="546"/>
      <c r="M86" s="546"/>
      <c r="N86" s="546"/>
      <c r="O86" s="546"/>
      <c r="P86" s="546"/>
      <c r="Q86" s="546"/>
      <c r="R86" s="546"/>
      <c r="S86" s="546"/>
      <c r="T86" s="546"/>
      <c r="U86" s="546"/>
      <c r="V86" s="546"/>
      <c r="W86" s="546"/>
      <c r="X86" s="546"/>
      <c r="Y86" s="546"/>
      <c r="Z86" s="546"/>
      <c r="AA86" s="546"/>
      <c r="AB86" s="546"/>
      <c r="AC86" s="546"/>
      <c r="AD86" s="546"/>
      <c r="AE86" s="712"/>
      <c r="AF86" s="541">
        <v>2</v>
      </c>
      <c r="AG86" s="549" t="s">
        <v>500</v>
      </c>
      <c r="AH86" s="617"/>
      <c r="AI86" s="653"/>
      <c r="AJ86" s="550"/>
      <c r="AK86" s="545"/>
      <c r="AL86" s="709">
        <v>73.632000000000005</v>
      </c>
      <c r="AM86" s="709">
        <v>72.5642</v>
      </c>
      <c r="AN86" s="709">
        <f>73.0835</f>
        <v>73.083500000000001</v>
      </c>
      <c r="AO86" s="546">
        <v>73.194400000000002</v>
      </c>
      <c r="AP86" s="1080">
        <f t="shared" si="55"/>
        <v>81.18669924304001</v>
      </c>
      <c r="AQ86" s="1080">
        <f t="shared" si="55"/>
        <v>85.97349924304001</v>
      </c>
      <c r="AR86" s="1080">
        <f t="shared" si="55"/>
        <v>89.60653124304001</v>
      </c>
      <c r="AS86" s="1080">
        <f t="shared" ref="AS86:BG86" si="58">AS130*AS61</f>
        <v>90.713731243040002</v>
      </c>
      <c r="AT86" s="1080">
        <f t="shared" si="58"/>
        <v>91.714731243040006</v>
      </c>
      <c r="AU86" s="1080">
        <f t="shared" si="58"/>
        <v>92.627131243040012</v>
      </c>
      <c r="AV86" s="1080">
        <f t="shared" si="58"/>
        <v>93.653331243040014</v>
      </c>
      <c r="AW86" s="1080">
        <f t="shared" si="58"/>
        <v>94.260731243040013</v>
      </c>
      <c r="AX86" s="1080">
        <f t="shared" si="58"/>
        <v>95.158931243040001</v>
      </c>
      <c r="AY86" s="1080">
        <f t="shared" si="58"/>
        <v>95.872131243040002</v>
      </c>
      <c r="AZ86" s="1080">
        <f t="shared" si="58"/>
        <v>96.482731243040007</v>
      </c>
      <c r="BA86" s="1080">
        <f t="shared" si="58"/>
        <v>97.318331243039992</v>
      </c>
      <c r="BB86" s="1080">
        <f t="shared" si="58"/>
        <v>98.054931243039988</v>
      </c>
      <c r="BC86" s="1080">
        <f t="shared" si="58"/>
        <v>98.566531243039989</v>
      </c>
      <c r="BD86" s="1080">
        <f t="shared" si="58"/>
        <v>99.29473124303999</v>
      </c>
      <c r="BE86" s="1080">
        <f t="shared" si="58"/>
        <v>100.11633124303999</v>
      </c>
      <c r="BF86" s="1080">
        <f t="shared" si="58"/>
        <v>101.04013124303998</v>
      </c>
      <c r="BG86" s="1080">
        <f t="shared" si="58"/>
        <v>101.68533124303998</v>
      </c>
      <c r="BH86" s="1081">
        <f t="shared" si="57"/>
        <v>1703.3264983747199</v>
      </c>
    </row>
    <row r="87" spans="2:60">
      <c r="B87" s="710"/>
      <c r="C87" s="564"/>
      <c r="D87" s="711"/>
      <c r="E87" s="711"/>
      <c r="F87" s="711"/>
      <c r="G87" s="546"/>
      <c r="H87" s="546"/>
      <c r="I87" s="546"/>
      <c r="J87" s="546"/>
      <c r="K87" s="546"/>
      <c r="L87" s="546"/>
      <c r="M87" s="546"/>
      <c r="N87" s="546"/>
      <c r="O87" s="546"/>
      <c r="P87" s="546"/>
      <c r="Q87" s="546"/>
      <c r="R87" s="546"/>
      <c r="S87" s="546"/>
      <c r="T87" s="546"/>
      <c r="U87" s="546"/>
      <c r="V87" s="546"/>
      <c r="W87" s="546"/>
      <c r="X87" s="546"/>
      <c r="Y87" s="546"/>
      <c r="Z87" s="546"/>
      <c r="AA87" s="546"/>
      <c r="AB87" s="546"/>
      <c r="AC87" s="546"/>
      <c r="AD87" s="546"/>
      <c r="AF87" s="541">
        <v>3</v>
      </c>
      <c r="AG87" s="549" t="s">
        <v>502</v>
      </c>
      <c r="AH87" s="617"/>
      <c r="AI87" s="653"/>
      <c r="AJ87" s="550"/>
      <c r="AK87" s="713"/>
      <c r="AL87" s="709">
        <f>(23.07-15.48708)/10</f>
        <v>0.75829199999999997</v>
      </c>
      <c r="AM87" s="709">
        <f>1.7549*33%</f>
        <v>0.57911699999999999</v>
      </c>
      <c r="AN87" s="709">
        <f>1.3967*33%</f>
        <v>0.46091100000000002</v>
      </c>
      <c r="AO87" s="546">
        <f>1.1744*0.33</f>
        <v>0.38755200000000006</v>
      </c>
      <c r="AP87" s="1080">
        <f>AP41*AP62</f>
        <v>0.13400000000000001</v>
      </c>
      <c r="AQ87" s="1080">
        <f t="shared" ref="AQ87:BG90" si="59">AQ41*AQ62</f>
        <v>0.13400000000000001</v>
      </c>
      <c r="AR87" s="1080">
        <f t="shared" si="59"/>
        <v>0.13400000000000001</v>
      </c>
      <c r="AS87" s="1080">
        <f t="shared" si="59"/>
        <v>0.13400000000000001</v>
      </c>
      <c r="AT87" s="1080">
        <f t="shared" si="59"/>
        <v>0.13400000000000001</v>
      </c>
      <c r="AU87" s="1080">
        <f t="shared" si="59"/>
        <v>0.13400000000000001</v>
      </c>
      <c r="AV87" s="1080">
        <f t="shared" si="59"/>
        <v>0.13400000000000001</v>
      </c>
      <c r="AW87" s="1080">
        <f t="shared" si="59"/>
        <v>0.13400000000000001</v>
      </c>
      <c r="AX87" s="1080">
        <f t="shared" si="59"/>
        <v>0.13400000000000001</v>
      </c>
      <c r="AY87" s="1080">
        <f t="shared" si="59"/>
        <v>0.13400000000000001</v>
      </c>
      <c r="AZ87" s="1080">
        <f t="shared" si="59"/>
        <v>0.13400000000000001</v>
      </c>
      <c r="BA87" s="1080">
        <f t="shared" si="59"/>
        <v>0.13400000000000001</v>
      </c>
      <c r="BB87" s="1080">
        <f t="shared" si="59"/>
        <v>0.13400000000000001</v>
      </c>
      <c r="BC87" s="1080">
        <f t="shared" si="59"/>
        <v>0.13400000000000001</v>
      </c>
      <c r="BD87" s="1080">
        <f t="shared" si="59"/>
        <v>0.13400000000000001</v>
      </c>
      <c r="BE87" s="1080">
        <f t="shared" si="59"/>
        <v>0.13400000000000001</v>
      </c>
      <c r="BF87" s="1080">
        <f t="shared" si="59"/>
        <v>0.13400000000000001</v>
      </c>
      <c r="BG87" s="1080">
        <f t="shared" si="59"/>
        <v>0.13400000000000001</v>
      </c>
      <c r="BH87" s="1081">
        <f t="shared" si="57"/>
        <v>2.411999999999999</v>
      </c>
    </row>
    <row r="88" spans="2:60">
      <c r="B88" s="710"/>
      <c r="C88" s="564"/>
      <c r="D88" s="711"/>
      <c r="E88" s="711"/>
      <c r="F88" s="711"/>
      <c r="G88" s="546"/>
      <c r="H88" s="546"/>
      <c r="I88" s="546"/>
      <c r="J88" s="546"/>
      <c r="K88" s="546"/>
      <c r="L88" s="546"/>
      <c r="M88" s="546"/>
      <c r="N88" s="546"/>
      <c r="O88" s="546"/>
      <c r="P88" s="546"/>
      <c r="Q88" s="546"/>
      <c r="R88" s="546"/>
      <c r="S88" s="546"/>
      <c r="T88" s="546"/>
      <c r="U88" s="546"/>
      <c r="V88" s="546"/>
      <c r="W88" s="546"/>
      <c r="X88" s="546"/>
      <c r="Y88" s="546"/>
      <c r="Z88" s="546"/>
      <c r="AA88" s="546"/>
      <c r="AB88" s="546"/>
      <c r="AC88" s="546"/>
      <c r="AD88" s="546"/>
      <c r="AF88" s="541">
        <v>4</v>
      </c>
      <c r="AG88" s="549" t="s">
        <v>504</v>
      </c>
      <c r="AH88" s="617"/>
      <c r="AI88" s="653"/>
      <c r="AJ88" s="550"/>
      <c r="AK88" s="545"/>
      <c r="AL88" s="709">
        <v>1.548708</v>
      </c>
      <c r="AM88" s="709">
        <f>1.7549*67%</f>
        <v>1.175783</v>
      </c>
      <c r="AN88" s="709">
        <f>1.3967*67%</f>
        <v>0.93578900000000009</v>
      </c>
      <c r="AO88" s="546">
        <f>1.1744*0.67</f>
        <v>0.7868480000000001</v>
      </c>
      <c r="AP88" s="1080">
        <f t="shared" ref="AP88:BE90" si="60">AP42*AP63</f>
        <v>1.17</v>
      </c>
      <c r="AQ88" s="1080">
        <f t="shared" si="60"/>
        <v>1.17</v>
      </c>
      <c r="AR88" s="1080">
        <f t="shared" si="60"/>
        <v>1.17</v>
      </c>
      <c r="AS88" s="1080">
        <f t="shared" si="60"/>
        <v>1.17</v>
      </c>
      <c r="AT88" s="1080">
        <f t="shared" si="60"/>
        <v>1.17</v>
      </c>
      <c r="AU88" s="1080">
        <f t="shared" si="60"/>
        <v>1.17</v>
      </c>
      <c r="AV88" s="1080">
        <f t="shared" si="60"/>
        <v>1.17</v>
      </c>
      <c r="AW88" s="1080">
        <f t="shared" si="60"/>
        <v>1.17</v>
      </c>
      <c r="AX88" s="1080">
        <f t="shared" si="60"/>
        <v>1.17</v>
      </c>
      <c r="AY88" s="1080">
        <f t="shared" si="60"/>
        <v>1.17</v>
      </c>
      <c r="AZ88" s="1080">
        <f t="shared" si="60"/>
        <v>1.17</v>
      </c>
      <c r="BA88" s="1080">
        <f t="shared" si="60"/>
        <v>1.17</v>
      </c>
      <c r="BB88" s="1080">
        <f t="shared" si="60"/>
        <v>1.17</v>
      </c>
      <c r="BC88" s="1080">
        <f t="shared" si="60"/>
        <v>1.17</v>
      </c>
      <c r="BD88" s="1080">
        <f t="shared" si="60"/>
        <v>1.17</v>
      </c>
      <c r="BE88" s="1080">
        <f t="shared" si="60"/>
        <v>1.17</v>
      </c>
      <c r="BF88" s="1080">
        <f t="shared" si="59"/>
        <v>1.17</v>
      </c>
      <c r="BG88" s="1080">
        <f t="shared" si="59"/>
        <v>1.17</v>
      </c>
      <c r="BH88" s="1081">
        <f t="shared" si="57"/>
        <v>21.060000000000002</v>
      </c>
    </row>
    <row r="89" spans="2:60">
      <c r="B89" s="710"/>
      <c r="C89" s="564"/>
      <c r="D89" s="711"/>
      <c r="E89" s="711"/>
      <c r="F89" s="711"/>
      <c r="G89" s="546"/>
      <c r="H89" s="546"/>
      <c r="I89" s="546"/>
      <c r="J89" s="546"/>
      <c r="K89" s="546"/>
      <c r="L89" s="546"/>
      <c r="M89" s="546"/>
      <c r="N89" s="546"/>
      <c r="O89" s="546"/>
      <c r="P89" s="546"/>
      <c r="Q89" s="546"/>
      <c r="R89" s="546"/>
      <c r="S89" s="546"/>
      <c r="T89" s="546"/>
      <c r="U89" s="546"/>
      <c r="V89" s="546"/>
      <c r="W89" s="546"/>
      <c r="X89" s="546"/>
      <c r="Y89" s="546"/>
      <c r="Z89" s="546"/>
      <c r="AA89" s="546"/>
      <c r="AB89" s="546"/>
      <c r="AC89" s="546"/>
      <c r="AD89" s="546"/>
      <c r="AF89" s="541">
        <v>5</v>
      </c>
      <c r="AG89" s="549" t="s">
        <v>524</v>
      </c>
      <c r="AH89" s="617"/>
      <c r="AI89" s="653"/>
      <c r="AJ89" s="550"/>
      <c r="AK89" s="545"/>
      <c r="AL89" s="709">
        <v>0</v>
      </c>
      <c r="AM89" s="709">
        <v>0</v>
      </c>
      <c r="AN89" s="709">
        <v>0</v>
      </c>
      <c r="AO89" s="546">
        <v>0</v>
      </c>
      <c r="AP89" s="1080">
        <f t="shared" si="60"/>
        <v>1.0514999999999999</v>
      </c>
      <c r="AQ89" s="1080">
        <f t="shared" si="59"/>
        <v>1.0514999999999999</v>
      </c>
      <c r="AR89" s="1080">
        <f t="shared" si="59"/>
        <v>1.0514999999999999</v>
      </c>
      <c r="AS89" s="1080">
        <f t="shared" si="59"/>
        <v>1.0514999999999999</v>
      </c>
      <c r="AT89" s="1080">
        <f t="shared" si="59"/>
        <v>1.0514999999999999</v>
      </c>
      <c r="AU89" s="1080">
        <f t="shared" si="59"/>
        <v>1.0514999999999999</v>
      </c>
      <c r="AV89" s="1080">
        <f t="shared" si="59"/>
        <v>1.0514999999999999</v>
      </c>
      <c r="AW89" s="1080">
        <f t="shared" si="59"/>
        <v>1.0514999999999999</v>
      </c>
      <c r="AX89" s="1080">
        <f t="shared" si="59"/>
        <v>1.0514999999999999</v>
      </c>
      <c r="AY89" s="1080">
        <f t="shared" si="59"/>
        <v>1.0514999999999999</v>
      </c>
      <c r="AZ89" s="1080">
        <f t="shared" si="59"/>
        <v>1.0514999999999999</v>
      </c>
      <c r="BA89" s="1080">
        <f t="shared" si="59"/>
        <v>1.0514999999999999</v>
      </c>
      <c r="BB89" s="1080">
        <f t="shared" si="59"/>
        <v>1.0514999999999999</v>
      </c>
      <c r="BC89" s="1080">
        <f t="shared" si="59"/>
        <v>1.0514999999999999</v>
      </c>
      <c r="BD89" s="1080">
        <f t="shared" si="59"/>
        <v>1.0514999999999999</v>
      </c>
      <c r="BE89" s="1080">
        <f t="shared" si="59"/>
        <v>1.0514999999999999</v>
      </c>
      <c r="BF89" s="1080">
        <f t="shared" si="59"/>
        <v>1.0514999999999999</v>
      </c>
      <c r="BG89" s="1080">
        <f t="shared" si="59"/>
        <v>1.0514999999999999</v>
      </c>
      <c r="BH89" s="1081">
        <f t="shared" si="57"/>
        <v>18.927000000000007</v>
      </c>
    </row>
    <row r="90" spans="2:60">
      <c r="B90" s="710"/>
      <c r="C90" s="564"/>
      <c r="D90" s="711"/>
      <c r="E90" s="711"/>
      <c r="F90" s="711"/>
      <c r="G90" s="546"/>
      <c r="H90" s="546"/>
      <c r="I90" s="546"/>
      <c r="J90" s="546"/>
      <c r="K90" s="546"/>
      <c r="L90" s="546"/>
      <c r="M90" s="546"/>
      <c r="N90" s="546"/>
      <c r="O90" s="546"/>
      <c r="P90" s="546"/>
      <c r="Q90" s="546"/>
      <c r="R90" s="546"/>
      <c r="S90" s="546"/>
      <c r="T90" s="546"/>
      <c r="U90" s="546"/>
      <c r="V90" s="546"/>
      <c r="W90" s="546"/>
      <c r="X90" s="546"/>
      <c r="Y90" s="546"/>
      <c r="Z90" s="546"/>
      <c r="AA90" s="546"/>
      <c r="AB90" s="546"/>
      <c r="AC90" s="546"/>
      <c r="AD90" s="546"/>
      <c r="AF90" s="541">
        <v>6</v>
      </c>
      <c r="AG90" s="549" t="str">
        <f>AG65</f>
        <v>Vehicles</v>
      </c>
      <c r="AH90" s="617"/>
      <c r="AI90" s="653"/>
      <c r="AJ90" s="550"/>
      <c r="AK90" s="545"/>
      <c r="AL90" s="709">
        <v>0.24299999999999999</v>
      </c>
      <c r="AM90" s="709">
        <v>0.1026</v>
      </c>
      <c r="AN90" s="709">
        <v>7.6600000000000001E-2</v>
      </c>
      <c r="AO90" s="546">
        <v>4.6900000000000004E-2</v>
      </c>
      <c r="AP90" s="1080">
        <f t="shared" si="60"/>
        <v>9.7900000000000001E-2</v>
      </c>
      <c r="AQ90" s="1080">
        <f t="shared" si="59"/>
        <v>9.7900000000000001E-2</v>
      </c>
      <c r="AR90" s="1080">
        <f t="shared" si="59"/>
        <v>9.7900000000000001E-2</v>
      </c>
      <c r="AS90" s="1080">
        <f t="shared" si="59"/>
        <v>9.7900000000000001E-2</v>
      </c>
      <c r="AT90" s="1080">
        <f t="shared" si="59"/>
        <v>9.7900000000000001E-2</v>
      </c>
      <c r="AU90" s="1080">
        <f t="shared" si="59"/>
        <v>9.7900000000000001E-2</v>
      </c>
      <c r="AV90" s="1080">
        <f t="shared" si="59"/>
        <v>9.7900000000000001E-2</v>
      </c>
      <c r="AW90" s="1080">
        <f t="shared" si="59"/>
        <v>9.7900000000000001E-2</v>
      </c>
      <c r="AX90" s="1080">
        <f t="shared" si="59"/>
        <v>9.7900000000000001E-2</v>
      </c>
      <c r="AY90" s="1080">
        <f t="shared" si="59"/>
        <v>9.7900000000000001E-2</v>
      </c>
      <c r="AZ90" s="1080">
        <f t="shared" si="59"/>
        <v>9.7900000000000001E-2</v>
      </c>
      <c r="BA90" s="1080">
        <f t="shared" si="59"/>
        <v>9.7900000000000001E-2</v>
      </c>
      <c r="BB90" s="1080">
        <f t="shared" si="59"/>
        <v>9.7900000000000001E-2</v>
      </c>
      <c r="BC90" s="1080">
        <f t="shared" si="59"/>
        <v>9.7900000000000001E-2</v>
      </c>
      <c r="BD90" s="1080">
        <f t="shared" si="59"/>
        <v>9.7900000000000001E-2</v>
      </c>
      <c r="BE90" s="1080">
        <f t="shared" si="59"/>
        <v>9.7900000000000001E-2</v>
      </c>
      <c r="BF90" s="1080">
        <f t="shared" si="59"/>
        <v>9.7900000000000001E-2</v>
      </c>
      <c r="BG90" s="1080">
        <f t="shared" si="59"/>
        <v>9.7900000000000001E-2</v>
      </c>
      <c r="BH90" s="1081">
        <f>SUM(AP90:BG90)</f>
        <v>1.7622000000000007</v>
      </c>
    </row>
    <row r="91" spans="2:60">
      <c r="B91" s="710"/>
      <c r="C91" s="564"/>
      <c r="D91" s="711"/>
      <c r="E91" s="711"/>
      <c r="F91" s="711"/>
      <c r="G91" s="546"/>
      <c r="H91" s="546"/>
      <c r="I91" s="546"/>
      <c r="J91" s="546"/>
      <c r="K91" s="546"/>
      <c r="L91" s="546"/>
      <c r="M91" s="546"/>
      <c r="N91" s="546"/>
      <c r="O91" s="546"/>
      <c r="P91" s="546"/>
      <c r="Q91" s="546"/>
      <c r="R91" s="546"/>
      <c r="S91" s="546"/>
      <c r="T91" s="546"/>
      <c r="U91" s="546"/>
      <c r="V91" s="546"/>
      <c r="W91" s="546"/>
      <c r="X91" s="546"/>
      <c r="Y91" s="546"/>
      <c r="Z91" s="546"/>
      <c r="AA91" s="546"/>
      <c r="AB91" s="546"/>
      <c r="AC91" s="546"/>
      <c r="AD91" s="546"/>
      <c r="AF91" s="541">
        <v>7</v>
      </c>
      <c r="AG91" s="549" t="s">
        <v>509</v>
      </c>
      <c r="AH91" s="617"/>
      <c r="AI91" s="653"/>
      <c r="AJ91" s="550"/>
      <c r="AK91" s="545"/>
      <c r="AL91" s="709">
        <v>0</v>
      </c>
      <c r="AM91" s="709">
        <v>0</v>
      </c>
      <c r="AN91" s="709">
        <v>0</v>
      </c>
      <c r="AO91" s="546">
        <v>0</v>
      </c>
      <c r="AP91" s="1080">
        <f t="shared" si="55"/>
        <v>0</v>
      </c>
      <c r="AQ91" s="1080">
        <f t="shared" si="55"/>
        <v>0</v>
      </c>
      <c r="AR91" s="1080">
        <f t="shared" si="55"/>
        <v>0</v>
      </c>
      <c r="AS91" s="1080">
        <f t="shared" ref="AS91:BG91" si="61">AS135*AS66</f>
        <v>0</v>
      </c>
      <c r="AT91" s="1080">
        <f t="shared" si="61"/>
        <v>0</v>
      </c>
      <c r="AU91" s="1080">
        <f t="shared" si="61"/>
        <v>0</v>
      </c>
      <c r="AV91" s="1080">
        <f t="shared" si="61"/>
        <v>0</v>
      </c>
      <c r="AW91" s="1080">
        <f t="shared" si="61"/>
        <v>0</v>
      </c>
      <c r="AX91" s="1080">
        <f t="shared" si="61"/>
        <v>0</v>
      </c>
      <c r="AY91" s="1080">
        <f t="shared" si="61"/>
        <v>0</v>
      </c>
      <c r="AZ91" s="1080">
        <f t="shared" si="61"/>
        <v>0</v>
      </c>
      <c r="BA91" s="1080">
        <f t="shared" si="61"/>
        <v>0</v>
      </c>
      <c r="BB91" s="1080">
        <f t="shared" si="61"/>
        <v>0</v>
      </c>
      <c r="BC91" s="1080">
        <f t="shared" si="61"/>
        <v>0</v>
      </c>
      <c r="BD91" s="1080">
        <f t="shared" si="61"/>
        <v>0</v>
      </c>
      <c r="BE91" s="1080">
        <f t="shared" si="61"/>
        <v>0</v>
      </c>
      <c r="BF91" s="1080">
        <f t="shared" si="61"/>
        <v>0</v>
      </c>
      <c r="BG91" s="1080">
        <f t="shared" si="61"/>
        <v>0</v>
      </c>
    </row>
    <row r="92" spans="2:60">
      <c r="B92" s="710"/>
      <c r="C92" s="564"/>
      <c r="D92" s="711"/>
      <c r="E92" s="711"/>
      <c r="F92" s="711"/>
      <c r="G92" s="546"/>
      <c r="H92" s="546"/>
      <c r="I92" s="546"/>
      <c r="J92" s="546"/>
      <c r="K92" s="546"/>
      <c r="L92" s="546"/>
      <c r="M92" s="546"/>
      <c r="N92" s="546"/>
      <c r="O92" s="546"/>
      <c r="P92" s="546"/>
      <c r="Q92" s="546"/>
      <c r="R92" s="546"/>
      <c r="S92" s="546"/>
      <c r="T92" s="546"/>
      <c r="U92" s="546"/>
      <c r="V92" s="546"/>
      <c r="W92" s="546"/>
      <c r="X92" s="546"/>
      <c r="Y92" s="546"/>
      <c r="Z92" s="546"/>
      <c r="AA92" s="546"/>
      <c r="AB92" s="546"/>
      <c r="AC92" s="546"/>
      <c r="AD92" s="546"/>
      <c r="AF92" s="541">
        <v>8</v>
      </c>
      <c r="AG92" s="549" t="s">
        <v>510</v>
      </c>
      <c r="AH92" s="617"/>
      <c r="AI92" s="653"/>
      <c r="AJ92" s="550"/>
      <c r="AK92" s="545"/>
      <c r="AL92" s="709">
        <v>4.9139999999999997</v>
      </c>
      <c r="AM92" s="709">
        <v>0</v>
      </c>
      <c r="AN92" s="709">
        <v>0</v>
      </c>
      <c r="AO92" s="546">
        <v>0</v>
      </c>
      <c r="AP92" s="1080">
        <f t="shared" si="55"/>
        <v>0</v>
      </c>
      <c r="AQ92" s="1080">
        <f t="shared" si="55"/>
        <v>0</v>
      </c>
      <c r="AR92" s="1080">
        <f t="shared" si="55"/>
        <v>0</v>
      </c>
      <c r="AS92" s="1080">
        <f t="shared" ref="AS92:BG92" si="62">AS136*AS67</f>
        <v>0</v>
      </c>
      <c r="AT92" s="1080">
        <f t="shared" si="62"/>
        <v>0</v>
      </c>
      <c r="AU92" s="1080">
        <f t="shared" si="62"/>
        <v>0</v>
      </c>
      <c r="AV92" s="1080">
        <f t="shared" si="62"/>
        <v>0</v>
      </c>
      <c r="AW92" s="1080">
        <f t="shared" si="62"/>
        <v>0</v>
      </c>
      <c r="AX92" s="1080">
        <f t="shared" si="62"/>
        <v>0</v>
      </c>
      <c r="AY92" s="1080">
        <f t="shared" si="62"/>
        <v>0</v>
      </c>
      <c r="AZ92" s="1080">
        <f t="shared" si="62"/>
        <v>0</v>
      </c>
      <c r="BA92" s="1080">
        <f t="shared" si="62"/>
        <v>0</v>
      </c>
      <c r="BB92" s="1080">
        <f t="shared" si="62"/>
        <v>0</v>
      </c>
      <c r="BC92" s="1080">
        <f t="shared" si="62"/>
        <v>0</v>
      </c>
      <c r="BD92" s="1080">
        <f t="shared" si="62"/>
        <v>0</v>
      </c>
      <c r="BE92" s="1080">
        <f t="shared" si="62"/>
        <v>0</v>
      </c>
      <c r="BF92" s="1080">
        <f t="shared" si="62"/>
        <v>0</v>
      </c>
      <c r="BG92" s="1080">
        <f t="shared" si="62"/>
        <v>0</v>
      </c>
    </row>
    <row r="93" spans="2:60">
      <c r="B93" s="564"/>
      <c r="C93" s="564"/>
      <c r="D93" s="564"/>
      <c r="E93" s="564"/>
      <c r="F93" s="564"/>
      <c r="G93" s="564"/>
      <c r="H93" s="656"/>
      <c r="I93" s="564"/>
      <c r="J93" s="564"/>
      <c r="K93" s="564"/>
      <c r="L93" s="564"/>
      <c r="M93" s="564"/>
      <c r="N93" s="564"/>
      <c r="O93" s="564"/>
      <c r="P93" s="564"/>
      <c r="Q93" s="564"/>
      <c r="R93" s="564"/>
      <c r="S93" s="564"/>
      <c r="T93" s="564"/>
      <c r="U93" s="564"/>
      <c r="V93" s="564"/>
      <c r="W93" s="564"/>
      <c r="X93" s="564"/>
      <c r="Y93" s="564"/>
      <c r="Z93" s="564"/>
      <c r="AA93" s="564"/>
      <c r="AB93" s="564"/>
      <c r="AC93" s="564"/>
      <c r="AD93" s="564"/>
      <c r="AF93" s="541"/>
      <c r="AG93" s="616"/>
      <c r="AH93" s="617"/>
      <c r="AI93" s="653"/>
      <c r="AJ93" s="653"/>
      <c r="AK93" s="551"/>
      <c r="AL93" s="552"/>
      <c r="AM93" s="552"/>
      <c r="AN93" s="552"/>
      <c r="AO93" s="552"/>
      <c r="AP93" s="552"/>
      <c r="AQ93" s="552"/>
      <c r="AR93" s="552"/>
      <c r="AS93" s="552"/>
      <c r="AT93" s="552"/>
      <c r="AU93" s="552"/>
      <c r="AV93" s="552"/>
      <c r="AW93" s="552"/>
      <c r="AX93" s="552"/>
      <c r="AY93" s="552"/>
      <c r="AZ93" s="552"/>
      <c r="BA93" s="714"/>
      <c r="BB93" s="714"/>
      <c r="BC93" s="714"/>
      <c r="BD93" s="714"/>
      <c r="BE93" s="714"/>
      <c r="BF93" s="714"/>
      <c r="BG93" s="714"/>
    </row>
    <row r="94" spans="2:60">
      <c r="B94" s="707"/>
      <c r="C94" s="652"/>
      <c r="D94" s="652"/>
      <c r="E94" s="652"/>
      <c r="F94" s="652"/>
      <c r="G94" s="652"/>
      <c r="H94" s="652"/>
      <c r="I94" s="652"/>
      <c r="J94" s="652"/>
      <c r="K94" s="652"/>
      <c r="L94" s="652"/>
      <c r="M94" s="652"/>
      <c r="N94" s="652"/>
      <c r="O94" s="652"/>
      <c r="P94" s="652"/>
      <c r="Q94" s="652"/>
      <c r="R94" s="652"/>
      <c r="S94" s="652"/>
      <c r="T94" s="652"/>
      <c r="U94" s="652"/>
      <c r="V94" s="652"/>
      <c r="W94" s="652"/>
      <c r="X94" s="652"/>
      <c r="Y94" s="652"/>
      <c r="Z94" s="652"/>
      <c r="AA94" s="652"/>
      <c r="AB94" s="652"/>
      <c r="AC94" s="652"/>
      <c r="AD94" s="652"/>
      <c r="AF94" s="601" t="s">
        <v>521</v>
      </c>
      <c r="AG94" s="555" t="s">
        <v>522</v>
      </c>
      <c r="AH94" s="556"/>
      <c r="AI94" s="715"/>
      <c r="AJ94" s="715"/>
      <c r="AK94" s="716"/>
      <c r="AL94" s="717"/>
      <c r="AM94" s="717"/>
      <c r="AN94" s="717"/>
      <c r="AO94" s="717"/>
      <c r="AP94" s="717"/>
      <c r="AQ94" s="717"/>
      <c r="AR94" s="717"/>
      <c r="AS94" s="717"/>
      <c r="AT94" s="717"/>
      <c r="AU94" s="717"/>
      <c r="AV94" s="717"/>
      <c r="AW94" s="717"/>
      <c r="AX94" s="717"/>
      <c r="AY94" s="717"/>
      <c r="AZ94" s="717"/>
      <c r="BA94" s="718"/>
      <c r="BB94" s="718"/>
      <c r="BC94" s="718"/>
      <c r="BD94" s="718"/>
      <c r="BE94" s="718"/>
      <c r="BF94" s="718"/>
      <c r="BG94" s="718"/>
    </row>
    <row r="95" spans="2:60">
      <c r="B95" s="710"/>
      <c r="C95" s="564"/>
      <c r="D95" s="711"/>
      <c r="E95" s="711"/>
      <c r="F95" s="711"/>
      <c r="G95" s="546"/>
      <c r="H95" s="546"/>
      <c r="I95" s="546"/>
      <c r="J95" s="546"/>
      <c r="K95" s="546"/>
      <c r="L95" s="546"/>
      <c r="M95" s="546"/>
      <c r="N95" s="546"/>
      <c r="O95" s="546"/>
      <c r="P95" s="546"/>
      <c r="Q95" s="546"/>
      <c r="R95" s="546"/>
      <c r="S95" s="546"/>
      <c r="T95" s="546"/>
      <c r="U95" s="546"/>
      <c r="V95" s="546"/>
      <c r="W95" s="546"/>
      <c r="X95" s="546"/>
      <c r="Y95" s="546"/>
      <c r="Z95" s="546"/>
      <c r="AA95" s="546"/>
      <c r="AB95" s="546"/>
      <c r="AC95" s="546"/>
      <c r="AD95" s="546"/>
      <c r="AF95" s="719"/>
      <c r="AG95" s="720" t="s">
        <v>525</v>
      </c>
      <c r="AH95" s="721"/>
      <c r="AI95" s="722">
        <f>SUM(AI85:AI92)</f>
        <v>0</v>
      </c>
      <c r="AJ95" s="722"/>
      <c r="AK95" s="723"/>
      <c r="AL95" s="724">
        <f>SUM(AL85:AL92)</f>
        <v>88.83</v>
      </c>
      <c r="AM95" s="724">
        <f t="shared" ref="AM95:BG95" si="63">SUM(AM85:AM92)</f>
        <v>82.134899999999988</v>
      </c>
      <c r="AN95" s="724">
        <f t="shared" si="63"/>
        <v>82.238299999999995</v>
      </c>
      <c r="AO95" s="724">
        <f t="shared" si="63"/>
        <v>82.087299999999999</v>
      </c>
      <c r="AP95" s="724">
        <f t="shared" si="63"/>
        <v>91.965599243040018</v>
      </c>
      <c r="AQ95" s="724">
        <f t="shared" si="63"/>
        <v>96.752399243040017</v>
      </c>
      <c r="AR95" s="724">
        <f t="shared" si="63"/>
        <v>100.38543124304002</v>
      </c>
      <c r="AS95" s="724">
        <f t="shared" si="63"/>
        <v>101.49263124304001</v>
      </c>
      <c r="AT95" s="724">
        <f t="shared" si="63"/>
        <v>102.49363124304001</v>
      </c>
      <c r="AU95" s="724">
        <f t="shared" si="63"/>
        <v>103.40603124304002</v>
      </c>
      <c r="AV95" s="724">
        <f t="shared" si="63"/>
        <v>104.43223124304002</v>
      </c>
      <c r="AW95" s="724">
        <f t="shared" si="63"/>
        <v>105.03963124304002</v>
      </c>
      <c r="AX95" s="724">
        <f t="shared" si="63"/>
        <v>105.93783124304001</v>
      </c>
      <c r="AY95" s="724">
        <f t="shared" si="63"/>
        <v>106.65103124304001</v>
      </c>
      <c r="AZ95" s="724">
        <f t="shared" si="63"/>
        <v>107.26163124304001</v>
      </c>
      <c r="BA95" s="724">
        <f t="shared" si="63"/>
        <v>108.09723124304</v>
      </c>
      <c r="BB95" s="724">
        <f t="shared" si="63"/>
        <v>108.83383124304</v>
      </c>
      <c r="BC95" s="724">
        <f t="shared" si="63"/>
        <v>109.34543124304</v>
      </c>
      <c r="BD95" s="724">
        <f t="shared" si="63"/>
        <v>110.07363124304</v>
      </c>
      <c r="BE95" s="724">
        <f t="shared" si="63"/>
        <v>110.89523124304</v>
      </c>
      <c r="BF95" s="724">
        <f t="shared" si="63"/>
        <v>111.81903124303999</v>
      </c>
      <c r="BG95" s="724">
        <f t="shared" si="63"/>
        <v>112.46423124303999</v>
      </c>
    </row>
    <row r="96" spans="2:60">
      <c r="B96" s="710"/>
      <c r="C96" s="564"/>
      <c r="D96" s="711"/>
      <c r="E96" s="711"/>
      <c r="F96" s="711"/>
      <c r="G96" s="546"/>
      <c r="H96" s="546"/>
      <c r="I96" s="546"/>
      <c r="J96" s="546"/>
      <c r="K96" s="546"/>
      <c r="L96" s="546"/>
      <c r="M96" s="546"/>
      <c r="N96" s="546"/>
      <c r="O96" s="546"/>
      <c r="P96" s="546"/>
      <c r="Q96" s="546"/>
      <c r="R96" s="546"/>
      <c r="S96" s="546"/>
      <c r="T96" s="546"/>
      <c r="U96" s="546"/>
      <c r="V96" s="546"/>
      <c r="W96" s="546"/>
      <c r="X96" s="546"/>
      <c r="Y96" s="546"/>
      <c r="Z96" s="546"/>
      <c r="AA96" s="546"/>
      <c r="AB96" s="546"/>
      <c r="AC96" s="546"/>
      <c r="AD96" s="546"/>
      <c r="AI96" s="725"/>
      <c r="AJ96" s="725"/>
      <c r="AM96" s="647"/>
      <c r="AN96" s="647"/>
      <c r="AO96" s="647"/>
      <c r="AP96" s="647"/>
      <c r="AQ96" s="647"/>
      <c r="AR96" s="647"/>
      <c r="AS96" s="647"/>
      <c r="AT96" s="647"/>
      <c r="AU96" s="647"/>
      <c r="AV96" s="647"/>
      <c r="AW96" s="647"/>
      <c r="AX96" s="647"/>
      <c r="AY96" s="647"/>
      <c r="AZ96" s="647"/>
    </row>
    <row r="97" spans="2:59">
      <c r="B97" s="564"/>
      <c r="C97" s="564"/>
      <c r="D97" s="564"/>
      <c r="E97" s="564"/>
      <c r="F97" s="564"/>
      <c r="G97" s="656"/>
      <c r="H97" s="726"/>
      <c r="I97" s="726"/>
      <c r="J97" s="726"/>
      <c r="K97" s="726"/>
      <c r="L97" s="726"/>
      <c r="M97" s="726"/>
      <c r="N97" s="726"/>
      <c r="O97" s="726"/>
      <c r="P97" s="726"/>
      <c r="Q97" s="726"/>
      <c r="R97" s="726"/>
      <c r="S97" s="726"/>
      <c r="T97" s="726"/>
      <c r="U97" s="726"/>
      <c r="V97" s="726"/>
      <c r="W97" s="564"/>
      <c r="X97" s="564"/>
      <c r="Y97" s="564"/>
      <c r="Z97" s="564"/>
      <c r="AA97" s="564"/>
      <c r="AB97" s="564"/>
      <c r="AC97" s="564"/>
      <c r="AD97" s="564"/>
      <c r="AI97" s="725"/>
      <c r="AJ97" s="725"/>
      <c r="AK97" s="727"/>
      <c r="AL97" s="727"/>
      <c r="AM97" s="727"/>
      <c r="AN97" s="727"/>
      <c r="AO97" s="727"/>
      <c r="AP97" s="727"/>
      <c r="AQ97" s="727"/>
      <c r="AR97" s="727"/>
      <c r="AS97" s="727"/>
      <c r="AT97" s="727"/>
      <c r="AU97" s="727"/>
      <c r="AV97" s="727"/>
      <c r="AW97" s="727"/>
      <c r="AX97" s="727"/>
      <c r="AY97" s="727"/>
      <c r="AZ97" s="727"/>
      <c r="BA97" s="727"/>
      <c r="BB97" s="727"/>
      <c r="BC97" s="727"/>
      <c r="BD97" s="727"/>
      <c r="BE97" s="727"/>
      <c r="BF97" s="727"/>
      <c r="BG97" s="727"/>
    </row>
    <row r="98" spans="2:59">
      <c r="B98" s="564"/>
      <c r="C98" s="564"/>
      <c r="D98" s="564"/>
      <c r="E98" s="564"/>
      <c r="F98" s="564"/>
      <c r="G98" s="656"/>
      <c r="H98" s="564"/>
      <c r="I98" s="564"/>
      <c r="J98" s="564"/>
      <c r="K98" s="564"/>
      <c r="L98" s="564"/>
      <c r="M98" s="656"/>
      <c r="N98" s="564"/>
      <c r="O98" s="564"/>
      <c r="P98" s="564"/>
      <c r="Q98" s="564"/>
      <c r="R98" s="564"/>
      <c r="S98" s="564"/>
      <c r="T98" s="564"/>
      <c r="U98" s="564"/>
      <c r="V98" s="564"/>
      <c r="W98" s="564"/>
      <c r="X98" s="564"/>
      <c r="Y98" s="564"/>
      <c r="Z98" s="564"/>
      <c r="AA98" s="564"/>
      <c r="AB98" s="564"/>
      <c r="AC98" s="564"/>
      <c r="AD98" s="564"/>
      <c r="AG98" s="728"/>
      <c r="AH98" s="729"/>
      <c r="AI98" s="730"/>
      <c r="AJ98" s="730"/>
      <c r="AK98" s="729"/>
      <c r="AL98" s="729"/>
      <c r="AM98" s="731">
        <v>2020</v>
      </c>
      <c r="AN98" s="731">
        <v>2021</v>
      </c>
      <c r="AO98" s="731">
        <v>2022</v>
      </c>
      <c r="AP98" s="731">
        <v>2023</v>
      </c>
      <c r="AQ98" s="731">
        <v>2024</v>
      </c>
      <c r="AR98" s="731">
        <v>2025</v>
      </c>
      <c r="AS98" s="731">
        <v>2026</v>
      </c>
      <c r="AT98" s="731">
        <v>2027</v>
      </c>
      <c r="AU98" s="731">
        <v>2028</v>
      </c>
      <c r="AV98" s="731">
        <v>2029</v>
      </c>
      <c r="AW98" s="731">
        <v>2030</v>
      </c>
      <c r="AX98" s="731">
        <v>2031</v>
      </c>
      <c r="AY98" s="731">
        <v>2032</v>
      </c>
      <c r="AZ98" s="731">
        <v>2033</v>
      </c>
      <c r="BA98" s="732">
        <v>2034</v>
      </c>
      <c r="BB98" s="732">
        <v>2035</v>
      </c>
      <c r="BC98" s="732">
        <v>2036</v>
      </c>
      <c r="BD98" s="732">
        <v>2037</v>
      </c>
      <c r="BE98" s="732">
        <v>2038</v>
      </c>
      <c r="BF98" s="732">
        <v>2039</v>
      </c>
      <c r="BG98" s="732">
        <v>2040</v>
      </c>
    </row>
    <row r="99" spans="2:59">
      <c r="B99" s="688"/>
      <c r="C99" s="688"/>
      <c r="D99" s="688"/>
      <c r="E99" s="688"/>
      <c r="F99" s="688"/>
      <c r="G99" s="733"/>
      <c r="H99" s="734"/>
      <c r="I99" s="734"/>
      <c r="J99" s="734"/>
      <c r="K99" s="734"/>
      <c r="L99" s="734"/>
      <c r="M99" s="734"/>
      <c r="N99" s="734"/>
      <c r="O99" s="734"/>
      <c r="P99" s="734"/>
      <c r="Q99" s="734"/>
      <c r="R99" s="734"/>
      <c r="S99" s="734"/>
      <c r="T99" s="734"/>
      <c r="U99" s="734"/>
      <c r="V99" s="734"/>
      <c r="W99" s="734"/>
      <c r="X99" s="734"/>
      <c r="Y99" s="734"/>
      <c r="Z99" s="734"/>
      <c r="AA99" s="734"/>
      <c r="AB99" s="734"/>
      <c r="AC99" s="734"/>
      <c r="AD99" s="734"/>
      <c r="AG99" s="735" t="s">
        <v>526</v>
      </c>
      <c r="AH99" s="736"/>
      <c r="AI99" s="737"/>
      <c r="AJ99" s="737"/>
      <c r="AK99" s="736"/>
      <c r="AL99" s="736"/>
      <c r="AM99" s="738"/>
      <c r="AN99" s="894"/>
      <c r="AO99" s="894">
        <f>Debt_Schedule!F88</f>
        <v>0</v>
      </c>
      <c r="AP99" s="894">
        <f>Debt_Schedule!G88</f>
        <v>19.454999999999998</v>
      </c>
      <c r="AQ99" s="894">
        <f>Debt_Schedule!H88</f>
        <v>19.670000000000002</v>
      </c>
      <c r="AR99" s="894">
        <f>Debt_Schedule!I88</f>
        <v>11.404999999999999</v>
      </c>
      <c r="AS99" s="894">
        <f>Debt_Schedule!J88</f>
        <v>27.68</v>
      </c>
      <c r="AT99" s="894">
        <f>Debt_Schedule!K88</f>
        <v>25.024999999999999</v>
      </c>
      <c r="AU99" s="894">
        <f>Debt_Schedule!L88</f>
        <v>22.81</v>
      </c>
      <c r="AV99" s="894">
        <f>Debt_Schedule!M88</f>
        <v>25.655000000000001</v>
      </c>
      <c r="AW99" s="894">
        <f>Debt_Schedule!N88</f>
        <v>15.185</v>
      </c>
      <c r="AX99" s="894">
        <f>Debt_Schedule!O88</f>
        <v>22.454999999999998</v>
      </c>
      <c r="AY99" s="894">
        <f>Debt_Schedule!P88</f>
        <v>17.829999999999998</v>
      </c>
      <c r="AZ99" s="894">
        <f>Debt_Schedule!Q88</f>
        <v>15.265000000000001</v>
      </c>
      <c r="BA99" s="894">
        <f>Debt_Schedule!R88</f>
        <v>20.89</v>
      </c>
      <c r="BB99" s="894">
        <f>Debt_Schedule!S88</f>
        <v>18.414999999999999</v>
      </c>
      <c r="BC99" s="894">
        <f>Debt_Schedule!T88</f>
        <v>12.79</v>
      </c>
      <c r="BD99" s="894">
        <f>Debt_Schedule!U88</f>
        <v>18.204999999999998</v>
      </c>
      <c r="BE99" s="894">
        <f>Debt_Schedule!V88</f>
        <v>20.54</v>
      </c>
      <c r="BF99" s="894">
        <f>Debt_Schedule!W88</f>
        <v>23.094999999999999</v>
      </c>
      <c r="BG99" s="894">
        <f>Debt_Schedule!X88</f>
        <v>16.13</v>
      </c>
    </row>
    <row r="100" spans="2:59">
      <c r="B100" s="564"/>
      <c r="C100" s="564"/>
      <c r="D100" s="564"/>
      <c r="E100" s="564"/>
      <c r="F100" s="564"/>
      <c r="G100" s="656"/>
      <c r="H100" s="657"/>
      <c r="I100" s="657"/>
      <c r="J100" s="657"/>
      <c r="K100" s="657"/>
      <c r="L100" s="657"/>
      <c r="M100" s="657"/>
      <c r="N100" s="657"/>
      <c r="O100" s="657"/>
      <c r="P100" s="657"/>
      <c r="Q100" s="657"/>
      <c r="R100" s="657"/>
      <c r="S100" s="657"/>
      <c r="T100" s="657"/>
      <c r="U100" s="657"/>
      <c r="V100" s="657"/>
      <c r="W100" s="657"/>
      <c r="X100" s="657"/>
      <c r="Y100" s="657"/>
      <c r="Z100" s="657"/>
      <c r="AA100" s="657"/>
      <c r="AB100" s="657"/>
      <c r="AC100" s="657"/>
      <c r="AD100" s="564"/>
      <c r="AI100" s="725"/>
      <c r="AJ100" s="725"/>
    </row>
    <row r="101" spans="2:59">
      <c r="B101" s="564"/>
      <c r="C101" s="564"/>
      <c r="D101" s="564"/>
      <c r="E101" s="564"/>
      <c r="F101" s="564"/>
      <c r="G101" s="656"/>
      <c r="H101" s="656"/>
      <c r="I101" s="564"/>
      <c r="J101" s="564"/>
      <c r="K101" s="564"/>
      <c r="L101" s="564"/>
      <c r="M101" s="656"/>
      <c r="N101" s="564"/>
      <c r="O101" s="564"/>
      <c r="P101" s="564"/>
      <c r="Q101" s="564"/>
      <c r="R101" s="564"/>
      <c r="S101" s="564"/>
      <c r="T101" s="564"/>
      <c r="U101" s="564"/>
      <c r="V101" s="564"/>
      <c r="W101" s="564"/>
      <c r="X101" s="564"/>
      <c r="Y101" s="564"/>
      <c r="Z101" s="564"/>
      <c r="AA101" s="564"/>
      <c r="AB101" s="564"/>
      <c r="AC101" s="564"/>
      <c r="AD101" s="564"/>
      <c r="AI101" s="725"/>
      <c r="AJ101" s="725"/>
      <c r="AN101" s="647">
        <f>AN25</f>
        <v>0</v>
      </c>
      <c r="AO101" s="647">
        <f t="shared" ref="AO101:BG101" si="64">AO25</f>
        <v>0</v>
      </c>
      <c r="AP101" s="647">
        <f t="shared" si="64"/>
        <v>19.454999999999998</v>
      </c>
      <c r="AQ101" s="647">
        <f t="shared" si="64"/>
        <v>19.670000000000002</v>
      </c>
      <c r="AR101" s="647">
        <f t="shared" si="64"/>
        <v>11.404999999999999</v>
      </c>
      <c r="AS101" s="647">
        <f t="shared" si="64"/>
        <v>27.68</v>
      </c>
      <c r="AT101" s="647">
        <f t="shared" si="64"/>
        <v>25.024999999999999</v>
      </c>
      <c r="AU101" s="647">
        <f t="shared" si="64"/>
        <v>22.81</v>
      </c>
      <c r="AV101" s="647">
        <f t="shared" si="64"/>
        <v>25.655000000000001</v>
      </c>
      <c r="AW101" s="647">
        <f t="shared" si="64"/>
        <v>15.185</v>
      </c>
      <c r="AX101" s="647">
        <f t="shared" si="64"/>
        <v>22.454999999999998</v>
      </c>
      <c r="AY101" s="647">
        <f t="shared" si="64"/>
        <v>17.829999999999998</v>
      </c>
      <c r="AZ101" s="647">
        <f t="shared" si="64"/>
        <v>15.265000000000001</v>
      </c>
      <c r="BA101" s="647">
        <f t="shared" si="64"/>
        <v>20.89</v>
      </c>
      <c r="BB101" s="647">
        <f t="shared" si="64"/>
        <v>18.414999999999999</v>
      </c>
      <c r="BC101" s="647">
        <f t="shared" si="64"/>
        <v>12.79</v>
      </c>
      <c r="BD101" s="647">
        <f t="shared" si="64"/>
        <v>18.204999999999998</v>
      </c>
      <c r="BE101" s="647">
        <f t="shared" si="64"/>
        <v>20.54</v>
      </c>
      <c r="BF101" s="647">
        <f t="shared" si="64"/>
        <v>23.094999999999999</v>
      </c>
      <c r="BG101" s="647">
        <f t="shared" si="64"/>
        <v>16.13</v>
      </c>
    </row>
    <row r="102" spans="2:59">
      <c r="B102" s="518"/>
      <c r="G102" s="739"/>
      <c r="M102" s="647"/>
      <c r="AI102" s="725"/>
      <c r="AJ102" s="725"/>
    </row>
    <row r="103" spans="2:59">
      <c r="B103" s="740"/>
      <c r="M103" s="647"/>
      <c r="AI103" s="725"/>
      <c r="AJ103" s="725"/>
    </row>
    <row r="104" spans="2:59">
      <c r="B104" s="740"/>
      <c r="AI104" s="725"/>
      <c r="AJ104" s="725"/>
    </row>
    <row r="105" spans="2:59">
      <c r="AG105" s="518" t="s">
        <v>527</v>
      </c>
      <c r="AI105" s="725"/>
      <c r="AJ105" s="725"/>
    </row>
    <row r="106" spans="2:59">
      <c r="G106" s="741"/>
      <c r="H106" s="647"/>
      <c r="I106" s="647"/>
      <c r="J106" s="647"/>
      <c r="K106" s="647"/>
      <c r="L106" s="647"/>
      <c r="M106" s="647"/>
      <c r="N106" s="647"/>
      <c r="O106" s="647"/>
      <c r="P106" s="647"/>
      <c r="Q106" s="647"/>
      <c r="R106" s="647"/>
      <c r="S106" s="647"/>
      <c r="T106" s="647"/>
      <c r="U106" s="647"/>
      <c r="V106" s="647"/>
      <c r="W106" s="647"/>
      <c r="X106" s="647"/>
      <c r="Y106" s="647"/>
      <c r="Z106" s="647"/>
      <c r="AA106" s="647"/>
      <c r="AB106" s="647"/>
      <c r="AC106" s="647"/>
      <c r="AD106" s="647"/>
      <c r="AI106" s="725"/>
      <c r="AJ106" s="725"/>
    </row>
    <row r="107" spans="2:59">
      <c r="H107" s="647"/>
      <c r="I107" s="647"/>
      <c r="J107" s="647"/>
      <c r="K107" s="647"/>
      <c r="L107" s="647"/>
      <c r="M107" s="647"/>
      <c r="N107" s="647"/>
      <c r="O107" s="647"/>
      <c r="P107" s="647"/>
      <c r="Q107" s="647"/>
      <c r="R107" s="647"/>
      <c r="S107" s="647"/>
      <c r="T107" s="647"/>
      <c r="U107" s="647"/>
      <c r="V107" s="647"/>
      <c r="W107" s="647"/>
      <c r="X107" s="647"/>
      <c r="Y107" s="647"/>
      <c r="Z107" s="647"/>
      <c r="AA107" s="647"/>
      <c r="AB107" s="647"/>
      <c r="AC107" s="647"/>
      <c r="AD107" s="647"/>
      <c r="AG107" s="517" t="s">
        <v>360</v>
      </c>
      <c r="AI107" s="725"/>
      <c r="AJ107" s="725"/>
      <c r="AL107" s="742"/>
      <c r="AM107" s="742"/>
      <c r="AN107" s="742"/>
      <c r="AO107" s="742">
        <f t="shared" ref="AO107:BG107" si="65">AN110</f>
        <v>4.4207999999999998</v>
      </c>
      <c r="AP107" s="742">
        <f t="shared" si="65"/>
        <v>4.4207999999999998</v>
      </c>
      <c r="AQ107" s="742">
        <f t="shared" si="65"/>
        <v>4.4207999999999998</v>
      </c>
      <c r="AR107" s="742">
        <f t="shared" si="65"/>
        <v>4.4207999999999998</v>
      </c>
      <c r="AS107" s="742">
        <f t="shared" si="65"/>
        <v>0</v>
      </c>
      <c r="AT107" s="742">
        <f t="shared" si="65"/>
        <v>0</v>
      </c>
      <c r="AU107" s="742">
        <f t="shared" si="65"/>
        <v>0</v>
      </c>
      <c r="AV107" s="742">
        <f t="shared" si="65"/>
        <v>0</v>
      </c>
      <c r="AW107" s="742">
        <f t="shared" si="65"/>
        <v>0</v>
      </c>
      <c r="AX107" s="742">
        <f t="shared" si="65"/>
        <v>0</v>
      </c>
      <c r="AY107" s="742">
        <f t="shared" si="65"/>
        <v>0</v>
      </c>
      <c r="AZ107" s="742">
        <f t="shared" si="65"/>
        <v>0</v>
      </c>
      <c r="BA107" s="742">
        <f t="shared" si="65"/>
        <v>0</v>
      </c>
      <c r="BB107" s="742">
        <f t="shared" si="65"/>
        <v>0</v>
      </c>
      <c r="BC107" s="742">
        <f t="shared" si="65"/>
        <v>0</v>
      </c>
      <c r="BD107" s="742">
        <f t="shared" si="65"/>
        <v>0</v>
      </c>
      <c r="BE107" s="742">
        <f t="shared" si="65"/>
        <v>0</v>
      </c>
      <c r="BF107" s="742">
        <f t="shared" si="65"/>
        <v>0</v>
      </c>
      <c r="BG107" s="742">
        <f t="shared" si="65"/>
        <v>0</v>
      </c>
    </row>
    <row r="108" spans="2:59">
      <c r="H108" s="743"/>
      <c r="I108" s="743"/>
      <c r="J108" s="743"/>
      <c r="K108" s="743"/>
      <c r="L108" s="743"/>
      <c r="M108" s="743"/>
      <c r="N108" s="743"/>
      <c r="O108" s="743"/>
      <c r="P108" s="743"/>
      <c r="Q108" s="743"/>
      <c r="R108" s="743"/>
      <c r="S108" s="743"/>
      <c r="T108" s="743"/>
      <c r="U108" s="743"/>
      <c r="V108" s="743"/>
      <c r="W108" s="743"/>
      <c r="X108" s="743"/>
      <c r="Y108" s="743"/>
      <c r="Z108" s="743"/>
      <c r="AA108" s="743"/>
      <c r="AB108" s="743"/>
      <c r="AC108" s="743"/>
      <c r="AD108" s="743"/>
      <c r="AG108" s="517" t="s">
        <v>528</v>
      </c>
      <c r="AL108" s="742"/>
      <c r="AM108" s="742"/>
      <c r="AN108" s="742"/>
      <c r="AO108" s="895">
        <f>SUM(Debt_Schedule!F84:F87)</f>
        <v>0</v>
      </c>
      <c r="AP108" s="895">
        <f>SUM(Debt_Schedule!G84:G87)</f>
        <v>75</v>
      </c>
      <c r="AQ108" s="895">
        <f>SUM(Debt_Schedule!H84:H87)</f>
        <v>100</v>
      </c>
      <c r="AR108" s="895">
        <f>SUM(Debt_Schedule!I84:I87)</f>
        <v>75</v>
      </c>
      <c r="AS108" s="895">
        <f>SUM(Debt_Schedule!J84:J87)</f>
        <v>0</v>
      </c>
      <c r="AT108" s="895">
        <f>SUM(Debt_Schedule!K84:K87)</f>
        <v>0</v>
      </c>
      <c r="AU108" s="895">
        <f>SUM(Debt_Schedule!L84:L87)</f>
        <v>0</v>
      </c>
      <c r="AV108" s="895">
        <f>SUM(Debt_Schedule!M84:M87)</f>
        <v>0</v>
      </c>
      <c r="AW108" s="895">
        <f>SUM(Debt_Schedule!N84:N87)</f>
        <v>0</v>
      </c>
      <c r="AX108" s="895">
        <f>SUM(Debt_Schedule!O84:O87)</f>
        <v>0</v>
      </c>
      <c r="AY108" s="895">
        <f>SUM(Debt_Schedule!P84:P87)</f>
        <v>0</v>
      </c>
      <c r="AZ108" s="895">
        <f>SUM(Debt_Schedule!Q84:Q87)</f>
        <v>0</v>
      </c>
      <c r="BA108" s="895">
        <f>SUM(Debt_Schedule!R84:R87)</f>
        <v>0</v>
      </c>
      <c r="BB108" s="895">
        <f>SUM(Debt_Schedule!S84:S87)</f>
        <v>0</v>
      </c>
      <c r="BC108" s="895">
        <f>SUM(Debt_Schedule!T84:T87)</f>
        <v>0</v>
      </c>
      <c r="BD108" s="895">
        <f>SUM(Debt_Schedule!U84:U87)</f>
        <v>0</v>
      </c>
      <c r="BE108" s="895">
        <f>SUM(Debt_Schedule!V84:V87)</f>
        <v>0</v>
      </c>
      <c r="BF108" s="895">
        <f>SUM(Debt_Schedule!W84:W87)</f>
        <v>0</v>
      </c>
      <c r="BG108" s="895">
        <f>SUM(Debt_Schedule!X84:X87)</f>
        <v>0</v>
      </c>
    </row>
    <row r="109" spans="2:59">
      <c r="AG109" s="517" t="s">
        <v>529</v>
      </c>
      <c r="AL109" s="742"/>
      <c r="AM109" s="742"/>
      <c r="AN109" s="742"/>
      <c r="AO109" s="742">
        <f>AO108</f>
        <v>0</v>
      </c>
      <c r="AP109" s="742">
        <f>AP108</f>
        <v>75</v>
      </c>
      <c r="AQ109" s="742">
        <f>AQ108</f>
        <v>100</v>
      </c>
      <c r="AR109" s="742">
        <f t="shared" ref="AR109:BG109" si="66">AQ110+AR108</f>
        <v>79.4208</v>
      </c>
      <c r="AS109" s="742">
        <f t="shared" si="66"/>
        <v>0</v>
      </c>
      <c r="AT109" s="742">
        <f t="shared" si="66"/>
        <v>0</v>
      </c>
      <c r="AU109" s="742">
        <f t="shared" si="66"/>
        <v>0</v>
      </c>
      <c r="AV109" s="742">
        <f t="shared" si="66"/>
        <v>0</v>
      </c>
      <c r="AW109" s="742">
        <f t="shared" si="66"/>
        <v>0</v>
      </c>
      <c r="AX109" s="742">
        <f t="shared" si="66"/>
        <v>0</v>
      </c>
      <c r="AY109" s="742">
        <f t="shared" si="66"/>
        <v>0</v>
      </c>
      <c r="AZ109" s="742">
        <f t="shared" si="66"/>
        <v>0</v>
      </c>
      <c r="BA109" s="742">
        <f t="shared" si="66"/>
        <v>0</v>
      </c>
      <c r="BB109" s="742">
        <f t="shared" si="66"/>
        <v>0</v>
      </c>
      <c r="BC109" s="742">
        <f t="shared" si="66"/>
        <v>0</v>
      </c>
      <c r="BD109" s="742">
        <f t="shared" si="66"/>
        <v>0</v>
      </c>
      <c r="BE109" s="742">
        <f t="shared" si="66"/>
        <v>0</v>
      </c>
      <c r="BF109" s="742">
        <f t="shared" si="66"/>
        <v>0</v>
      </c>
      <c r="BG109" s="742">
        <f t="shared" si="66"/>
        <v>0</v>
      </c>
    </row>
    <row r="110" spans="2:59">
      <c r="H110" s="743"/>
      <c r="I110" s="743"/>
      <c r="J110" s="743"/>
      <c r="K110" s="743"/>
      <c r="L110" s="743"/>
      <c r="M110" s="743"/>
      <c r="N110" s="743"/>
      <c r="O110" s="743"/>
      <c r="P110" s="743"/>
      <c r="Q110" s="743"/>
      <c r="R110" s="743"/>
      <c r="S110" s="743"/>
      <c r="T110" s="743"/>
      <c r="U110" s="743"/>
      <c r="V110" s="743"/>
      <c r="W110" s="743"/>
      <c r="X110" s="743"/>
      <c r="Y110" s="743"/>
      <c r="Z110" s="743"/>
      <c r="AA110" s="743"/>
      <c r="AB110" s="743"/>
      <c r="AC110" s="743"/>
      <c r="AD110" s="743"/>
      <c r="AG110" s="517" t="s">
        <v>300</v>
      </c>
      <c r="AL110" s="744"/>
      <c r="AM110" s="742"/>
      <c r="AN110" s="745">
        <f>Fin_Statements!J4</f>
        <v>4.4207999999999998</v>
      </c>
      <c r="AO110" s="742">
        <f>AO107+AO108-AO109</f>
        <v>4.4207999999999998</v>
      </c>
      <c r="AP110" s="742">
        <f t="shared" ref="AP110:BG110" si="67">AP107+AP108-AP109</f>
        <v>4.4207999999999998</v>
      </c>
      <c r="AQ110" s="742">
        <f t="shared" si="67"/>
        <v>4.4207999999999998</v>
      </c>
      <c r="AR110" s="742">
        <f t="shared" si="67"/>
        <v>0</v>
      </c>
      <c r="AS110" s="742">
        <f t="shared" si="67"/>
        <v>0</v>
      </c>
      <c r="AT110" s="742">
        <f t="shared" si="67"/>
        <v>0</v>
      </c>
      <c r="AU110" s="742">
        <f t="shared" si="67"/>
        <v>0</v>
      </c>
      <c r="AV110" s="742">
        <f t="shared" si="67"/>
        <v>0</v>
      </c>
      <c r="AW110" s="742">
        <f t="shared" si="67"/>
        <v>0</v>
      </c>
      <c r="AX110" s="742">
        <f t="shared" si="67"/>
        <v>0</v>
      </c>
      <c r="AY110" s="742">
        <f t="shared" si="67"/>
        <v>0</v>
      </c>
      <c r="AZ110" s="742">
        <f t="shared" si="67"/>
        <v>0</v>
      </c>
      <c r="BA110" s="742">
        <f t="shared" si="67"/>
        <v>0</v>
      </c>
      <c r="BB110" s="742">
        <f t="shared" si="67"/>
        <v>0</v>
      </c>
      <c r="BC110" s="742">
        <f t="shared" si="67"/>
        <v>0</v>
      </c>
      <c r="BD110" s="742">
        <f t="shared" si="67"/>
        <v>0</v>
      </c>
      <c r="BE110" s="742">
        <f t="shared" si="67"/>
        <v>0</v>
      </c>
      <c r="BF110" s="742">
        <f t="shared" si="67"/>
        <v>0</v>
      </c>
      <c r="BG110" s="742">
        <f t="shared" si="67"/>
        <v>0</v>
      </c>
    </row>
    <row r="111" spans="2:59">
      <c r="AL111" s="742"/>
      <c r="AM111" s="742"/>
      <c r="AN111" s="742"/>
      <c r="AO111" s="742"/>
      <c r="AP111" s="742"/>
      <c r="AQ111" s="742"/>
      <c r="AR111" s="742"/>
      <c r="AS111" s="742"/>
      <c r="AT111" s="742"/>
      <c r="AU111" s="742"/>
      <c r="AV111" s="742"/>
      <c r="AW111" s="742"/>
      <c r="AX111" s="742"/>
      <c r="AY111" s="742"/>
      <c r="AZ111" s="742"/>
      <c r="BA111" s="742"/>
      <c r="BB111" s="742"/>
      <c r="BC111" s="742"/>
      <c r="BD111" s="742"/>
      <c r="BE111" s="742"/>
      <c r="BF111" s="742"/>
      <c r="BG111" s="742"/>
    </row>
    <row r="112" spans="2:59">
      <c r="H112" s="647"/>
      <c r="I112" s="647"/>
      <c r="J112" s="647"/>
      <c r="K112" s="647"/>
      <c r="L112" s="647"/>
      <c r="M112" s="647"/>
      <c r="N112" s="647"/>
      <c r="O112" s="647"/>
      <c r="P112" s="647"/>
      <c r="Q112" s="647"/>
      <c r="R112" s="647"/>
      <c r="S112" s="647"/>
      <c r="T112" s="647"/>
      <c r="U112" s="647"/>
      <c r="V112" s="647"/>
      <c r="W112" s="647"/>
      <c r="X112" s="647"/>
      <c r="Y112" s="647"/>
      <c r="Z112" s="647"/>
      <c r="AA112" s="647"/>
      <c r="AB112" s="647"/>
      <c r="AC112" s="647"/>
      <c r="AD112" s="647"/>
      <c r="AL112" s="742"/>
      <c r="AM112" s="742"/>
      <c r="AN112" s="742"/>
      <c r="AO112" s="742"/>
      <c r="AP112" s="742"/>
      <c r="AQ112" s="742"/>
      <c r="AR112" s="742"/>
      <c r="AS112" s="742"/>
      <c r="AT112" s="742"/>
      <c r="AU112" s="742"/>
      <c r="AV112" s="742"/>
      <c r="AW112" s="742"/>
      <c r="AX112" s="742"/>
      <c r="AY112" s="742"/>
      <c r="AZ112" s="742"/>
      <c r="BA112" s="742"/>
      <c r="BB112" s="742"/>
      <c r="BC112" s="742"/>
      <c r="BD112" s="742"/>
      <c r="BE112" s="742"/>
      <c r="BF112" s="742"/>
      <c r="BG112" s="742"/>
    </row>
    <row r="113" spans="2:59" hidden="1">
      <c r="H113" s="743"/>
      <c r="I113" s="743"/>
      <c r="J113" s="743"/>
      <c r="K113" s="743"/>
      <c r="L113" s="743"/>
      <c r="M113" s="743"/>
      <c r="N113" s="743"/>
      <c r="O113" s="743"/>
      <c r="P113" s="743"/>
      <c r="Q113" s="743"/>
      <c r="R113" s="743"/>
      <c r="S113" s="743"/>
      <c r="T113" s="743"/>
      <c r="U113" s="743"/>
      <c r="V113" s="743"/>
      <c r="W113" s="743"/>
      <c r="X113" s="743"/>
      <c r="Y113" s="743"/>
      <c r="Z113" s="743"/>
      <c r="AA113" s="743"/>
      <c r="AB113" s="743"/>
      <c r="AC113" s="743"/>
      <c r="AD113" s="743"/>
      <c r="AL113" s="742"/>
      <c r="AM113" s="742"/>
      <c r="AN113" s="742"/>
      <c r="AO113" s="742"/>
      <c r="AP113" s="742"/>
      <c r="AQ113" s="742"/>
      <c r="AR113" s="742"/>
      <c r="AS113" s="742"/>
      <c r="AT113" s="742"/>
      <c r="AU113" s="742"/>
      <c r="AV113" s="742"/>
      <c r="AW113" s="742"/>
      <c r="AX113" s="742"/>
      <c r="AY113" s="742"/>
      <c r="AZ113" s="742"/>
      <c r="BA113" s="742"/>
      <c r="BB113" s="742"/>
      <c r="BC113" s="742"/>
      <c r="BD113" s="742"/>
      <c r="BE113" s="742"/>
      <c r="BF113" s="742"/>
      <c r="BG113" s="742"/>
    </row>
    <row r="114" spans="2:59" hidden="1">
      <c r="B114" s="746" t="s">
        <v>530</v>
      </c>
      <c r="AL114" s="742"/>
      <c r="AM114" s="742"/>
      <c r="AN114" s="742"/>
      <c r="AO114" s="742"/>
      <c r="AP114" s="742"/>
      <c r="AQ114" s="742"/>
      <c r="AR114" s="742"/>
      <c r="AS114" s="742"/>
      <c r="AT114" s="742"/>
      <c r="AU114" s="742"/>
      <c r="AV114" s="742"/>
      <c r="AW114" s="742"/>
      <c r="AX114" s="742"/>
      <c r="AY114" s="742"/>
      <c r="AZ114" s="742"/>
      <c r="BA114" s="742"/>
      <c r="BB114" s="742"/>
      <c r="BC114" s="742"/>
      <c r="BD114" s="742"/>
      <c r="BE114" s="742"/>
      <c r="BF114" s="742"/>
      <c r="BG114" s="742"/>
    </row>
    <row r="115" spans="2:59" hidden="1">
      <c r="AL115" s="742"/>
      <c r="AM115" s="742"/>
      <c r="AN115" s="742"/>
      <c r="AO115" s="742"/>
      <c r="AP115" s="742"/>
      <c r="AQ115" s="742"/>
      <c r="AR115" s="742"/>
      <c r="AS115" s="742"/>
      <c r="AT115" s="742"/>
      <c r="AU115" s="742"/>
      <c r="AV115" s="742"/>
      <c r="AW115" s="742"/>
      <c r="AX115" s="742"/>
      <c r="AY115" s="742"/>
      <c r="AZ115" s="742"/>
      <c r="BA115" s="742"/>
      <c r="BB115" s="742"/>
      <c r="BC115" s="742"/>
      <c r="BD115" s="742"/>
      <c r="BE115" s="742"/>
      <c r="BF115" s="742"/>
      <c r="BG115" s="742"/>
    </row>
    <row r="116" spans="2:59" hidden="1">
      <c r="B116" s="517" t="s">
        <v>531</v>
      </c>
      <c r="H116" s="747">
        <v>11602.7</v>
      </c>
      <c r="I116" s="747">
        <v>9756</v>
      </c>
      <c r="J116" s="747">
        <f>I116</f>
        <v>9756</v>
      </c>
      <c r="K116" s="747">
        <f t="shared" ref="K116:V117" si="68">J116</f>
        <v>9756</v>
      </c>
      <c r="L116" s="747">
        <f t="shared" si="68"/>
        <v>9756</v>
      </c>
      <c r="M116" s="747">
        <f t="shared" si="68"/>
        <v>9756</v>
      </c>
      <c r="N116" s="747">
        <f t="shared" si="68"/>
        <v>9756</v>
      </c>
      <c r="O116" s="747">
        <f t="shared" si="68"/>
        <v>9756</v>
      </c>
      <c r="P116" s="747">
        <f t="shared" si="68"/>
        <v>9756</v>
      </c>
      <c r="Q116" s="747">
        <f t="shared" si="68"/>
        <v>9756</v>
      </c>
      <c r="R116" s="747">
        <f t="shared" si="68"/>
        <v>9756</v>
      </c>
      <c r="S116" s="747">
        <f t="shared" si="68"/>
        <v>9756</v>
      </c>
      <c r="T116" s="747">
        <f t="shared" si="68"/>
        <v>9756</v>
      </c>
      <c r="U116" s="747">
        <f t="shared" si="68"/>
        <v>9756</v>
      </c>
      <c r="V116" s="747">
        <f t="shared" si="68"/>
        <v>9756</v>
      </c>
      <c r="AL116" s="742"/>
      <c r="AM116" s="742"/>
      <c r="AN116" s="742"/>
      <c r="AO116" s="742"/>
      <c r="AP116" s="742"/>
      <c r="AQ116" s="742"/>
      <c r="AR116" s="742"/>
      <c r="AS116" s="742"/>
      <c r="AT116" s="742"/>
      <c r="AU116" s="742"/>
      <c r="AV116" s="742"/>
      <c r="AW116" s="742"/>
      <c r="AX116" s="742"/>
      <c r="AY116" s="742"/>
      <c r="AZ116" s="742"/>
      <c r="BA116" s="742"/>
      <c r="BB116" s="742"/>
      <c r="BC116" s="742"/>
      <c r="BD116" s="742"/>
      <c r="BE116" s="742"/>
      <c r="BF116" s="742"/>
      <c r="BG116" s="742"/>
    </row>
    <row r="117" spans="2:59" hidden="1">
      <c r="B117" s="517" t="s">
        <v>532</v>
      </c>
      <c r="H117" s="747">
        <f>10091996462.58/1000000</f>
        <v>10091.99646258</v>
      </c>
      <c r="I117" s="647">
        <f>H117</f>
        <v>10091.99646258</v>
      </c>
      <c r="J117" s="647">
        <f t="shared" ref="J117:O117" si="69">I117</f>
        <v>10091.99646258</v>
      </c>
      <c r="K117" s="647">
        <f t="shared" si="69"/>
        <v>10091.99646258</v>
      </c>
      <c r="L117" s="647">
        <f t="shared" si="69"/>
        <v>10091.99646258</v>
      </c>
      <c r="M117" s="647">
        <f t="shared" si="69"/>
        <v>10091.99646258</v>
      </c>
      <c r="N117" s="647">
        <f t="shared" si="69"/>
        <v>10091.99646258</v>
      </c>
      <c r="O117" s="647">
        <f t="shared" si="69"/>
        <v>10091.99646258</v>
      </c>
      <c r="P117" s="647">
        <f t="shared" si="68"/>
        <v>10091.99646258</v>
      </c>
      <c r="Q117" s="647">
        <f t="shared" si="68"/>
        <v>10091.99646258</v>
      </c>
      <c r="R117" s="647">
        <f t="shared" si="68"/>
        <v>10091.99646258</v>
      </c>
      <c r="S117" s="647">
        <f t="shared" si="68"/>
        <v>10091.99646258</v>
      </c>
      <c r="T117" s="647">
        <f t="shared" si="68"/>
        <v>10091.99646258</v>
      </c>
      <c r="U117" s="647">
        <f t="shared" si="68"/>
        <v>10091.99646258</v>
      </c>
      <c r="V117" s="647">
        <f t="shared" si="68"/>
        <v>10091.99646258</v>
      </c>
      <c r="AL117" s="742"/>
      <c r="AM117" s="742"/>
      <c r="AN117" s="742"/>
      <c r="AO117" s="742"/>
      <c r="AP117" s="742"/>
      <c r="AQ117" s="742"/>
      <c r="AR117" s="742"/>
      <c r="AS117" s="742"/>
      <c r="AT117" s="742"/>
      <c r="AU117" s="742"/>
      <c r="AV117" s="742"/>
      <c r="AW117" s="742"/>
      <c r="AX117" s="742"/>
      <c r="AY117" s="742"/>
      <c r="AZ117" s="742"/>
      <c r="BA117" s="742"/>
      <c r="BB117" s="742"/>
      <c r="BC117" s="742"/>
      <c r="BD117" s="742"/>
      <c r="BE117" s="742"/>
      <c r="BF117" s="742"/>
      <c r="BG117" s="742"/>
    </row>
    <row r="118" spans="2:59" hidden="1">
      <c r="B118" s="740" t="s">
        <v>533</v>
      </c>
      <c r="H118" s="748">
        <f>H116-H117</f>
        <v>1510.7035374200004</v>
      </c>
      <c r="I118" s="748">
        <f t="shared" ref="I118:V118" si="70">I116-I117</f>
        <v>-335.9964625800003</v>
      </c>
      <c r="J118" s="748">
        <f t="shared" si="70"/>
        <v>-335.9964625800003</v>
      </c>
      <c r="K118" s="748">
        <f t="shared" si="70"/>
        <v>-335.9964625800003</v>
      </c>
      <c r="L118" s="748">
        <f t="shared" si="70"/>
        <v>-335.9964625800003</v>
      </c>
      <c r="M118" s="748">
        <f t="shared" si="70"/>
        <v>-335.9964625800003</v>
      </c>
      <c r="N118" s="748">
        <f t="shared" si="70"/>
        <v>-335.9964625800003</v>
      </c>
      <c r="O118" s="748">
        <f t="shared" si="70"/>
        <v>-335.9964625800003</v>
      </c>
      <c r="P118" s="748">
        <f t="shared" si="70"/>
        <v>-335.9964625800003</v>
      </c>
      <c r="Q118" s="748">
        <f t="shared" si="70"/>
        <v>-335.9964625800003</v>
      </c>
      <c r="R118" s="748">
        <f t="shared" si="70"/>
        <v>-335.9964625800003</v>
      </c>
      <c r="S118" s="748">
        <f t="shared" si="70"/>
        <v>-335.9964625800003</v>
      </c>
      <c r="T118" s="748">
        <f t="shared" si="70"/>
        <v>-335.9964625800003</v>
      </c>
      <c r="U118" s="748">
        <f t="shared" si="70"/>
        <v>-335.9964625800003</v>
      </c>
      <c r="V118" s="748">
        <f t="shared" si="70"/>
        <v>-335.9964625800003</v>
      </c>
      <c r="AL118" s="742"/>
      <c r="AM118" s="742"/>
      <c r="AN118" s="742"/>
      <c r="AO118" s="742"/>
      <c r="AP118" s="742"/>
      <c r="AQ118" s="742"/>
      <c r="AR118" s="742"/>
      <c r="AS118" s="742"/>
      <c r="AT118" s="742"/>
      <c r="AU118" s="742"/>
      <c r="AV118" s="742"/>
      <c r="AW118" s="742"/>
      <c r="AX118" s="742"/>
      <c r="AY118" s="742"/>
      <c r="AZ118" s="742"/>
      <c r="BA118" s="742"/>
      <c r="BB118" s="742"/>
      <c r="BC118" s="742"/>
      <c r="BD118" s="742"/>
      <c r="BE118" s="742"/>
      <c r="BF118" s="742"/>
      <c r="BG118" s="742"/>
    </row>
    <row r="119" spans="2:59" hidden="1">
      <c r="B119" s="517" t="s">
        <v>534</v>
      </c>
      <c r="H119" s="742">
        <v>229.85900000000001</v>
      </c>
      <c r="I119" s="742">
        <v>32.859000000000002</v>
      </c>
      <c r="J119" s="742">
        <f>I119</f>
        <v>32.859000000000002</v>
      </c>
      <c r="K119" s="742">
        <f t="shared" ref="K119:V119" si="71">J119</f>
        <v>32.859000000000002</v>
      </c>
      <c r="L119" s="742">
        <f t="shared" si="71"/>
        <v>32.859000000000002</v>
      </c>
      <c r="M119" s="742">
        <f t="shared" si="71"/>
        <v>32.859000000000002</v>
      </c>
      <c r="N119" s="742">
        <f t="shared" si="71"/>
        <v>32.859000000000002</v>
      </c>
      <c r="O119" s="742">
        <f t="shared" si="71"/>
        <v>32.859000000000002</v>
      </c>
      <c r="P119" s="742">
        <f t="shared" si="71"/>
        <v>32.859000000000002</v>
      </c>
      <c r="Q119" s="742">
        <f t="shared" si="71"/>
        <v>32.859000000000002</v>
      </c>
      <c r="R119" s="742">
        <f t="shared" si="71"/>
        <v>32.859000000000002</v>
      </c>
      <c r="S119" s="742">
        <f t="shared" si="71"/>
        <v>32.859000000000002</v>
      </c>
      <c r="T119" s="742">
        <f t="shared" si="71"/>
        <v>32.859000000000002</v>
      </c>
      <c r="U119" s="742">
        <f t="shared" si="71"/>
        <v>32.859000000000002</v>
      </c>
      <c r="V119" s="742">
        <f t="shared" si="71"/>
        <v>32.859000000000002</v>
      </c>
      <c r="AL119" s="742"/>
      <c r="AM119" s="742"/>
      <c r="AN119" s="742"/>
      <c r="AO119" s="742"/>
      <c r="AP119" s="742"/>
      <c r="AQ119" s="742"/>
      <c r="AR119" s="742"/>
      <c r="AS119" s="742"/>
      <c r="AT119" s="742"/>
      <c r="AU119" s="742"/>
      <c r="AV119" s="742"/>
      <c r="AW119" s="742"/>
      <c r="AX119" s="742"/>
      <c r="AY119" s="742"/>
      <c r="AZ119" s="742"/>
      <c r="BA119" s="742"/>
      <c r="BB119" s="742"/>
      <c r="BC119" s="742"/>
      <c r="BD119" s="742"/>
      <c r="BE119" s="742"/>
      <c r="BF119" s="742"/>
      <c r="BG119" s="742"/>
    </row>
    <row r="120" spans="2:59" hidden="1">
      <c r="B120" s="740" t="s">
        <v>535</v>
      </c>
      <c r="H120" s="647">
        <f>H118-H119</f>
        <v>1280.8445374200005</v>
      </c>
      <c r="I120" s="647">
        <f t="shared" ref="I120:V120" si="72">I118-I119</f>
        <v>-368.85546258000028</v>
      </c>
      <c r="J120" s="647">
        <f t="shared" si="72"/>
        <v>-368.85546258000028</v>
      </c>
      <c r="K120" s="647">
        <f t="shared" si="72"/>
        <v>-368.85546258000028</v>
      </c>
      <c r="L120" s="647">
        <f t="shared" si="72"/>
        <v>-368.85546258000028</v>
      </c>
      <c r="M120" s="647">
        <f t="shared" si="72"/>
        <v>-368.85546258000028</v>
      </c>
      <c r="N120" s="647">
        <f t="shared" si="72"/>
        <v>-368.85546258000028</v>
      </c>
      <c r="O120" s="647">
        <f t="shared" si="72"/>
        <v>-368.85546258000028</v>
      </c>
      <c r="P120" s="647">
        <f t="shared" si="72"/>
        <v>-368.85546258000028</v>
      </c>
      <c r="Q120" s="647">
        <f t="shared" si="72"/>
        <v>-368.85546258000028</v>
      </c>
      <c r="R120" s="647">
        <f t="shared" si="72"/>
        <v>-368.85546258000028</v>
      </c>
      <c r="S120" s="647">
        <f t="shared" si="72"/>
        <v>-368.85546258000028</v>
      </c>
      <c r="T120" s="647">
        <f t="shared" si="72"/>
        <v>-368.85546258000028</v>
      </c>
      <c r="U120" s="647">
        <f t="shared" si="72"/>
        <v>-368.85546258000028</v>
      </c>
      <c r="V120" s="647">
        <f t="shared" si="72"/>
        <v>-368.85546258000028</v>
      </c>
      <c r="AL120" s="742"/>
      <c r="AM120" s="742"/>
      <c r="AN120" s="742"/>
      <c r="AO120" s="742"/>
      <c r="AP120" s="742"/>
      <c r="AQ120" s="742"/>
      <c r="AR120" s="742"/>
      <c r="AS120" s="742"/>
      <c r="AT120" s="742"/>
      <c r="AU120" s="742"/>
      <c r="AV120" s="742"/>
      <c r="AW120" s="742"/>
      <c r="AX120" s="742"/>
      <c r="AY120" s="742"/>
      <c r="AZ120" s="742"/>
      <c r="BA120" s="742"/>
      <c r="BB120" s="742"/>
      <c r="BC120" s="742"/>
      <c r="BD120" s="742"/>
      <c r="BE120" s="742"/>
      <c r="BF120" s="742"/>
      <c r="BG120" s="742"/>
    </row>
    <row r="121" spans="2:59" hidden="1">
      <c r="B121" s="517" t="s">
        <v>536</v>
      </c>
      <c r="H121" s="749">
        <f>H120*23.296%</f>
        <v>298.38554343736331</v>
      </c>
      <c r="I121" s="749">
        <f>I120*23.296%</f>
        <v>-85.928568562636869</v>
      </c>
      <c r="J121" s="749">
        <f t="shared" ref="J121:V121" si="73">J120*23.296%</f>
        <v>-85.928568562636869</v>
      </c>
      <c r="K121" s="749">
        <f t="shared" si="73"/>
        <v>-85.928568562636869</v>
      </c>
      <c r="L121" s="749">
        <f t="shared" si="73"/>
        <v>-85.928568562636869</v>
      </c>
      <c r="M121" s="749">
        <f t="shared" si="73"/>
        <v>-85.928568562636869</v>
      </c>
      <c r="N121" s="749">
        <f t="shared" si="73"/>
        <v>-85.928568562636869</v>
      </c>
      <c r="O121" s="749">
        <f t="shared" si="73"/>
        <v>-85.928568562636869</v>
      </c>
      <c r="P121" s="749">
        <f t="shared" si="73"/>
        <v>-85.928568562636869</v>
      </c>
      <c r="Q121" s="749">
        <f t="shared" si="73"/>
        <v>-85.928568562636869</v>
      </c>
      <c r="R121" s="749">
        <f t="shared" si="73"/>
        <v>-85.928568562636869</v>
      </c>
      <c r="S121" s="749">
        <f t="shared" si="73"/>
        <v>-85.928568562636869</v>
      </c>
      <c r="T121" s="749">
        <f t="shared" si="73"/>
        <v>-85.928568562636869</v>
      </c>
      <c r="U121" s="749">
        <f t="shared" si="73"/>
        <v>-85.928568562636869</v>
      </c>
      <c r="V121" s="749">
        <f t="shared" si="73"/>
        <v>-85.928568562636869</v>
      </c>
      <c r="AL121" s="742"/>
      <c r="AM121" s="742"/>
      <c r="AN121" s="742"/>
      <c r="AO121" s="742"/>
      <c r="AP121" s="742"/>
      <c r="AQ121" s="742"/>
      <c r="AR121" s="742"/>
      <c r="AS121" s="742"/>
      <c r="AT121" s="742"/>
      <c r="AU121" s="742"/>
      <c r="AV121" s="742"/>
      <c r="AW121" s="742"/>
      <c r="AX121" s="742"/>
      <c r="AY121" s="742"/>
      <c r="AZ121" s="742"/>
      <c r="BA121" s="742"/>
      <c r="BB121" s="742"/>
      <c r="BC121" s="742"/>
      <c r="BD121" s="742"/>
      <c r="BE121" s="742"/>
      <c r="BF121" s="742"/>
      <c r="BG121" s="742"/>
    </row>
    <row r="122" spans="2:59" hidden="1">
      <c r="AL122" s="742"/>
      <c r="AM122" s="742"/>
      <c r="AN122" s="742"/>
      <c r="AO122" s="742"/>
      <c r="AP122" s="742"/>
      <c r="AQ122" s="742"/>
      <c r="AR122" s="742"/>
      <c r="AS122" s="742"/>
      <c r="AT122" s="742"/>
      <c r="AU122" s="742"/>
      <c r="AV122" s="742"/>
      <c r="AW122" s="742"/>
      <c r="AX122" s="742"/>
      <c r="AY122" s="742"/>
      <c r="AZ122" s="742"/>
      <c r="BA122" s="742"/>
      <c r="BB122" s="742"/>
      <c r="BC122" s="742"/>
      <c r="BD122" s="742"/>
      <c r="BE122" s="742"/>
      <c r="BF122" s="742"/>
      <c r="BG122" s="742"/>
    </row>
    <row r="123" spans="2:59">
      <c r="AL123" s="742"/>
      <c r="AM123" s="742"/>
      <c r="AN123" s="742"/>
      <c r="AO123" s="742"/>
      <c r="AP123" s="742"/>
      <c r="AQ123" s="742"/>
      <c r="AR123" s="742"/>
      <c r="AS123" s="742"/>
      <c r="AT123" s="742"/>
      <c r="AU123" s="742"/>
      <c r="AV123" s="742"/>
      <c r="AW123" s="742"/>
      <c r="AX123" s="742"/>
      <c r="AY123" s="742"/>
      <c r="AZ123" s="742"/>
      <c r="BA123" s="742"/>
      <c r="BB123" s="742"/>
      <c r="BC123" s="742"/>
      <c r="BD123" s="742"/>
      <c r="BE123" s="742"/>
      <c r="BF123" s="742"/>
      <c r="BG123" s="742"/>
    </row>
    <row r="124" spans="2:59">
      <c r="AL124" s="742"/>
      <c r="AM124" s="742"/>
      <c r="AN124" s="742"/>
      <c r="AO124" s="742"/>
      <c r="AP124" s="742"/>
      <c r="AQ124" s="742"/>
      <c r="AR124" s="742"/>
      <c r="AS124" s="742"/>
      <c r="AT124" s="742"/>
      <c r="AU124" s="742"/>
      <c r="AV124" s="742"/>
      <c r="AW124" s="742"/>
      <c r="AX124" s="742"/>
      <c r="AY124" s="742"/>
      <c r="AZ124" s="742"/>
      <c r="BA124" s="742"/>
      <c r="BB124" s="742"/>
      <c r="BC124" s="742"/>
      <c r="BD124" s="742"/>
      <c r="BE124" s="742"/>
      <c r="BF124" s="742"/>
      <c r="BG124" s="742"/>
    </row>
    <row r="125" spans="2:59">
      <c r="AL125" s="742"/>
      <c r="AM125" s="742"/>
      <c r="AN125" s="742"/>
      <c r="AO125" s="742"/>
      <c r="AP125" s="742"/>
      <c r="AQ125" s="742"/>
      <c r="AR125" s="742"/>
      <c r="AS125" s="742"/>
      <c r="AT125" s="742"/>
      <c r="AU125" s="742"/>
      <c r="AV125" s="742"/>
      <c r="AW125" s="742"/>
      <c r="AX125" s="742"/>
      <c r="AY125" s="742"/>
      <c r="AZ125" s="742"/>
      <c r="BA125" s="742"/>
      <c r="BB125" s="742"/>
      <c r="BC125" s="742"/>
      <c r="BD125" s="742"/>
      <c r="BE125" s="742"/>
      <c r="BF125" s="742"/>
      <c r="BG125" s="742"/>
    </row>
    <row r="126" spans="2:59">
      <c r="AL126" s="742"/>
      <c r="AM126" s="742"/>
      <c r="AN126" s="742"/>
      <c r="AO126" s="742"/>
      <c r="AP126" s="742"/>
      <c r="AQ126" s="742"/>
      <c r="AR126" s="742"/>
      <c r="AS126" s="742"/>
      <c r="AT126" s="742"/>
      <c r="AU126" s="742"/>
      <c r="AV126" s="742"/>
      <c r="AW126" s="742"/>
      <c r="AX126" s="742"/>
      <c r="AY126" s="742"/>
      <c r="AZ126" s="742"/>
      <c r="BA126" s="742"/>
      <c r="BB126" s="742"/>
      <c r="BC126" s="742"/>
      <c r="BD126" s="742"/>
      <c r="BE126" s="742"/>
      <c r="BF126" s="742"/>
      <c r="BG126" s="742"/>
    </row>
    <row r="129" spans="32:59">
      <c r="AF129" s="541">
        <v>1</v>
      </c>
      <c r="AG129" s="549" t="s">
        <v>498</v>
      </c>
      <c r="AO129" s="1081">
        <v>166.51</v>
      </c>
      <c r="AP129" s="1081">
        <f>AO129</f>
        <v>166.51</v>
      </c>
      <c r="AQ129" s="1081">
        <f t="shared" ref="AQ129:BG129" si="74">AP129</f>
        <v>166.51</v>
      </c>
      <c r="AR129" s="1081">
        <f t="shared" si="74"/>
        <v>166.51</v>
      </c>
      <c r="AS129" s="1081">
        <f t="shared" si="74"/>
        <v>166.51</v>
      </c>
      <c r="AT129" s="1081">
        <f t="shared" si="74"/>
        <v>166.51</v>
      </c>
      <c r="AU129" s="1081">
        <f t="shared" si="74"/>
        <v>166.51</v>
      </c>
      <c r="AV129" s="1081">
        <f t="shared" si="74"/>
        <v>166.51</v>
      </c>
      <c r="AW129" s="1081">
        <f t="shared" si="74"/>
        <v>166.51</v>
      </c>
      <c r="AX129" s="1081">
        <f t="shared" si="74"/>
        <v>166.51</v>
      </c>
      <c r="AY129" s="1081">
        <f t="shared" si="74"/>
        <v>166.51</v>
      </c>
      <c r="AZ129" s="1081">
        <f t="shared" si="74"/>
        <v>166.51</v>
      </c>
      <c r="BA129" s="1081">
        <f t="shared" si="74"/>
        <v>166.51</v>
      </c>
      <c r="BB129" s="1081">
        <f t="shared" si="74"/>
        <v>166.51</v>
      </c>
      <c r="BC129" s="1081">
        <f t="shared" si="74"/>
        <v>166.51</v>
      </c>
      <c r="BD129" s="1081">
        <f t="shared" si="74"/>
        <v>166.51</v>
      </c>
      <c r="BE129" s="1081">
        <f t="shared" si="74"/>
        <v>166.51</v>
      </c>
      <c r="BF129" s="1081">
        <f t="shared" si="74"/>
        <v>166.51</v>
      </c>
      <c r="BG129" s="1081">
        <f t="shared" si="74"/>
        <v>166.51</v>
      </c>
    </row>
    <row r="130" spans="32:59">
      <c r="AF130" s="541">
        <v>2</v>
      </c>
      <c r="AG130" s="549" t="s">
        <v>500</v>
      </c>
      <c r="AO130" s="1081">
        <v>1935.2124810760001</v>
      </c>
      <c r="AP130" s="1081">
        <f>AO130+AP24+AP25</f>
        <v>2029.6674810760001</v>
      </c>
      <c r="AQ130" s="1081">
        <f t="shared" ref="AQ130:BG130" si="75">AP130+AQ24+AQ25</f>
        <v>2149.3374810760001</v>
      </c>
      <c r="AR130" s="1081">
        <f t="shared" si="75"/>
        <v>2240.1632810760002</v>
      </c>
      <c r="AS130" s="1081">
        <f t="shared" si="75"/>
        <v>2267.843281076</v>
      </c>
      <c r="AT130" s="1081">
        <f t="shared" si="75"/>
        <v>2292.8682810760001</v>
      </c>
      <c r="AU130" s="1081">
        <f t="shared" si="75"/>
        <v>2315.6782810760001</v>
      </c>
      <c r="AV130" s="1081">
        <f t="shared" si="75"/>
        <v>2341.3332810760003</v>
      </c>
      <c r="AW130" s="1081">
        <f t="shared" si="75"/>
        <v>2356.5182810760002</v>
      </c>
      <c r="AX130" s="1081">
        <f t="shared" si="75"/>
        <v>2378.9732810760001</v>
      </c>
      <c r="AY130" s="1081">
        <f t="shared" si="75"/>
        <v>2396.8032810760001</v>
      </c>
      <c r="AZ130" s="1081">
        <f t="shared" si="75"/>
        <v>2412.0682810759999</v>
      </c>
      <c r="BA130" s="1081">
        <f t="shared" si="75"/>
        <v>2432.9582810759998</v>
      </c>
      <c r="BB130" s="1081">
        <f t="shared" si="75"/>
        <v>2451.3732810759998</v>
      </c>
      <c r="BC130" s="1081">
        <f t="shared" si="75"/>
        <v>2464.1632810759997</v>
      </c>
      <c r="BD130" s="1081">
        <f t="shared" si="75"/>
        <v>2482.3682810759997</v>
      </c>
      <c r="BE130" s="1081">
        <f t="shared" si="75"/>
        <v>2502.9082810759996</v>
      </c>
      <c r="BF130" s="1081">
        <f t="shared" si="75"/>
        <v>2526.0032810759994</v>
      </c>
      <c r="BG130" s="1081">
        <f t="shared" si="75"/>
        <v>2542.1332810759995</v>
      </c>
    </row>
    <row r="131" spans="32:59">
      <c r="AF131" s="541">
        <v>3</v>
      </c>
      <c r="AG131" s="549" t="s">
        <v>502</v>
      </c>
      <c r="AO131" s="1081">
        <v>1.724865125</v>
      </c>
      <c r="AP131" s="1081">
        <f>AO131</f>
        <v>1.724865125</v>
      </c>
      <c r="AQ131" s="1081">
        <f t="shared" ref="AQ131:AZ131" si="76">AP131</f>
        <v>1.724865125</v>
      </c>
      <c r="AR131" s="1081">
        <f t="shared" si="76"/>
        <v>1.724865125</v>
      </c>
      <c r="AS131" s="1081">
        <f t="shared" si="76"/>
        <v>1.724865125</v>
      </c>
      <c r="AT131" s="1081">
        <f t="shared" si="76"/>
        <v>1.724865125</v>
      </c>
      <c r="AU131" s="1081">
        <f t="shared" si="76"/>
        <v>1.724865125</v>
      </c>
      <c r="AV131" s="1081">
        <f t="shared" si="76"/>
        <v>1.724865125</v>
      </c>
      <c r="AW131" s="1081">
        <f t="shared" si="76"/>
        <v>1.724865125</v>
      </c>
      <c r="AX131" s="1081">
        <f t="shared" si="76"/>
        <v>1.724865125</v>
      </c>
      <c r="AY131" s="1081">
        <f t="shared" si="76"/>
        <v>1.724865125</v>
      </c>
      <c r="AZ131" s="1081">
        <f t="shared" si="76"/>
        <v>1.724865125</v>
      </c>
      <c r="BA131" s="1081"/>
      <c r="BB131" s="1081"/>
      <c r="BC131" s="1081"/>
      <c r="BD131" s="1081"/>
      <c r="BE131" s="1081"/>
      <c r="BF131" s="1081"/>
      <c r="BG131" s="1081"/>
    </row>
    <row r="132" spans="32:59">
      <c r="AF132" s="541">
        <v>4</v>
      </c>
      <c r="AG132" s="549" t="s">
        <v>504</v>
      </c>
      <c r="AO132" s="1081">
        <v>8.2016778100000014</v>
      </c>
      <c r="AP132" s="1081">
        <f>AO132</f>
        <v>8.2016778100000014</v>
      </c>
      <c r="AQ132" s="1081">
        <f t="shared" ref="AQ132:AT132" si="77">AP132</f>
        <v>8.2016778100000014</v>
      </c>
      <c r="AR132" s="1081">
        <f t="shared" si="77"/>
        <v>8.2016778100000014</v>
      </c>
      <c r="AS132" s="1081">
        <f t="shared" si="77"/>
        <v>8.2016778100000014</v>
      </c>
      <c r="AT132" s="1081">
        <f t="shared" si="77"/>
        <v>8.2016778100000014</v>
      </c>
      <c r="AU132" s="1081"/>
      <c r="AV132" s="1081"/>
      <c r="AW132" s="1081"/>
      <c r="AX132" s="1081"/>
      <c r="AY132" s="1081"/>
      <c r="AZ132" s="1081"/>
      <c r="BA132" s="1081"/>
      <c r="BB132" s="1081"/>
      <c r="BC132" s="1081"/>
      <c r="BD132" s="1081"/>
      <c r="BE132" s="1081"/>
      <c r="BF132" s="1081"/>
      <c r="BG132" s="1081"/>
    </row>
    <row r="133" spans="32:59">
      <c r="AF133" s="541">
        <v>5</v>
      </c>
      <c r="AG133" s="549" t="s">
        <v>506</v>
      </c>
      <c r="AO133" s="1081">
        <v>14.302897796600002</v>
      </c>
      <c r="AP133" s="1081">
        <f>AO133</f>
        <v>14.302897796600002</v>
      </c>
      <c r="AQ133" s="1081">
        <f t="shared" ref="AQ133:AU133" si="78">AP133</f>
        <v>14.302897796600002</v>
      </c>
      <c r="AR133" s="1081">
        <f t="shared" si="78"/>
        <v>14.302897796600002</v>
      </c>
      <c r="AS133" s="1081">
        <f t="shared" si="78"/>
        <v>14.302897796600002</v>
      </c>
      <c r="AT133" s="1081">
        <f t="shared" si="78"/>
        <v>14.302897796600002</v>
      </c>
      <c r="AU133" s="1081">
        <f t="shared" si="78"/>
        <v>14.302897796600002</v>
      </c>
      <c r="AV133" s="1081"/>
      <c r="AW133" s="1081"/>
      <c r="AX133" s="1081"/>
      <c r="AY133" s="1081"/>
      <c r="AZ133" s="1081"/>
      <c r="BA133" s="1081"/>
      <c r="BB133" s="1081"/>
      <c r="BC133" s="1081"/>
      <c r="BD133" s="1081"/>
      <c r="BE133" s="1081"/>
      <c r="BF133" s="1081"/>
      <c r="BG133" s="1081"/>
    </row>
    <row r="134" spans="32:59">
      <c r="AF134" s="541">
        <v>6</v>
      </c>
      <c r="AG134" s="549" t="s">
        <v>507</v>
      </c>
      <c r="AO134" s="1081">
        <v>2.7025508940000003</v>
      </c>
      <c r="AP134" s="1081">
        <f>AO134</f>
        <v>2.7025508940000003</v>
      </c>
      <c r="AQ134" s="1081">
        <f t="shared" ref="AQ134:AY134" si="79">AP134</f>
        <v>2.7025508940000003</v>
      </c>
      <c r="AR134" s="1081">
        <f t="shared" si="79"/>
        <v>2.7025508940000003</v>
      </c>
      <c r="AS134" s="1081">
        <f t="shared" si="79"/>
        <v>2.7025508940000003</v>
      </c>
      <c r="AT134" s="1081">
        <f t="shared" si="79"/>
        <v>2.7025508940000003</v>
      </c>
      <c r="AU134" s="1081">
        <f t="shared" si="79"/>
        <v>2.7025508940000003</v>
      </c>
      <c r="AV134" s="1081">
        <f t="shared" si="79"/>
        <v>2.7025508940000003</v>
      </c>
      <c r="AW134" s="1081">
        <f t="shared" si="79"/>
        <v>2.7025508940000003</v>
      </c>
      <c r="AX134" s="1081">
        <f t="shared" si="79"/>
        <v>2.7025508940000003</v>
      </c>
      <c r="AY134" s="1081">
        <f t="shared" si="79"/>
        <v>2.7025508940000003</v>
      </c>
      <c r="AZ134" s="1081"/>
      <c r="BA134" s="1081"/>
      <c r="BB134" s="1081"/>
      <c r="BC134" s="1081"/>
      <c r="BD134" s="1081"/>
      <c r="BE134" s="1081"/>
      <c r="BF134" s="1081"/>
      <c r="BG134" s="1081"/>
    </row>
    <row r="135" spans="32:59">
      <c r="AF135" s="541">
        <v>7</v>
      </c>
      <c r="AG135" s="549" t="s">
        <v>509</v>
      </c>
      <c r="AO135" s="1081">
        <v>1160.2776762580002</v>
      </c>
      <c r="AP135" s="1081">
        <f>AO135</f>
        <v>1160.2776762580002</v>
      </c>
      <c r="AQ135" s="1081">
        <f t="shared" ref="AQ135:BG135" si="80">AP135</f>
        <v>1160.2776762580002</v>
      </c>
      <c r="AR135" s="1081">
        <f t="shared" si="80"/>
        <v>1160.2776762580002</v>
      </c>
      <c r="AS135" s="1081">
        <f t="shared" si="80"/>
        <v>1160.2776762580002</v>
      </c>
      <c r="AT135" s="1081">
        <f t="shared" si="80"/>
        <v>1160.2776762580002</v>
      </c>
      <c r="AU135" s="1081">
        <f t="shared" si="80"/>
        <v>1160.2776762580002</v>
      </c>
      <c r="AV135" s="1081">
        <f t="shared" si="80"/>
        <v>1160.2776762580002</v>
      </c>
      <c r="AW135" s="1081">
        <f t="shared" si="80"/>
        <v>1160.2776762580002</v>
      </c>
      <c r="AX135" s="1081">
        <f t="shared" si="80"/>
        <v>1160.2776762580002</v>
      </c>
      <c r="AY135" s="1081">
        <f t="shared" si="80"/>
        <v>1160.2776762580002</v>
      </c>
      <c r="AZ135" s="1081">
        <f t="shared" si="80"/>
        <v>1160.2776762580002</v>
      </c>
      <c r="BA135" s="1081">
        <f t="shared" si="80"/>
        <v>1160.2776762580002</v>
      </c>
      <c r="BB135" s="1081">
        <f t="shared" si="80"/>
        <v>1160.2776762580002</v>
      </c>
      <c r="BC135" s="1081">
        <f t="shared" si="80"/>
        <v>1160.2776762580002</v>
      </c>
      <c r="BD135" s="1081">
        <f t="shared" si="80"/>
        <v>1160.2776762580002</v>
      </c>
      <c r="BE135" s="1081">
        <f t="shared" si="80"/>
        <v>1160.2776762580002</v>
      </c>
      <c r="BF135" s="1081">
        <f t="shared" si="80"/>
        <v>1160.2776762580002</v>
      </c>
      <c r="BG135" s="1081">
        <f t="shared" si="80"/>
        <v>1160.2776762580002</v>
      </c>
    </row>
    <row r="136" spans="32:59">
      <c r="AF136" s="541">
        <v>8</v>
      </c>
      <c r="AG136" s="549" t="s">
        <v>510</v>
      </c>
      <c r="AO136" s="1081"/>
      <c r="AP136" s="1081"/>
      <c r="AQ136" s="1081"/>
      <c r="AR136" s="1081"/>
      <c r="AS136" s="1081"/>
      <c r="AT136" s="1081"/>
      <c r="AU136" s="1081"/>
      <c r="AV136" s="1081"/>
      <c r="AW136" s="1081"/>
      <c r="AX136" s="1081"/>
      <c r="AY136" s="1081"/>
      <c r="AZ136" s="1081"/>
      <c r="BA136" s="1081"/>
      <c r="BB136" s="1081"/>
      <c r="BC136" s="1081"/>
      <c r="BD136" s="1081"/>
      <c r="BE136" s="1081"/>
      <c r="BF136" s="1081"/>
      <c r="BG136" s="1081"/>
    </row>
    <row r="137" spans="32:59">
      <c r="AO137" s="1081">
        <f>SUM(AO129:AO136)</f>
        <v>3288.9321489596005</v>
      </c>
      <c r="AP137" s="1081">
        <f>SUM(AP129:AP136)</f>
        <v>3383.3871489596004</v>
      </c>
      <c r="AQ137" s="1081">
        <f t="shared" ref="AQ137:BG137" si="81">SUM(AQ129:AQ136)</f>
        <v>3503.0571489596005</v>
      </c>
      <c r="AR137" s="1081">
        <f t="shared" si="81"/>
        <v>3593.882948959601</v>
      </c>
      <c r="AS137" s="1081">
        <f t="shared" si="81"/>
        <v>3621.5629489596004</v>
      </c>
      <c r="AT137" s="1081">
        <f t="shared" si="81"/>
        <v>3646.5879489596009</v>
      </c>
      <c r="AU137" s="1081">
        <f t="shared" si="81"/>
        <v>3661.1962711496003</v>
      </c>
      <c r="AV137" s="1081">
        <f t="shared" si="81"/>
        <v>3672.5483733530009</v>
      </c>
      <c r="AW137" s="1081">
        <f t="shared" si="81"/>
        <v>3687.7333733530004</v>
      </c>
      <c r="AX137" s="1081">
        <f t="shared" si="81"/>
        <v>3710.1883733530003</v>
      </c>
      <c r="AY137" s="1081">
        <f t="shared" si="81"/>
        <v>3728.0183733530002</v>
      </c>
      <c r="AZ137" s="1081">
        <f t="shared" si="81"/>
        <v>3740.5808224590005</v>
      </c>
      <c r="BA137" s="1081">
        <f t="shared" si="81"/>
        <v>3759.7459573339997</v>
      </c>
      <c r="BB137" s="1081">
        <f t="shared" si="81"/>
        <v>3778.1609573339997</v>
      </c>
      <c r="BC137" s="1081">
        <f t="shared" si="81"/>
        <v>3790.9509573339997</v>
      </c>
      <c r="BD137" s="1081">
        <f t="shared" si="81"/>
        <v>3809.1559573339996</v>
      </c>
      <c r="BE137" s="1081">
        <f t="shared" si="81"/>
        <v>3829.6959573339996</v>
      </c>
      <c r="BF137" s="1081">
        <f t="shared" si="81"/>
        <v>3852.7909573339998</v>
      </c>
      <c r="BG137" s="1081">
        <f t="shared" si="81"/>
        <v>3868.9209573339999</v>
      </c>
    </row>
    <row r="203" spans="1:31" s="750" customFormat="1"/>
    <row r="204" spans="1:31" s="750" customFormat="1">
      <c r="C204" s="750" t="s">
        <v>537</v>
      </c>
      <c r="D204" s="751">
        <f ca="1">TODAY()</f>
        <v>44712</v>
      </c>
    </row>
    <row r="205" spans="1:31" s="753" customFormat="1">
      <c r="A205" s="750"/>
      <c r="B205" s="750"/>
      <c r="C205" s="750" t="s">
        <v>538</v>
      </c>
      <c r="D205" s="752">
        <v>51409</v>
      </c>
      <c r="E205" s="750"/>
      <c r="F205" s="750"/>
      <c r="G205" s="750">
        <f ca="1">IF(D205&lt;D204,0,1)</f>
        <v>1</v>
      </c>
      <c r="H205" s="750"/>
      <c r="I205" s="750"/>
      <c r="J205" s="750"/>
      <c r="K205" s="750"/>
      <c r="L205" s="750"/>
      <c r="M205" s="750"/>
      <c r="N205" s="750"/>
      <c r="O205" s="750"/>
      <c r="P205" s="750"/>
      <c r="Q205" s="750"/>
      <c r="R205" s="750"/>
      <c r="S205" s="750"/>
      <c r="T205" s="750"/>
      <c r="U205" s="750"/>
      <c r="V205" s="750"/>
      <c r="W205" s="750"/>
      <c r="X205" s="750"/>
      <c r="Y205" s="750"/>
      <c r="Z205" s="750"/>
      <c r="AA205" s="750"/>
      <c r="AB205" s="750"/>
      <c r="AC205" s="750"/>
      <c r="AD205" s="750"/>
      <c r="AE205" s="750"/>
    </row>
    <row r="206" spans="1:31">
      <c r="A206" s="750"/>
      <c r="B206" s="750"/>
      <c r="C206" s="750"/>
      <c r="D206" s="750"/>
      <c r="E206" s="750"/>
      <c r="F206" s="750"/>
      <c r="G206" s="750"/>
      <c r="H206" s="750"/>
      <c r="I206" s="750"/>
      <c r="J206" s="750"/>
      <c r="K206" s="750"/>
      <c r="L206" s="750"/>
      <c r="M206" s="750"/>
      <c r="N206" s="750"/>
      <c r="O206" s="750"/>
      <c r="P206" s="750"/>
      <c r="Q206" s="750"/>
      <c r="R206" s="750"/>
      <c r="S206" s="750"/>
      <c r="T206" s="750"/>
      <c r="U206" s="750"/>
      <c r="V206" s="750"/>
      <c r="W206" s="750"/>
      <c r="X206" s="750"/>
      <c r="Y206" s="750"/>
      <c r="Z206" s="750"/>
      <c r="AA206" s="750"/>
      <c r="AB206" s="750"/>
      <c r="AC206" s="750"/>
      <c r="AD206" s="750"/>
      <c r="AE206" s="750"/>
    </row>
    <row r="216" spans="1:31" s="753" customFormat="1">
      <c r="A216" s="517"/>
      <c r="B216" s="517"/>
      <c r="C216" s="517"/>
      <c r="D216" s="517"/>
      <c r="E216" s="517"/>
      <c r="F216" s="517"/>
      <c r="G216" s="517"/>
      <c r="H216" s="517"/>
      <c r="I216" s="517"/>
      <c r="J216" s="517"/>
      <c r="K216" s="517"/>
      <c r="L216" s="517"/>
      <c r="M216" s="517"/>
      <c r="N216" s="517"/>
      <c r="O216" s="517"/>
      <c r="P216" s="517"/>
      <c r="Q216" s="517"/>
      <c r="R216" s="517"/>
      <c r="S216" s="517"/>
      <c r="T216" s="517"/>
      <c r="U216" s="517"/>
      <c r="V216" s="517"/>
      <c r="W216" s="517"/>
      <c r="X216" s="517"/>
      <c r="Y216" s="517"/>
      <c r="Z216" s="517"/>
      <c r="AA216" s="517"/>
      <c r="AB216" s="517"/>
      <c r="AC216" s="517"/>
      <c r="AD216" s="517"/>
      <c r="AE216" s="517"/>
    </row>
    <row r="217" spans="1:31" s="753" customFormat="1">
      <c r="A217" s="517"/>
      <c r="B217" s="517"/>
      <c r="C217" s="517"/>
      <c r="D217" s="517"/>
      <c r="E217" s="517"/>
      <c r="F217" s="517"/>
      <c r="G217" s="517"/>
      <c r="H217" s="517"/>
      <c r="I217" s="517"/>
      <c r="J217" s="517"/>
      <c r="K217" s="517"/>
      <c r="L217" s="517"/>
      <c r="M217" s="517"/>
      <c r="N217" s="517"/>
      <c r="O217" s="517"/>
      <c r="P217" s="517"/>
      <c r="Q217" s="517"/>
      <c r="R217" s="517"/>
      <c r="S217" s="517"/>
      <c r="T217" s="517"/>
      <c r="U217" s="517"/>
      <c r="V217" s="517"/>
      <c r="W217" s="517"/>
      <c r="X217" s="517"/>
      <c r="Y217" s="517"/>
      <c r="Z217" s="517"/>
      <c r="AA217" s="517"/>
      <c r="AB217" s="517"/>
      <c r="AC217" s="517"/>
      <c r="AD217" s="517"/>
      <c r="AE217" s="517"/>
    </row>
    <row r="218" spans="1:31" s="750" customFormat="1">
      <c r="A218" s="753"/>
      <c r="B218" s="753"/>
      <c r="C218" s="753"/>
      <c r="D218" s="753"/>
      <c r="E218" s="753"/>
      <c r="F218" s="753"/>
      <c r="G218" s="753"/>
      <c r="H218" s="753"/>
      <c r="I218" s="753"/>
      <c r="J218" s="753"/>
      <c r="K218" s="753"/>
      <c r="L218" s="753"/>
      <c r="M218" s="753"/>
      <c r="N218" s="753"/>
      <c r="O218" s="753"/>
      <c r="P218" s="753"/>
      <c r="Q218" s="753"/>
      <c r="R218" s="753"/>
      <c r="S218" s="753"/>
      <c r="T218" s="753"/>
      <c r="U218" s="753"/>
      <c r="V218" s="753"/>
      <c r="W218" s="753"/>
      <c r="X218" s="753"/>
      <c r="Y218" s="753"/>
      <c r="Z218" s="753"/>
      <c r="AA218" s="753"/>
      <c r="AB218" s="753"/>
      <c r="AC218" s="753"/>
      <c r="AD218" s="753"/>
      <c r="AE218" s="753"/>
    </row>
    <row r="219" spans="1:31" s="750" customFormat="1">
      <c r="A219" s="753"/>
      <c r="B219" s="753"/>
      <c r="C219" s="753"/>
      <c r="D219" s="753"/>
      <c r="E219" s="753"/>
      <c r="F219" s="753"/>
      <c r="G219" s="753"/>
      <c r="H219" s="753"/>
      <c r="I219" s="753"/>
      <c r="J219" s="753"/>
      <c r="K219" s="753"/>
      <c r="L219" s="753"/>
      <c r="M219" s="753"/>
      <c r="N219" s="753"/>
      <c r="O219" s="753"/>
      <c r="P219" s="753"/>
      <c r="Q219" s="753"/>
      <c r="R219" s="753"/>
      <c r="S219" s="753"/>
      <c r="T219" s="753"/>
      <c r="U219" s="753"/>
      <c r="V219" s="753"/>
      <c r="W219" s="753"/>
      <c r="X219" s="753"/>
      <c r="Y219" s="753"/>
      <c r="Z219" s="753"/>
      <c r="AA219" s="753"/>
      <c r="AB219" s="753"/>
      <c r="AC219" s="753"/>
      <c r="AD219" s="753"/>
      <c r="AE219" s="753"/>
    </row>
    <row r="220" spans="1:31">
      <c r="A220" s="753"/>
      <c r="B220" s="753"/>
      <c r="C220" s="753"/>
      <c r="D220" s="753"/>
      <c r="E220" s="753"/>
      <c r="F220" s="753"/>
      <c r="G220" s="753"/>
      <c r="H220" s="753"/>
      <c r="I220" s="753"/>
      <c r="J220" s="753"/>
      <c r="K220" s="753"/>
      <c r="L220" s="753"/>
      <c r="M220" s="753"/>
      <c r="N220" s="753"/>
      <c r="O220" s="753"/>
      <c r="P220" s="753"/>
      <c r="Q220" s="753"/>
      <c r="R220" s="753"/>
      <c r="S220" s="753"/>
      <c r="T220" s="753"/>
      <c r="U220" s="753"/>
      <c r="V220" s="753"/>
      <c r="W220" s="753"/>
      <c r="X220" s="753"/>
      <c r="Y220" s="753"/>
      <c r="Z220" s="753"/>
      <c r="AA220" s="753"/>
      <c r="AB220" s="753"/>
      <c r="AC220" s="753"/>
      <c r="AD220" s="753"/>
      <c r="AE220" s="753"/>
    </row>
  </sheetData>
  <mergeCells count="2">
    <mergeCell ref="B6:B8"/>
    <mergeCell ref="AF6:AF8"/>
  </mergeCells>
  <pageMargins left="0.70866141732283472" right="0.70866141732283472" top="0.74803149606299213" bottom="0.74803149606299213" header="0.31496062992125984" footer="0.31496062992125984"/>
  <pageSetup paperSize="9" orientation="portrait" r:id="rId1"/>
  <headerFooter>
    <oddFooter xml:space="preserve">&amp;L&amp;"-,Bold"&amp;9Strictly private and confidential&amp;R&amp;"-,Bold"&amp;9Page &amp;P of &amp;N
&amp;A </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F80"/>
  <sheetViews>
    <sheetView showGridLines="0" zoomScaleNormal="100" workbookViewId="0">
      <pane xSplit="2" ySplit="5" topLeftCell="C50" activePane="bottomRight" state="frozen"/>
      <selection pane="topRight" activeCell="C1" sqref="C1"/>
      <selection pane="bottomLeft" activeCell="A6" sqref="A6"/>
      <selection pane="bottomRight" activeCell="E63" sqref="E63"/>
    </sheetView>
  </sheetViews>
  <sheetFormatPr defaultColWidth="0" defaultRowHeight="12.75" zeroHeight="1"/>
  <cols>
    <col min="1" max="1" width="9.140625" style="1" customWidth="1"/>
    <col min="2" max="2" width="49.7109375" style="1" customWidth="1"/>
    <col min="3" max="3" width="11.28515625" style="1" customWidth="1"/>
    <col min="4" max="24" width="6.7109375" style="3" bestFit="1" customWidth="1"/>
    <col min="25" max="29" width="9.140625" style="29" customWidth="1"/>
    <col min="30" max="32" width="0" style="1" hidden="1" customWidth="1"/>
    <col min="33" max="16384" width="9.140625" style="1" hidden="1"/>
  </cols>
  <sheetData>
    <row r="1" spans="2:29">
      <c r="B1" s="2" t="s">
        <v>35</v>
      </c>
    </row>
    <row r="2" spans="2:29" s="32" customFormat="1">
      <c r="B2" s="30" t="s">
        <v>335</v>
      </c>
      <c r="C2" s="31"/>
      <c r="D2" s="128"/>
      <c r="E2" s="128"/>
      <c r="F2" s="128"/>
      <c r="G2" s="128"/>
      <c r="H2" s="128"/>
      <c r="I2" s="128"/>
      <c r="J2" s="128"/>
      <c r="K2" s="128"/>
      <c r="L2" s="128"/>
      <c r="M2" s="128"/>
      <c r="N2" s="128"/>
      <c r="O2" s="128"/>
      <c r="P2" s="128"/>
      <c r="Q2" s="128"/>
      <c r="R2" s="128"/>
      <c r="S2" s="128"/>
      <c r="T2" s="128"/>
      <c r="U2" s="128"/>
      <c r="V2" s="128"/>
      <c r="W2" s="128"/>
      <c r="X2" s="128"/>
      <c r="Y2" s="33"/>
      <c r="Z2" s="33"/>
      <c r="AA2" s="33"/>
      <c r="AB2" s="33"/>
      <c r="AC2" s="33"/>
    </row>
    <row r="3" spans="2:29" s="32" customFormat="1">
      <c r="B3" s="30"/>
      <c r="C3" s="31"/>
      <c r="D3" s="128"/>
      <c r="E3" s="128"/>
      <c r="F3" s="128"/>
      <c r="G3" s="128"/>
      <c r="H3" s="128"/>
      <c r="I3" s="128"/>
      <c r="J3" s="128"/>
      <c r="K3" s="128"/>
      <c r="L3" s="128"/>
      <c r="M3" s="128"/>
      <c r="N3" s="128"/>
      <c r="O3" s="128"/>
      <c r="P3" s="128"/>
      <c r="Q3" s="128"/>
      <c r="R3" s="128"/>
      <c r="S3" s="128"/>
      <c r="T3" s="128"/>
      <c r="U3" s="128"/>
      <c r="V3" s="128"/>
      <c r="W3" s="128"/>
      <c r="X3" s="128"/>
      <c r="Y3" s="33"/>
      <c r="Z3" s="33"/>
      <c r="AA3" s="33"/>
      <c r="AB3" s="33"/>
      <c r="AC3" s="33"/>
    </row>
    <row r="4" spans="2:29" s="32" customFormat="1">
      <c r="B4" s="34" t="s">
        <v>90</v>
      </c>
      <c r="C4" s="35"/>
      <c r="D4" s="129"/>
      <c r="E4" s="129"/>
      <c r="F4" s="129"/>
      <c r="G4" s="129"/>
      <c r="H4" s="129"/>
      <c r="I4" s="129"/>
      <c r="J4" s="129"/>
      <c r="K4" s="129"/>
      <c r="L4" s="129"/>
      <c r="M4" s="129"/>
      <c r="N4" s="129"/>
      <c r="O4" s="129"/>
      <c r="P4" s="129"/>
      <c r="Q4" s="129"/>
      <c r="R4" s="129"/>
      <c r="S4" s="129"/>
      <c r="T4" s="129"/>
      <c r="U4" s="129"/>
      <c r="V4" s="129"/>
      <c r="W4" s="129"/>
      <c r="X4" s="129"/>
      <c r="Y4" s="33"/>
      <c r="Z4" s="33"/>
      <c r="AA4" s="33"/>
      <c r="AB4" s="33"/>
      <c r="AC4" s="33"/>
    </row>
    <row r="5" spans="2:29" s="32" customFormat="1">
      <c r="B5" s="36" t="s">
        <v>91</v>
      </c>
      <c r="C5" s="37">
        <f>EOMONTH(D5,-12)</f>
        <v>43555</v>
      </c>
      <c r="D5" s="130">
        <f>Assumptions!F9</f>
        <v>43921</v>
      </c>
      <c r="E5" s="130">
        <f>Assumptions!G9</f>
        <v>44286</v>
      </c>
      <c r="F5" s="130">
        <f>Assumptions!H9</f>
        <v>44651</v>
      </c>
      <c r="G5" s="130">
        <f>Assumptions!I9</f>
        <v>45016</v>
      </c>
      <c r="H5" s="130">
        <f>Assumptions!J9</f>
        <v>45382</v>
      </c>
      <c r="I5" s="130">
        <f>Assumptions!K9</f>
        <v>45747</v>
      </c>
      <c r="J5" s="130">
        <f>Assumptions!L9</f>
        <v>46112</v>
      </c>
      <c r="K5" s="130">
        <f>Assumptions!M9</f>
        <v>46477</v>
      </c>
      <c r="L5" s="130">
        <f>Assumptions!N9</f>
        <v>46843</v>
      </c>
      <c r="M5" s="130">
        <f>Assumptions!O9</f>
        <v>47208</v>
      </c>
      <c r="N5" s="130">
        <f>Assumptions!P9</f>
        <v>47573</v>
      </c>
      <c r="O5" s="130">
        <f>Assumptions!Q9</f>
        <v>47938</v>
      </c>
      <c r="P5" s="130">
        <f>Assumptions!R9</f>
        <v>48304</v>
      </c>
      <c r="Q5" s="130">
        <f>Assumptions!S9</f>
        <v>48669</v>
      </c>
      <c r="R5" s="130">
        <f>Assumptions!T9</f>
        <v>49034</v>
      </c>
      <c r="S5" s="130">
        <f>Assumptions!U9</f>
        <v>49399</v>
      </c>
      <c r="T5" s="130">
        <f>Assumptions!V9</f>
        <v>49765</v>
      </c>
      <c r="U5" s="130">
        <f>Assumptions!W9</f>
        <v>50130</v>
      </c>
      <c r="V5" s="130">
        <f>Assumptions!X9</f>
        <v>50495</v>
      </c>
      <c r="W5" s="130">
        <f>Assumptions!Y9</f>
        <v>50860</v>
      </c>
      <c r="X5" s="130">
        <f>Assumptions!Z9</f>
        <v>51226</v>
      </c>
      <c r="Y5" s="38"/>
      <c r="Z5" s="38"/>
      <c r="AA5" s="38"/>
      <c r="AB5" s="38"/>
      <c r="AC5" s="33"/>
    </row>
    <row r="6" spans="2:29" s="41" customFormat="1">
      <c r="B6" s="39"/>
      <c r="C6" s="40"/>
      <c r="D6" s="131">
        <f t="shared" ref="D6:U6" si="0">YEAR(D5)</f>
        <v>2020</v>
      </c>
      <c r="E6" s="131">
        <f t="shared" si="0"/>
        <v>2021</v>
      </c>
      <c r="F6" s="131">
        <f t="shared" si="0"/>
        <v>2022</v>
      </c>
      <c r="G6" s="131">
        <f t="shared" si="0"/>
        <v>2023</v>
      </c>
      <c r="H6" s="131">
        <f t="shared" si="0"/>
        <v>2024</v>
      </c>
      <c r="I6" s="131">
        <f t="shared" si="0"/>
        <v>2025</v>
      </c>
      <c r="J6" s="131">
        <f t="shared" si="0"/>
        <v>2026</v>
      </c>
      <c r="K6" s="131">
        <f t="shared" si="0"/>
        <v>2027</v>
      </c>
      <c r="L6" s="131">
        <f t="shared" si="0"/>
        <v>2028</v>
      </c>
      <c r="M6" s="131">
        <f t="shared" si="0"/>
        <v>2029</v>
      </c>
      <c r="N6" s="131">
        <f t="shared" si="0"/>
        <v>2030</v>
      </c>
      <c r="O6" s="131">
        <f t="shared" si="0"/>
        <v>2031</v>
      </c>
      <c r="P6" s="131">
        <f t="shared" si="0"/>
        <v>2032</v>
      </c>
      <c r="Q6" s="131">
        <f t="shared" si="0"/>
        <v>2033</v>
      </c>
      <c r="R6" s="131">
        <f t="shared" si="0"/>
        <v>2034</v>
      </c>
      <c r="S6" s="131">
        <f t="shared" si="0"/>
        <v>2035</v>
      </c>
      <c r="T6" s="131">
        <f t="shared" si="0"/>
        <v>2036</v>
      </c>
      <c r="U6" s="131">
        <f t="shared" si="0"/>
        <v>2037</v>
      </c>
      <c r="V6" s="131">
        <f>YEAR(V5)</f>
        <v>2038</v>
      </c>
      <c r="W6" s="131">
        <f>YEAR(W5)</f>
        <v>2039</v>
      </c>
      <c r="X6" s="131">
        <f>YEAR(X5)</f>
        <v>2040</v>
      </c>
      <c r="Y6" s="38"/>
      <c r="Z6" s="38"/>
      <c r="AA6" s="38"/>
      <c r="AB6" s="38"/>
      <c r="AC6" s="33"/>
    </row>
    <row r="7" spans="2:29" s="32" customFormat="1">
      <c r="B7" s="32" t="s">
        <v>92</v>
      </c>
      <c r="C7" s="117"/>
      <c r="D7" s="117">
        <v>-423.68</v>
      </c>
      <c r="E7" s="117">
        <f>-82.24-347.79</f>
        <v>-430.03000000000003</v>
      </c>
      <c r="F7" s="117">
        <f>Fin_Statements!K176-Fin_Statements!K177</f>
        <v>-528.11985733299957</v>
      </c>
      <c r="G7" s="117">
        <f>Fin_Statements!L176-Fin_Statements!L177</f>
        <v>-782.44448294829351</v>
      </c>
      <c r="H7" s="117">
        <f>Fin_Statements!M176-Fin_Statements!M177</f>
        <v>-873.66416968278099</v>
      </c>
      <c r="I7" s="117">
        <f>Fin_Statements!N176-Fin_Statements!N177</f>
        <v>-543.15677033448958</v>
      </c>
      <c r="J7" s="117">
        <f>Fin_Statements!O176-Fin_Statements!O177</f>
        <v>-298.41344530574315</v>
      </c>
      <c r="K7" s="117">
        <f>Fin_Statements!P176-Fin_Statements!P177</f>
        <v>-298.61483088115256</v>
      </c>
      <c r="L7" s="117">
        <f>Fin_Statements!Q176-Fin_Statements!Q177</f>
        <v>-304.6903737004252</v>
      </c>
      <c r="M7" s="117">
        <f>Fin_Statements!R176-Fin_Statements!R177</f>
        <v>-307.97112649114274</v>
      </c>
      <c r="N7" s="117">
        <f>Fin_Statements!S176-Fin_Statements!S177</f>
        <v>-314.91978299385505</v>
      </c>
      <c r="O7" s="117">
        <f>Fin_Statements!T176-Fin_Statements!T177</f>
        <v>-331.13460229464891</v>
      </c>
      <c r="P7" s="117">
        <f>Fin_Statements!U176-Fin_Statements!U177</f>
        <v>-350.02474705260676</v>
      </c>
      <c r="Q7" s="117">
        <f>Fin_Statements!V176-Fin_Statements!V177</f>
        <v>-362.79208615769045</v>
      </c>
      <c r="R7" s="117">
        <f>Fin_Statements!W176-Fin_Statements!W177</f>
        <v>-404.57005653025135</v>
      </c>
      <c r="S7" s="117">
        <f>Fin_Statements!X176-Fin_Statements!X177</f>
        <v>-447.12458842377418</v>
      </c>
      <c r="T7" s="117">
        <f>Fin_Statements!Y176-Fin_Statements!Y177</f>
        <v>-486.91709891434039</v>
      </c>
      <c r="U7" s="117">
        <f>Fin_Statements!Z176-Fin_Statements!Z177</f>
        <v>-541.87455860608316</v>
      </c>
      <c r="V7" s="117">
        <f>Fin_Statements!AA176-Fin_Statements!AA177</f>
        <v>-587.79063695309469</v>
      </c>
      <c r="W7" s="117">
        <f>Fin_Statements!AB176-Fin_Statements!AB177</f>
        <v>-643.6269319970088</v>
      </c>
      <c r="X7" s="117">
        <f>Fin_Statements!AC176-Fin_Statements!AC177</f>
        <v>-703.16429074755251</v>
      </c>
      <c r="Y7" s="42"/>
      <c r="Z7" s="42"/>
      <c r="AA7" s="42"/>
      <c r="AB7" s="42"/>
      <c r="AC7" s="33"/>
    </row>
    <row r="8" spans="2:29" s="32" customFormat="1">
      <c r="B8" s="32" t="s">
        <v>93</v>
      </c>
      <c r="C8" s="117"/>
      <c r="D8" s="117">
        <v>82.13</v>
      </c>
      <c r="E8" s="117">
        <f>'P&amp;L'!E90</f>
        <v>82.238299999999995</v>
      </c>
      <c r="F8" s="117">
        <f>'P&amp;L'!F90</f>
        <v>82.085099999999997</v>
      </c>
      <c r="G8" s="117">
        <f>'P&amp;L'!G90</f>
        <v>82.933301178000093</v>
      </c>
      <c r="H8" s="117">
        <f>'P&amp;L'!H90</f>
        <v>84.276973689999863</v>
      </c>
      <c r="I8" s="117">
        <f>'P&amp;L'!I90</f>
        <v>87.350333456000087</v>
      </c>
      <c r="J8" s="117">
        <f>'P&amp;L'!J90</f>
        <v>88.305537384000061</v>
      </c>
      <c r="K8" s="117">
        <f>'P&amp;L'!K90</f>
        <v>89.219408989000016</v>
      </c>
      <c r="L8" s="117">
        <f>'P&amp;L'!L90</f>
        <v>89.941341595000011</v>
      </c>
      <c r="M8" s="117">
        <f>'P&amp;L'!M90</f>
        <v>90.013246444999965</v>
      </c>
      <c r="N8" s="117">
        <f>'P&amp;L'!N90</f>
        <v>84.275668942999999</v>
      </c>
      <c r="O8" s="117">
        <f>'P&amp;L'!O90</f>
        <v>66.568704859999997</v>
      </c>
      <c r="P8" s="117">
        <f>'P&amp;L'!P90</f>
        <v>66.869487808000002</v>
      </c>
      <c r="Q8" s="117">
        <f>'P&amp;L'!Q90</f>
        <v>67.440682204999916</v>
      </c>
      <c r="R8" s="117">
        <f>'P&amp;L'!R90</f>
        <v>61.153804808000054</v>
      </c>
      <c r="S8" s="117">
        <f>'P&amp;L'!S90</f>
        <v>35.152293851999886</v>
      </c>
      <c r="T8" s="117">
        <f>'P&amp;L'!T90</f>
        <v>33.734887232000212</v>
      </c>
      <c r="U8" s="117">
        <f>'P&amp;L'!U90</f>
        <v>33.567127543999888</v>
      </c>
      <c r="V8" s="117">
        <f>'P&amp;L'!V90</f>
        <v>34.472994086999904</v>
      </c>
      <c r="W8" s="117">
        <f>'P&amp;L'!W90</f>
        <v>35.120107088000104</v>
      </c>
      <c r="X8" s="117">
        <f>'P&amp;L'!X90</f>
        <v>35.605998172999861</v>
      </c>
      <c r="Y8" s="42"/>
      <c r="Z8" s="42"/>
      <c r="AA8" s="42"/>
      <c r="AB8" s="42"/>
      <c r="AC8" s="33"/>
    </row>
    <row r="9" spans="2:29" s="32" customFormat="1">
      <c r="B9" s="32" t="s">
        <v>94</v>
      </c>
      <c r="C9" s="117"/>
      <c r="D9" s="116">
        <v>17.072231365999997</v>
      </c>
      <c r="E9" s="116">
        <f>'IT Dep'!K49/10^7</f>
        <v>20.989982559999998</v>
      </c>
      <c r="F9" s="116">
        <f>Dep!K44*0+14.23</f>
        <v>14.23</v>
      </c>
      <c r="G9" s="116">
        <f>Dep!L44</f>
        <v>41.172559999999997</v>
      </c>
      <c r="H9" s="116">
        <f>Dep!M44</f>
        <v>58.035025999999995</v>
      </c>
      <c r="I9" s="116">
        <f>Dep!N44</f>
        <v>58.916867099999997</v>
      </c>
      <c r="J9" s="116">
        <f>Dep!O44</f>
        <v>38.418335534999997</v>
      </c>
      <c r="K9" s="116">
        <f>Dep!P44</f>
        <v>36.473377854749998</v>
      </c>
      <c r="L9" s="116">
        <f>Dep!Q44</f>
        <v>34.481509561537493</v>
      </c>
      <c r="M9" s="116">
        <f>Dep!R44</f>
        <v>33.209407673806872</v>
      </c>
      <c r="N9" s="116">
        <f>Dep!S44</f>
        <v>30.552433614585844</v>
      </c>
      <c r="O9" s="116">
        <f>Dep!T44</f>
        <v>29.37983695506297</v>
      </c>
      <c r="P9" s="116">
        <f>Dep!U44</f>
        <v>27.685177956202033</v>
      </c>
      <c r="Q9" s="116">
        <f>Dep!V44</f>
        <v>25.85618615273037</v>
      </c>
      <c r="R9" s="116">
        <f>Dep!W44</f>
        <v>25.141889630783599</v>
      </c>
      <c r="S9" s="116">
        <f>Dep!X44</f>
        <v>24.160424447032568</v>
      </c>
      <c r="T9" s="116">
        <f>Dep!Y44</f>
        <v>22.479672214757539</v>
      </c>
      <c r="U9" s="116">
        <f>Dep!Z44</f>
        <v>21.860801673845781</v>
      </c>
      <c r="V9" s="116">
        <f>Dep!AA44</f>
        <v>21.682778684940594</v>
      </c>
      <c r="W9" s="116">
        <f>Dep!AB44</f>
        <v>21.912699418154023</v>
      </c>
      <c r="X9" s="116">
        <f>Dep!AC44</f>
        <v>21.061573287789987</v>
      </c>
      <c r="Y9" s="42"/>
      <c r="Z9" s="42"/>
      <c r="AA9" s="42"/>
      <c r="AB9" s="42"/>
      <c r="AC9" s="33"/>
    </row>
    <row r="10" spans="2:29" s="32" customFormat="1">
      <c r="C10" s="117"/>
      <c r="D10" s="117"/>
      <c r="E10" s="117"/>
      <c r="F10" s="117"/>
      <c r="G10" s="117"/>
      <c r="H10" s="117"/>
      <c r="I10" s="117"/>
      <c r="J10" s="117"/>
      <c r="K10" s="117"/>
      <c r="L10" s="117"/>
      <c r="M10" s="117"/>
      <c r="N10" s="117"/>
      <c r="O10" s="117"/>
      <c r="P10" s="117"/>
      <c r="Q10" s="117"/>
      <c r="R10" s="117"/>
      <c r="S10" s="117"/>
      <c r="T10" s="117"/>
      <c r="U10" s="117"/>
      <c r="V10" s="117"/>
      <c r="W10" s="117"/>
      <c r="X10" s="117"/>
      <c r="Y10" s="42"/>
      <c r="Z10" s="42"/>
      <c r="AA10" s="42"/>
      <c r="AB10" s="42"/>
      <c r="AC10" s="33"/>
    </row>
    <row r="11" spans="2:29" s="32" customFormat="1">
      <c r="B11" s="34" t="s">
        <v>95</v>
      </c>
      <c r="C11" s="118"/>
      <c r="D11" s="118"/>
      <c r="E11" s="118"/>
      <c r="F11" s="118"/>
      <c r="G11" s="118"/>
      <c r="H11" s="118"/>
      <c r="I11" s="118"/>
      <c r="J11" s="118"/>
      <c r="K11" s="118"/>
      <c r="L11" s="118"/>
      <c r="M11" s="118"/>
      <c r="N11" s="118"/>
      <c r="O11" s="118"/>
      <c r="P11" s="118"/>
      <c r="Q11" s="118"/>
      <c r="R11" s="118"/>
      <c r="S11" s="118"/>
      <c r="T11" s="118"/>
      <c r="U11" s="118"/>
      <c r="V11" s="118"/>
      <c r="W11" s="118"/>
      <c r="X11" s="118"/>
      <c r="Y11" s="42"/>
      <c r="Z11" s="42"/>
      <c r="AA11" s="42"/>
      <c r="AB11" s="42"/>
      <c r="AC11" s="33"/>
    </row>
    <row r="12" spans="2:29" s="32" customFormat="1">
      <c r="B12" s="39" t="s">
        <v>96</v>
      </c>
      <c r="C12" s="117"/>
      <c r="D12" s="117"/>
      <c r="E12" s="117"/>
      <c r="F12" s="117"/>
      <c r="G12" s="117"/>
      <c r="H12" s="117"/>
      <c r="I12" s="117"/>
      <c r="J12" s="117"/>
      <c r="K12" s="117"/>
      <c r="L12" s="117"/>
      <c r="M12" s="117"/>
      <c r="N12" s="117"/>
      <c r="O12" s="117"/>
      <c r="P12" s="117"/>
      <c r="Q12" s="117"/>
      <c r="R12" s="117"/>
      <c r="S12" s="117"/>
      <c r="T12" s="117"/>
      <c r="U12" s="117"/>
      <c r="V12" s="117"/>
      <c r="W12" s="117"/>
      <c r="X12" s="117"/>
      <c r="Y12" s="42"/>
      <c r="Z12" s="42"/>
      <c r="AA12" s="42"/>
      <c r="AB12" s="42"/>
      <c r="AC12" s="33"/>
    </row>
    <row r="13" spans="2:29" s="32" customFormat="1">
      <c r="B13" s="41" t="s">
        <v>266</v>
      </c>
      <c r="C13" s="117"/>
      <c r="D13" s="117">
        <f>-Fin_Statements!I181</f>
        <v>0</v>
      </c>
      <c r="E13" s="117">
        <f>-140.82</f>
        <v>-140.82</v>
      </c>
      <c r="F13" s="117">
        <f>-Fin_Statements!K181</f>
        <v>0</v>
      </c>
      <c r="G13" s="117">
        <f>-Fin_Statements!L181</f>
        <v>0</v>
      </c>
      <c r="H13" s="117">
        <f>-Fin_Statements!M181</f>
        <v>0</v>
      </c>
      <c r="I13" s="117">
        <f>-Fin_Statements!N181</f>
        <v>0</v>
      </c>
      <c r="J13" s="117">
        <f>-Fin_Statements!O181</f>
        <v>0</v>
      </c>
      <c r="K13" s="117">
        <f>-Fin_Statements!P181</f>
        <v>0</v>
      </c>
      <c r="L13" s="117">
        <f>-Fin_Statements!Q181</f>
        <v>0</v>
      </c>
      <c r="M13" s="117">
        <f>-Fin_Statements!R181</f>
        <v>0</v>
      </c>
      <c r="N13" s="117">
        <f>-Fin_Statements!S181</f>
        <v>0</v>
      </c>
      <c r="O13" s="117">
        <f>-Fin_Statements!T181</f>
        <v>0</v>
      </c>
      <c r="P13" s="117">
        <f>-Fin_Statements!U181</f>
        <v>0</v>
      </c>
      <c r="Q13" s="117">
        <f>-Fin_Statements!V181</f>
        <v>0</v>
      </c>
      <c r="R13" s="117">
        <f>-Fin_Statements!W181</f>
        <v>0</v>
      </c>
      <c r="S13" s="117">
        <f>-Fin_Statements!X181</f>
        <v>0</v>
      </c>
      <c r="T13" s="117">
        <f>-Fin_Statements!Y181</f>
        <v>0</v>
      </c>
      <c r="U13" s="117">
        <f>-Fin_Statements!Z181</f>
        <v>0</v>
      </c>
      <c r="V13" s="117">
        <f>-Fin_Statements!AA181</f>
        <v>0</v>
      </c>
      <c r="W13" s="117">
        <f>-Fin_Statements!AB181</f>
        <v>0</v>
      </c>
      <c r="X13" s="117">
        <f>-Fin_Statements!AC181</f>
        <v>0</v>
      </c>
      <c r="Y13" s="42"/>
      <c r="Z13" s="42"/>
      <c r="AA13" s="42"/>
      <c r="AB13" s="42"/>
      <c r="AC13" s="33"/>
    </row>
    <row r="14" spans="2:29" s="32" customFormat="1">
      <c r="B14" s="32" t="s">
        <v>260</v>
      </c>
      <c r="C14" s="117"/>
      <c r="D14" s="117">
        <f>D7+D13</f>
        <v>-423.68</v>
      </c>
      <c r="E14" s="117">
        <f t="shared" ref="E14:U14" si="1">E7+E13</f>
        <v>-570.85</v>
      </c>
      <c r="F14" s="117">
        <f t="shared" si="1"/>
        <v>-528.11985733299957</v>
      </c>
      <c r="G14" s="117">
        <f t="shared" si="1"/>
        <v>-782.44448294829351</v>
      </c>
      <c r="H14" s="117">
        <f t="shared" si="1"/>
        <v>-873.66416968278099</v>
      </c>
      <c r="I14" s="117">
        <f t="shared" si="1"/>
        <v>-543.15677033448958</v>
      </c>
      <c r="J14" s="117">
        <f t="shared" si="1"/>
        <v>-298.41344530574315</v>
      </c>
      <c r="K14" s="117">
        <f t="shared" si="1"/>
        <v>-298.61483088115256</v>
      </c>
      <c r="L14" s="117">
        <f t="shared" si="1"/>
        <v>-304.6903737004252</v>
      </c>
      <c r="M14" s="117">
        <f t="shared" si="1"/>
        <v>-307.97112649114274</v>
      </c>
      <c r="N14" s="117">
        <f t="shared" si="1"/>
        <v>-314.91978299385505</v>
      </c>
      <c r="O14" s="117">
        <f t="shared" si="1"/>
        <v>-331.13460229464891</v>
      </c>
      <c r="P14" s="117">
        <f t="shared" si="1"/>
        <v>-350.02474705260676</v>
      </c>
      <c r="Q14" s="117">
        <f t="shared" si="1"/>
        <v>-362.79208615769045</v>
      </c>
      <c r="R14" s="117">
        <f t="shared" si="1"/>
        <v>-404.57005653025135</v>
      </c>
      <c r="S14" s="117">
        <f t="shared" si="1"/>
        <v>-447.12458842377418</v>
      </c>
      <c r="T14" s="117">
        <f t="shared" si="1"/>
        <v>-486.91709891434039</v>
      </c>
      <c r="U14" s="117">
        <f t="shared" si="1"/>
        <v>-541.87455860608316</v>
      </c>
      <c r="V14" s="117">
        <f>V7+V13</f>
        <v>-587.79063695309469</v>
      </c>
      <c r="W14" s="117">
        <f>W7+W13</f>
        <v>-643.6269319970088</v>
      </c>
      <c r="X14" s="117">
        <f>X7+X13</f>
        <v>-703.16429074755251</v>
      </c>
      <c r="Y14" s="42"/>
      <c r="Z14" s="42"/>
      <c r="AA14" s="42"/>
      <c r="AB14" s="42"/>
      <c r="AC14" s="33"/>
    </row>
    <row r="15" spans="2:29" s="32" customFormat="1">
      <c r="B15" s="32" t="s">
        <v>194</v>
      </c>
      <c r="C15" s="116">
        <f>-677*0-540.04</f>
        <v>-540.04</v>
      </c>
      <c r="D15" s="117">
        <f>IF(D14&lt;0,D14,0)+C15</f>
        <v>-963.72</v>
      </c>
      <c r="E15" s="117">
        <f t="shared" ref="E15:U15" si="2">IF(E14&lt;0,E14,0)</f>
        <v>-570.85</v>
      </c>
      <c r="F15" s="117">
        <f t="shared" si="2"/>
        <v>-528.11985733299957</v>
      </c>
      <c r="G15" s="117">
        <f t="shared" si="2"/>
        <v>-782.44448294829351</v>
      </c>
      <c r="H15" s="117">
        <f t="shared" si="2"/>
        <v>-873.66416968278099</v>
      </c>
      <c r="I15" s="117">
        <f t="shared" si="2"/>
        <v>-543.15677033448958</v>
      </c>
      <c r="J15" s="117">
        <f t="shared" si="2"/>
        <v>-298.41344530574315</v>
      </c>
      <c r="K15" s="117">
        <f t="shared" si="2"/>
        <v>-298.61483088115256</v>
      </c>
      <c r="L15" s="117">
        <f t="shared" si="2"/>
        <v>-304.6903737004252</v>
      </c>
      <c r="M15" s="117">
        <f t="shared" si="2"/>
        <v>-307.97112649114274</v>
      </c>
      <c r="N15" s="117">
        <f t="shared" si="2"/>
        <v>-314.91978299385505</v>
      </c>
      <c r="O15" s="117">
        <f t="shared" si="2"/>
        <v>-331.13460229464891</v>
      </c>
      <c r="P15" s="117">
        <f t="shared" si="2"/>
        <v>-350.02474705260676</v>
      </c>
      <c r="Q15" s="117">
        <f t="shared" si="2"/>
        <v>-362.79208615769045</v>
      </c>
      <c r="R15" s="117">
        <f t="shared" si="2"/>
        <v>-404.57005653025135</v>
      </c>
      <c r="S15" s="117">
        <f t="shared" si="2"/>
        <v>-447.12458842377418</v>
      </c>
      <c r="T15" s="117">
        <f t="shared" si="2"/>
        <v>-486.91709891434039</v>
      </c>
      <c r="U15" s="117">
        <f t="shared" si="2"/>
        <v>-541.87455860608316</v>
      </c>
      <c r="V15" s="117">
        <f>IF(V14&lt;0,V14,0)</f>
        <v>-587.79063695309469</v>
      </c>
      <c r="W15" s="117">
        <f>IF(W14&lt;0,W14,0)</f>
        <v>-643.6269319970088</v>
      </c>
      <c r="X15" s="117">
        <f>IF(X14&lt;0,X14,0)</f>
        <v>-703.16429074755251</v>
      </c>
      <c r="Y15" s="42"/>
      <c r="Z15" s="42"/>
      <c r="AA15" s="42"/>
      <c r="AB15" s="42"/>
      <c r="AC15" s="33"/>
    </row>
    <row r="16" spans="2:29" s="32" customFormat="1">
      <c r="B16" s="32" t="s">
        <v>195</v>
      </c>
      <c r="C16" s="117"/>
      <c r="D16" s="117">
        <f t="shared" ref="D16:U16" si="3">SUMIF($D$6:$T$6,D6-9,$D$15:$T$15)</f>
        <v>0</v>
      </c>
      <c r="E16" s="117">
        <f t="shared" si="3"/>
        <v>0</v>
      </c>
      <c r="F16" s="117">
        <f t="shared" si="3"/>
        <v>0</v>
      </c>
      <c r="G16" s="117">
        <f t="shared" si="3"/>
        <v>0</v>
      </c>
      <c r="H16" s="117">
        <f>SUMIF($D$6:$T$6,H6-9,$D$15:$T$15)</f>
        <v>0</v>
      </c>
      <c r="I16" s="117">
        <f>SUMIF($D$6:$T$6,I6-9,$D$15:$T$15)</f>
        <v>0</v>
      </c>
      <c r="J16" s="117">
        <f>SUMIF($D$6:$T$6,J6-9,$D$15:$T$15)</f>
        <v>0</v>
      </c>
      <c r="K16" s="117">
        <f t="shared" si="3"/>
        <v>0</v>
      </c>
      <c r="L16" s="117">
        <f>SUMIF($D$6:$T$6,L6-9,$D$15:$T$15)</f>
        <v>0</v>
      </c>
      <c r="M16" s="117">
        <f>SUMIF($D$6:$T$6,M6-9,$D$15:$T$15)*0</f>
        <v>0</v>
      </c>
      <c r="N16" s="117">
        <f t="shared" si="3"/>
        <v>-570.85</v>
      </c>
      <c r="O16" s="117">
        <f t="shared" si="3"/>
        <v>-528.11985733299957</v>
      </c>
      <c r="P16" s="117">
        <f t="shared" si="3"/>
        <v>-782.44448294829351</v>
      </c>
      <c r="Q16" s="117">
        <f t="shared" si="3"/>
        <v>-873.66416968278099</v>
      </c>
      <c r="R16" s="117">
        <f t="shared" si="3"/>
        <v>-543.15677033448958</v>
      </c>
      <c r="S16" s="117">
        <f t="shared" si="3"/>
        <v>-298.41344530574315</v>
      </c>
      <c r="T16" s="117">
        <f t="shared" si="3"/>
        <v>-298.61483088115256</v>
      </c>
      <c r="U16" s="117">
        <f t="shared" si="3"/>
        <v>-304.6903737004252</v>
      </c>
      <c r="V16" s="117">
        <f>SUMIF($D$6:$T$6,V6-9,$D$15:$T$15)</f>
        <v>-307.97112649114274</v>
      </c>
      <c r="W16" s="117">
        <f>SUMIF($D$6:$T$6,W6-9,$D$15:$T$15)</f>
        <v>-314.91978299385505</v>
      </c>
      <c r="X16" s="117">
        <f>SUMIF($D$6:$T$6,X6-9,$D$15:$T$15)</f>
        <v>-331.13460229464891</v>
      </c>
      <c r="Y16" s="42"/>
      <c r="Z16" s="42"/>
      <c r="AA16" s="42"/>
      <c r="AB16" s="42"/>
      <c r="AC16" s="33"/>
    </row>
    <row r="17" spans="2:29" s="32" customFormat="1">
      <c r="B17" s="32" t="s">
        <v>97</v>
      </c>
      <c r="C17" s="123"/>
      <c r="D17" s="117">
        <f>SUM($D$15:D15)-SUM($D$16:D16)</f>
        <v>-963.72</v>
      </c>
      <c r="E17" s="117">
        <f>SUM($D$15:E15)-SUM($D$16:E16)</f>
        <v>-1534.5700000000002</v>
      </c>
      <c r="F17" s="117">
        <f>SUM($D$15:F15)-SUM($D$16:F16)</f>
        <v>-2062.689857333</v>
      </c>
      <c r="G17" s="117">
        <f>SUM($D$15:G15)-SUM($D$16:G16)</f>
        <v>-2845.1343402812936</v>
      </c>
      <c r="H17" s="117">
        <f>SUM($D$15:H15)-SUM($D$16:H16)</f>
        <v>-3718.7985099640746</v>
      </c>
      <c r="I17" s="117">
        <f>SUM($D$15:I15)-SUM($D$16:I16)</f>
        <v>-4261.9552802985645</v>
      </c>
      <c r="J17" s="117">
        <f>SUM($D$15:J15)-SUM($D$16:J16)</f>
        <v>-4560.3687256043077</v>
      </c>
      <c r="K17" s="117">
        <f>SUM($D$15:K15)-SUM($D$16:K16)</f>
        <v>-4858.9835564854602</v>
      </c>
      <c r="L17" s="117">
        <f>SUM($D$15:L15)-SUM($D$16:L16)</f>
        <v>-5163.6739301858852</v>
      </c>
      <c r="M17" s="117">
        <f>SUM($D$15:M15)-SUM($D$16:M16)</f>
        <v>-5471.6450566770282</v>
      </c>
      <c r="N17" s="117">
        <f>SUM($D$15:N15)-SUM($D$16:N16)</f>
        <v>-5215.7148396708826</v>
      </c>
      <c r="O17" s="117">
        <f>SUM($D$15:O15)-SUM($D$16:O16)</f>
        <v>-5018.7295846325324</v>
      </c>
      <c r="P17" s="117">
        <f>SUM($D$15:P15)-SUM($D$16:P16)</f>
        <v>-4586.3098487368452</v>
      </c>
      <c r="Q17" s="117">
        <f>SUM($D$15:Q15)-SUM($D$16:Q16)</f>
        <v>-4075.4377652117546</v>
      </c>
      <c r="R17" s="117">
        <f>SUM($D$15:R15)-SUM($D$16:R16)</f>
        <v>-3936.8510514075165</v>
      </c>
      <c r="S17" s="117">
        <f>SUM($D$15:S15)-SUM($D$16:S16)</f>
        <v>-4085.5621945255475</v>
      </c>
      <c r="T17" s="117">
        <f>SUM($D$15:T15)-SUM($D$16:T16)</f>
        <v>-4273.8644625587349</v>
      </c>
      <c r="U17" s="117">
        <f>SUM($D$15:U15)-SUM($D$16:U16)</f>
        <v>-4511.0486474643922</v>
      </c>
      <c r="V17" s="117">
        <f>SUM($D$15:V15)-SUM($D$16:V16)</f>
        <v>-4790.868157926343</v>
      </c>
      <c r="W17" s="117">
        <f>SUM($D$15:W15)-SUM($D$16:W16)</f>
        <v>-5119.5753069294969</v>
      </c>
      <c r="X17" s="117">
        <f>SUM($D$15:X15)-SUM($D$16:X16)</f>
        <v>-5491.6049953824004</v>
      </c>
      <c r="Y17" s="42"/>
      <c r="Z17" s="42"/>
      <c r="AA17" s="42"/>
      <c r="AB17" s="42"/>
      <c r="AC17" s="33"/>
    </row>
    <row r="18" spans="2:29" s="32" customFormat="1">
      <c r="C18" s="117"/>
      <c r="D18" s="117"/>
      <c r="E18" s="117"/>
      <c r="F18" s="117"/>
      <c r="G18" s="117"/>
      <c r="H18" s="117"/>
      <c r="I18" s="117"/>
      <c r="J18" s="117"/>
      <c r="K18" s="117"/>
      <c r="L18" s="117"/>
      <c r="M18" s="117"/>
      <c r="N18" s="117"/>
      <c r="O18" s="117"/>
      <c r="P18" s="117"/>
      <c r="Q18" s="117"/>
      <c r="R18" s="117"/>
      <c r="S18" s="117"/>
      <c r="T18" s="117"/>
      <c r="U18" s="117"/>
      <c r="V18" s="117"/>
      <c r="W18" s="117"/>
      <c r="X18" s="117"/>
      <c r="Y18" s="42"/>
      <c r="Z18" s="42"/>
      <c r="AA18" s="42"/>
      <c r="AB18" s="42"/>
      <c r="AC18" s="33"/>
    </row>
    <row r="19" spans="2:29" s="32" customFormat="1">
      <c r="B19" s="39" t="s">
        <v>98</v>
      </c>
      <c r="C19" s="117"/>
      <c r="D19" s="117"/>
      <c r="E19" s="117"/>
      <c r="F19" s="117"/>
      <c r="G19" s="117"/>
      <c r="H19" s="117"/>
      <c r="I19" s="117"/>
      <c r="J19" s="117"/>
      <c r="K19" s="117"/>
      <c r="L19" s="117"/>
      <c r="M19" s="117"/>
      <c r="N19" s="117"/>
      <c r="O19" s="117"/>
      <c r="P19" s="117"/>
      <c r="Q19" s="117"/>
      <c r="R19" s="117"/>
      <c r="S19" s="117"/>
      <c r="T19" s="117"/>
      <c r="U19" s="117"/>
      <c r="V19" s="117"/>
      <c r="W19" s="117"/>
      <c r="X19" s="117"/>
      <c r="Y19" s="42"/>
      <c r="Z19" s="42"/>
      <c r="AA19" s="42"/>
      <c r="AB19" s="42"/>
      <c r="AC19" s="33"/>
    </row>
    <row r="20" spans="2:29" s="32" customFormat="1">
      <c r="B20" s="32" t="s">
        <v>260</v>
      </c>
      <c r="C20" s="117"/>
      <c r="D20" s="117">
        <f>D14</f>
        <v>-423.68</v>
      </c>
      <c r="E20" s="117">
        <f t="shared" ref="E20:U20" si="4">E14</f>
        <v>-570.85</v>
      </c>
      <c r="F20" s="117">
        <f t="shared" si="4"/>
        <v>-528.11985733299957</v>
      </c>
      <c r="G20" s="117">
        <f t="shared" si="4"/>
        <v>-782.44448294829351</v>
      </c>
      <c r="H20" s="117">
        <f t="shared" si="4"/>
        <v>-873.66416968278099</v>
      </c>
      <c r="I20" s="117">
        <f t="shared" si="4"/>
        <v>-543.15677033448958</v>
      </c>
      <c r="J20" s="117">
        <f t="shared" si="4"/>
        <v>-298.41344530574315</v>
      </c>
      <c r="K20" s="117">
        <f t="shared" si="4"/>
        <v>-298.61483088115256</v>
      </c>
      <c r="L20" s="117">
        <f t="shared" si="4"/>
        <v>-304.6903737004252</v>
      </c>
      <c r="M20" s="117">
        <f t="shared" si="4"/>
        <v>-307.97112649114274</v>
      </c>
      <c r="N20" s="117">
        <f t="shared" si="4"/>
        <v>-314.91978299385505</v>
      </c>
      <c r="O20" s="117">
        <f t="shared" si="4"/>
        <v>-331.13460229464891</v>
      </c>
      <c r="P20" s="117">
        <f t="shared" si="4"/>
        <v>-350.02474705260676</v>
      </c>
      <c r="Q20" s="117">
        <f t="shared" si="4"/>
        <v>-362.79208615769045</v>
      </c>
      <c r="R20" s="117">
        <f t="shared" si="4"/>
        <v>-404.57005653025135</v>
      </c>
      <c r="S20" s="117">
        <f t="shared" si="4"/>
        <v>-447.12458842377418</v>
      </c>
      <c r="T20" s="117">
        <f t="shared" si="4"/>
        <v>-486.91709891434039</v>
      </c>
      <c r="U20" s="117">
        <f t="shared" si="4"/>
        <v>-541.87455860608316</v>
      </c>
      <c r="V20" s="117">
        <f>V14</f>
        <v>-587.79063695309469</v>
      </c>
      <c r="W20" s="117">
        <f>W14</f>
        <v>-643.6269319970088</v>
      </c>
      <c r="X20" s="117">
        <f>X14</f>
        <v>-703.16429074755251</v>
      </c>
      <c r="Y20" s="42"/>
      <c r="Z20" s="42"/>
      <c r="AA20" s="42"/>
      <c r="AB20" s="42"/>
      <c r="AC20" s="33"/>
    </row>
    <row r="21" spans="2:29" s="32" customFormat="1">
      <c r="B21" s="32" t="s">
        <v>93</v>
      </c>
      <c r="C21" s="117"/>
      <c r="D21" s="117">
        <f t="shared" ref="D21:U21" si="5">-D8</f>
        <v>-82.13</v>
      </c>
      <c r="E21" s="117">
        <f t="shared" si="5"/>
        <v>-82.238299999999995</v>
      </c>
      <c r="F21" s="117">
        <f t="shared" si="5"/>
        <v>-82.085099999999997</v>
      </c>
      <c r="G21" s="117">
        <f t="shared" si="5"/>
        <v>-82.933301178000093</v>
      </c>
      <c r="H21" s="117">
        <f t="shared" si="5"/>
        <v>-84.276973689999863</v>
      </c>
      <c r="I21" s="117">
        <f t="shared" si="5"/>
        <v>-87.350333456000087</v>
      </c>
      <c r="J21" s="117">
        <f t="shared" si="5"/>
        <v>-88.305537384000061</v>
      </c>
      <c r="K21" s="117">
        <f t="shared" si="5"/>
        <v>-89.219408989000016</v>
      </c>
      <c r="L21" s="117">
        <f t="shared" si="5"/>
        <v>-89.941341595000011</v>
      </c>
      <c r="M21" s="117">
        <f t="shared" si="5"/>
        <v>-90.013246444999965</v>
      </c>
      <c r="N21" s="117">
        <f t="shared" si="5"/>
        <v>-84.275668942999999</v>
      </c>
      <c r="O21" s="117">
        <f t="shared" si="5"/>
        <v>-66.568704859999997</v>
      </c>
      <c r="P21" s="117">
        <f t="shared" si="5"/>
        <v>-66.869487808000002</v>
      </c>
      <c r="Q21" s="117">
        <f t="shared" si="5"/>
        <v>-67.440682204999916</v>
      </c>
      <c r="R21" s="117">
        <f t="shared" si="5"/>
        <v>-61.153804808000054</v>
      </c>
      <c r="S21" s="117">
        <f t="shared" si="5"/>
        <v>-35.152293851999886</v>
      </c>
      <c r="T21" s="117">
        <f t="shared" si="5"/>
        <v>-33.734887232000212</v>
      </c>
      <c r="U21" s="117">
        <f t="shared" si="5"/>
        <v>-33.567127543999888</v>
      </c>
      <c r="V21" s="117">
        <f>-V8</f>
        <v>-34.472994086999904</v>
      </c>
      <c r="W21" s="117">
        <f>-W8</f>
        <v>-35.120107088000104</v>
      </c>
      <c r="X21" s="117">
        <f>-X8</f>
        <v>-35.605998172999861</v>
      </c>
      <c r="Y21" s="42"/>
      <c r="Z21" s="42"/>
      <c r="AA21" s="42"/>
      <c r="AB21" s="42"/>
      <c r="AC21" s="33"/>
    </row>
    <row r="22" spans="2:29" s="32" customFormat="1">
      <c r="B22" s="32" t="s">
        <v>99</v>
      </c>
      <c r="C22" s="117"/>
      <c r="D22" s="117">
        <f t="shared" ref="D22:U22" si="6">D20+D21</f>
        <v>-505.81</v>
      </c>
      <c r="E22" s="117">
        <f t="shared" si="6"/>
        <v>-653.0883</v>
      </c>
      <c r="F22" s="117">
        <f t="shared" si="6"/>
        <v>-610.20495733299958</v>
      </c>
      <c r="G22" s="117">
        <f t="shared" si="6"/>
        <v>-865.37778412629359</v>
      </c>
      <c r="H22" s="117">
        <f t="shared" si="6"/>
        <v>-957.94114337278086</v>
      </c>
      <c r="I22" s="117">
        <f t="shared" si="6"/>
        <v>-630.50710379048962</v>
      </c>
      <c r="J22" s="117">
        <f t="shared" si="6"/>
        <v>-386.7189826897432</v>
      </c>
      <c r="K22" s="117">
        <f t="shared" si="6"/>
        <v>-387.8342398701526</v>
      </c>
      <c r="L22" s="117">
        <f t="shared" si="6"/>
        <v>-394.63171529542524</v>
      </c>
      <c r="M22" s="117">
        <f t="shared" si="6"/>
        <v>-397.98437293614268</v>
      </c>
      <c r="N22" s="117">
        <f t="shared" si="6"/>
        <v>-399.19545193685508</v>
      </c>
      <c r="O22" s="117">
        <f t="shared" si="6"/>
        <v>-397.70330715464888</v>
      </c>
      <c r="P22" s="117">
        <f t="shared" si="6"/>
        <v>-416.89423486060673</v>
      </c>
      <c r="Q22" s="117">
        <f t="shared" si="6"/>
        <v>-430.23276836269036</v>
      </c>
      <c r="R22" s="117">
        <f t="shared" si="6"/>
        <v>-465.72386133825142</v>
      </c>
      <c r="S22" s="117">
        <f t="shared" si="6"/>
        <v>-482.27688227577408</v>
      </c>
      <c r="T22" s="117">
        <f t="shared" si="6"/>
        <v>-520.65198614634062</v>
      </c>
      <c r="U22" s="117">
        <f t="shared" si="6"/>
        <v>-575.441686150083</v>
      </c>
      <c r="V22" s="117">
        <f>V20+V21</f>
        <v>-622.26363104009465</v>
      </c>
      <c r="W22" s="117">
        <f>W20+W21</f>
        <v>-678.74703908500885</v>
      </c>
      <c r="X22" s="117">
        <f>X20+X21</f>
        <v>-738.77028892055239</v>
      </c>
      <c r="Y22" s="42"/>
      <c r="Z22" s="42"/>
      <c r="AA22" s="42"/>
      <c r="AB22" s="42"/>
      <c r="AC22" s="33"/>
    </row>
    <row r="23" spans="2:29" s="32" customFormat="1">
      <c r="B23" s="32" t="s">
        <v>100</v>
      </c>
      <c r="C23" s="116">
        <f>490*0+166.96</f>
        <v>166.96</v>
      </c>
      <c r="D23" s="117">
        <f>C23-IF(D22&lt;0,MAX(D21,D22),0)</f>
        <v>249.09</v>
      </c>
      <c r="E23" s="117">
        <f t="shared" ref="E23:U23" si="7">D23-IF(E22&lt;0,MAX(E21,E22),0)</f>
        <v>331.32830000000001</v>
      </c>
      <c r="F23" s="117">
        <f t="shared" si="7"/>
        <v>413.41340000000002</v>
      </c>
      <c r="G23" s="117">
        <f t="shared" si="7"/>
        <v>496.3467011780001</v>
      </c>
      <c r="H23" s="117">
        <f t="shared" si="7"/>
        <v>580.62367486799997</v>
      </c>
      <c r="I23" s="117">
        <f t="shared" si="7"/>
        <v>667.97400832400001</v>
      </c>
      <c r="J23" s="117">
        <f t="shared" si="7"/>
        <v>756.27954570800011</v>
      </c>
      <c r="K23" s="117">
        <f t="shared" si="7"/>
        <v>845.49895469700016</v>
      </c>
      <c r="L23" s="117">
        <f t="shared" si="7"/>
        <v>935.4402962920002</v>
      </c>
      <c r="M23" s="117">
        <f t="shared" si="7"/>
        <v>1025.4535427370001</v>
      </c>
      <c r="N23" s="117">
        <f t="shared" si="7"/>
        <v>1109.7292116800002</v>
      </c>
      <c r="O23" s="117">
        <f t="shared" si="7"/>
        <v>1176.2979165400002</v>
      </c>
      <c r="P23" s="117">
        <f t="shared" si="7"/>
        <v>1243.1674043480002</v>
      </c>
      <c r="Q23" s="117">
        <f t="shared" si="7"/>
        <v>1310.6080865530002</v>
      </c>
      <c r="R23" s="117">
        <f t="shared" si="7"/>
        <v>1371.7618913610004</v>
      </c>
      <c r="S23" s="117">
        <f t="shared" si="7"/>
        <v>1406.9141852130003</v>
      </c>
      <c r="T23" s="117">
        <f t="shared" si="7"/>
        <v>1440.6490724450005</v>
      </c>
      <c r="U23" s="117">
        <f t="shared" si="7"/>
        <v>1474.2161999890004</v>
      </c>
      <c r="V23" s="117">
        <f>U23-IF(V22&lt;0,MAX(V21,V22),0)</f>
        <v>1508.6891940760004</v>
      </c>
      <c r="W23" s="117">
        <f>V23-IF(W22&lt;0,MAX(W21,W22),0)</f>
        <v>1543.8093011640005</v>
      </c>
      <c r="X23" s="117">
        <f>W23-IF(X22&lt;0,MAX(X21,X22),0)</f>
        <v>1579.4152993370003</v>
      </c>
      <c r="Y23" s="42"/>
      <c r="Z23" s="42"/>
      <c r="AA23" s="42"/>
      <c r="AB23" s="42"/>
      <c r="AC23" s="33"/>
    </row>
    <row r="24" spans="2:29" s="32" customFormat="1">
      <c r="C24" s="117"/>
      <c r="D24" s="117"/>
      <c r="E24" s="117"/>
      <c r="F24" s="117"/>
      <c r="G24" s="117"/>
      <c r="H24" s="117"/>
      <c r="I24" s="117"/>
      <c r="J24" s="117"/>
      <c r="K24" s="117"/>
      <c r="L24" s="117"/>
      <c r="M24" s="117"/>
      <c r="N24" s="117"/>
      <c r="O24" s="117"/>
      <c r="P24" s="117"/>
      <c r="Q24" s="117"/>
      <c r="R24" s="117"/>
      <c r="S24" s="117"/>
      <c r="T24" s="117"/>
      <c r="U24" s="117"/>
      <c r="V24" s="117"/>
      <c r="W24" s="117"/>
      <c r="X24" s="117"/>
      <c r="Y24" s="42"/>
      <c r="Z24" s="42"/>
      <c r="AA24" s="42"/>
      <c r="AB24" s="42"/>
      <c r="AC24" s="33"/>
    </row>
    <row r="25" spans="2:29" s="32" customFormat="1">
      <c r="B25" s="30" t="s">
        <v>101</v>
      </c>
      <c r="C25" s="117"/>
      <c r="D25" s="117"/>
      <c r="E25" s="117"/>
      <c r="F25" s="117"/>
      <c r="G25" s="117"/>
      <c r="H25" s="117"/>
      <c r="I25" s="117"/>
      <c r="J25" s="117"/>
      <c r="K25" s="117"/>
      <c r="L25" s="117"/>
      <c r="M25" s="117"/>
      <c r="N25" s="117"/>
      <c r="O25" s="117"/>
      <c r="P25" s="117"/>
      <c r="Q25" s="117"/>
      <c r="R25" s="117"/>
      <c r="S25" s="117"/>
      <c r="T25" s="117"/>
      <c r="U25" s="117"/>
      <c r="V25" s="117"/>
      <c r="W25" s="117"/>
      <c r="X25" s="117"/>
      <c r="Y25" s="42"/>
      <c r="Z25" s="42"/>
      <c r="AA25" s="42"/>
      <c r="AB25" s="42"/>
      <c r="AC25" s="33"/>
    </row>
    <row r="26" spans="2:29" s="32" customFormat="1">
      <c r="B26" s="32" t="s">
        <v>102</v>
      </c>
      <c r="C26" s="117"/>
      <c r="D26" s="117">
        <f>IF(D22&gt;0,MAX(MIN(ABS(D23),ABS(D17))-SUM($C$27:C27),0),0)</f>
        <v>0</v>
      </c>
      <c r="E26" s="117">
        <f>IF(E22&gt;0,MAX(MIN(ABS(E23),ABS(E17))-SUM($C$27:D27),0),0)</f>
        <v>0</v>
      </c>
      <c r="F26" s="117">
        <f>IF(F22&gt;0,MAX(MIN(ABS(F23),ABS(F17))-SUM($C$27:E27),0),0)</f>
        <v>0</v>
      </c>
      <c r="G26" s="117">
        <f>IF(G22&gt;0,MAX(MIN(ABS(G23),ABS(G17))-SUM($C$27:F27),0),0)</f>
        <v>0</v>
      </c>
      <c r="H26" s="117">
        <f>IF(H22&gt;0,MAX(MIN(ABS(H23),ABS(H17))-SUM($C$27:G27),0),0)</f>
        <v>0</v>
      </c>
      <c r="I26" s="117">
        <f>IF(I22&gt;0,MAX(MIN(ABS(I23),ABS(I17))-SUM($C$27:H27),0),0)</f>
        <v>0</v>
      </c>
      <c r="J26" s="117">
        <f>IF(J22&gt;0,MAX(MIN(ABS(J23),ABS(J17))-SUM($C$27:I27),0),0)</f>
        <v>0</v>
      </c>
      <c r="K26" s="117">
        <f>IF(K22&gt;0,MAX(MIN(ABS(K23),ABS(K17))-SUM($C$27:J27),0),0)</f>
        <v>0</v>
      </c>
      <c r="L26" s="117">
        <f>IF(L22&gt;0,MAX(MIN(ABS(L23),ABS(L17))-SUM($C$27:K27),0),0)</f>
        <v>0</v>
      </c>
      <c r="M26" s="117">
        <f>IF(M22&gt;0,MAX(MIN(ABS(M23),ABS(M17))-SUM($C$27:L27),0),0)</f>
        <v>0</v>
      </c>
      <c r="N26" s="117">
        <f>IF(N22&gt;0,MAX(MIN(ABS(N23),ABS(N17))-SUM($C$27:M27),0),0)</f>
        <v>0</v>
      </c>
      <c r="O26" s="117">
        <f>IF(O22&gt;0,MAX(MIN(ABS(O23),ABS(O17))-SUM($C$27:N27),0),0)</f>
        <v>0</v>
      </c>
      <c r="P26" s="117">
        <f>IF(P22&gt;0,MAX(MIN(ABS(P23),ABS(P17))-SUM($C$27:O27),0),0)</f>
        <v>0</v>
      </c>
      <c r="Q26" s="117">
        <f>IF(Q22&gt;0,MAX(MIN(ABS(Q23),ABS(Q17))-SUM($C$27:P27),0),0)</f>
        <v>0</v>
      </c>
      <c r="R26" s="117">
        <f>IF(R22&gt;0,MAX(MIN(ABS(R23),ABS(R17))-SUM($C$27:Q27),0),0)</f>
        <v>0</v>
      </c>
      <c r="S26" s="117">
        <f>IF(S22&gt;0,MAX(MIN(ABS(S23),ABS(S17))-SUM($C$27:R27),0),0)</f>
        <v>0</v>
      </c>
      <c r="T26" s="117">
        <f>IF(T22&gt;0,MAX(MIN(ABS(T23),ABS(T17))-SUM($C$27:S27),0),0)</f>
        <v>0</v>
      </c>
      <c r="U26" s="117">
        <f>IF(U22&gt;0,MAX(MIN(ABS(U23),ABS(U17))-SUM($C$27:T27),0),0)</f>
        <v>0</v>
      </c>
      <c r="V26" s="117">
        <f>IF(V22&gt;0,MAX(MIN(ABS(V23),ABS(V17))-SUM($C$27:U27),0),0)</f>
        <v>0</v>
      </c>
      <c r="W26" s="117">
        <f>IF(W22&gt;0,MAX(MIN(ABS(W23),ABS(W17))-SUM($C$27:V27),0),0)</f>
        <v>0</v>
      </c>
      <c r="X26" s="117">
        <f>IF(X22&gt;0,MAX(MIN(ABS(X23),ABS(X17))-SUM($C$27:W27),0),0)</f>
        <v>0</v>
      </c>
      <c r="Y26" s="42"/>
      <c r="Z26" s="42"/>
      <c r="AA26" s="42"/>
      <c r="AB26" s="42"/>
      <c r="AC26" s="33"/>
    </row>
    <row r="27" spans="2:29" s="32" customFormat="1">
      <c r="B27" s="32" t="s">
        <v>103</v>
      </c>
      <c r="C27" s="117"/>
      <c r="D27" s="117">
        <f t="shared" ref="D27:U27" si="8">IF(D22&gt;0,MIN(D26,D22),0)</f>
        <v>0</v>
      </c>
      <c r="E27" s="117">
        <f t="shared" si="8"/>
        <v>0</v>
      </c>
      <c r="F27" s="117">
        <f t="shared" si="8"/>
        <v>0</v>
      </c>
      <c r="G27" s="117">
        <f t="shared" si="8"/>
        <v>0</v>
      </c>
      <c r="H27" s="117">
        <f t="shared" si="8"/>
        <v>0</v>
      </c>
      <c r="I27" s="117">
        <f t="shared" si="8"/>
        <v>0</v>
      </c>
      <c r="J27" s="117">
        <f t="shared" si="8"/>
        <v>0</v>
      </c>
      <c r="K27" s="117">
        <f t="shared" si="8"/>
        <v>0</v>
      </c>
      <c r="L27" s="117">
        <f t="shared" si="8"/>
        <v>0</v>
      </c>
      <c r="M27" s="117">
        <f t="shared" si="8"/>
        <v>0</v>
      </c>
      <c r="N27" s="117">
        <f t="shared" si="8"/>
        <v>0</v>
      </c>
      <c r="O27" s="117">
        <f t="shared" si="8"/>
        <v>0</v>
      </c>
      <c r="P27" s="117">
        <f t="shared" si="8"/>
        <v>0</v>
      </c>
      <c r="Q27" s="117">
        <f t="shared" si="8"/>
        <v>0</v>
      </c>
      <c r="R27" s="117">
        <f t="shared" si="8"/>
        <v>0</v>
      </c>
      <c r="S27" s="117">
        <f t="shared" si="8"/>
        <v>0</v>
      </c>
      <c r="T27" s="117">
        <f t="shared" si="8"/>
        <v>0</v>
      </c>
      <c r="U27" s="117">
        <f t="shared" si="8"/>
        <v>0</v>
      </c>
      <c r="V27" s="117">
        <f>IF(V22&gt;0,MIN(V26,V22),0)</f>
        <v>0</v>
      </c>
      <c r="W27" s="117">
        <f>IF(W22&gt;0,MIN(W26,W22),0)</f>
        <v>0</v>
      </c>
      <c r="X27" s="117">
        <f>IF(X22&gt;0,MIN(X26,X22),0)</f>
        <v>0</v>
      </c>
      <c r="Y27" s="42"/>
      <c r="Z27" s="42"/>
      <c r="AA27" s="42"/>
      <c r="AB27" s="42"/>
      <c r="AC27" s="33"/>
    </row>
    <row r="28" spans="2:29" s="32" customFormat="1">
      <c r="C28" s="117"/>
      <c r="D28" s="117"/>
      <c r="E28" s="117"/>
      <c r="F28" s="117"/>
      <c r="G28" s="117"/>
      <c r="H28" s="117"/>
      <c r="I28" s="117"/>
      <c r="J28" s="117"/>
      <c r="K28" s="117"/>
      <c r="L28" s="117"/>
      <c r="M28" s="117"/>
      <c r="N28" s="117"/>
      <c r="O28" s="117"/>
      <c r="P28" s="117"/>
      <c r="Q28" s="117"/>
      <c r="R28" s="117"/>
      <c r="S28" s="117"/>
      <c r="T28" s="117"/>
      <c r="U28" s="117"/>
      <c r="V28" s="117"/>
      <c r="W28" s="117"/>
      <c r="X28" s="117"/>
      <c r="Y28" s="42"/>
      <c r="Z28" s="42"/>
      <c r="AA28" s="42"/>
      <c r="AB28" s="42"/>
      <c r="AC28" s="33"/>
    </row>
    <row r="29" spans="2:29" s="32" customFormat="1">
      <c r="B29" s="32" t="s">
        <v>104</v>
      </c>
      <c r="C29" s="117"/>
      <c r="D29" s="117">
        <f t="shared" ref="D29:U29" si="9">D22-D27</f>
        <v>-505.81</v>
      </c>
      <c r="E29" s="117">
        <f t="shared" si="9"/>
        <v>-653.0883</v>
      </c>
      <c r="F29" s="117">
        <f t="shared" si="9"/>
        <v>-610.20495733299958</v>
      </c>
      <c r="G29" s="117">
        <f t="shared" si="9"/>
        <v>-865.37778412629359</v>
      </c>
      <c r="H29" s="117">
        <f t="shared" si="9"/>
        <v>-957.94114337278086</v>
      </c>
      <c r="I29" s="117">
        <f t="shared" si="9"/>
        <v>-630.50710379048962</v>
      </c>
      <c r="J29" s="117">
        <f t="shared" si="9"/>
        <v>-386.7189826897432</v>
      </c>
      <c r="K29" s="117">
        <f t="shared" si="9"/>
        <v>-387.8342398701526</v>
      </c>
      <c r="L29" s="117">
        <f t="shared" si="9"/>
        <v>-394.63171529542524</v>
      </c>
      <c r="M29" s="117">
        <f t="shared" si="9"/>
        <v>-397.98437293614268</v>
      </c>
      <c r="N29" s="117">
        <f t="shared" si="9"/>
        <v>-399.19545193685508</v>
      </c>
      <c r="O29" s="117">
        <f t="shared" si="9"/>
        <v>-397.70330715464888</v>
      </c>
      <c r="P29" s="117">
        <f t="shared" si="9"/>
        <v>-416.89423486060673</v>
      </c>
      <c r="Q29" s="117">
        <f t="shared" si="9"/>
        <v>-430.23276836269036</v>
      </c>
      <c r="R29" s="117">
        <f t="shared" si="9"/>
        <v>-465.72386133825142</v>
      </c>
      <c r="S29" s="117">
        <f t="shared" si="9"/>
        <v>-482.27688227577408</v>
      </c>
      <c r="T29" s="117">
        <f t="shared" si="9"/>
        <v>-520.65198614634062</v>
      </c>
      <c r="U29" s="117">
        <f t="shared" si="9"/>
        <v>-575.441686150083</v>
      </c>
      <c r="V29" s="117">
        <f>V22-V27</f>
        <v>-622.26363104009465</v>
      </c>
      <c r="W29" s="117">
        <f>W22-W27</f>
        <v>-678.74703908500885</v>
      </c>
      <c r="X29" s="117">
        <f>X22-X27</f>
        <v>-738.77028892055239</v>
      </c>
      <c r="Y29" s="42"/>
      <c r="Z29" s="42"/>
      <c r="AA29" s="42"/>
      <c r="AB29" s="42"/>
      <c r="AC29" s="33"/>
    </row>
    <row r="30" spans="2:29" s="30" customFormat="1">
      <c r="B30" s="43" t="s">
        <v>105</v>
      </c>
      <c r="C30" s="119"/>
      <c r="D30" s="119">
        <f>IF(D29&gt;0,D29*IF(D5&gt;=Assumptions!$C$129,Assumptions!$C$131,Assumptions!$C$127),0)</f>
        <v>0</v>
      </c>
      <c r="E30" s="119">
        <f>IF(E29&gt;0,E29*IF(E5&gt;=Assumptions!$C$129,Assumptions!$C$131,Assumptions!$C$127),0)</f>
        <v>0</v>
      </c>
      <c r="F30" s="119">
        <f>IF(F29&gt;0,F29*IF(F5&gt;=Assumptions!$C$129,Assumptions!$C$131,Assumptions!$C$127),0)</f>
        <v>0</v>
      </c>
      <c r="G30" s="119">
        <f>IF(G29&gt;0,G29*IF(G5&gt;=Assumptions!$C$129,Assumptions!$C$131,Assumptions!$C$127),0)</f>
        <v>0</v>
      </c>
      <c r="H30" s="119">
        <f>IF(H29&gt;0,H29*IF(H5&gt;=Assumptions!$C$129,Assumptions!$C$131,Assumptions!$C$127),0)</f>
        <v>0</v>
      </c>
      <c r="I30" s="119">
        <f>IF(I29&gt;0,I29*IF(I5&gt;=Assumptions!$C$129,Assumptions!$C$131,Assumptions!$C$127),0)</f>
        <v>0</v>
      </c>
      <c r="J30" s="119">
        <f>IF(J29&gt;0,J29*IF(J5&gt;=Assumptions!$C$129,Assumptions!$C$131,Assumptions!$C$127),0)</f>
        <v>0</v>
      </c>
      <c r="K30" s="119">
        <f>IF(K29&gt;0,K29*IF(K5&gt;=Assumptions!$C$129,Assumptions!$C$131,Assumptions!$C$127),0)</f>
        <v>0</v>
      </c>
      <c r="L30" s="119">
        <f>IF(L29&gt;0,L29*IF(L5&gt;=Assumptions!$C$129,Assumptions!$C$131,Assumptions!$C$127),0)</f>
        <v>0</v>
      </c>
      <c r="M30" s="119">
        <f>IF(M29&gt;0,M29*IF(M5&gt;=Assumptions!$C$129,Assumptions!$C$131,Assumptions!$C$127),0)</f>
        <v>0</v>
      </c>
      <c r="N30" s="119">
        <f>IF(N29&gt;0,N29*IF(N5&gt;=Assumptions!$C$129,Assumptions!$C$131,Assumptions!$C$127),0)</f>
        <v>0</v>
      </c>
      <c r="O30" s="119">
        <f>IF(O29&gt;0,O29*IF(O5&gt;=Assumptions!$C$129,Assumptions!$C$131,Assumptions!$C$127),0)</f>
        <v>0</v>
      </c>
      <c r="P30" s="119">
        <f>IF(P29&gt;0,P29*IF(P5&gt;=Assumptions!$C$129,Assumptions!$C$131,Assumptions!$C$127),0)</f>
        <v>0</v>
      </c>
      <c r="Q30" s="119">
        <f>IF(Q29&gt;0,Q29*IF(Q5&gt;=Assumptions!$C$129,Assumptions!$C$131,Assumptions!$C$127),0)</f>
        <v>0</v>
      </c>
      <c r="R30" s="119">
        <f>IF(R29&gt;0,R29*IF(R5&gt;=Assumptions!$C$129,Assumptions!$C$131,Assumptions!$C$127),0)</f>
        <v>0</v>
      </c>
      <c r="S30" s="119">
        <f>IF(S29&gt;0,S29*IF(S5&gt;=Assumptions!$C$129,Assumptions!$C$131,Assumptions!$C$127),0)</f>
        <v>0</v>
      </c>
      <c r="T30" s="119">
        <f>IF(T29&gt;0,T29*IF(T5&gt;=Assumptions!$C$129,Assumptions!$C$131,Assumptions!$C$127),0)</f>
        <v>0</v>
      </c>
      <c r="U30" s="119">
        <f>IF(U29&gt;0,U29*IF(U5&gt;=Assumptions!$C$129,Assumptions!$C$131,Assumptions!$C$127),0)</f>
        <v>0</v>
      </c>
      <c r="V30" s="119">
        <f>IF(V29&gt;0,V29*IF(V5&gt;=Assumptions!$C$129,Assumptions!$C$131,Assumptions!$C$127),0)</f>
        <v>0</v>
      </c>
      <c r="W30" s="119">
        <f>IF(W29&gt;0,W29*IF(W5&gt;=Assumptions!$C$129,Assumptions!$C$131,Assumptions!$C$127),0)</f>
        <v>0</v>
      </c>
      <c r="X30" s="119">
        <f>IF(X29&gt;0,X29*IF(X5&gt;=Assumptions!$C$129,Assumptions!$C$131,Assumptions!$C$127),0)</f>
        <v>0</v>
      </c>
      <c r="Y30" s="44"/>
      <c r="Z30" s="44"/>
      <c r="AA30" s="44"/>
      <c r="AB30" s="44"/>
      <c r="AC30" s="45"/>
    </row>
    <row r="31" spans="2:29" s="39" customFormat="1">
      <c r="C31" s="120"/>
      <c r="D31" s="120"/>
      <c r="E31" s="120"/>
      <c r="F31" s="120"/>
      <c r="G31" s="120"/>
      <c r="H31" s="120"/>
      <c r="I31" s="120"/>
      <c r="J31" s="120"/>
      <c r="K31" s="120"/>
      <c r="L31" s="120"/>
      <c r="M31" s="120"/>
      <c r="N31" s="120"/>
      <c r="O31" s="120"/>
      <c r="P31" s="120"/>
      <c r="Q31" s="120"/>
      <c r="R31" s="120"/>
      <c r="S31" s="120"/>
      <c r="T31" s="120"/>
      <c r="U31" s="120"/>
      <c r="V31" s="120"/>
      <c r="W31" s="120"/>
      <c r="X31" s="120"/>
      <c r="Y31" s="44"/>
      <c r="Z31" s="44"/>
      <c r="AA31" s="44"/>
      <c r="AB31" s="44"/>
      <c r="AC31" s="45"/>
    </row>
    <row r="32" spans="2:29" s="32" customFormat="1">
      <c r="C32" s="117"/>
      <c r="D32" s="117"/>
      <c r="E32" s="117"/>
      <c r="F32" s="117"/>
      <c r="G32" s="117"/>
      <c r="H32" s="117"/>
      <c r="I32" s="117"/>
      <c r="J32" s="117"/>
      <c r="K32" s="117"/>
      <c r="L32" s="117"/>
      <c r="M32" s="117"/>
      <c r="N32" s="117"/>
      <c r="O32" s="117"/>
      <c r="P32" s="117"/>
      <c r="Q32" s="117"/>
      <c r="R32" s="117"/>
      <c r="S32" s="117"/>
      <c r="T32" s="117"/>
      <c r="U32" s="117"/>
      <c r="V32" s="117"/>
      <c r="W32" s="117"/>
      <c r="X32" s="117"/>
      <c r="Y32" s="42"/>
      <c r="Z32" s="42"/>
      <c r="AA32" s="42"/>
      <c r="AB32" s="42"/>
      <c r="AC32" s="33"/>
    </row>
    <row r="33" spans="2:29" s="32" customFormat="1">
      <c r="B33" s="34" t="s">
        <v>106</v>
      </c>
      <c r="C33" s="121"/>
      <c r="D33" s="121"/>
      <c r="E33" s="121"/>
      <c r="F33" s="121"/>
      <c r="G33" s="121"/>
      <c r="H33" s="121"/>
      <c r="I33" s="121"/>
      <c r="J33" s="121"/>
      <c r="K33" s="121"/>
      <c r="L33" s="121"/>
      <c r="M33" s="121"/>
      <c r="N33" s="121"/>
      <c r="O33" s="121"/>
      <c r="P33" s="121"/>
      <c r="Q33" s="121"/>
      <c r="R33" s="121"/>
      <c r="S33" s="121"/>
      <c r="T33" s="121"/>
      <c r="U33" s="121"/>
      <c r="V33" s="121"/>
      <c r="W33" s="121"/>
      <c r="X33" s="121"/>
      <c r="Y33" s="33"/>
      <c r="Z33" s="33"/>
      <c r="AA33" s="33"/>
      <c r="AB33" s="33"/>
      <c r="AC33" s="33"/>
    </row>
    <row r="34" spans="2:29" s="41" customFormat="1">
      <c r="B34" s="39" t="s">
        <v>96</v>
      </c>
      <c r="C34" s="122"/>
      <c r="D34" s="122"/>
      <c r="E34" s="122"/>
      <c r="F34" s="122"/>
      <c r="G34" s="122"/>
      <c r="H34" s="122"/>
      <c r="I34" s="122"/>
      <c r="J34" s="122"/>
      <c r="K34" s="122"/>
      <c r="L34" s="122"/>
      <c r="M34" s="122"/>
      <c r="N34" s="122"/>
      <c r="O34" s="122"/>
      <c r="P34" s="122"/>
      <c r="Q34" s="122"/>
      <c r="R34" s="122"/>
      <c r="S34" s="122"/>
      <c r="T34" s="122"/>
      <c r="U34" s="122"/>
      <c r="V34" s="122"/>
      <c r="W34" s="122"/>
      <c r="X34" s="122"/>
      <c r="Y34" s="33"/>
      <c r="Z34" s="33"/>
      <c r="AA34" s="33"/>
      <c r="AB34" s="33"/>
      <c r="AC34" s="33"/>
    </row>
    <row r="35" spans="2:29" s="41" customFormat="1">
      <c r="B35" s="32" t="s">
        <v>97</v>
      </c>
      <c r="C35" s="122"/>
      <c r="D35" s="243">
        <f>D17</f>
        <v>-963.72</v>
      </c>
      <c r="E35" s="243">
        <f t="shared" ref="E35:X35" si="10">E17</f>
        <v>-1534.5700000000002</v>
      </c>
      <c r="F35" s="243">
        <f t="shared" si="10"/>
        <v>-2062.689857333</v>
      </c>
      <c r="G35" s="243">
        <f t="shared" si="10"/>
        <v>-2845.1343402812936</v>
      </c>
      <c r="H35" s="243">
        <f t="shared" si="10"/>
        <v>-3718.7985099640746</v>
      </c>
      <c r="I35" s="243">
        <f t="shared" si="10"/>
        <v>-4261.9552802985645</v>
      </c>
      <c r="J35" s="243">
        <f t="shared" si="10"/>
        <v>-4560.3687256043077</v>
      </c>
      <c r="K35" s="243">
        <f t="shared" si="10"/>
        <v>-4858.9835564854602</v>
      </c>
      <c r="L35" s="243">
        <f t="shared" si="10"/>
        <v>-5163.6739301858852</v>
      </c>
      <c r="M35" s="243">
        <f t="shared" si="10"/>
        <v>-5471.6450566770282</v>
      </c>
      <c r="N35" s="243">
        <f t="shared" si="10"/>
        <v>-5215.7148396708826</v>
      </c>
      <c r="O35" s="243">
        <f t="shared" si="10"/>
        <v>-5018.7295846325324</v>
      </c>
      <c r="P35" s="243">
        <f t="shared" si="10"/>
        <v>-4586.3098487368452</v>
      </c>
      <c r="Q35" s="243">
        <f t="shared" si="10"/>
        <v>-4075.4377652117546</v>
      </c>
      <c r="R35" s="243">
        <f t="shared" si="10"/>
        <v>-3936.8510514075165</v>
      </c>
      <c r="S35" s="243">
        <f t="shared" si="10"/>
        <v>-4085.5621945255475</v>
      </c>
      <c r="T35" s="243">
        <f t="shared" si="10"/>
        <v>-4273.8644625587349</v>
      </c>
      <c r="U35" s="243">
        <f t="shared" si="10"/>
        <v>-4511.0486474643922</v>
      </c>
      <c r="V35" s="243">
        <f t="shared" si="10"/>
        <v>-4790.868157926343</v>
      </c>
      <c r="W35" s="243">
        <f t="shared" si="10"/>
        <v>-5119.5753069294969</v>
      </c>
      <c r="X35" s="243">
        <f t="shared" si="10"/>
        <v>-5491.6049953824004</v>
      </c>
      <c r="Y35" s="33"/>
      <c r="Z35" s="33"/>
      <c r="AA35" s="33"/>
      <c r="AB35" s="33"/>
      <c r="AC35" s="33"/>
    </row>
    <row r="36" spans="2:29" s="41" customFormat="1">
      <c r="B36" s="39"/>
      <c r="C36" s="122"/>
      <c r="D36" s="122"/>
      <c r="E36" s="122"/>
      <c r="F36" s="122"/>
      <c r="G36" s="122"/>
      <c r="H36" s="122"/>
      <c r="I36" s="122"/>
      <c r="J36" s="122"/>
      <c r="K36" s="122"/>
      <c r="L36" s="122"/>
      <c r="M36" s="122"/>
      <c r="N36" s="122"/>
      <c r="O36" s="122"/>
      <c r="P36" s="122"/>
      <c r="Q36" s="122"/>
      <c r="R36" s="122"/>
      <c r="S36" s="122"/>
      <c r="T36" s="122"/>
      <c r="U36" s="122"/>
      <c r="V36" s="122"/>
      <c r="W36" s="122"/>
      <c r="X36" s="122"/>
      <c r="Y36" s="33"/>
      <c r="Z36" s="33"/>
      <c r="AA36" s="33"/>
      <c r="AB36" s="33"/>
      <c r="AC36" s="33"/>
    </row>
    <row r="37" spans="2:29" s="41" customFormat="1">
      <c r="B37" s="39" t="s">
        <v>98</v>
      </c>
      <c r="C37" s="122"/>
      <c r="D37" s="122"/>
      <c r="E37" s="122"/>
      <c r="F37" s="122"/>
      <c r="G37" s="122"/>
      <c r="H37" s="122"/>
      <c r="I37" s="122"/>
      <c r="J37" s="122"/>
      <c r="K37" s="122"/>
      <c r="L37" s="122"/>
      <c r="M37" s="122"/>
      <c r="N37" s="122"/>
      <c r="O37" s="122"/>
      <c r="P37" s="122"/>
      <c r="Q37" s="122"/>
      <c r="R37" s="122"/>
      <c r="S37" s="122"/>
      <c r="T37" s="122"/>
      <c r="U37" s="122"/>
      <c r="V37" s="122"/>
      <c r="W37" s="122"/>
      <c r="X37" s="122"/>
      <c r="Y37" s="33"/>
      <c r="Z37" s="33"/>
      <c r="AA37" s="33"/>
      <c r="AB37" s="33"/>
      <c r="AC37" s="33"/>
    </row>
    <row r="38" spans="2:29" s="41" customFormat="1">
      <c r="B38" s="32" t="s">
        <v>261</v>
      </c>
      <c r="C38" s="122"/>
      <c r="D38" s="122">
        <f>D7+IF(Assumptions!$C$157=1,Assumptions!F151)-IF(Assumptions!$C$156=1,Assumptions!F150)</f>
        <v>-423.68</v>
      </c>
      <c r="E38" s="122">
        <f>E7+IF(Assumptions!$C$157=1,Assumptions!G151)-IF(Assumptions!$C$156=1,Assumptions!G150)</f>
        <v>-430.03000000000003</v>
      </c>
      <c r="F38" s="122">
        <f>F7+IF(Assumptions!$C$157=1,Assumptions!H151)</f>
        <v>-528.11985733299957</v>
      </c>
      <c r="G38" s="122">
        <f>G7+IF(Assumptions!$C$157=1,Assumptions!I151)</f>
        <v>-782.44448294829351</v>
      </c>
      <c r="H38" s="122">
        <f>H7+IF(Assumptions!$C$157=1,Assumptions!J151)</f>
        <v>-873.66416968278099</v>
      </c>
      <c r="I38" s="122">
        <f>I7+IF(Assumptions!$C$157=1,Assumptions!K151)</f>
        <v>-543.15677033448958</v>
      </c>
      <c r="J38" s="122">
        <f>J7+IF(Assumptions!$C$157=1,Assumptions!L151)</f>
        <v>-298.41344530574315</v>
      </c>
      <c r="K38" s="122">
        <f>K7+IF(Assumptions!$C$157=1,Assumptions!M151)</f>
        <v>-298.61483088115256</v>
      </c>
      <c r="L38" s="122">
        <f>L7+IF(Assumptions!$C$157=1,Assumptions!N151)</f>
        <v>-304.6903737004252</v>
      </c>
      <c r="M38" s="122">
        <f>M7+IF(Assumptions!$C$157=1,Assumptions!O151)</f>
        <v>-307.97112649114274</v>
      </c>
      <c r="N38" s="122">
        <f>N7+IF(Assumptions!$C$157=1,Assumptions!P151)</f>
        <v>-314.91978299385505</v>
      </c>
      <c r="O38" s="122">
        <f>O7+IF(Assumptions!$C$157=1,Assumptions!Q151)</f>
        <v>-331.13460229464891</v>
      </c>
      <c r="P38" s="122">
        <f>P7+IF(Assumptions!$C$157=1,Assumptions!R151)</f>
        <v>-350.02474705260676</v>
      </c>
      <c r="Q38" s="122">
        <f>Q7+IF(Assumptions!$C$157=1,Assumptions!S151)</f>
        <v>-362.79208615769045</v>
      </c>
      <c r="R38" s="122">
        <f>R7+IF(Assumptions!$C$157=1,Assumptions!T151)</f>
        <v>-404.57005653025135</v>
      </c>
      <c r="S38" s="122">
        <f>S7+IF(Assumptions!$C$157=1,Assumptions!U151)</f>
        <v>-447.12458842377418</v>
      </c>
      <c r="T38" s="122">
        <f>T7+IF(Assumptions!$C$157=1,Assumptions!V151)</f>
        <v>-486.91709891434039</v>
      </c>
      <c r="U38" s="122">
        <f>U7+IF(Assumptions!$C$157=1,Assumptions!W151)</f>
        <v>-541.87455860608316</v>
      </c>
      <c r="V38" s="122">
        <f>V7+IF(Assumptions!$C$157=1,Assumptions!X151)</f>
        <v>-587.79063695309469</v>
      </c>
      <c r="W38" s="122">
        <f>W7+IF(Assumptions!$C$157=1,Assumptions!Y151)</f>
        <v>-643.6269319970088</v>
      </c>
      <c r="X38" s="122">
        <f>X7+IF(Assumptions!$C$157=1,Assumptions!Z151)</f>
        <v>-703.16429074755251</v>
      </c>
      <c r="Y38" s="33"/>
      <c r="Z38" s="33"/>
      <c r="AA38" s="33"/>
      <c r="AB38" s="33"/>
      <c r="AC38" s="33"/>
    </row>
    <row r="39" spans="2:29" s="41" customFormat="1">
      <c r="B39" s="32" t="s">
        <v>94</v>
      </c>
      <c r="C39" s="122"/>
      <c r="D39" s="122">
        <f t="shared" ref="D39:U39" si="11">-D9</f>
        <v>-17.072231365999997</v>
      </c>
      <c r="E39" s="122">
        <f t="shared" si="11"/>
        <v>-20.989982559999998</v>
      </c>
      <c r="F39" s="122">
        <f t="shared" si="11"/>
        <v>-14.23</v>
      </c>
      <c r="G39" s="122">
        <f t="shared" si="11"/>
        <v>-41.172559999999997</v>
      </c>
      <c r="H39" s="122">
        <f t="shared" si="11"/>
        <v>-58.035025999999995</v>
      </c>
      <c r="I39" s="122">
        <f t="shared" si="11"/>
        <v>-58.916867099999997</v>
      </c>
      <c r="J39" s="122">
        <f t="shared" si="11"/>
        <v>-38.418335534999997</v>
      </c>
      <c r="K39" s="122">
        <f t="shared" si="11"/>
        <v>-36.473377854749998</v>
      </c>
      <c r="L39" s="122">
        <f t="shared" si="11"/>
        <v>-34.481509561537493</v>
      </c>
      <c r="M39" s="122">
        <f t="shared" si="11"/>
        <v>-33.209407673806872</v>
      </c>
      <c r="N39" s="122">
        <f t="shared" si="11"/>
        <v>-30.552433614585844</v>
      </c>
      <c r="O39" s="122">
        <f t="shared" si="11"/>
        <v>-29.37983695506297</v>
      </c>
      <c r="P39" s="122">
        <f t="shared" si="11"/>
        <v>-27.685177956202033</v>
      </c>
      <c r="Q39" s="122">
        <f t="shared" si="11"/>
        <v>-25.85618615273037</v>
      </c>
      <c r="R39" s="122">
        <f t="shared" si="11"/>
        <v>-25.141889630783599</v>
      </c>
      <c r="S39" s="122">
        <f t="shared" si="11"/>
        <v>-24.160424447032568</v>
      </c>
      <c r="T39" s="122">
        <f t="shared" si="11"/>
        <v>-22.479672214757539</v>
      </c>
      <c r="U39" s="122">
        <f t="shared" si="11"/>
        <v>-21.860801673845781</v>
      </c>
      <c r="V39" s="122">
        <f>-V9</f>
        <v>-21.682778684940594</v>
      </c>
      <c r="W39" s="122">
        <f>-W9</f>
        <v>-21.912699418154023</v>
      </c>
      <c r="X39" s="122">
        <f>-X9</f>
        <v>-21.061573287789987</v>
      </c>
      <c r="Y39" s="33"/>
      <c r="Z39" s="33"/>
      <c r="AA39" s="33"/>
      <c r="AB39" s="33"/>
      <c r="AC39" s="33"/>
    </row>
    <row r="40" spans="2:29" s="41" customFormat="1">
      <c r="B40" s="32" t="s">
        <v>107</v>
      </c>
      <c r="C40" s="122"/>
      <c r="D40" s="122">
        <f>D38+D39</f>
        <v>-440.75223136599999</v>
      </c>
      <c r="E40" s="122">
        <f>E38+E39</f>
        <v>-451.01998256000002</v>
      </c>
      <c r="F40" s="122">
        <f t="shared" ref="F40:U40" si="12">F38+F39</f>
        <v>-542.34985733299959</v>
      </c>
      <c r="G40" s="122">
        <f t="shared" si="12"/>
        <v>-823.61704294829349</v>
      </c>
      <c r="H40" s="122">
        <f t="shared" si="12"/>
        <v>-931.69919568278101</v>
      </c>
      <c r="I40" s="122">
        <f t="shared" si="12"/>
        <v>-602.07363743448957</v>
      </c>
      <c r="J40" s="122">
        <f t="shared" si="12"/>
        <v>-336.83178084074314</v>
      </c>
      <c r="K40" s="122">
        <f t="shared" si="12"/>
        <v>-335.08820873590253</v>
      </c>
      <c r="L40" s="122">
        <f t="shared" si="12"/>
        <v>-339.17188326196271</v>
      </c>
      <c r="M40" s="122">
        <f t="shared" si="12"/>
        <v>-341.18053416494962</v>
      </c>
      <c r="N40" s="122">
        <f t="shared" si="12"/>
        <v>-345.47221660844087</v>
      </c>
      <c r="O40" s="122">
        <f t="shared" si="12"/>
        <v>-360.51443924971187</v>
      </c>
      <c r="P40" s="122">
        <f t="shared" si="12"/>
        <v>-377.7099250088088</v>
      </c>
      <c r="Q40" s="122">
        <f t="shared" si="12"/>
        <v>-388.64827231042079</v>
      </c>
      <c r="R40" s="122">
        <f t="shared" si="12"/>
        <v>-429.71194616103497</v>
      </c>
      <c r="S40" s="122">
        <f t="shared" si="12"/>
        <v>-471.28501287080678</v>
      </c>
      <c r="T40" s="122">
        <f t="shared" si="12"/>
        <v>-509.39677112909794</v>
      </c>
      <c r="U40" s="122">
        <f t="shared" si="12"/>
        <v>-563.73536027992895</v>
      </c>
      <c r="V40" s="122">
        <f>V38+V39</f>
        <v>-609.47341563803525</v>
      </c>
      <c r="W40" s="122">
        <f>W38+W39</f>
        <v>-665.53963141516283</v>
      </c>
      <c r="X40" s="122">
        <f>X38+X39</f>
        <v>-724.22586403534251</v>
      </c>
      <c r="Y40" s="33"/>
      <c r="Z40" s="33"/>
      <c r="AA40" s="33"/>
      <c r="AB40" s="33"/>
      <c r="AC40" s="33"/>
    </row>
    <row r="41" spans="2:29" s="41" customFormat="1">
      <c r="B41" s="32" t="s">
        <v>100</v>
      </c>
      <c r="C41" s="122"/>
      <c r="D41" s="117">
        <f t="shared" ref="D41:U41" si="13">C41-IF(D40&lt;0,MAX(D39,D40),0)</f>
        <v>17.072231365999997</v>
      </c>
      <c r="E41" s="117">
        <f t="shared" si="13"/>
        <v>38.062213925999998</v>
      </c>
      <c r="F41" s="117">
        <f t="shared" si="13"/>
        <v>52.292213926000002</v>
      </c>
      <c r="G41" s="117">
        <f t="shared" si="13"/>
        <v>93.464773925999992</v>
      </c>
      <c r="H41" s="117">
        <f t="shared" si="13"/>
        <v>151.49979992599998</v>
      </c>
      <c r="I41" s="117">
        <f t="shared" si="13"/>
        <v>210.41666702599997</v>
      </c>
      <c r="J41" s="117">
        <f t="shared" si="13"/>
        <v>248.83500256099995</v>
      </c>
      <c r="K41" s="117">
        <f t="shared" si="13"/>
        <v>285.30838041574998</v>
      </c>
      <c r="L41" s="117">
        <f t="shared" si="13"/>
        <v>319.78988997728749</v>
      </c>
      <c r="M41" s="117">
        <f t="shared" si="13"/>
        <v>352.99929765109437</v>
      </c>
      <c r="N41" s="117">
        <f t="shared" si="13"/>
        <v>383.55173126568019</v>
      </c>
      <c r="O41" s="117">
        <f t="shared" si="13"/>
        <v>412.93156822074315</v>
      </c>
      <c r="P41" s="117">
        <f t="shared" si="13"/>
        <v>440.61674617694518</v>
      </c>
      <c r="Q41" s="117">
        <f t="shared" si="13"/>
        <v>466.47293232967553</v>
      </c>
      <c r="R41" s="117">
        <f t="shared" si="13"/>
        <v>491.61482196045915</v>
      </c>
      <c r="S41" s="117">
        <f t="shared" si="13"/>
        <v>515.77524640749175</v>
      </c>
      <c r="T41" s="117">
        <f t="shared" si="13"/>
        <v>538.25491862224931</v>
      </c>
      <c r="U41" s="117">
        <f t="shared" si="13"/>
        <v>560.11572029609511</v>
      </c>
      <c r="V41" s="117">
        <f>U41-IF(V40&lt;0,MAX(V39,V40),0)</f>
        <v>581.79849898103566</v>
      </c>
      <c r="W41" s="117">
        <f>V41-IF(W40&lt;0,MAX(W39,W40),0)</f>
        <v>603.7111983991897</v>
      </c>
      <c r="X41" s="117">
        <f>W41-IF(X40&lt;0,MAX(X39,X40),0)</f>
        <v>624.7727716869797</v>
      </c>
      <c r="Y41" s="33"/>
      <c r="Z41" s="33"/>
      <c r="AA41" s="33"/>
      <c r="AB41" s="33"/>
      <c r="AC41" s="33"/>
    </row>
    <row r="42" spans="2:29" s="41" customFormat="1">
      <c r="B42" s="39"/>
      <c r="C42" s="122"/>
      <c r="D42" s="122"/>
      <c r="E42" s="122"/>
      <c r="F42" s="122"/>
      <c r="G42" s="122"/>
      <c r="H42" s="122"/>
      <c r="I42" s="122"/>
      <c r="J42" s="122"/>
      <c r="K42" s="122"/>
      <c r="L42" s="122"/>
      <c r="M42" s="122"/>
      <c r="N42" s="122"/>
      <c r="O42" s="122"/>
      <c r="P42" s="122"/>
      <c r="Q42" s="122"/>
      <c r="R42" s="122"/>
      <c r="S42" s="122"/>
      <c r="T42" s="122"/>
      <c r="U42" s="122"/>
      <c r="V42" s="122"/>
      <c r="W42" s="122"/>
      <c r="X42" s="122"/>
      <c r="Y42" s="33"/>
      <c r="Z42" s="33"/>
      <c r="AA42" s="33"/>
      <c r="AB42" s="33"/>
      <c r="AC42" s="33"/>
    </row>
    <row r="43" spans="2:29" s="41" customFormat="1">
      <c r="B43" s="30" t="s">
        <v>101</v>
      </c>
      <c r="C43" s="122"/>
      <c r="D43" s="122"/>
      <c r="E43" s="122"/>
      <c r="F43" s="122"/>
      <c r="G43" s="122"/>
      <c r="H43" s="122"/>
      <c r="I43" s="122"/>
      <c r="J43" s="122"/>
      <c r="K43" s="122"/>
      <c r="L43" s="122"/>
      <c r="M43" s="122"/>
      <c r="N43" s="122"/>
      <c r="O43" s="122"/>
      <c r="P43" s="122"/>
      <c r="Q43" s="122"/>
      <c r="R43" s="122"/>
      <c r="S43" s="122"/>
      <c r="T43" s="122"/>
      <c r="U43" s="122"/>
      <c r="V43" s="122"/>
      <c r="W43" s="122"/>
      <c r="X43" s="122"/>
      <c r="Y43" s="33"/>
      <c r="Z43" s="33"/>
      <c r="AA43" s="33"/>
      <c r="AB43" s="33"/>
      <c r="AC43" s="33"/>
    </row>
    <row r="44" spans="2:29" s="41" customFormat="1">
      <c r="B44" s="32" t="s">
        <v>102</v>
      </c>
      <c r="C44" s="122"/>
      <c r="D44" s="122">
        <f>IF(D40&gt;0,MAX(ABS(D35)+ABS(D41)-SUM($C$45:C45),0),0)</f>
        <v>0</v>
      </c>
      <c r="E44" s="122">
        <f>IF(E40&gt;0,MAX(ABS(E35)+ABS(E41)-SUM($C$45:D45),0),0)</f>
        <v>0</v>
      </c>
      <c r="F44" s="122">
        <f>IF(F40&gt;0,MAX(ABS(F35)+ABS(F41)-SUM($C$45:E45),0),0)</f>
        <v>0</v>
      </c>
      <c r="G44" s="122">
        <f>IF(G40&gt;0,MAX(ABS(G35)+ABS(G41)-SUM($C$45:F45),0),0)</f>
        <v>0</v>
      </c>
      <c r="H44" s="122">
        <f>IF(H40&gt;0,MAX(ABS(H35)+ABS(H41)-SUM($C$45:G45),0),0)</f>
        <v>0</v>
      </c>
      <c r="I44" s="122">
        <f>IF(I40&gt;0,MAX(ABS(I35)+ABS(I41)-SUM($C$45:H45),0),0)</f>
        <v>0</v>
      </c>
      <c r="J44" s="122">
        <f>IF(J40&gt;0,MAX(ABS(J35)+ABS(J41)-SUM($C$45:I45),0),0)</f>
        <v>0</v>
      </c>
      <c r="K44" s="122">
        <f>IF(K40&gt;0,MAX(ABS(K35)+ABS(K41)-SUM($C$45:J45),0),0)</f>
        <v>0</v>
      </c>
      <c r="L44" s="122">
        <f>IF(L40&gt;0,MAX(ABS(L35)+ABS(L41)-SUM($C$45:K45),0),0)</f>
        <v>0</v>
      </c>
      <c r="M44" s="122">
        <f>IF(M40&gt;0,MAX(ABS(M35)+ABS(M41)-SUM($C$45:L45),0),0)</f>
        <v>0</v>
      </c>
      <c r="N44" s="122">
        <f>IF(N40&gt;0,MAX(ABS(N35)+ABS(N41)-SUM($C$45:M45),0),0)</f>
        <v>0</v>
      </c>
      <c r="O44" s="122">
        <f>IF(O40&gt;0,MAX(ABS(O35)+ABS(O41)-SUM($C$45:N45),0),0)</f>
        <v>0</v>
      </c>
      <c r="P44" s="122">
        <f>IF(P40&gt;0,MAX(ABS(P35)+ABS(P41)-SUM($C$45:O45),0),0)</f>
        <v>0</v>
      </c>
      <c r="Q44" s="122">
        <f>IF(Q40&gt;0,MAX(ABS(Q35)+ABS(Q41)-SUM($C$45:P45),0),0)</f>
        <v>0</v>
      </c>
      <c r="R44" s="122">
        <f>IF(R40&gt;0,MAX(ABS(R35)+ABS(R41)-SUM($C$45:Q45),0),0)</f>
        <v>0</v>
      </c>
      <c r="S44" s="122">
        <f>IF(S40&gt;0,MAX(ABS(S35)+ABS(S41)-SUM($C$45:R45),0),0)</f>
        <v>0</v>
      </c>
      <c r="T44" s="122">
        <f>IF(T40&gt;0,MAX(ABS(T35)+ABS(T41)-SUM($C$45:S45),0),0)</f>
        <v>0</v>
      </c>
      <c r="U44" s="122">
        <f>IF(U40&gt;0,MAX(ABS(U35)+ABS(U41)-SUM($C$45:T45),0),0)</f>
        <v>0</v>
      </c>
      <c r="V44" s="122">
        <f>IF(V40&gt;0,MAX(ABS(V35)+ABS(V41)-SUM($C$45:U45),0),0)</f>
        <v>0</v>
      </c>
      <c r="W44" s="122">
        <f>IF(W40&gt;0,MAX(ABS(W35)+ABS(W41)-SUM($C$45:V45),0),0)</f>
        <v>0</v>
      </c>
      <c r="X44" s="122">
        <f>IF(X40&gt;0,MAX(ABS(X35)+ABS(X41)-SUM($C$45:W45),0),0)</f>
        <v>0</v>
      </c>
      <c r="Y44" s="33"/>
      <c r="Z44" s="33"/>
      <c r="AA44" s="33"/>
      <c r="AB44" s="33"/>
      <c r="AC44" s="33"/>
    </row>
    <row r="45" spans="2:29" s="41" customFormat="1">
      <c r="B45" s="32" t="s">
        <v>103</v>
      </c>
      <c r="C45" s="122"/>
      <c r="D45" s="126">
        <f>IF(D40&gt;0,MIN(D40,D44),0)</f>
        <v>0</v>
      </c>
      <c r="E45" s="126">
        <f t="shared" ref="E45:U45" si="14">IF(E40&gt;0,MIN(E40,E44),0)</f>
        <v>0</v>
      </c>
      <c r="F45" s="126">
        <f t="shared" si="14"/>
        <v>0</v>
      </c>
      <c r="G45" s="126">
        <f t="shared" si="14"/>
        <v>0</v>
      </c>
      <c r="H45" s="126">
        <f t="shared" si="14"/>
        <v>0</v>
      </c>
      <c r="I45" s="126">
        <f t="shared" si="14"/>
        <v>0</v>
      </c>
      <c r="J45" s="126">
        <f t="shared" si="14"/>
        <v>0</v>
      </c>
      <c r="K45" s="126">
        <f t="shared" si="14"/>
        <v>0</v>
      </c>
      <c r="L45" s="126">
        <f t="shared" si="14"/>
        <v>0</v>
      </c>
      <c r="M45" s="126">
        <f t="shared" si="14"/>
        <v>0</v>
      </c>
      <c r="N45" s="126">
        <f t="shared" si="14"/>
        <v>0</v>
      </c>
      <c r="O45" s="126">
        <f t="shared" si="14"/>
        <v>0</v>
      </c>
      <c r="P45" s="126">
        <f t="shared" si="14"/>
        <v>0</v>
      </c>
      <c r="Q45" s="126">
        <f t="shared" si="14"/>
        <v>0</v>
      </c>
      <c r="R45" s="126">
        <f t="shared" si="14"/>
        <v>0</v>
      </c>
      <c r="S45" s="126">
        <f t="shared" si="14"/>
        <v>0</v>
      </c>
      <c r="T45" s="126">
        <f t="shared" si="14"/>
        <v>0</v>
      </c>
      <c r="U45" s="126">
        <f t="shared" si="14"/>
        <v>0</v>
      </c>
      <c r="V45" s="126">
        <f>IF(V40&gt;0,MIN(V40,V44),0)</f>
        <v>0</v>
      </c>
      <c r="W45" s="126">
        <f>IF(W40&gt;0,MIN(W40,W44),0)</f>
        <v>0</v>
      </c>
      <c r="X45" s="126">
        <f>IF(X40&gt;0,MIN(X40,X44),0)</f>
        <v>0</v>
      </c>
      <c r="Y45" s="33"/>
      <c r="Z45" s="33"/>
      <c r="AA45" s="33"/>
      <c r="AB45" s="33"/>
      <c r="AC45" s="33"/>
    </row>
    <row r="46" spans="2:29" s="41" customFormat="1">
      <c r="B46" s="32" t="s">
        <v>104</v>
      </c>
      <c r="C46" s="122"/>
      <c r="D46" s="122">
        <f>D40-D45</f>
        <v>-440.75223136599999</v>
      </c>
      <c r="E46" s="122">
        <f t="shared" ref="E46:U46" si="15">E40-E45</f>
        <v>-451.01998256000002</v>
      </c>
      <c r="F46" s="122">
        <f t="shared" si="15"/>
        <v>-542.34985733299959</v>
      </c>
      <c r="G46" s="122">
        <f t="shared" si="15"/>
        <v>-823.61704294829349</v>
      </c>
      <c r="H46" s="122">
        <f t="shared" si="15"/>
        <v>-931.69919568278101</v>
      </c>
      <c r="I46" s="122">
        <f t="shared" si="15"/>
        <v>-602.07363743448957</v>
      </c>
      <c r="J46" s="122">
        <f t="shared" si="15"/>
        <v>-336.83178084074314</v>
      </c>
      <c r="K46" s="122">
        <f t="shared" si="15"/>
        <v>-335.08820873590253</v>
      </c>
      <c r="L46" s="122">
        <f t="shared" si="15"/>
        <v>-339.17188326196271</v>
      </c>
      <c r="M46" s="122">
        <f t="shared" si="15"/>
        <v>-341.18053416494962</v>
      </c>
      <c r="N46" s="122">
        <f t="shared" si="15"/>
        <v>-345.47221660844087</v>
      </c>
      <c r="O46" s="122">
        <f t="shared" si="15"/>
        <v>-360.51443924971187</v>
      </c>
      <c r="P46" s="122">
        <f t="shared" si="15"/>
        <v>-377.7099250088088</v>
      </c>
      <c r="Q46" s="122">
        <f t="shared" si="15"/>
        <v>-388.64827231042079</v>
      </c>
      <c r="R46" s="122">
        <f t="shared" si="15"/>
        <v>-429.71194616103497</v>
      </c>
      <c r="S46" s="122">
        <f t="shared" si="15"/>
        <v>-471.28501287080678</v>
      </c>
      <c r="T46" s="122">
        <f t="shared" si="15"/>
        <v>-509.39677112909794</v>
      </c>
      <c r="U46" s="122">
        <f t="shared" si="15"/>
        <v>-563.73536027992895</v>
      </c>
      <c r="V46" s="122">
        <f>V40-V45</f>
        <v>-609.47341563803525</v>
      </c>
      <c r="W46" s="122">
        <f>W40-W45</f>
        <v>-665.53963141516283</v>
      </c>
      <c r="X46" s="122">
        <f>X40-X45</f>
        <v>-724.22586403534251</v>
      </c>
      <c r="Y46" s="33"/>
      <c r="Z46" s="33"/>
      <c r="AA46" s="33"/>
      <c r="AB46" s="33"/>
      <c r="AC46" s="33"/>
    </row>
    <row r="47" spans="2:29" s="41" customFormat="1">
      <c r="B47" s="41" t="s">
        <v>108</v>
      </c>
      <c r="C47" s="122"/>
      <c r="D47" s="126">
        <f>IF(D46&gt;0,D46*IF(D5&gt;=Assumptions!$C$129,Assumptions!$C$130,Assumptions!$C$126),0)</f>
        <v>0</v>
      </c>
      <c r="E47" s="126">
        <f>IF(E46&gt;0,E46*IF(E5&gt;=Assumptions!$C$129,Assumptions!$C$130,Assumptions!$C$126),0)</f>
        <v>0</v>
      </c>
      <c r="F47" s="126">
        <f>IF(F46&gt;0,F46*IF(F5&gt;=Assumptions!$C$129,Assumptions!$C$130,Assumptions!$C$126),0)</f>
        <v>0</v>
      </c>
      <c r="G47" s="126">
        <f>IF(G46&gt;0,G46*IF(G5&gt;=Assumptions!$C$129,Assumptions!$C$130,Assumptions!$C$126),0)</f>
        <v>0</v>
      </c>
      <c r="H47" s="126">
        <f>IF(H46&gt;0,H46*IF(H5&gt;=Assumptions!$C$129,Assumptions!$C$130,Assumptions!$C$126),0)</f>
        <v>0</v>
      </c>
      <c r="I47" s="126">
        <f>IF(I46&gt;0,I46*IF(I5&gt;=Assumptions!$C$129,Assumptions!$C$130,Assumptions!$C$126),0)</f>
        <v>0</v>
      </c>
      <c r="J47" s="126">
        <f>IF(J46&gt;0,J46*IF(J5&gt;=Assumptions!$C$129,Assumptions!$C$130,Assumptions!$C$126),0)</f>
        <v>0</v>
      </c>
      <c r="K47" s="126">
        <f>IF(K46&gt;0,K46*IF(K5&gt;=Assumptions!$C$129,Assumptions!$C$130,Assumptions!$C$126),0)</f>
        <v>0</v>
      </c>
      <c r="L47" s="126">
        <f>IF(L46&gt;0,L46*IF(L5&gt;=Assumptions!$C$129,Assumptions!$C$130,Assumptions!$C$126),0)</f>
        <v>0</v>
      </c>
      <c r="M47" s="126">
        <f>IF(M46&gt;0,M46*IF(M5&gt;=Assumptions!$C$129,Assumptions!$C$130,Assumptions!$C$126),0)</f>
        <v>0</v>
      </c>
      <c r="N47" s="126">
        <f>IF(N46&gt;0,N46*IF(N5&gt;=Assumptions!$C$129,Assumptions!$C$130,Assumptions!$C$126),0)</f>
        <v>0</v>
      </c>
      <c r="O47" s="126">
        <f>IF(O46&gt;0,O46*IF(O5&gt;=Assumptions!$C$129,Assumptions!$C$130,Assumptions!$C$126),0)</f>
        <v>0</v>
      </c>
      <c r="P47" s="126">
        <f>IF(P46&gt;0,P46*IF(P5&gt;=Assumptions!$C$129,Assumptions!$C$130,Assumptions!$C$126),0)</f>
        <v>0</v>
      </c>
      <c r="Q47" s="126">
        <f>IF(Q46&gt;0,Q46*IF(Q5&gt;=Assumptions!$C$129,Assumptions!$C$130,Assumptions!$C$126),0)</f>
        <v>0</v>
      </c>
      <c r="R47" s="126">
        <f>IF(R46&gt;0,R46*IF(R5&gt;=Assumptions!$C$129,Assumptions!$C$130,Assumptions!$C$126),0)</f>
        <v>0</v>
      </c>
      <c r="S47" s="126">
        <f>IF(S46&gt;0,S46*IF(S5&gt;=Assumptions!$C$129,Assumptions!$C$130,Assumptions!$C$126),0)</f>
        <v>0</v>
      </c>
      <c r="T47" s="126">
        <f>IF(T46&gt;0,T46*IF(T5&gt;=Assumptions!$C$129,Assumptions!$C$130,Assumptions!$C$126),0)</f>
        <v>0</v>
      </c>
      <c r="U47" s="126">
        <f>IF(U46&gt;0,U46*IF(U5&gt;=Assumptions!$C$129,Assumptions!$C$130,Assumptions!$C$126),0)</f>
        <v>0</v>
      </c>
      <c r="V47" s="126">
        <f>IF(V46&gt;0,V46*IF(V5&gt;=Assumptions!$C$129,Assumptions!$C$130,Assumptions!$C$126),0)</f>
        <v>0</v>
      </c>
      <c r="W47" s="126">
        <f>IF(W46&gt;0,W46*IF(W5&gt;=Assumptions!$C$129,Assumptions!$C$130,Assumptions!$C$126),0)</f>
        <v>0</v>
      </c>
      <c r="X47" s="126">
        <f>IF(X46&gt;0,X46*IF(X5&gt;=Assumptions!$C$129,Assumptions!$C$130,Assumptions!$C$126),0)</f>
        <v>0</v>
      </c>
      <c r="Y47" s="33"/>
      <c r="Z47" s="33"/>
      <c r="AA47" s="33"/>
      <c r="AB47" s="33"/>
      <c r="AC47" s="33"/>
    </row>
    <row r="48" spans="2:29" s="39" customFormat="1">
      <c r="B48" s="43" t="s">
        <v>258</v>
      </c>
      <c r="C48" s="124"/>
      <c r="D48" s="119">
        <f t="shared" ref="D48:X48" si="16">D47</f>
        <v>0</v>
      </c>
      <c r="E48" s="119">
        <f t="shared" si="16"/>
        <v>0</v>
      </c>
      <c r="F48" s="119">
        <f t="shared" si="16"/>
        <v>0</v>
      </c>
      <c r="G48" s="119">
        <f t="shared" si="16"/>
        <v>0</v>
      </c>
      <c r="H48" s="119">
        <f t="shared" si="16"/>
        <v>0</v>
      </c>
      <c r="I48" s="119">
        <f t="shared" si="16"/>
        <v>0</v>
      </c>
      <c r="J48" s="119">
        <f t="shared" si="16"/>
        <v>0</v>
      </c>
      <c r="K48" s="119">
        <f t="shared" si="16"/>
        <v>0</v>
      </c>
      <c r="L48" s="119">
        <f t="shared" si="16"/>
        <v>0</v>
      </c>
      <c r="M48" s="119">
        <f t="shared" si="16"/>
        <v>0</v>
      </c>
      <c r="N48" s="119">
        <f t="shared" si="16"/>
        <v>0</v>
      </c>
      <c r="O48" s="119">
        <f t="shared" si="16"/>
        <v>0</v>
      </c>
      <c r="P48" s="119">
        <f t="shared" si="16"/>
        <v>0</v>
      </c>
      <c r="Q48" s="119">
        <f t="shared" si="16"/>
        <v>0</v>
      </c>
      <c r="R48" s="119">
        <f t="shared" si="16"/>
        <v>0</v>
      </c>
      <c r="S48" s="119">
        <f t="shared" si="16"/>
        <v>0</v>
      </c>
      <c r="T48" s="119">
        <f t="shared" si="16"/>
        <v>0</v>
      </c>
      <c r="U48" s="119">
        <f t="shared" si="16"/>
        <v>0</v>
      </c>
      <c r="V48" s="119">
        <f t="shared" si="16"/>
        <v>0</v>
      </c>
      <c r="W48" s="119">
        <f t="shared" si="16"/>
        <v>0</v>
      </c>
      <c r="X48" s="119">
        <f t="shared" si="16"/>
        <v>0</v>
      </c>
      <c r="Y48" s="45"/>
      <c r="Z48" s="45"/>
      <c r="AA48" s="45"/>
      <c r="AB48" s="45"/>
      <c r="AC48" s="45"/>
    </row>
    <row r="49" spans="2:29" s="32" customFormat="1">
      <c r="C49" s="123"/>
      <c r="D49" s="117"/>
      <c r="E49" s="117"/>
      <c r="F49" s="117"/>
      <c r="G49" s="117"/>
      <c r="H49" s="117"/>
      <c r="I49" s="117"/>
      <c r="J49" s="117"/>
      <c r="K49" s="117"/>
      <c r="L49" s="117"/>
      <c r="M49" s="117"/>
      <c r="N49" s="117"/>
      <c r="O49" s="117"/>
      <c r="P49" s="117"/>
      <c r="Q49" s="117"/>
      <c r="R49" s="117"/>
      <c r="S49" s="117"/>
      <c r="T49" s="117"/>
      <c r="U49" s="117"/>
      <c r="V49" s="117"/>
      <c r="W49" s="117"/>
      <c r="X49" s="117"/>
      <c r="Y49" s="42"/>
      <c r="Z49" s="42"/>
      <c r="AA49" s="42"/>
      <c r="AB49" s="42"/>
      <c r="AC49" s="42"/>
    </row>
    <row r="50" spans="2:29" s="32" customFormat="1">
      <c r="B50" s="32" t="s">
        <v>109</v>
      </c>
      <c r="C50" s="123"/>
      <c r="D50" s="117">
        <f>IF(D48&gt;D30,(D48-D30),0)</f>
        <v>0</v>
      </c>
      <c r="E50" s="117">
        <f t="shared" ref="E50:X50" si="17">IF(E48&gt;E30,(E48-E30),0)</f>
        <v>0</v>
      </c>
      <c r="F50" s="117">
        <f t="shared" si="17"/>
        <v>0</v>
      </c>
      <c r="G50" s="117">
        <f t="shared" si="17"/>
        <v>0</v>
      </c>
      <c r="H50" s="117">
        <f t="shared" si="17"/>
        <v>0</v>
      </c>
      <c r="I50" s="117">
        <f t="shared" si="17"/>
        <v>0</v>
      </c>
      <c r="J50" s="117">
        <f t="shared" si="17"/>
        <v>0</v>
      </c>
      <c r="K50" s="117">
        <f t="shared" si="17"/>
        <v>0</v>
      </c>
      <c r="L50" s="117">
        <f t="shared" si="17"/>
        <v>0</v>
      </c>
      <c r="M50" s="117">
        <f t="shared" si="17"/>
        <v>0</v>
      </c>
      <c r="N50" s="117">
        <f t="shared" si="17"/>
        <v>0</v>
      </c>
      <c r="O50" s="117">
        <f t="shared" si="17"/>
        <v>0</v>
      </c>
      <c r="P50" s="117">
        <f t="shared" si="17"/>
        <v>0</v>
      </c>
      <c r="Q50" s="117">
        <f t="shared" si="17"/>
        <v>0</v>
      </c>
      <c r="R50" s="117">
        <f t="shared" si="17"/>
        <v>0</v>
      </c>
      <c r="S50" s="117">
        <f t="shared" si="17"/>
        <v>0</v>
      </c>
      <c r="T50" s="117">
        <f t="shared" si="17"/>
        <v>0</v>
      </c>
      <c r="U50" s="117">
        <f t="shared" si="17"/>
        <v>0</v>
      </c>
      <c r="V50" s="117">
        <f t="shared" si="17"/>
        <v>0</v>
      </c>
      <c r="W50" s="117">
        <f t="shared" si="17"/>
        <v>0</v>
      </c>
      <c r="X50" s="117">
        <f t="shared" si="17"/>
        <v>0</v>
      </c>
      <c r="Y50" s="42"/>
      <c r="Z50" s="42"/>
      <c r="AA50" s="42"/>
      <c r="AB50" s="42"/>
      <c r="AC50" s="42"/>
    </row>
    <row r="51" spans="2:29" s="32" customFormat="1">
      <c r="B51" s="32" t="s">
        <v>110</v>
      </c>
      <c r="C51" s="123"/>
      <c r="D51" s="117">
        <f t="shared" ref="D51:U51" si="18">IF(C54&gt;D50,D50,C54)</f>
        <v>0</v>
      </c>
      <c r="E51" s="117">
        <f t="shared" si="18"/>
        <v>0</v>
      </c>
      <c r="F51" s="117">
        <f t="shared" si="18"/>
        <v>0</v>
      </c>
      <c r="G51" s="117">
        <f t="shared" si="18"/>
        <v>0</v>
      </c>
      <c r="H51" s="117">
        <f t="shared" si="18"/>
        <v>0</v>
      </c>
      <c r="I51" s="117">
        <f t="shared" si="18"/>
        <v>0</v>
      </c>
      <c r="J51" s="117">
        <f t="shared" si="18"/>
        <v>0</v>
      </c>
      <c r="K51" s="117">
        <f t="shared" si="18"/>
        <v>0</v>
      </c>
      <c r="L51" s="117">
        <f t="shared" si="18"/>
        <v>0</v>
      </c>
      <c r="M51" s="117">
        <f t="shared" si="18"/>
        <v>0</v>
      </c>
      <c r="N51" s="117">
        <f t="shared" si="18"/>
        <v>0</v>
      </c>
      <c r="O51" s="117">
        <f t="shared" si="18"/>
        <v>0</v>
      </c>
      <c r="P51" s="117">
        <f t="shared" si="18"/>
        <v>0</v>
      </c>
      <c r="Q51" s="117">
        <f t="shared" si="18"/>
        <v>0</v>
      </c>
      <c r="R51" s="117">
        <f t="shared" si="18"/>
        <v>0</v>
      </c>
      <c r="S51" s="117">
        <f t="shared" si="18"/>
        <v>0</v>
      </c>
      <c r="T51" s="117">
        <f t="shared" si="18"/>
        <v>0</v>
      </c>
      <c r="U51" s="117">
        <f t="shared" si="18"/>
        <v>0</v>
      </c>
      <c r="V51" s="117">
        <f>IF(U54&gt;V50,V50,U54)</f>
        <v>0</v>
      </c>
      <c r="W51" s="117">
        <f>IF(V54&gt;W50,W50,V54)</f>
        <v>0</v>
      </c>
      <c r="X51" s="117">
        <f>IF(W54&gt;X50,X50,W54)</f>
        <v>0</v>
      </c>
      <c r="Y51" s="42"/>
      <c r="Z51" s="42"/>
      <c r="AA51" s="42"/>
      <c r="AB51" s="42"/>
      <c r="AC51" s="42"/>
    </row>
    <row r="52" spans="2:29" s="32" customFormat="1">
      <c r="B52" s="32" t="s">
        <v>111</v>
      </c>
      <c r="C52" s="123"/>
      <c r="D52" s="117">
        <f>IF(D30&gt;D48,D30,0)</f>
        <v>0</v>
      </c>
      <c r="E52" s="117">
        <f>IF(E30&gt;E48,E30,0)</f>
        <v>0</v>
      </c>
      <c r="F52" s="117">
        <f t="shared" ref="F52:X52" si="19">IF(F30&gt;F48,F30,0)</f>
        <v>0</v>
      </c>
      <c r="G52" s="117">
        <f t="shared" si="19"/>
        <v>0</v>
      </c>
      <c r="H52" s="117">
        <f t="shared" si="19"/>
        <v>0</v>
      </c>
      <c r="I52" s="117">
        <f t="shared" si="19"/>
        <v>0</v>
      </c>
      <c r="J52" s="117">
        <f t="shared" si="19"/>
        <v>0</v>
      </c>
      <c r="K52" s="117">
        <f t="shared" si="19"/>
        <v>0</v>
      </c>
      <c r="L52" s="117">
        <f t="shared" si="19"/>
        <v>0</v>
      </c>
      <c r="M52" s="117">
        <f t="shared" si="19"/>
        <v>0</v>
      </c>
      <c r="N52" s="117">
        <f t="shared" si="19"/>
        <v>0</v>
      </c>
      <c r="O52" s="117">
        <f t="shared" si="19"/>
        <v>0</v>
      </c>
      <c r="P52" s="117">
        <f t="shared" si="19"/>
        <v>0</v>
      </c>
      <c r="Q52" s="117">
        <f t="shared" si="19"/>
        <v>0</v>
      </c>
      <c r="R52" s="117">
        <f t="shared" si="19"/>
        <v>0</v>
      </c>
      <c r="S52" s="117">
        <f t="shared" si="19"/>
        <v>0</v>
      </c>
      <c r="T52" s="117">
        <f t="shared" si="19"/>
        <v>0</v>
      </c>
      <c r="U52" s="117">
        <f t="shared" si="19"/>
        <v>0</v>
      </c>
      <c r="V52" s="117">
        <f t="shared" si="19"/>
        <v>0</v>
      </c>
      <c r="W52" s="117">
        <f t="shared" si="19"/>
        <v>0</v>
      </c>
      <c r="X52" s="117">
        <f t="shared" si="19"/>
        <v>0</v>
      </c>
      <c r="Y52" s="42"/>
      <c r="Z52" s="42"/>
      <c r="AA52" s="42"/>
      <c r="AB52" s="42"/>
      <c r="AC52" s="42"/>
    </row>
    <row r="53" spans="2:29" s="32" customFormat="1">
      <c r="B53" s="32" t="s">
        <v>112</v>
      </c>
      <c r="C53" s="123"/>
      <c r="D53" s="117">
        <f>IF(D5=Assumptions!$C$129,C54,SUMIF($D$6:$T$6,D6-16,$D$52:$X$52))</f>
        <v>0</v>
      </c>
      <c r="E53" s="117">
        <f>IF(E5=Assumptions!$C$129,D54,SUMIF($D$6:$T$6,E6-16,$D$52:$X$52))</f>
        <v>0</v>
      </c>
      <c r="F53" s="117">
        <f>IF(F5=Assumptions!$C$129,E54,SUMIF($D$6:$T$6,F6-16,$D$52:$X$52))</f>
        <v>0</v>
      </c>
      <c r="G53" s="117">
        <f>IF(G5=Assumptions!$C$129,F54,SUMIF($D$6:$T$6,G6-16,$D$52:$X$52))</f>
        <v>0</v>
      </c>
      <c r="H53" s="117">
        <f>IF(H5=Assumptions!$C$129,G54,SUMIF($D$6:$T$6,H6-16,$D$52:$X$52))</f>
        <v>0</v>
      </c>
      <c r="I53" s="117">
        <f>IF(I5=Assumptions!$C$129,H54,SUMIF($D$6:$T$6,I6-16,$D$52:$X$52))</f>
        <v>0</v>
      </c>
      <c r="J53" s="117">
        <f>IF(J5=Assumptions!$C$129,I54,SUMIF($D$6:$T$6,J6-16,$D$52:$X$52))</f>
        <v>0</v>
      </c>
      <c r="K53" s="117">
        <f>IF(K5=Assumptions!$C$129,J54,SUMIF($D$6:$T$6,K6-16,$D$52:$X$52))</f>
        <v>0</v>
      </c>
      <c r="L53" s="117">
        <f>IF(L5=Assumptions!$C$129,K54,SUMIF($D$6:$T$6,L6-16,$D$52:$X$52))</f>
        <v>0</v>
      </c>
      <c r="M53" s="117">
        <f>IF(M5=Assumptions!$C$129,L54,SUMIF($D$6:$T$6,M6-16,$D$52:$X$52))</f>
        <v>0</v>
      </c>
      <c r="N53" s="117">
        <f>IF(N5=Assumptions!$C$129,M54,SUMIF($D$6:$T$6,N6-16,$D$52:$X$52))</f>
        <v>0</v>
      </c>
      <c r="O53" s="117">
        <f>IF(O5=Assumptions!$C$129,N54,SUMIF($D$6:$T$6,O6-16,$D$52:$X$52))</f>
        <v>0</v>
      </c>
      <c r="P53" s="117">
        <f>IF(P5=Assumptions!$C$129,O54,SUMIF($D$6:$T$6,P6-16,$D$52:$X$52))</f>
        <v>0</v>
      </c>
      <c r="Q53" s="117">
        <f>IF(Q5=Assumptions!$C$129,P54,SUMIF($D$6:$T$6,Q6-16,$D$52:$X$52))</f>
        <v>0</v>
      </c>
      <c r="R53" s="117">
        <f>IF(R5=Assumptions!$C$129,Q54,SUMIF($D$6:$T$6,R6-16,$D$52:$X$52))</f>
        <v>0</v>
      </c>
      <c r="S53" s="117">
        <f>IF(S5=Assumptions!$C$129,R54,SUMIF($D$6:$T$6,S6-16,$D$52:$X$52))</f>
        <v>0</v>
      </c>
      <c r="T53" s="117">
        <f>IF(T5=Assumptions!$C$129,S54,SUMIF($D$6:$T$6,T6-16,$D$52:$X$52))</f>
        <v>0</v>
      </c>
      <c r="U53" s="117">
        <f>IF(U5=Assumptions!$C$129,T54,SUMIF($D$6:$T$6,U6-16,$D$52:$X$52))</f>
        <v>0</v>
      </c>
      <c r="V53" s="117">
        <f>IF(V5=Assumptions!$C$129,U54,SUMIF($D$6:$T$6,V6-16,$D$52:$X$52))</f>
        <v>0</v>
      </c>
      <c r="W53" s="117">
        <f>IF(W5=Assumptions!$C$129,V54,SUMIF($D$6:$T$6,W6-16,$D$52:$X$52))</f>
        <v>0</v>
      </c>
      <c r="X53" s="117">
        <f>IF(X5=Assumptions!$C$129,W54,SUMIF($D$6:$T$6,X6-16,$D$52:$X$52))</f>
        <v>0</v>
      </c>
      <c r="Y53" s="42"/>
      <c r="Z53" s="42"/>
      <c r="AA53" s="42"/>
      <c r="AB53" s="42"/>
      <c r="AC53" s="42"/>
    </row>
    <row r="54" spans="2:29" s="32" customFormat="1">
      <c r="B54" s="32" t="s">
        <v>113</v>
      </c>
      <c r="C54" s="117"/>
      <c r="D54" s="117">
        <f>IF((SUM($D$52:D52)-SUM($D$51:D51)-SUM($D$53:D53))&gt;0,(SUM($D$52:D52)-SUM($D$51:D51)-SUM($D$53:D53)),0)</f>
        <v>0</v>
      </c>
      <c r="E54" s="117">
        <f>IF((SUM($D$52:E52)-SUM($D$51:E51)-SUM($D$53:E53))&gt;0,(SUM($D$52:E52)-SUM($D$51:E51)-SUM($D$53:E53)),0)</f>
        <v>0</v>
      </c>
      <c r="F54" s="117">
        <f>IF((SUM($D$52:F52)-SUM($D$51:F51)-SUM($D$53:F53))&gt;0,(SUM($D$52:F52)-SUM($D$51:F51)-SUM($D$53:F53)),0)</f>
        <v>0</v>
      </c>
      <c r="G54" s="117">
        <f>IF((SUM($D$52:G52)-SUM($D$51:G51)-SUM($D$53:G53))&gt;0,(SUM($D$52:G52)-SUM($D$51:G51)-SUM($D$53:G53)),0)</f>
        <v>0</v>
      </c>
      <c r="H54" s="117">
        <f>IF((SUM($D$52:H52)-SUM($D$51:H51)-SUM($D$53:H53))&gt;0,(SUM($D$52:H52)-SUM($D$51:H51)-SUM($D$53:H53)),0)</f>
        <v>0</v>
      </c>
      <c r="I54" s="117">
        <f>IF((SUM($D$52:I52)-SUM($D$51:I51)-SUM($D$53:I53))&gt;0,(SUM($D$52:I52)-SUM($D$51:I51)-SUM($D$53:I53)),0)</f>
        <v>0</v>
      </c>
      <c r="J54" s="117">
        <f>IF((SUM($D$52:J52)-SUM($D$51:J51)-SUM($D$53:J53))&gt;0,(SUM($D$52:J52)-SUM($D$51:J51)-SUM($D$53:J53)),0)</f>
        <v>0</v>
      </c>
      <c r="K54" s="117">
        <f>IF((SUM($D$52:K52)-SUM($D$51:K51)-SUM($D$53:K53))&gt;0,(SUM($D$52:K52)-SUM($D$51:K51)-SUM($D$53:K53)),0)</f>
        <v>0</v>
      </c>
      <c r="L54" s="117">
        <f>IF((SUM($D$52:L52)-SUM($D$51:L51)-SUM($D$53:L53))&gt;0,(SUM($D$52:L52)-SUM($D$51:L51)-SUM($D$53:L53)),0)</f>
        <v>0</v>
      </c>
      <c r="M54" s="117">
        <f>IF((SUM($D$52:M52)-SUM($D$51:M51)-SUM($D$53:M53))&gt;0,(SUM($D$52:M52)-SUM($D$51:M51)-SUM($D$53:M53)),0)</f>
        <v>0</v>
      </c>
      <c r="N54" s="117">
        <f>IF((SUM($D$52:N52)-SUM($D$51:N51)-SUM($D$53:N53))&gt;0,(SUM($D$52:N52)-SUM($D$51:N51)-SUM($D$53:N53)),0)</f>
        <v>0</v>
      </c>
      <c r="O54" s="117">
        <f>IF((SUM($D$52:O52)-SUM($D$51:O51)-SUM($D$53:O53))&gt;0,(SUM($D$52:O52)-SUM($D$51:O51)-SUM($D$53:O53)),0)</f>
        <v>0</v>
      </c>
      <c r="P54" s="117">
        <f>IF((SUM($D$52:P52)-SUM($D$51:P51)-SUM($D$53:P53))&gt;0,(SUM($D$52:P52)-SUM($D$51:P51)-SUM($D$53:P53)),0)</f>
        <v>0</v>
      </c>
      <c r="Q54" s="117">
        <f>IF((SUM($D$52:Q52)-SUM($D$51:Q51)-SUM($D$53:Q53))&gt;0,(SUM($D$52:Q52)-SUM($D$51:Q51)-SUM($D$53:Q53)),0)</f>
        <v>0</v>
      </c>
      <c r="R54" s="117">
        <f>IF((SUM($D$52:R52)-SUM($D$51:R51)-SUM($D$53:R53))&gt;0,(SUM($D$52:R52)-SUM($D$51:R51)-SUM($D$53:R53)),0)</f>
        <v>0</v>
      </c>
      <c r="S54" s="117">
        <f>IF((SUM($D$52:S52)-SUM($D$51:S51)-SUM($D$53:S53))&gt;0,(SUM($D$52:S52)-SUM($D$51:S51)-SUM($D$53:S53)),0)</f>
        <v>0</v>
      </c>
      <c r="T54" s="117">
        <f>IF((SUM($D$52:T52)-SUM($D$51:T51)-SUM($D$53:T53))&gt;0,(SUM($D$52:T52)-SUM($D$51:T51)-SUM($D$53:T53)),0)</f>
        <v>0</v>
      </c>
      <c r="U54" s="117">
        <f>IF((SUM($D$52:U52)-SUM($D$51:U51)-SUM($D$53:U53))&gt;0,(SUM($D$52:U52)-SUM($D$51:U51)-SUM($D$53:U53)),0)</f>
        <v>0</v>
      </c>
      <c r="V54" s="117">
        <f>IF((SUM($D$52:V52)-SUM($D$51:V51)-SUM($D$53:V53))&gt;0,(SUM($D$52:V52)-SUM($D$51:V51)-SUM($D$53:V53)),0)</f>
        <v>0</v>
      </c>
      <c r="W54" s="117">
        <f>IF((SUM($D$52:W52)-SUM($D$51:W51)-SUM($D$53:W53))&gt;0,(SUM($D$52:W52)-SUM($D$51:W51)-SUM($D$53:W53)),0)</f>
        <v>0</v>
      </c>
      <c r="X54" s="117">
        <f>IF((SUM($D$52:X52)-SUM($D$51:X51)-SUM($D$53:X53))&gt;0,(SUM($D$52:X52)-SUM($D$51:X51)-SUM($D$53:X53)),0)</f>
        <v>0</v>
      </c>
      <c r="Y54" s="42"/>
      <c r="Z54" s="42"/>
      <c r="AA54" s="42"/>
      <c r="AB54" s="42"/>
      <c r="AC54" s="42"/>
    </row>
    <row r="55" spans="2:29" s="30" customFormat="1">
      <c r="B55" s="34" t="s">
        <v>114</v>
      </c>
      <c r="C55" s="125"/>
      <c r="D55" s="127">
        <f t="shared" ref="D55:X55" si="20">IF(D48&gt;D30,D48,D30)-D51</f>
        <v>0</v>
      </c>
      <c r="E55" s="127">
        <f t="shared" si="20"/>
        <v>0</v>
      </c>
      <c r="F55" s="127">
        <f t="shared" si="20"/>
        <v>0</v>
      </c>
      <c r="G55" s="127">
        <f t="shared" si="20"/>
        <v>0</v>
      </c>
      <c r="H55" s="127">
        <f t="shared" si="20"/>
        <v>0</v>
      </c>
      <c r="I55" s="127">
        <f t="shared" si="20"/>
        <v>0</v>
      </c>
      <c r="J55" s="127">
        <f t="shared" si="20"/>
        <v>0</v>
      </c>
      <c r="K55" s="127">
        <f>IF(K48&gt;K30,K48,K30)-K51</f>
        <v>0</v>
      </c>
      <c r="L55" s="127">
        <f t="shared" si="20"/>
        <v>0</v>
      </c>
      <c r="M55" s="127">
        <f t="shared" si="20"/>
        <v>0</v>
      </c>
      <c r="N55" s="127">
        <f t="shared" si="20"/>
        <v>0</v>
      </c>
      <c r="O55" s="127">
        <f t="shared" si="20"/>
        <v>0</v>
      </c>
      <c r="P55" s="127">
        <f t="shared" si="20"/>
        <v>0</v>
      </c>
      <c r="Q55" s="127">
        <f t="shared" si="20"/>
        <v>0</v>
      </c>
      <c r="R55" s="127">
        <f t="shared" si="20"/>
        <v>0</v>
      </c>
      <c r="S55" s="127">
        <f t="shared" si="20"/>
        <v>0</v>
      </c>
      <c r="T55" s="127">
        <f t="shared" si="20"/>
        <v>0</v>
      </c>
      <c r="U55" s="127">
        <f t="shared" si="20"/>
        <v>0</v>
      </c>
      <c r="V55" s="127">
        <f t="shared" si="20"/>
        <v>0</v>
      </c>
      <c r="W55" s="127">
        <f t="shared" si="20"/>
        <v>0</v>
      </c>
      <c r="X55" s="127">
        <f t="shared" si="20"/>
        <v>0</v>
      </c>
      <c r="Y55" s="44"/>
      <c r="Z55" s="44"/>
      <c r="AA55" s="44"/>
      <c r="AB55" s="44"/>
      <c r="AC55" s="44"/>
    </row>
    <row r="56" spans="2:29">
      <c r="C56" s="7"/>
      <c r="D56" s="7"/>
      <c r="E56" s="7"/>
      <c r="F56" s="7"/>
      <c r="G56" s="7"/>
      <c r="H56" s="7"/>
      <c r="I56" s="7"/>
      <c r="J56" s="7"/>
      <c r="K56" s="7"/>
      <c r="L56" s="7"/>
      <c r="M56" s="7"/>
      <c r="N56" s="7"/>
      <c r="O56" s="7"/>
      <c r="P56" s="7"/>
      <c r="Q56" s="7"/>
      <c r="R56" s="7"/>
      <c r="S56" s="7"/>
      <c r="T56" s="7"/>
      <c r="U56" s="7"/>
      <c r="V56" s="7"/>
      <c r="W56" s="7"/>
      <c r="X56" s="7"/>
    </row>
    <row r="57" spans="2:29">
      <c r="C57" s="7"/>
      <c r="D57" s="7"/>
      <c r="E57" s="7"/>
      <c r="F57" s="7"/>
      <c r="G57" s="7"/>
      <c r="H57" s="7"/>
      <c r="I57" s="7"/>
      <c r="J57" s="7"/>
      <c r="K57" s="7"/>
      <c r="L57" s="7"/>
      <c r="M57" s="7"/>
      <c r="N57" s="7"/>
      <c r="O57" s="7"/>
      <c r="P57" s="7"/>
      <c r="Q57" s="7"/>
      <c r="R57" s="7"/>
      <c r="S57" s="7"/>
      <c r="T57" s="7"/>
      <c r="U57" s="7"/>
      <c r="V57" s="7"/>
      <c r="W57" s="7"/>
      <c r="X57" s="7"/>
    </row>
    <row r="58" spans="2:29">
      <c r="C58" s="7"/>
      <c r="D58" s="7"/>
      <c r="E58" s="7"/>
      <c r="F58" s="7"/>
      <c r="G58" s="7"/>
      <c r="H58" s="7"/>
      <c r="I58" s="7"/>
      <c r="J58" s="7"/>
      <c r="K58" s="7"/>
      <c r="L58" s="7"/>
      <c r="M58" s="7"/>
      <c r="N58" s="7"/>
      <c r="O58" s="7"/>
      <c r="P58" s="7"/>
      <c r="Q58" s="7"/>
      <c r="R58" s="7"/>
      <c r="S58" s="7"/>
      <c r="T58" s="7"/>
      <c r="U58" s="7"/>
      <c r="V58" s="7"/>
      <c r="W58" s="7"/>
      <c r="X58" s="7"/>
    </row>
    <row r="59" spans="2:29">
      <c r="B59" s="43" t="s">
        <v>257</v>
      </c>
      <c r="C59" s="7"/>
      <c r="D59" s="7"/>
      <c r="E59" s="7"/>
      <c r="F59" s="7"/>
      <c r="G59" s="7"/>
      <c r="H59" s="7"/>
      <c r="I59" s="7"/>
      <c r="J59" s="7"/>
      <c r="K59" s="7"/>
      <c r="L59" s="7"/>
      <c r="M59" s="7"/>
      <c r="N59" s="7"/>
      <c r="O59" s="7"/>
      <c r="P59" s="7"/>
      <c r="Q59" s="7"/>
      <c r="R59" s="7"/>
      <c r="S59" s="7"/>
      <c r="T59" s="7"/>
      <c r="U59" s="7"/>
      <c r="V59" s="7"/>
      <c r="W59" s="7"/>
      <c r="X59" s="7"/>
    </row>
    <row r="60" spans="2:29">
      <c r="B60" s="32" t="s">
        <v>262</v>
      </c>
      <c r="C60" s="7"/>
      <c r="D60" s="7">
        <f>D7-D8</f>
        <v>-505.81</v>
      </c>
      <c r="E60" s="7">
        <f t="shared" ref="E60:X60" si="21">E7-E8</f>
        <v>-512.26830000000007</v>
      </c>
      <c r="F60" s="7">
        <f t="shared" si="21"/>
        <v>-610.20495733299958</v>
      </c>
      <c r="G60" s="7">
        <f t="shared" si="21"/>
        <v>-865.37778412629359</v>
      </c>
      <c r="H60" s="7">
        <f t="shared" si="21"/>
        <v>-957.94114337278086</v>
      </c>
      <c r="I60" s="7">
        <f t="shared" si="21"/>
        <v>-630.50710379048962</v>
      </c>
      <c r="J60" s="7">
        <f t="shared" si="21"/>
        <v>-386.7189826897432</v>
      </c>
      <c r="K60" s="7">
        <f t="shared" si="21"/>
        <v>-387.8342398701526</v>
      </c>
      <c r="L60" s="7">
        <f t="shared" si="21"/>
        <v>-394.63171529542524</v>
      </c>
      <c r="M60" s="7">
        <f t="shared" si="21"/>
        <v>-397.98437293614268</v>
      </c>
      <c r="N60" s="7">
        <f t="shared" si="21"/>
        <v>-399.19545193685508</v>
      </c>
      <c r="O60" s="7">
        <f t="shared" si="21"/>
        <v>-397.70330715464888</v>
      </c>
      <c r="P60" s="7">
        <f t="shared" si="21"/>
        <v>-416.89423486060673</v>
      </c>
      <c r="Q60" s="7">
        <f t="shared" si="21"/>
        <v>-430.23276836269036</v>
      </c>
      <c r="R60" s="7">
        <f t="shared" si="21"/>
        <v>-465.72386133825142</v>
      </c>
      <c r="S60" s="7">
        <f t="shared" si="21"/>
        <v>-482.27688227577408</v>
      </c>
      <c r="T60" s="7">
        <f t="shared" si="21"/>
        <v>-520.65198614634062</v>
      </c>
      <c r="U60" s="7">
        <f t="shared" si="21"/>
        <v>-575.441686150083</v>
      </c>
      <c r="V60" s="7">
        <f t="shared" si="21"/>
        <v>-622.26363104009465</v>
      </c>
      <c r="W60" s="7">
        <f t="shared" si="21"/>
        <v>-678.74703908500885</v>
      </c>
      <c r="X60" s="7">
        <f t="shared" si="21"/>
        <v>-738.77028892055239</v>
      </c>
    </row>
    <row r="61" spans="2:29">
      <c r="B61" s="32" t="s">
        <v>263</v>
      </c>
      <c r="C61" s="7"/>
      <c r="D61" s="7">
        <f>D7-D9</f>
        <v>-440.75223136599999</v>
      </c>
      <c r="E61" s="7">
        <f t="shared" ref="E61:X61" si="22">E7-E9</f>
        <v>-451.01998256000002</v>
      </c>
      <c r="F61" s="7">
        <f t="shared" si="22"/>
        <v>-542.34985733299959</v>
      </c>
      <c r="G61" s="7">
        <f t="shared" si="22"/>
        <v>-823.61704294829349</v>
      </c>
      <c r="H61" s="7">
        <f t="shared" si="22"/>
        <v>-931.69919568278101</v>
      </c>
      <c r="I61" s="7">
        <f t="shared" si="22"/>
        <v>-602.07363743448957</v>
      </c>
      <c r="J61" s="7">
        <f t="shared" si="22"/>
        <v>-336.83178084074314</v>
      </c>
      <c r="K61" s="7">
        <f t="shared" si="22"/>
        <v>-335.08820873590253</v>
      </c>
      <c r="L61" s="7">
        <f t="shared" si="22"/>
        <v>-339.17188326196271</v>
      </c>
      <c r="M61" s="7">
        <f t="shared" si="22"/>
        <v>-341.18053416494962</v>
      </c>
      <c r="N61" s="7">
        <f t="shared" si="22"/>
        <v>-345.47221660844087</v>
      </c>
      <c r="O61" s="7">
        <f t="shared" si="22"/>
        <v>-360.51443924971187</v>
      </c>
      <c r="P61" s="7">
        <f t="shared" si="22"/>
        <v>-377.7099250088088</v>
      </c>
      <c r="Q61" s="7">
        <f t="shared" si="22"/>
        <v>-388.64827231042079</v>
      </c>
      <c r="R61" s="7">
        <f t="shared" si="22"/>
        <v>-429.71194616103497</v>
      </c>
      <c r="S61" s="7">
        <f t="shared" si="22"/>
        <v>-471.28501287080678</v>
      </c>
      <c r="T61" s="7">
        <f t="shared" si="22"/>
        <v>-509.39677112909794</v>
      </c>
      <c r="U61" s="7">
        <f t="shared" si="22"/>
        <v>-563.73536027992895</v>
      </c>
      <c r="V61" s="7">
        <f t="shared" si="22"/>
        <v>-609.47341563803525</v>
      </c>
      <c r="W61" s="7">
        <f t="shared" si="22"/>
        <v>-665.53963141516283</v>
      </c>
      <c r="X61" s="7">
        <f t="shared" si="22"/>
        <v>-724.22586403534251</v>
      </c>
    </row>
    <row r="62" spans="2:29">
      <c r="B62" s="1" t="s">
        <v>233</v>
      </c>
      <c r="C62" s="7"/>
      <c r="D62" s="7">
        <f>Assumptions!$C$126*(D60-D61)</f>
        <v>-22.733786671464966</v>
      </c>
      <c r="E62" s="7">
        <f>Assumptions!$C$126*(E60-E61)</f>
        <v>-21.402612046233621</v>
      </c>
      <c r="F62" s="7">
        <f>Assumptions!$C$126*(F60-F61)</f>
        <v>-23.711286143999999</v>
      </c>
      <c r="G62" s="7">
        <f>Assumptions!$C$126*(G60-G61)</f>
        <v>-14.592873397240357</v>
      </c>
      <c r="H62" s="7">
        <f>Assumptions!$C$126*(H60-H61)</f>
        <v>-9.1699862007935469</v>
      </c>
      <c r="I62" s="7">
        <f>Assumptions!$C$126*(I60-I61)</f>
        <v>-9.935790483440659</v>
      </c>
      <c r="J62" s="7">
        <f>Assumptions!$C$126*(J60-J61)</f>
        <v>-17.432583814114583</v>
      </c>
      <c r="K62" s="7">
        <f>Assumptions!$C$126*(K60-K61)</f>
        <v>-18.431573119552347</v>
      </c>
      <c r="L62" s="7">
        <f>Assumptions!$C$126*(L60-L61)</f>
        <v>-19.37988370577315</v>
      </c>
      <c r="M62" s="7">
        <f>Assumptions!$C$126*(M60-M61)</f>
        <v>-19.849533420205702</v>
      </c>
      <c r="N62" s="7">
        <f>Assumptions!$C$126*(N60-N61)</f>
        <v>-18.773047353161061</v>
      </c>
      <c r="O62" s="7">
        <f>Assumptions!$C$126*(O60-O61)</f>
        <v>-12.995278000701191</v>
      </c>
      <c r="P62" s="7">
        <f>Assumptions!$C$126*(P60-P61)</f>
        <v>-13.692565234612271</v>
      </c>
      <c r="Q62" s="7">
        <f>Assumptions!$C$126*(Q60-Q61)</f>
        <v>-14.53128630050508</v>
      </c>
      <c r="R62" s="7">
        <f>Assumptions!$C$126*(R60-R61)</f>
        <v>-12.584003639526518</v>
      </c>
      <c r="S62" s="7">
        <f>Assumptions!$C$126*(S60-S61)</f>
        <v>-3.8409988448717747</v>
      </c>
      <c r="T62" s="7">
        <f>Assumptions!$C$126*(T60-T61)</f>
        <v>-3.9330223356252811</v>
      </c>
      <c r="U62" s="7">
        <f>Assumptions!$C$126*(U60-U61)</f>
        <v>-4.0906585120666303</v>
      </c>
      <c r="V62" s="7">
        <f>Assumptions!$C$126*(V60-V61)</f>
        <v>-4.4694128700956384</v>
      </c>
      <c r="W62" s="7">
        <f>Assumptions!$C$126*(W60-W61)</f>
        <v>-4.6151965361509939</v>
      </c>
      <c r="X62" s="7">
        <f>Assumptions!$C$126*(X60-X61)</f>
        <v>-5.0824038318877403</v>
      </c>
    </row>
    <row r="63" spans="2:29">
      <c r="B63" s="1" t="s">
        <v>259</v>
      </c>
      <c r="C63" s="7"/>
      <c r="D63" s="7"/>
      <c r="E63" s="453">
        <f>(D63+E62)*0+Fin_Statements!J32*1</f>
        <v>270.88349999999997</v>
      </c>
      <c r="F63" s="7">
        <f>(E63+F62)*0+Fin_Statements!K32</f>
        <v>282.18283159999999</v>
      </c>
      <c r="G63" s="7">
        <f t="shared" ref="G63:U63" si="23">F63+G62</f>
        <v>267.58995820275965</v>
      </c>
      <c r="H63" s="7">
        <f t="shared" si="23"/>
        <v>258.41997200196607</v>
      </c>
      <c r="I63" s="7">
        <f t="shared" si="23"/>
        <v>248.48418151852542</v>
      </c>
      <c r="J63" s="7">
        <f t="shared" si="23"/>
        <v>231.05159770441082</v>
      </c>
      <c r="K63" s="7">
        <f t="shared" si="23"/>
        <v>212.62002458485847</v>
      </c>
      <c r="L63" s="7">
        <f t="shared" si="23"/>
        <v>193.24014087908532</v>
      </c>
      <c r="M63" s="7">
        <f t="shared" si="23"/>
        <v>173.39060745887963</v>
      </c>
      <c r="N63" s="7">
        <f t="shared" si="23"/>
        <v>154.61756010571855</v>
      </c>
      <c r="O63" s="7">
        <f t="shared" si="23"/>
        <v>141.62228210501735</v>
      </c>
      <c r="P63" s="7">
        <f t="shared" si="23"/>
        <v>127.92971687040507</v>
      </c>
      <c r="Q63" s="7">
        <f t="shared" si="23"/>
        <v>113.3984305699</v>
      </c>
      <c r="R63" s="7">
        <f t="shared" si="23"/>
        <v>100.81442693037349</v>
      </c>
      <c r="S63" s="7">
        <f t="shared" si="23"/>
        <v>96.973428085501709</v>
      </c>
      <c r="T63" s="7">
        <f t="shared" si="23"/>
        <v>93.040405749876427</v>
      </c>
      <c r="U63" s="7">
        <f t="shared" si="23"/>
        <v>88.949747237809802</v>
      </c>
      <c r="V63" s="7">
        <f>U63+V62</f>
        <v>84.480334367714164</v>
      </c>
      <c r="W63" s="7">
        <f>V63+W62</f>
        <v>79.865137831563175</v>
      </c>
      <c r="X63" s="7">
        <f>W63+X62</f>
        <v>74.782733999675429</v>
      </c>
    </row>
    <row r="64" spans="2:29"/>
    <row r="65"/>
    <row r="66"/>
    <row r="67"/>
    <row r="68"/>
    <row r="69"/>
    <row r="70"/>
    <row r="79"/>
    <row r="80"/>
  </sheetData>
  <conditionalFormatting sqref="D16:X16">
    <cfRule type="cellIs" dxfId="0" priority="1" operator="lessThan">
      <formula>0</formula>
    </cfRule>
  </conditionalFormatting>
  <pageMargins left="0.7" right="0.7" top="0.75" bottom="0.75" header="0.3" footer="0.3"/>
  <pageSetup paperSize="9" orientation="portrait" verticalDpi="0" r:id="rId1"/>
  <ignoredErrors>
    <ignoredError sqref="M16"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G80"/>
  <sheetViews>
    <sheetView showGridLines="0" topLeftCell="C1" workbookViewId="0">
      <selection activeCell="C1" sqref="A1:XFD1048576"/>
    </sheetView>
  </sheetViews>
  <sheetFormatPr defaultRowHeight="12.75"/>
  <cols>
    <col min="1" max="3" width="9.140625" style="1"/>
    <col min="4" max="4" width="58.85546875" style="1" customWidth="1"/>
    <col min="5" max="5" width="25.28515625" style="3" customWidth="1"/>
    <col min="6" max="6" width="25.28515625" style="7" customWidth="1"/>
    <col min="7" max="7" width="25.28515625" style="251" customWidth="1"/>
    <col min="8" max="16384" width="9.140625" style="1"/>
  </cols>
  <sheetData>
    <row r="3" spans="1:7">
      <c r="E3" s="59"/>
      <c r="F3" s="11"/>
    </row>
    <row r="4" spans="1:7">
      <c r="E4" s="59"/>
      <c r="F4" s="11"/>
    </row>
    <row r="5" spans="1:7">
      <c r="E5" s="59"/>
      <c r="F5" s="11"/>
    </row>
    <row r="6" spans="1:7">
      <c r="D6" s="2"/>
      <c r="E6" s="11"/>
      <c r="F6" s="11"/>
    </row>
    <row r="7" spans="1:7">
      <c r="E7" s="7"/>
    </row>
    <row r="8" spans="1:7">
      <c r="E8" s="7"/>
    </row>
    <row r="9" spans="1:7">
      <c r="E9" s="244"/>
      <c r="F9" s="244"/>
    </row>
    <row r="10" spans="1:7">
      <c r="E10" s="7"/>
    </row>
    <row r="11" spans="1:7">
      <c r="E11" s="7"/>
    </row>
    <row r="12" spans="1:7">
      <c r="E12" s="7"/>
    </row>
    <row r="13" spans="1:7">
      <c r="E13" s="7"/>
    </row>
    <row r="14" spans="1:7" s="2" customFormat="1">
      <c r="A14" s="1"/>
      <c r="B14" s="1"/>
      <c r="C14" s="1"/>
      <c r="E14" s="11"/>
      <c r="F14" s="11"/>
      <c r="G14" s="252"/>
    </row>
    <row r="15" spans="1:7">
      <c r="D15" s="2"/>
      <c r="E15" s="11"/>
      <c r="F15" s="11"/>
    </row>
    <row r="16" spans="1:7">
      <c r="E16" s="7"/>
    </row>
    <row r="17" spans="4:7">
      <c r="E17" s="7"/>
    </row>
    <row r="18" spans="4:7">
      <c r="E18" s="7"/>
    </row>
    <row r="19" spans="4:7">
      <c r="E19" s="7"/>
    </row>
    <row r="20" spans="4:7">
      <c r="E20" s="7"/>
    </row>
    <row r="21" spans="4:7">
      <c r="E21" s="7"/>
    </row>
    <row r="22" spans="4:7">
      <c r="D22" s="2"/>
      <c r="E22" s="11"/>
      <c r="F22" s="11"/>
    </row>
    <row r="23" spans="4:7">
      <c r="E23" s="7"/>
    </row>
    <row r="24" spans="4:7">
      <c r="E24" s="7"/>
    </row>
    <row r="25" spans="4:7">
      <c r="D25" s="245"/>
      <c r="E25" s="246"/>
      <c r="F25" s="86"/>
      <c r="G25" s="246"/>
    </row>
    <row r="26" spans="4:7">
      <c r="D26" s="247"/>
      <c r="E26" s="248"/>
      <c r="F26" s="91"/>
      <c r="G26" s="253"/>
    </row>
    <row r="27" spans="4:7">
      <c r="D27" s="85"/>
      <c r="E27" s="91"/>
      <c r="F27" s="182"/>
      <c r="G27" s="91"/>
    </row>
    <row r="28" spans="4:7">
      <c r="D28" s="85"/>
      <c r="E28" s="91"/>
      <c r="F28" s="182"/>
      <c r="G28" s="91"/>
    </row>
    <row r="29" spans="4:7">
      <c r="D29" s="85"/>
      <c r="E29" s="91"/>
      <c r="F29" s="182"/>
      <c r="G29" s="91"/>
    </row>
    <row r="30" spans="4:7">
      <c r="D30" s="85"/>
      <c r="E30" s="91"/>
      <c r="F30" s="182"/>
      <c r="G30" s="91"/>
    </row>
    <row r="31" spans="4:7">
      <c r="D31" s="85"/>
      <c r="E31" s="91"/>
      <c r="F31" s="182"/>
      <c r="G31" s="91"/>
    </row>
    <row r="32" spans="4:7">
      <c r="D32" s="176"/>
      <c r="E32" s="86"/>
      <c r="F32" s="224"/>
      <c r="G32" s="86"/>
    </row>
    <row r="33" spans="4:7">
      <c r="D33" s="180"/>
      <c r="E33" s="91"/>
      <c r="F33" s="182"/>
      <c r="G33" s="91"/>
    </row>
    <row r="34" spans="4:7">
      <c r="D34" s="180"/>
      <c r="E34" s="91"/>
      <c r="F34" s="250"/>
      <c r="G34" s="91"/>
    </row>
    <row r="35" spans="4:7">
      <c r="D35" s="180"/>
      <c r="E35" s="91"/>
      <c r="F35" s="182"/>
      <c r="G35" s="91"/>
    </row>
    <row r="36" spans="4:7">
      <c r="D36" s="249"/>
      <c r="E36" s="91"/>
      <c r="F36" s="182"/>
      <c r="G36" s="91"/>
    </row>
    <row r="37" spans="4:7">
      <c r="D37" s="249"/>
      <c r="E37" s="91"/>
      <c r="F37" s="182"/>
      <c r="G37" s="91"/>
    </row>
    <row r="38" spans="4:7">
      <c r="D38" s="180"/>
      <c r="E38" s="91"/>
      <c r="F38" s="250"/>
      <c r="G38" s="91"/>
    </row>
    <row r="39" spans="4:7">
      <c r="D39" s="180"/>
      <c r="E39" s="91"/>
      <c r="F39" s="182"/>
      <c r="G39" s="91"/>
    </row>
    <row r="40" spans="4:7">
      <c r="D40" s="180"/>
      <c r="E40" s="91"/>
      <c r="F40" s="250"/>
      <c r="G40" s="91"/>
    </row>
    <row r="41" spans="4:7">
      <c r="D41" s="180"/>
      <c r="E41" s="91"/>
      <c r="F41" s="182"/>
      <c r="G41" s="91"/>
    </row>
    <row r="42" spans="4:7">
      <c r="D42" s="87"/>
      <c r="E42" s="86"/>
      <c r="F42" s="224"/>
      <c r="G42" s="86"/>
    </row>
    <row r="43" spans="4:7">
      <c r="D43" s="87"/>
      <c r="E43" s="91"/>
      <c r="F43" s="182"/>
      <c r="G43" s="91"/>
    </row>
    <row r="44" spans="4:7">
      <c r="D44" s="85"/>
      <c r="E44" s="91"/>
      <c r="F44" s="182"/>
      <c r="G44" s="91"/>
    </row>
    <row r="45" spans="4:7">
      <c r="D45" s="85"/>
      <c r="E45" s="91"/>
      <c r="F45" s="182"/>
      <c r="G45" s="91"/>
    </row>
    <row r="46" spans="4:7">
      <c r="D46" s="85"/>
      <c r="E46" s="91"/>
      <c r="F46" s="182"/>
      <c r="G46" s="91"/>
    </row>
    <row r="47" spans="4:7">
      <c r="D47" s="85"/>
      <c r="E47" s="91"/>
      <c r="F47" s="182"/>
      <c r="G47" s="91"/>
    </row>
    <row r="48" spans="4:7">
      <c r="D48" s="85"/>
      <c r="E48" s="91"/>
      <c r="F48" s="182"/>
      <c r="G48" s="91"/>
    </row>
    <row r="49" spans="4:7">
      <c r="D49" s="87"/>
      <c r="E49" s="86"/>
      <c r="F49" s="224"/>
      <c r="G49" s="86"/>
    </row>
    <row r="50" spans="4:7">
      <c r="D50" s="85"/>
      <c r="E50" s="91"/>
      <c r="F50" s="182"/>
      <c r="G50" s="91"/>
    </row>
    <row r="51" spans="4:7">
      <c r="D51" s="85"/>
      <c r="E51" s="91"/>
      <c r="F51" s="182"/>
      <c r="G51" s="91"/>
    </row>
    <row r="52" spans="4:7">
      <c r="D52" s="85"/>
      <c r="E52" s="91"/>
      <c r="F52" s="182"/>
      <c r="G52" s="91"/>
    </row>
    <row r="53" spans="4:7">
      <c r="D53" s="85"/>
      <c r="E53" s="91"/>
      <c r="F53" s="182"/>
      <c r="G53" s="91"/>
    </row>
    <row r="54" spans="4:7">
      <c r="D54" s="85"/>
      <c r="E54" s="91"/>
      <c r="F54" s="182"/>
      <c r="G54" s="91"/>
    </row>
    <row r="55" spans="4:7">
      <c r="D55" s="85"/>
      <c r="E55" s="91"/>
      <c r="F55" s="182"/>
      <c r="G55" s="91"/>
    </row>
    <row r="56" spans="4:7">
      <c r="D56" s="85"/>
      <c r="E56" s="91"/>
      <c r="F56" s="182"/>
      <c r="G56" s="91"/>
    </row>
    <row r="57" spans="4:7">
      <c r="D57" s="85"/>
      <c r="E57" s="91"/>
      <c r="F57" s="182"/>
      <c r="G57" s="91"/>
    </row>
    <row r="58" spans="4:7">
      <c r="D58" s="176"/>
      <c r="E58" s="86"/>
      <c r="F58" s="224"/>
      <c r="G58" s="86"/>
    </row>
    <row r="59" spans="4:7">
      <c r="D59" s="180"/>
      <c r="E59" s="91"/>
      <c r="F59" s="182"/>
      <c r="G59" s="91"/>
    </row>
    <row r="60" spans="4:7">
      <c r="D60" s="180"/>
      <c r="E60" s="91"/>
      <c r="F60" s="250"/>
      <c r="G60" s="91"/>
    </row>
    <row r="61" spans="4:7">
      <c r="D61" s="180"/>
      <c r="E61" s="91"/>
      <c r="F61" s="182"/>
      <c r="G61" s="91"/>
    </row>
    <row r="62" spans="4:7">
      <c r="D62" s="180"/>
      <c r="E62" s="91"/>
      <c r="F62" s="182"/>
      <c r="G62" s="91"/>
    </row>
    <row r="63" spans="4:7">
      <c r="D63" s="180"/>
      <c r="E63" s="91"/>
      <c r="F63" s="182"/>
      <c r="G63" s="91"/>
    </row>
    <row r="64" spans="4:7">
      <c r="D64" s="85"/>
      <c r="E64" s="91"/>
      <c r="F64" s="182"/>
      <c r="G64" s="91"/>
    </row>
    <row r="65" spans="4:7">
      <c r="D65" s="87"/>
      <c r="E65" s="86"/>
      <c r="F65" s="224"/>
      <c r="G65" s="86"/>
    </row>
    <row r="66" spans="4:7">
      <c r="E66" s="7"/>
      <c r="F66" s="5"/>
    </row>
    <row r="69" spans="4:7">
      <c r="D69" s="245"/>
      <c r="E69" s="254"/>
      <c r="F69" s="86"/>
      <c r="G69" s="253"/>
    </row>
    <row r="70" spans="4:7">
      <c r="D70" s="255"/>
      <c r="E70" s="254"/>
      <c r="F70" s="86"/>
      <c r="G70" s="256"/>
    </row>
    <row r="71" spans="4:7">
      <c r="D71" s="245"/>
      <c r="E71" s="91"/>
      <c r="F71" s="91"/>
      <c r="G71" s="253"/>
    </row>
    <row r="72" spans="4:7">
      <c r="D72" s="245"/>
      <c r="E72" s="91"/>
      <c r="F72" s="91"/>
      <c r="G72" s="253"/>
    </row>
    <row r="73" spans="4:7">
      <c r="D73" s="245"/>
      <c r="E73" s="91"/>
      <c r="F73" s="91"/>
      <c r="G73" s="253"/>
    </row>
    <row r="74" spans="4:7">
      <c r="D74" s="255"/>
      <c r="E74" s="86"/>
      <c r="F74" s="86"/>
      <c r="G74" s="88"/>
    </row>
    <row r="75" spans="4:7">
      <c r="D75" s="255"/>
      <c r="E75" s="86"/>
      <c r="F75" s="86"/>
      <c r="G75" s="88"/>
    </row>
    <row r="76" spans="4:7">
      <c r="D76" s="255"/>
      <c r="E76" s="86"/>
      <c r="F76" s="86"/>
      <c r="G76" s="88"/>
    </row>
    <row r="77" spans="4:7">
      <c r="D77" s="245"/>
      <c r="E77" s="248"/>
      <c r="F77" s="91"/>
      <c r="G77" s="253"/>
    </row>
    <row r="78" spans="4:7">
      <c r="D78" s="274"/>
      <c r="E78" s="258"/>
      <c r="F78" s="259"/>
      <c r="G78" s="257"/>
    </row>
    <row r="80" spans="4:7">
      <c r="E80" s="7"/>
      <c r="G80" s="48"/>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5"/>
  <sheetViews>
    <sheetView topLeftCell="F1" zoomScale="90" zoomScaleNormal="90" workbookViewId="0">
      <selection activeCell="L15" sqref="L15"/>
    </sheetView>
  </sheetViews>
  <sheetFormatPr defaultRowHeight="15"/>
  <cols>
    <col min="2" max="2" width="14.42578125" customWidth="1"/>
    <col min="3" max="5" width="10" style="338" customWidth="1"/>
    <col min="6" max="12" width="13.7109375" style="338" customWidth="1"/>
    <col min="13" max="13" width="9.140625" customWidth="1"/>
    <col min="14" max="14" width="15.85546875" customWidth="1"/>
    <col min="15" max="16" width="11.5703125" style="338" customWidth="1"/>
    <col min="17" max="17" width="14.42578125" style="338" customWidth="1"/>
    <col min="18" max="19" width="11.5703125" style="338" customWidth="1"/>
    <col min="20" max="22" width="11.85546875" style="341" customWidth="1"/>
    <col min="23" max="24" width="11.85546875" style="339" customWidth="1"/>
  </cols>
  <sheetData>
    <row r="1" spans="1:26" ht="51.75" customHeight="1">
      <c r="C1" s="1246" t="s">
        <v>404</v>
      </c>
      <c r="D1" s="1246"/>
      <c r="F1" s="1247" t="s">
        <v>405</v>
      </c>
      <c r="G1" s="1248"/>
      <c r="H1" s="1248"/>
      <c r="I1" s="1248"/>
      <c r="J1" s="1248"/>
      <c r="K1" s="1248"/>
      <c r="L1" s="1249"/>
      <c r="N1" s="1253" t="s">
        <v>406</v>
      </c>
      <c r="O1" s="1253"/>
      <c r="P1" s="1253"/>
      <c r="Q1" s="1253"/>
      <c r="R1" s="1254"/>
      <c r="S1" s="377"/>
      <c r="T1" s="1250" t="s">
        <v>407</v>
      </c>
      <c r="U1" s="1250"/>
      <c r="V1" s="1250"/>
    </row>
    <row r="2" spans="1:26">
      <c r="P2" s="340">
        <v>0.51</v>
      </c>
      <c r="Q2" s="340"/>
      <c r="R2" s="338">
        <v>31</v>
      </c>
      <c r="U2" s="358">
        <f>SUM('P&amp;L'!E100:E103)</f>
        <v>0</v>
      </c>
      <c r="V2" s="358">
        <v>250</v>
      </c>
    </row>
    <row r="3" spans="1:26" s="345" customFormat="1" ht="45">
      <c r="A3"/>
      <c r="B3" s="342"/>
      <c r="C3" s="1251" t="s">
        <v>404</v>
      </c>
      <c r="D3" s="1251"/>
      <c r="E3" s="343"/>
      <c r="F3" s="1252" t="s">
        <v>116</v>
      </c>
      <c r="G3" s="1252"/>
      <c r="H3" s="1252" t="s">
        <v>408</v>
      </c>
      <c r="I3" s="1252"/>
      <c r="J3" s="1252" t="s">
        <v>409</v>
      </c>
      <c r="K3" s="1252"/>
      <c r="L3" s="344" t="s">
        <v>410</v>
      </c>
      <c r="N3" s="1244" t="s">
        <v>276</v>
      </c>
      <c r="O3" s="1244"/>
      <c r="P3" s="1245"/>
      <c r="Q3" s="346" t="s">
        <v>391</v>
      </c>
      <c r="R3" s="347" t="s">
        <v>411</v>
      </c>
      <c r="S3" s="346" t="s">
        <v>440</v>
      </c>
      <c r="T3" s="348" t="s">
        <v>412</v>
      </c>
      <c r="U3" s="348" t="s">
        <v>413</v>
      </c>
      <c r="V3" s="348" t="s">
        <v>414</v>
      </c>
      <c r="W3" s="349"/>
      <c r="X3" s="349"/>
    </row>
    <row r="4" spans="1:26" s="345" customFormat="1" ht="75">
      <c r="A4"/>
      <c r="B4" s="342"/>
      <c r="C4" s="350" t="s">
        <v>434</v>
      </c>
      <c r="D4" s="350" t="s">
        <v>435</v>
      </c>
      <c r="E4" s="343"/>
      <c r="F4" s="351" t="s">
        <v>423</v>
      </c>
      <c r="G4" s="351" t="s">
        <v>424</v>
      </c>
      <c r="H4" s="351" t="s">
        <v>425</v>
      </c>
      <c r="I4" s="351" t="s">
        <v>426</v>
      </c>
      <c r="J4" s="351" t="s">
        <v>427</v>
      </c>
      <c r="K4" s="351" t="s">
        <v>428</v>
      </c>
      <c r="L4" s="351" t="s">
        <v>429</v>
      </c>
      <c r="N4" s="346" t="s">
        <v>437</v>
      </c>
      <c r="O4" s="346" t="s">
        <v>430</v>
      </c>
      <c r="P4" s="346" t="s">
        <v>431</v>
      </c>
      <c r="Q4" s="346" t="s">
        <v>438</v>
      </c>
      <c r="R4" s="347" t="s">
        <v>432</v>
      </c>
      <c r="S4" s="347" t="s">
        <v>441</v>
      </c>
      <c r="T4" s="352" t="s">
        <v>433</v>
      </c>
      <c r="U4" s="352" t="s">
        <v>436</v>
      </c>
      <c r="V4" s="352" t="s">
        <v>439</v>
      </c>
      <c r="W4" s="349"/>
      <c r="X4" s="349"/>
    </row>
    <row r="5" spans="1:26">
      <c r="A5" s="353">
        <f>SUM(C5:D5)/SUM($C$12:$D$12)</f>
        <v>0.31690599040687556</v>
      </c>
      <c r="B5" s="342" t="s">
        <v>415</v>
      </c>
      <c r="C5" s="354">
        <v>306</v>
      </c>
      <c r="D5" s="354">
        <v>322.32</v>
      </c>
      <c r="E5" s="355"/>
      <c r="F5" s="356">
        <v>190.46</v>
      </c>
      <c r="G5" s="356">
        <v>60.088000000000001</v>
      </c>
      <c r="H5" s="356">
        <v>371</v>
      </c>
      <c r="I5" s="356">
        <v>82.557999999999993</v>
      </c>
      <c r="J5" s="356">
        <v>9.35</v>
      </c>
      <c r="K5" s="356">
        <v>0</v>
      </c>
      <c r="L5" s="356">
        <v>713.45600000000002</v>
      </c>
      <c r="N5" s="357">
        <f>SUM(O5:P5)</f>
        <v>286.34460000000001</v>
      </c>
      <c r="O5" s="357">
        <f>F5</f>
        <v>190.46</v>
      </c>
      <c r="P5" s="357">
        <f>$P$2*(F5+H5+K5)-O5</f>
        <v>95.884600000000006</v>
      </c>
      <c r="Q5" s="357">
        <f>F5+H5+K5-SUM(O5:P5)</f>
        <v>275.11540000000002</v>
      </c>
      <c r="R5" s="357">
        <f t="shared" ref="R5:R11" si="0">$R$2*(G5+I5)/($G$12+$I$12)</f>
        <v>11.006307059725417</v>
      </c>
      <c r="S5" s="357">
        <f>J5</f>
        <v>9.35</v>
      </c>
      <c r="T5" s="378">
        <f>SUM(C5:D5)-H5-SUM(J5:K5)</f>
        <v>247.96999999999994</v>
      </c>
      <c r="U5" s="379">
        <f>SUM(C5:D5)/SUM($C$12:$D$12)*($U$2-$T$12)-S5</f>
        <v>-254.99334034408142</v>
      </c>
      <c r="V5" s="379">
        <f t="shared" ref="V5:V11" si="1">SUM(F5,H5,K5)/SUM($F$12,$H$12,$K$12)*$V$2</f>
        <v>84.109321444835928</v>
      </c>
      <c r="X5" s="395"/>
      <c r="Y5" s="355"/>
      <c r="Z5" s="355"/>
    </row>
    <row r="6" spans="1:26">
      <c r="A6" s="353">
        <f t="shared" ref="A6:A11" si="2">SUM(C6:D6)/SUM($C$12:$D$12)</f>
        <v>0.42871481386211524</v>
      </c>
      <c r="B6" s="342" t="s">
        <v>416</v>
      </c>
      <c r="C6" s="354">
        <v>300</v>
      </c>
      <c r="D6" s="354">
        <v>550</v>
      </c>
      <c r="E6" s="355"/>
      <c r="F6" s="356">
        <v>218</v>
      </c>
      <c r="G6" s="356">
        <v>50.97399999999999</v>
      </c>
      <c r="H6" s="356">
        <v>300</v>
      </c>
      <c r="I6" s="356">
        <v>110.334</v>
      </c>
      <c r="J6" s="356">
        <v>0.38</v>
      </c>
      <c r="K6" s="356">
        <v>149</v>
      </c>
      <c r="L6" s="356">
        <v>828.68799999999999</v>
      </c>
      <c r="N6" s="357">
        <f t="shared" ref="N6:N12" si="3">SUM(O6:P6)</f>
        <v>340.17</v>
      </c>
      <c r="O6" s="357">
        <f t="shared" ref="O6:O11" si="4">F6</f>
        <v>218</v>
      </c>
      <c r="P6" s="357">
        <f t="shared" ref="P6:P11" si="5">$P$2*(F6+H6+K6)-O6</f>
        <v>122.17000000000002</v>
      </c>
      <c r="Q6" s="357">
        <f t="shared" ref="Q6:Q11" si="6">F6+H6+K6-SUM(O6:P6)</f>
        <v>326.83</v>
      </c>
      <c r="R6" s="357">
        <f t="shared" si="0"/>
        <v>12.44623318698167</v>
      </c>
      <c r="S6" s="357">
        <f t="shared" ref="S6:S11" si="7">J6</f>
        <v>0.38</v>
      </c>
      <c r="T6" s="378">
        <f t="shared" ref="T6:T11" si="8">SUM(C6:D6)-H6-SUM(J6:K6)</f>
        <v>400.62</v>
      </c>
      <c r="U6" s="379">
        <f t="shared" ref="U6:U11" si="9">SUM(C6:D6)/SUM($C$12:$D$12)*($U$2-$T$12)-S6</f>
        <v>-332.68971366894135</v>
      </c>
      <c r="V6" s="379">
        <f t="shared" si="1"/>
        <v>99.919704705064589</v>
      </c>
      <c r="X6" s="395"/>
      <c r="Y6" s="355"/>
      <c r="Z6" s="355"/>
    </row>
    <row r="7" spans="1:26">
      <c r="A7" s="353">
        <f t="shared" si="2"/>
        <v>0.13365814785113006</v>
      </c>
      <c r="B7" s="342" t="s">
        <v>417</v>
      </c>
      <c r="C7" s="354">
        <v>17</v>
      </c>
      <c r="D7" s="354">
        <v>248</v>
      </c>
      <c r="E7" s="355"/>
      <c r="F7" s="356">
        <v>54.6</v>
      </c>
      <c r="G7" s="356">
        <v>9.7720000000000002</v>
      </c>
      <c r="H7" s="356">
        <v>75</v>
      </c>
      <c r="I7" s="356">
        <v>38.15</v>
      </c>
      <c r="J7" s="356">
        <v>0</v>
      </c>
      <c r="K7" s="356">
        <v>70.900000000000006</v>
      </c>
      <c r="L7" s="356">
        <v>248.42200000000003</v>
      </c>
      <c r="N7" s="357">
        <f t="shared" si="3"/>
        <v>102.255</v>
      </c>
      <c r="O7" s="357">
        <f t="shared" si="4"/>
        <v>54.6</v>
      </c>
      <c r="P7" s="357">
        <f t="shared" si="5"/>
        <v>47.654999999999994</v>
      </c>
      <c r="Q7" s="357">
        <f t="shared" si="6"/>
        <v>98.245000000000005</v>
      </c>
      <c r="R7" s="357">
        <f t="shared" si="0"/>
        <v>3.6975747438845912</v>
      </c>
      <c r="S7" s="357">
        <f t="shared" si="7"/>
        <v>0</v>
      </c>
      <c r="T7" s="378">
        <f t="shared" si="8"/>
        <v>119.1</v>
      </c>
      <c r="U7" s="379">
        <f t="shared" si="9"/>
        <v>-103.60244014384642</v>
      </c>
      <c r="V7" s="379">
        <f t="shared" si="1"/>
        <v>30.03583327341147</v>
      </c>
      <c r="X7" s="395"/>
      <c r="Y7" s="355"/>
      <c r="Z7" s="355"/>
    </row>
    <row r="8" spans="1:26">
      <c r="A8" s="353">
        <f t="shared" si="2"/>
        <v>2.6257521423131439E-2</v>
      </c>
      <c r="B8" s="342" t="s">
        <v>418</v>
      </c>
      <c r="C8" s="354">
        <v>37</v>
      </c>
      <c r="D8" s="354">
        <v>15.06</v>
      </c>
      <c r="E8" s="355"/>
      <c r="F8" s="356">
        <v>0</v>
      </c>
      <c r="G8" s="356">
        <v>0</v>
      </c>
      <c r="H8" s="356">
        <v>37</v>
      </c>
      <c r="I8" s="356">
        <v>13.664</v>
      </c>
      <c r="J8" s="356">
        <v>7.999999999999996E-2</v>
      </c>
      <c r="K8" s="356">
        <v>13.1</v>
      </c>
      <c r="L8" s="356">
        <v>63.844000000000001</v>
      </c>
      <c r="N8" s="357">
        <f t="shared" si="3"/>
        <v>25.551000000000002</v>
      </c>
      <c r="O8" s="357">
        <f t="shared" si="4"/>
        <v>0</v>
      </c>
      <c r="P8" s="357">
        <f t="shared" si="5"/>
        <v>25.551000000000002</v>
      </c>
      <c r="Q8" s="357">
        <f t="shared" si="6"/>
        <v>24.548999999999999</v>
      </c>
      <c r="R8" s="357">
        <f t="shared" si="0"/>
        <v>1.05428949752596</v>
      </c>
      <c r="S8" s="357">
        <f t="shared" si="7"/>
        <v>7.999999999999996E-2</v>
      </c>
      <c r="T8" s="378">
        <f t="shared" si="8"/>
        <v>1.8800000000000026</v>
      </c>
      <c r="U8" s="379">
        <f t="shared" si="9"/>
        <v>-20.432992580711868</v>
      </c>
      <c r="V8" s="379">
        <f t="shared" si="1"/>
        <v>7.5052132019846116</v>
      </c>
      <c r="X8" s="395"/>
      <c r="Y8" s="355"/>
      <c r="Z8" s="355"/>
    </row>
    <row r="9" spans="1:26">
      <c r="A9" s="353">
        <f t="shared" si="2"/>
        <v>5.1274291737908984E-2</v>
      </c>
      <c r="B9" s="342" t="s">
        <v>419</v>
      </c>
      <c r="C9" s="354">
        <v>100</v>
      </c>
      <c r="D9" s="354">
        <v>1.66</v>
      </c>
      <c r="E9" s="355"/>
      <c r="F9" s="356">
        <v>0</v>
      </c>
      <c r="G9" s="356">
        <v>0</v>
      </c>
      <c r="H9" s="356">
        <v>100</v>
      </c>
      <c r="I9" s="356">
        <v>25.83</v>
      </c>
      <c r="J9" s="356">
        <v>0.01</v>
      </c>
      <c r="K9" s="356">
        <v>0</v>
      </c>
      <c r="L9" s="356">
        <v>125.84</v>
      </c>
      <c r="N9" s="357">
        <f t="shared" si="3"/>
        <v>51</v>
      </c>
      <c r="O9" s="357">
        <f t="shared" si="4"/>
        <v>0</v>
      </c>
      <c r="P9" s="357">
        <f t="shared" si="5"/>
        <v>51</v>
      </c>
      <c r="Q9" s="357">
        <f t="shared" si="6"/>
        <v>49</v>
      </c>
      <c r="R9" s="357">
        <f t="shared" si="0"/>
        <v>1.9929960275977419</v>
      </c>
      <c r="S9" s="357">
        <f t="shared" si="7"/>
        <v>0.01</v>
      </c>
      <c r="T9" s="378">
        <f t="shared" si="8"/>
        <v>1.6499999999999966</v>
      </c>
      <c r="U9" s="379">
        <f t="shared" si="9"/>
        <v>-39.754241754805385</v>
      </c>
      <c r="V9" s="379">
        <f t="shared" si="1"/>
        <v>14.980465473023177</v>
      </c>
      <c r="X9" s="395"/>
      <c r="Y9" s="355"/>
      <c r="Z9" s="355"/>
    </row>
    <row r="10" spans="1:26">
      <c r="A10" s="353">
        <f t="shared" si="2"/>
        <v>2.8638149565989299E-2</v>
      </c>
      <c r="B10" s="342" t="s">
        <v>420</v>
      </c>
      <c r="C10" s="354">
        <v>19</v>
      </c>
      <c r="D10" s="354">
        <v>37.78</v>
      </c>
      <c r="E10" s="355"/>
      <c r="F10" s="356">
        <v>0</v>
      </c>
      <c r="G10" s="356">
        <v>0</v>
      </c>
      <c r="H10" s="356">
        <v>55.69</v>
      </c>
      <c r="I10" s="356">
        <v>7.1539999999999999</v>
      </c>
      <c r="J10" s="356">
        <v>0.82</v>
      </c>
      <c r="K10" s="356">
        <v>0</v>
      </c>
      <c r="L10" s="356">
        <v>63.663999999999994</v>
      </c>
      <c r="N10" s="357">
        <f t="shared" si="3"/>
        <v>28.401899999999998</v>
      </c>
      <c r="O10" s="357">
        <f t="shared" si="4"/>
        <v>0</v>
      </c>
      <c r="P10" s="357">
        <f t="shared" si="5"/>
        <v>28.401899999999998</v>
      </c>
      <c r="Q10" s="357">
        <f t="shared" si="6"/>
        <v>27.2881</v>
      </c>
      <c r="R10" s="357">
        <f t="shared" si="0"/>
        <v>0.55198968569238271</v>
      </c>
      <c r="S10" s="357">
        <f t="shared" si="7"/>
        <v>0.82</v>
      </c>
      <c r="T10" s="378">
        <f t="shared" si="8"/>
        <v>0.27000000000000346</v>
      </c>
      <c r="U10" s="379">
        <f t="shared" si="9"/>
        <v>-23.018288873085282</v>
      </c>
      <c r="V10" s="379">
        <f t="shared" si="1"/>
        <v>8.3426212219266063</v>
      </c>
      <c r="X10" s="395"/>
      <c r="Y10" s="355"/>
      <c r="Z10" s="355"/>
    </row>
    <row r="11" spans="1:26">
      <c r="A11" s="353">
        <f t="shared" si="2"/>
        <v>1.4551085152849441E-2</v>
      </c>
      <c r="B11" s="342" t="s">
        <v>421</v>
      </c>
      <c r="C11" s="354">
        <v>24</v>
      </c>
      <c r="D11" s="354">
        <v>4.8499999999999996</v>
      </c>
      <c r="E11" s="355"/>
      <c r="F11" s="356">
        <v>10.08</v>
      </c>
      <c r="G11" s="356">
        <v>1.512</v>
      </c>
      <c r="H11" s="356">
        <v>23.69</v>
      </c>
      <c r="I11" s="356">
        <v>1.736</v>
      </c>
      <c r="J11" s="356">
        <v>1.2</v>
      </c>
      <c r="K11" s="356">
        <v>0.32</v>
      </c>
      <c r="L11" s="356">
        <v>38.538000000000004</v>
      </c>
      <c r="N11" s="357">
        <f t="shared" si="3"/>
        <v>17.385900000000003</v>
      </c>
      <c r="O11" s="357">
        <f t="shared" si="4"/>
        <v>10.08</v>
      </c>
      <c r="P11" s="357">
        <f t="shared" si="5"/>
        <v>7.3059000000000029</v>
      </c>
      <c r="Q11" s="357">
        <f t="shared" si="6"/>
        <v>16.7041</v>
      </c>
      <c r="R11" s="357">
        <f t="shared" si="0"/>
        <v>0.25060979859223642</v>
      </c>
      <c r="S11" s="357">
        <f t="shared" si="7"/>
        <v>1.2</v>
      </c>
      <c r="T11" s="378">
        <f t="shared" si="8"/>
        <v>3.64</v>
      </c>
      <c r="U11" s="379">
        <f t="shared" si="9"/>
        <v>-12.478982634528185</v>
      </c>
      <c r="V11" s="379">
        <f t="shared" si="1"/>
        <v>5.106840679753601</v>
      </c>
      <c r="X11" s="395"/>
      <c r="Y11" s="355"/>
      <c r="Z11" s="355"/>
    </row>
    <row r="12" spans="1:26" s="345" customFormat="1">
      <c r="B12" s="359" t="s">
        <v>279</v>
      </c>
      <c r="C12" s="360">
        <f>SUM(C5:C11)</f>
        <v>803</v>
      </c>
      <c r="D12" s="360">
        <f>SUM(D5:D11)</f>
        <v>1179.6699999999998</v>
      </c>
      <c r="E12" s="361"/>
      <c r="F12" s="362">
        <f>SUM(F5:F11)</f>
        <v>473.14000000000004</v>
      </c>
      <c r="G12" s="362">
        <f t="shared" ref="G12:L12" si="10">SUM(G5:G11)</f>
        <v>122.34599999999999</v>
      </c>
      <c r="H12" s="362">
        <f t="shared" si="10"/>
        <v>962.38000000000011</v>
      </c>
      <c r="I12" s="362">
        <f t="shared" si="10"/>
        <v>279.42599999999999</v>
      </c>
      <c r="J12" s="362">
        <f t="shared" si="10"/>
        <v>11.84</v>
      </c>
      <c r="K12" s="362">
        <f t="shared" si="10"/>
        <v>233.32</v>
      </c>
      <c r="L12" s="362">
        <f t="shared" si="10"/>
        <v>2082.4519999999998</v>
      </c>
      <c r="N12" s="380">
        <f t="shared" si="3"/>
        <v>851.10840000000007</v>
      </c>
      <c r="O12" s="380">
        <f t="shared" ref="O12:V12" si="11">SUM(O5:O11)</f>
        <v>473.14000000000004</v>
      </c>
      <c r="P12" s="380">
        <f t="shared" si="11"/>
        <v>377.96840000000003</v>
      </c>
      <c r="Q12" s="380">
        <f t="shared" si="11"/>
        <v>817.73160000000007</v>
      </c>
      <c r="R12" s="380">
        <f t="shared" si="11"/>
        <v>31</v>
      </c>
      <c r="S12" s="380">
        <f t="shared" si="11"/>
        <v>11.84</v>
      </c>
      <c r="T12" s="381">
        <f t="shared" si="11"/>
        <v>775.12999999999988</v>
      </c>
      <c r="U12" s="381">
        <f t="shared" si="11"/>
        <v>-786.97</v>
      </c>
      <c r="V12" s="381">
        <f t="shared" si="11"/>
        <v>249.99999999999997</v>
      </c>
      <c r="W12" s="349"/>
      <c r="X12" s="349"/>
    </row>
    <row r="13" spans="1:26">
      <c r="T13" s="358"/>
      <c r="U13" s="358"/>
      <c r="V13" s="358"/>
    </row>
    <row r="14" spans="1:26">
      <c r="C14" s="396"/>
      <c r="K14" s="355"/>
      <c r="Q14" s="363"/>
      <c r="T14" s="358"/>
      <c r="U14" s="358"/>
      <c r="V14" s="358"/>
    </row>
    <row r="15" spans="1:26">
      <c r="T15" s="358"/>
      <c r="U15" s="358"/>
      <c r="V15" s="358"/>
    </row>
  </sheetData>
  <mergeCells count="9">
    <mergeCell ref="N3:P3"/>
    <mergeCell ref="C1:D1"/>
    <mergeCell ref="F1:L1"/>
    <mergeCell ref="T1:V1"/>
    <mergeCell ref="C3:D3"/>
    <mergeCell ref="F3:G3"/>
    <mergeCell ref="H3:I3"/>
    <mergeCell ref="J3:K3"/>
    <mergeCell ref="N1:R1"/>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2:K43"/>
  <sheetViews>
    <sheetView showGridLines="0" topLeftCell="B1" zoomScaleNormal="100" workbookViewId="0">
      <selection activeCell="B1" sqref="A1:XFD1048576"/>
    </sheetView>
  </sheetViews>
  <sheetFormatPr defaultRowHeight="12.75"/>
  <cols>
    <col min="1" max="2" width="9.140625" style="1"/>
    <col min="3" max="3" width="47.5703125" style="1" bestFit="1" customWidth="1"/>
    <col min="4" max="4" width="16.7109375" style="1" customWidth="1"/>
    <col min="5" max="5" width="17.42578125" style="1" customWidth="1"/>
    <col min="6" max="6" width="17.85546875" style="1" bestFit="1" customWidth="1"/>
    <col min="7" max="7" width="17.42578125" style="1" customWidth="1"/>
    <col min="8" max="8" width="9.140625" style="1"/>
    <col min="9" max="9" width="26.42578125" style="1" customWidth="1"/>
    <col min="10" max="16384" width="9.140625" style="1"/>
  </cols>
  <sheetData>
    <row r="2" spans="3:10" hidden="1">
      <c r="C2" s="2"/>
    </row>
    <row r="3" spans="3:10" ht="13.5" hidden="1" thickBot="1"/>
    <row r="4" spans="3:10" hidden="1">
      <c r="C4" s="1255"/>
      <c r="D4" s="1256"/>
      <c r="E4" s="1256"/>
      <c r="F4" s="1256"/>
      <c r="G4" s="1257"/>
    </row>
    <row r="5" spans="3:10" hidden="1">
      <c r="C5" s="364"/>
      <c r="D5" s="1258"/>
      <c r="E5" s="1258"/>
      <c r="F5" s="1258"/>
      <c r="G5" s="1259"/>
    </row>
    <row r="6" spans="3:10" hidden="1">
      <c r="C6" s="364"/>
      <c r="D6" s="365"/>
      <c r="E6" s="365"/>
      <c r="F6" s="365"/>
      <c r="G6" s="366"/>
      <c r="J6" s="294"/>
    </row>
    <row r="7" spans="3:10" hidden="1">
      <c r="C7" s="60"/>
      <c r="D7" s="367"/>
      <c r="E7" s="368"/>
      <c r="F7" s="369"/>
      <c r="G7" s="370"/>
      <c r="J7" s="294"/>
    </row>
    <row r="8" spans="3:10" hidden="1">
      <c r="C8" s="60"/>
      <c r="D8" s="367"/>
      <c r="E8" s="368"/>
      <c r="F8" s="369"/>
      <c r="G8" s="370"/>
      <c r="J8" s="371"/>
    </row>
    <row r="9" spans="3:10" hidden="1">
      <c r="C9" s="60"/>
      <c r="D9" s="367"/>
      <c r="E9" s="368"/>
      <c r="F9" s="367"/>
      <c r="G9" s="370"/>
    </row>
    <row r="10" spans="3:10" hidden="1">
      <c r="C10" s="60"/>
      <c r="D10" s="367"/>
      <c r="E10" s="368"/>
      <c r="F10" s="367"/>
      <c r="G10" s="370"/>
    </row>
    <row r="11" spans="3:10" hidden="1">
      <c r="C11" s="60"/>
      <c r="D11" s="367"/>
      <c r="E11" s="368"/>
      <c r="F11" s="369"/>
      <c r="G11" s="370"/>
    </row>
    <row r="12" spans="3:10" hidden="1">
      <c r="C12" s="60"/>
      <c r="D12" s="367"/>
      <c r="E12" s="368"/>
      <c r="F12" s="367"/>
      <c r="G12" s="370"/>
    </row>
    <row r="13" spans="3:10" ht="13.5" hidden="1" thickBot="1">
      <c r="C13" s="66"/>
      <c r="D13" s="372"/>
      <c r="E13" s="373"/>
      <c r="F13" s="372"/>
      <c r="G13" s="374"/>
    </row>
    <row r="14" spans="3:10" hidden="1"/>
    <row r="15" spans="3:10" hidden="1">
      <c r="C15" s="375"/>
    </row>
    <row r="16" spans="3:10" hidden="1"/>
    <row r="17" spans="3:11" ht="15" hidden="1">
      <c r="C17"/>
      <c r="D17"/>
      <c r="E17"/>
      <c r="F17"/>
      <c r="G17"/>
      <c r="H17"/>
      <c r="I17"/>
      <c r="J17"/>
      <c r="K17"/>
    </row>
    <row r="18" spans="3:11" hidden="1">
      <c r="C18" s="2"/>
    </row>
    <row r="19" spans="3:11" ht="13.5" hidden="1" thickBot="1"/>
    <row r="20" spans="3:11" hidden="1">
      <c r="C20" s="1255"/>
      <c r="D20" s="1256"/>
      <c r="E20" s="1256"/>
      <c r="F20" s="1256"/>
      <c r="G20" s="1257"/>
    </row>
    <row r="21" spans="3:11" hidden="1">
      <c r="C21" s="364"/>
      <c r="D21" s="1258"/>
      <c r="E21" s="1258"/>
      <c r="F21" s="1258"/>
      <c r="G21" s="1259"/>
    </row>
    <row r="22" spans="3:11" hidden="1">
      <c r="C22" s="364"/>
      <c r="D22" s="365"/>
      <c r="E22" s="365"/>
      <c r="F22" s="365"/>
      <c r="G22" s="366"/>
      <c r="J22" s="294"/>
    </row>
    <row r="23" spans="3:11" hidden="1">
      <c r="C23" s="60"/>
      <c r="D23" s="367"/>
      <c r="E23" s="368"/>
      <c r="F23" s="369"/>
      <c r="G23" s="370"/>
    </row>
    <row r="24" spans="3:11" hidden="1">
      <c r="C24" s="60"/>
      <c r="D24" s="367"/>
      <c r="E24" s="368"/>
      <c r="F24" s="369"/>
      <c r="G24" s="370"/>
      <c r="J24" s="376"/>
    </row>
    <row r="25" spans="3:11" hidden="1">
      <c r="C25" s="60"/>
      <c r="D25" s="367"/>
      <c r="E25" s="368"/>
      <c r="F25" s="369"/>
      <c r="G25" s="370"/>
    </row>
    <row r="26" spans="3:11" hidden="1">
      <c r="C26" s="60"/>
      <c r="D26" s="367"/>
      <c r="E26" s="368"/>
      <c r="F26" s="367"/>
      <c r="G26" s="370"/>
    </row>
    <row r="27" spans="3:11" hidden="1">
      <c r="C27" s="60"/>
      <c r="D27" s="367"/>
      <c r="E27" s="368"/>
      <c r="F27" s="369"/>
      <c r="G27" s="370"/>
    </row>
    <row r="28" spans="3:11" hidden="1">
      <c r="C28" s="60"/>
      <c r="D28" s="367"/>
      <c r="E28" s="368"/>
      <c r="F28" s="367"/>
      <c r="G28" s="370"/>
    </row>
    <row r="29" spans="3:11" ht="13.5" hidden="1" thickBot="1">
      <c r="C29" s="66"/>
      <c r="D29" s="372"/>
      <c r="E29" s="373"/>
      <c r="F29" s="372"/>
      <c r="G29" s="374"/>
    </row>
    <row r="30" spans="3:11" hidden="1"/>
    <row r="31" spans="3:11" hidden="1">
      <c r="C31" s="375"/>
    </row>
    <row r="32" spans="3:11" hidden="1"/>
    <row r="33" spans="3:10">
      <c r="C33" s="2"/>
    </row>
    <row r="34" spans="3:10" ht="13.5" thickBot="1"/>
    <row r="35" spans="3:10">
      <c r="C35" s="1255"/>
      <c r="D35" s="1256"/>
      <c r="E35" s="1256"/>
      <c r="F35" s="1256"/>
      <c r="G35" s="1257"/>
    </row>
    <row r="36" spans="3:10">
      <c r="C36" s="364"/>
      <c r="D36" s="1258"/>
      <c r="E36" s="1258"/>
      <c r="F36" s="1258"/>
      <c r="G36" s="1259"/>
    </row>
    <row r="37" spans="3:10">
      <c r="C37" s="364"/>
      <c r="D37" s="365"/>
      <c r="E37" s="365"/>
      <c r="F37" s="365"/>
      <c r="G37" s="366"/>
      <c r="J37" s="294"/>
    </row>
    <row r="38" spans="3:10">
      <c r="C38" s="60"/>
      <c r="D38" s="367"/>
      <c r="E38" s="368"/>
      <c r="F38" s="369"/>
      <c r="G38" s="370"/>
      <c r="J38" s="294"/>
    </row>
    <row r="39" spans="3:10">
      <c r="C39" s="60"/>
      <c r="D39" s="367"/>
      <c r="E39" s="368"/>
      <c r="F39" s="369"/>
      <c r="G39" s="370"/>
      <c r="J39" s="371"/>
    </row>
    <row r="40" spans="3:10">
      <c r="C40" s="60"/>
      <c r="D40" s="367"/>
      <c r="E40" s="368"/>
      <c r="F40" s="367"/>
      <c r="G40" s="370"/>
    </row>
    <row r="41" spans="3:10">
      <c r="C41" s="60"/>
      <c r="D41" s="367"/>
      <c r="E41" s="368"/>
      <c r="F41" s="367"/>
      <c r="G41" s="370"/>
    </row>
    <row r="42" spans="3:10">
      <c r="C42" s="60"/>
      <c r="D42" s="367"/>
      <c r="E42" s="368"/>
      <c r="F42" s="367"/>
      <c r="G42" s="370"/>
    </row>
    <row r="43" spans="3:10" ht="13.5" thickBot="1">
      <c r="C43" s="66"/>
      <c r="D43" s="372"/>
      <c r="E43" s="373"/>
      <c r="F43" s="372"/>
      <c r="G43" s="374"/>
    </row>
  </sheetData>
  <mergeCells count="9">
    <mergeCell ref="C35:G35"/>
    <mergeCell ref="D36:E36"/>
    <mergeCell ref="F36:G36"/>
    <mergeCell ref="C4:G4"/>
    <mergeCell ref="D5:E5"/>
    <mergeCell ref="F5:G5"/>
    <mergeCell ref="C20:G20"/>
    <mergeCell ref="D21:E21"/>
    <mergeCell ref="F21:G21"/>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F26"/>
  <sheetViews>
    <sheetView workbookViewId="0">
      <pane xSplit="2" ySplit="3" topLeftCell="C4" activePane="bottomRight" state="frozen"/>
      <selection pane="topRight" activeCell="C1" sqref="C1"/>
      <selection pane="bottomLeft" activeCell="A4" sqref="A4"/>
      <selection pane="bottomRight" sqref="A1:XFD1048576"/>
    </sheetView>
  </sheetViews>
  <sheetFormatPr defaultRowHeight="15"/>
  <cols>
    <col min="2" max="2" width="31" customWidth="1"/>
    <col min="3" max="3" width="29.5703125" customWidth="1"/>
    <col min="4" max="4" width="27" customWidth="1"/>
  </cols>
  <sheetData>
    <row r="3" spans="2:6">
      <c r="B3" s="506"/>
      <c r="C3" s="507"/>
      <c r="D3" s="507"/>
    </row>
    <row r="4" spans="2:6">
      <c r="B4" s="508"/>
      <c r="C4" s="509"/>
      <c r="D4" s="509"/>
      <c r="F4" s="510"/>
    </row>
    <row r="5" spans="2:6">
      <c r="B5" s="511"/>
      <c r="C5" s="512"/>
      <c r="D5" s="513"/>
    </row>
    <row r="6" spans="2:6">
      <c r="B6" s="511"/>
      <c r="C6" s="512"/>
      <c r="D6" s="512"/>
    </row>
    <row r="7" spans="2:6">
      <c r="B7" s="506"/>
      <c r="C7" s="514"/>
      <c r="D7" s="514"/>
    </row>
    <row r="8" spans="2:6">
      <c r="B8" s="511"/>
      <c r="C8" s="512"/>
      <c r="D8" s="512"/>
    </row>
    <row r="9" spans="2:6">
      <c r="B9" s="511"/>
      <c r="C9" s="512"/>
      <c r="D9" s="512"/>
    </row>
    <row r="10" spans="2:6">
      <c r="B10" s="511"/>
      <c r="C10" s="512"/>
      <c r="D10" s="512"/>
    </row>
    <row r="11" spans="2:6">
      <c r="B11" s="511"/>
      <c r="C11" s="512"/>
      <c r="D11" s="512"/>
    </row>
    <row r="12" spans="2:6">
      <c r="B12" s="506"/>
      <c r="C12" s="514"/>
      <c r="D12" s="514"/>
    </row>
    <row r="13" spans="2:6">
      <c r="B13" s="508"/>
      <c r="C13" s="509"/>
      <c r="D13" s="509"/>
    </row>
    <row r="14" spans="2:6">
      <c r="B14" s="506"/>
      <c r="C14" s="514"/>
      <c r="D14" s="514"/>
    </row>
    <row r="15" spans="2:6">
      <c r="B15" s="511"/>
      <c r="C15" s="512"/>
      <c r="D15" s="512"/>
    </row>
    <row r="16" spans="2:6">
      <c r="B16" s="511"/>
      <c r="C16" s="512"/>
      <c r="D16" s="512"/>
    </row>
    <row r="17" spans="2:4">
      <c r="B17" s="511"/>
      <c r="C17" s="512"/>
      <c r="D17" s="512"/>
    </row>
    <row r="18" spans="2:4">
      <c r="B18" s="511"/>
      <c r="C18" s="512"/>
      <c r="D18" s="512"/>
    </row>
    <row r="19" spans="2:4">
      <c r="B19" s="511"/>
      <c r="C19" s="512"/>
      <c r="D19" s="512"/>
    </row>
    <row r="20" spans="2:4">
      <c r="B20" s="511"/>
      <c r="C20" s="512"/>
      <c r="D20" s="512"/>
    </row>
    <row r="21" spans="2:4">
      <c r="B21" s="511"/>
      <c r="C21" s="512"/>
      <c r="D21" s="512"/>
    </row>
    <row r="22" spans="2:4">
      <c r="B22" s="511"/>
      <c r="C22" s="512"/>
      <c r="D22" s="512"/>
    </row>
    <row r="23" spans="2:4">
      <c r="B23" s="506"/>
      <c r="C23" s="514"/>
      <c r="D23" s="514"/>
    </row>
    <row r="24" spans="2:4">
      <c r="B24" s="506"/>
      <c r="C24" s="514"/>
      <c r="D24" s="514"/>
    </row>
    <row r="25" spans="2:4">
      <c r="D25" s="440"/>
    </row>
    <row r="26" spans="2:4">
      <c r="C26" s="44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4:AD53"/>
  <sheetViews>
    <sheetView topLeftCell="A18" workbookViewId="0">
      <selection activeCell="A18" sqref="A1:XFD1048576"/>
    </sheetView>
  </sheetViews>
  <sheetFormatPr defaultRowHeight="15"/>
  <cols>
    <col min="1" max="1" width="4.5703125" customWidth="1"/>
    <col min="3" max="3" width="28" customWidth="1"/>
    <col min="4" max="4" width="3.42578125" customWidth="1"/>
    <col min="5" max="5" width="8.28515625" customWidth="1"/>
    <col min="6" max="6" width="10.42578125" bestFit="1" customWidth="1"/>
  </cols>
  <sheetData>
    <row r="4" spans="2:30">
      <c r="F4" s="409"/>
      <c r="G4" s="409"/>
    </row>
    <row r="5" spans="2:30">
      <c r="F5" s="409"/>
      <c r="G5" s="409"/>
    </row>
    <row r="9" spans="2:30">
      <c r="F9" s="1009"/>
    </row>
    <row r="11" spans="2:30">
      <c r="B11" s="945"/>
      <c r="C11" s="945"/>
      <c r="D11" s="945"/>
      <c r="E11" s="945"/>
      <c r="F11" s="945"/>
      <c r="G11" s="945"/>
      <c r="H11" s="945"/>
      <c r="I11" s="945"/>
      <c r="J11" s="945"/>
      <c r="K11" s="945"/>
      <c r="L11" s="945"/>
      <c r="M11" s="945"/>
      <c r="N11" s="945"/>
      <c r="O11" s="945"/>
      <c r="P11" s="945"/>
      <c r="Q11" s="945"/>
      <c r="R11" s="945"/>
      <c r="S11" s="945"/>
      <c r="T11" s="945"/>
      <c r="U11" s="945"/>
      <c r="V11" s="945"/>
      <c r="W11" s="945"/>
      <c r="X11" s="945"/>
      <c r="Y11" s="945"/>
      <c r="Z11" s="945"/>
      <c r="AA11" s="945"/>
      <c r="AB11" s="945"/>
      <c r="AC11" s="945"/>
      <c r="AD11" s="945"/>
    </row>
    <row r="12" spans="2:30">
      <c r="E12" s="943"/>
      <c r="F12" s="943"/>
      <c r="G12" s="943"/>
      <c r="H12" s="943"/>
      <c r="I12" s="943"/>
      <c r="J12" s="943"/>
      <c r="K12" s="943"/>
      <c r="L12" s="943"/>
      <c r="M12" s="943"/>
      <c r="N12" s="943"/>
      <c r="O12" s="943"/>
      <c r="P12" s="943"/>
      <c r="Q12" s="943"/>
      <c r="R12" s="943"/>
      <c r="S12" s="943"/>
      <c r="T12" s="943"/>
      <c r="U12" s="943"/>
      <c r="V12" s="943"/>
      <c r="W12" s="943"/>
      <c r="X12" s="943"/>
    </row>
    <row r="17" spans="2:30">
      <c r="E17" s="345"/>
      <c r="F17" s="345"/>
      <c r="G17" s="345"/>
      <c r="H17" s="345"/>
      <c r="I17" s="345"/>
      <c r="J17" s="345"/>
      <c r="K17" s="345"/>
      <c r="L17" s="345"/>
      <c r="M17" s="345"/>
      <c r="N17" s="345"/>
      <c r="O17" s="345"/>
      <c r="P17" s="345"/>
      <c r="Q17" s="345"/>
      <c r="R17" s="345"/>
      <c r="S17" s="345"/>
      <c r="T17" s="345"/>
      <c r="U17" s="345"/>
      <c r="V17" s="345"/>
      <c r="W17" s="345"/>
      <c r="X17" s="345"/>
    </row>
    <row r="19" spans="2:30">
      <c r="E19" s="944"/>
      <c r="F19" s="944"/>
      <c r="G19" s="944"/>
      <c r="H19" s="944"/>
      <c r="I19" s="944"/>
      <c r="J19" s="944"/>
      <c r="K19" s="944"/>
      <c r="L19" s="944"/>
      <c r="M19" s="944"/>
      <c r="N19" s="944"/>
      <c r="O19" s="944"/>
      <c r="P19" s="944"/>
      <c r="Q19" s="944"/>
      <c r="R19" s="944"/>
      <c r="S19" s="944"/>
      <c r="T19" s="944"/>
      <c r="U19" s="944"/>
      <c r="V19" s="944"/>
      <c r="W19" s="944"/>
      <c r="X19" s="944"/>
    </row>
    <row r="20" spans="2:30">
      <c r="E20" s="944"/>
      <c r="F20" s="944"/>
      <c r="G20" s="944"/>
      <c r="H20" s="944"/>
      <c r="I20" s="944"/>
      <c r="J20" s="944"/>
      <c r="K20" s="944"/>
      <c r="L20" s="944"/>
      <c r="M20" s="944"/>
      <c r="N20" s="944"/>
      <c r="O20" s="944"/>
      <c r="P20" s="944"/>
      <c r="Q20" s="944"/>
      <c r="R20" s="944"/>
      <c r="S20" s="944"/>
      <c r="T20" s="944"/>
      <c r="U20" s="944"/>
      <c r="V20" s="944"/>
      <c r="W20" s="944"/>
      <c r="X20" s="944"/>
    </row>
    <row r="21" spans="2:30">
      <c r="E21" s="946"/>
      <c r="F21" s="946"/>
      <c r="G21" s="946"/>
      <c r="H21" s="946"/>
      <c r="I21" s="946"/>
      <c r="J21" s="946"/>
      <c r="K21" s="946"/>
      <c r="L21" s="946"/>
      <c r="M21" s="946"/>
      <c r="N21" s="946"/>
      <c r="O21" s="946"/>
      <c r="P21" s="946"/>
      <c r="Q21" s="946"/>
      <c r="R21" s="946"/>
      <c r="S21" s="946"/>
      <c r="T21" s="946"/>
      <c r="U21" s="946"/>
      <c r="V21" s="946"/>
      <c r="W21" s="946"/>
      <c r="X21" s="946"/>
    </row>
    <row r="24" spans="2:30">
      <c r="E24" s="947"/>
      <c r="F24" s="947"/>
      <c r="G24" s="947"/>
      <c r="H24" s="947"/>
      <c r="I24" s="947"/>
      <c r="J24" s="947"/>
      <c r="K24" s="947"/>
      <c r="L24" s="947"/>
      <c r="M24" s="947"/>
      <c r="N24" s="947"/>
      <c r="O24" s="947"/>
      <c r="P24" s="947"/>
      <c r="Q24" s="947"/>
      <c r="R24" s="947"/>
      <c r="S24" s="947"/>
      <c r="T24" s="947"/>
      <c r="U24" s="947"/>
      <c r="V24" s="947"/>
      <c r="W24" s="947"/>
      <c r="X24" s="947"/>
    </row>
    <row r="25" spans="2:30">
      <c r="E25" s="944"/>
      <c r="F25" s="944"/>
      <c r="G25" s="944"/>
      <c r="H25" s="944"/>
      <c r="I25" s="944"/>
      <c r="J25" s="944"/>
      <c r="K25" s="944"/>
      <c r="L25" s="944"/>
      <c r="M25" s="944"/>
      <c r="N25" s="944"/>
      <c r="O25" s="944"/>
      <c r="P25" s="944"/>
      <c r="Q25" s="944"/>
      <c r="R25" s="944"/>
      <c r="S25" s="944"/>
      <c r="T25" s="944"/>
      <c r="U25" s="944"/>
      <c r="V25" s="944"/>
      <c r="W25" s="944"/>
      <c r="X25" s="944"/>
    </row>
    <row r="26" spans="2:30">
      <c r="E26" s="947"/>
      <c r="F26" s="947"/>
      <c r="G26" s="947"/>
      <c r="H26" s="947"/>
      <c r="I26" s="947"/>
      <c r="J26" s="947"/>
      <c r="K26" s="947"/>
      <c r="L26" s="947"/>
      <c r="M26" s="947"/>
      <c r="N26" s="947"/>
      <c r="O26" s="947"/>
      <c r="P26" s="947"/>
      <c r="Q26" s="947"/>
      <c r="R26" s="947"/>
      <c r="S26" s="947"/>
      <c r="T26" s="947"/>
      <c r="U26" s="947"/>
      <c r="V26" s="947"/>
      <c r="W26" s="947"/>
      <c r="X26" s="947"/>
    </row>
    <row r="27" spans="2:30">
      <c r="B27" s="945"/>
      <c r="C27" s="948"/>
      <c r="D27" s="948"/>
      <c r="E27" s="949"/>
      <c r="F27" s="949"/>
      <c r="G27" s="949"/>
      <c r="H27" s="949"/>
      <c r="I27" s="949"/>
      <c r="J27" s="949"/>
      <c r="K27" s="949"/>
      <c r="L27" s="949"/>
      <c r="M27" s="949"/>
      <c r="N27" s="949"/>
      <c r="O27" s="949"/>
      <c r="P27" s="949"/>
      <c r="Q27" s="949"/>
      <c r="R27" s="949"/>
      <c r="S27" s="949"/>
      <c r="T27" s="949"/>
      <c r="U27" s="949"/>
      <c r="V27" s="949"/>
      <c r="W27" s="949"/>
      <c r="X27" s="949"/>
      <c r="Y27" s="948"/>
      <c r="Z27" s="948"/>
      <c r="AA27" s="948"/>
      <c r="AB27" s="948"/>
      <c r="AC27" s="948"/>
      <c r="AD27" s="948"/>
    </row>
    <row r="28" spans="2:30">
      <c r="F28" s="408"/>
      <c r="G28" s="408"/>
      <c r="H28" s="408"/>
      <c r="I28" s="408"/>
      <c r="J28" s="408"/>
      <c r="K28" s="408"/>
      <c r="L28" s="408"/>
      <c r="M28" s="408"/>
      <c r="N28" s="408"/>
      <c r="O28" s="408"/>
      <c r="P28" s="408"/>
      <c r="Q28" s="408"/>
      <c r="R28" s="408"/>
      <c r="S28" s="408"/>
      <c r="T28" s="408"/>
      <c r="U28" s="408"/>
      <c r="V28" s="408"/>
      <c r="W28" s="408"/>
      <c r="X28" s="408"/>
    </row>
    <row r="29" spans="2:30">
      <c r="F29" s="445"/>
      <c r="G29" s="445"/>
      <c r="H29" s="445"/>
      <c r="I29" s="944"/>
      <c r="J29" s="944"/>
      <c r="K29" s="944"/>
      <c r="L29" s="944"/>
      <c r="M29" s="944"/>
      <c r="N29" s="944"/>
      <c r="O29" s="944"/>
      <c r="P29" s="944"/>
      <c r="Q29" s="944"/>
      <c r="R29" s="944"/>
      <c r="S29" s="944"/>
      <c r="T29" s="944"/>
      <c r="U29" s="944"/>
      <c r="V29" s="944"/>
      <c r="W29" s="944"/>
      <c r="X29" s="944"/>
    </row>
    <row r="30" spans="2:30">
      <c r="F30" s="943"/>
      <c r="G30" s="943"/>
      <c r="H30" s="943"/>
      <c r="I30" s="943"/>
      <c r="J30" s="943"/>
      <c r="K30" s="943"/>
      <c r="L30" s="943"/>
      <c r="M30" s="943"/>
      <c r="N30" s="943"/>
      <c r="O30" s="943"/>
      <c r="P30" s="943"/>
      <c r="Q30" s="943"/>
      <c r="R30" s="943"/>
      <c r="S30" s="943"/>
      <c r="T30" s="943"/>
      <c r="U30" s="943"/>
      <c r="V30" s="943"/>
      <c r="W30" s="943"/>
      <c r="X30" s="943"/>
    </row>
    <row r="31" spans="2:30">
      <c r="F31" s="1006"/>
      <c r="G31" s="1006"/>
      <c r="H31" s="1006"/>
      <c r="I31" s="1006"/>
      <c r="J31" s="1006"/>
      <c r="K31" s="1006"/>
      <c r="L31" s="1006"/>
      <c r="M31" s="1006"/>
      <c r="N31" s="1006"/>
      <c r="O31" s="1006"/>
      <c r="P31" s="1006"/>
      <c r="Q31" s="1006"/>
      <c r="R31" s="1006"/>
      <c r="S31" s="1006"/>
      <c r="T31" s="1006"/>
      <c r="U31" s="1006"/>
      <c r="V31" s="1006"/>
      <c r="W31" s="1006"/>
      <c r="X31" s="1006"/>
    </row>
    <row r="32" spans="2:30">
      <c r="F32" s="1008"/>
      <c r="G32" s="1008"/>
      <c r="H32" s="1008"/>
      <c r="I32" s="1008"/>
      <c r="J32" s="408"/>
      <c r="K32" s="408"/>
      <c r="L32" s="408"/>
      <c r="M32" s="408"/>
      <c r="N32" s="408"/>
      <c r="O32" s="408"/>
      <c r="P32" s="408"/>
      <c r="Q32" s="408"/>
      <c r="R32" s="408"/>
      <c r="S32" s="408"/>
      <c r="T32" s="408"/>
      <c r="U32" s="408"/>
      <c r="V32" s="408"/>
      <c r="W32" s="408"/>
      <c r="X32" s="408"/>
    </row>
    <row r="33" spans="3:24">
      <c r="F33" s="408"/>
      <c r="G33" s="408"/>
      <c r="H33" s="408"/>
      <c r="I33" s="408"/>
      <c r="J33" s="408"/>
      <c r="K33" s="408"/>
      <c r="L33" s="408"/>
      <c r="M33" s="408"/>
      <c r="N33" s="408"/>
      <c r="O33" s="408"/>
      <c r="P33" s="408"/>
      <c r="Q33" s="408"/>
      <c r="R33" s="408"/>
      <c r="S33" s="408"/>
      <c r="T33" s="408"/>
      <c r="U33" s="408"/>
      <c r="V33" s="408"/>
      <c r="W33" s="408"/>
      <c r="X33" s="408"/>
    </row>
    <row r="35" spans="3:24">
      <c r="F35" s="408"/>
      <c r="G35" s="408"/>
      <c r="H35" s="408"/>
      <c r="I35" s="408"/>
      <c r="J35" s="408"/>
      <c r="K35" s="408"/>
      <c r="L35" s="408"/>
      <c r="M35" s="408"/>
      <c r="N35" s="408"/>
      <c r="O35" s="408"/>
      <c r="P35" s="408"/>
      <c r="Q35" s="408"/>
      <c r="R35" s="408"/>
      <c r="S35" s="408"/>
      <c r="T35" s="408"/>
      <c r="U35" s="408"/>
      <c r="V35" s="408"/>
      <c r="W35" s="408"/>
      <c r="X35" s="408"/>
    </row>
    <row r="36" spans="3:24">
      <c r="F36" s="408"/>
      <c r="G36" s="408"/>
      <c r="H36" s="408"/>
      <c r="I36" s="408"/>
      <c r="J36" s="408"/>
      <c r="K36" s="408"/>
      <c r="L36" s="408"/>
      <c r="M36" s="408"/>
      <c r="N36" s="408"/>
      <c r="O36" s="408"/>
      <c r="P36" s="408"/>
      <c r="Q36" s="408"/>
      <c r="R36" s="408"/>
      <c r="S36" s="408"/>
      <c r="T36" s="408"/>
      <c r="U36" s="408"/>
      <c r="V36" s="408"/>
      <c r="W36" s="408"/>
      <c r="X36" s="408"/>
    </row>
    <row r="37" spans="3:24">
      <c r="F37" s="408"/>
      <c r="G37" s="408"/>
      <c r="H37" s="408"/>
      <c r="I37" s="408"/>
      <c r="J37" s="408"/>
      <c r="K37" s="408"/>
      <c r="L37" s="408"/>
      <c r="M37" s="408"/>
      <c r="N37" s="408"/>
      <c r="O37" s="408"/>
      <c r="P37" s="408"/>
      <c r="Q37" s="408"/>
      <c r="R37" s="408"/>
      <c r="S37" s="408"/>
      <c r="T37" s="408"/>
      <c r="U37" s="408"/>
      <c r="V37" s="408"/>
      <c r="W37" s="408"/>
      <c r="X37" s="408"/>
    </row>
    <row r="39" spans="3:24">
      <c r="F39" s="938"/>
    </row>
    <row r="40" spans="3:24">
      <c r="F40" s="938"/>
    </row>
    <row r="41" spans="3:24">
      <c r="F41" s="1007"/>
      <c r="G41" s="1007"/>
      <c r="H41" s="1007"/>
      <c r="I41" s="1007"/>
      <c r="J41" s="1007"/>
      <c r="K41" s="1007"/>
      <c r="L41" s="1007"/>
      <c r="M41" s="1007"/>
      <c r="N41" s="1007"/>
      <c r="O41" s="1007"/>
      <c r="P41" s="1007"/>
      <c r="Q41" s="1007"/>
      <c r="R41" s="1007"/>
      <c r="S41" s="1007"/>
      <c r="T41" s="1007"/>
      <c r="U41" s="1007"/>
      <c r="V41" s="1007"/>
      <c r="W41" s="1007"/>
      <c r="X41" s="1007"/>
    </row>
    <row r="42" spans="3:24">
      <c r="F42" s="938"/>
    </row>
    <row r="44" spans="3:24">
      <c r="C44" s="937"/>
    </row>
    <row r="47" spans="3:24">
      <c r="C47" s="409"/>
    </row>
    <row r="48" spans="3:24">
      <c r="C48" s="409"/>
    </row>
    <row r="49" spans="2:6">
      <c r="B49" s="409"/>
    </row>
    <row r="50" spans="2:6">
      <c r="B50" s="409"/>
      <c r="F50" s="442"/>
    </row>
    <row r="51" spans="2:6">
      <c r="F51" s="442"/>
    </row>
    <row r="52" spans="2:6">
      <c r="F52" s="442"/>
    </row>
    <row r="53" spans="2:6">
      <c r="F53" s="44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Z34"/>
  <sheetViews>
    <sheetView topLeftCell="B1" workbookViewId="0">
      <selection activeCell="B1" sqref="A1:XFD1048576"/>
    </sheetView>
  </sheetViews>
  <sheetFormatPr defaultRowHeight="15"/>
  <cols>
    <col min="1" max="1" width="4" customWidth="1"/>
    <col min="2" max="2" width="28.85546875" customWidth="1"/>
    <col min="3" max="3" width="5.5703125" style="959" customWidth="1"/>
    <col min="4" max="6" width="12.140625" style="959" bestFit="1" customWidth="1"/>
    <col min="7" max="7" width="9.5703125" bestFit="1" customWidth="1"/>
    <col min="8" max="26" width="9.7109375" bestFit="1" customWidth="1"/>
  </cols>
  <sheetData>
    <row r="3" spans="2:26">
      <c r="D3" s="945"/>
      <c r="E3" s="945"/>
      <c r="F3" s="945"/>
      <c r="G3" s="945"/>
      <c r="H3" s="945"/>
      <c r="I3" s="945"/>
      <c r="J3" s="945"/>
      <c r="K3" s="945"/>
      <c r="L3" s="945"/>
      <c r="M3" s="945"/>
      <c r="N3" s="945"/>
      <c r="O3" s="945"/>
      <c r="P3" s="945"/>
      <c r="Q3" s="945"/>
      <c r="R3" s="945"/>
      <c r="S3" s="945"/>
      <c r="T3" s="945"/>
      <c r="U3" s="945"/>
      <c r="V3" s="945"/>
      <c r="W3" s="945"/>
      <c r="X3" s="945"/>
      <c r="Y3" s="945"/>
      <c r="Z3" s="945"/>
    </row>
    <row r="4" spans="2:26">
      <c r="B4" s="952"/>
      <c r="C4" s="960"/>
      <c r="D4" s="960"/>
      <c r="E4" s="960"/>
      <c r="F4" s="960"/>
    </row>
    <row r="5" spans="2:26">
      <c r="B5" s="953"/>
      <c r="C5" s="961"/>
      <c r="D5" s="967"/>
      <c r="E5" s="967"/>
      <c r="F5" s="967"/>
      <c r="G5" s="971"/>
      <c r="H5" s="971"/>
      <c r="I5" s="971"/>
      <c r="J5" s="971"/>
      <c r="K5" s="971"/>
      <c r="L5" s="971"/>
      <c r="M5" s="971"/>
      <c r="N5" s="971"/>
      <c r="O5" s="971"/>
      <c r="P5" s="971"/>
      <c r="Q5" s="971"/>
      <c r="R5" s="971"/>
      <c r="S5" s="971"/>
      <c r="T5" s="971"/>
      <c r="U5" s="971"/>
      <c r="V5" s="971"/>
      <c r="W5" s="971"/>
      <c r="X5" s="971"/>
      <c r="Y5" s="971"/>
      <c r="Z5" s="971"/>
    </row>
    <row r="6" spans="2:26">
      <c r="B6" s="954"/>
      <c r="C6" s="961"/>
      <c r="D6" s="968"/>
      <c r="E6" s="968"/>
      <c r="F6" s="968"/>
      <c r="G6" s="971"/>
      <c r="H6" s="971"/>
      <c r="I6" s="971"/>
      <c r="J6" s="971"/>
      <c r="K6" s="971"/>
      <c r="L6" s="971"/>
      <c r="M6" s="971"/>
      <c r="N6" s="971"/>
      <c r="O6" s="971"/>
      <c r="P6" s="971"/>
      <c r="Q6" s="971"/>
      <c r="R6" s="971"/>
      <c r="S6" s="971"/>
      <c r="T6" s="971"/>
      <c r="U6" s="971"/>
      <c r="V6" s="971"/>
      <c r="W6" s="971"/>
      <c r="X6" s="971"/>
      <c r="Y6" s="971"/>
      <c r="Z6" s="971"/>
    </row>
    <row r="7" spans="2:26">
      <c r="B7" s="954"/>
      <c r="C7" s="962"/>
      <c r="D7" s="969"/>
      <c r="E7" s="969"/>
      <c r="F7" s="969"/>
      <c r="G7" s="971"/>
      <c r="H7" s="971"/>
      <c r="I7" s="971"/>
      <c r="J7" s="971"/>
      <c r="K7" s="971"/>
      <c r="L7" s="971"/>
      <c r="M7" s="971"/>
      <c r="N7" s="971"/>
      <c r="O7" s="971"/>
      <c r="P7" s="971"/>
      <c r="Q7" s="971"/>
      <c r="R7" s="971"/>
      <c r="S7" s="971"/>
      <c r="T7" s="971"/>
      <c r="U7" s="971"/>
      <c r="V7" s="971"/>
      <c r="W7" s="971"/>
      <c r="X7" s="971"/>
      <c r="Y7" s="971"/>
      <c r="Z7" s="971"/>
    </row>
    <row r="8" spans="2:26">
      <c r="B8" s="954"/>
      <c r="C8" s="962"/>
      <c r="D8" s="969"/>
      <c r="E8" s="969"/>
      <c r="F8" s="969"/>
      <c r="G8" s="971"/>
      <c r="H8" s="971"/>
      <c r="I8" s="971"/>
      <c r="J8" s="971"/>
      <c r="K8" s="971"/>
      <c r="L8" s="971"/>
      <c r="M8" s="971"/>
      <c r="N8" s="971"/>
      <c r="O8" s="971"/>
      <c r="P8" s="971"/>
      <c r="Q8" s="971"/>
      <c r="R8" s="971"/>
      <c r="S8" s="971"/>
      <c r="T8" s="971"/>
      <c r="U8" s="971"/>
      <c r="V8" s="971"/>
      <c r="W8" s="971"/>
      <c r="X8" s="971"/>
      <c r="Y8" s="971"/>
      <c r="Z8" s="971"/>
    </row>
    <row r="9" spans="2:26">
      <c r="B9" s="953"/>
      <c r="C9" s="961"/>
      <c r="D9" s="967"/>
      <c r="E9" s="967"/>
      <c r="F9" s="967"/>
      <c r="G9" s="971"/>
      <c r="H9" s="971"/>
      <c r="I9" s="971"/>
      <c r="J9" s="971"/>
      <c r="K9" s="971"/>
      <c r="L9" s="971"/>
      <c r="M9" s="971"/>
      <c r="N9" s="971"/>
      <c r="O9" s="971"/>
      <c r="P9" s="971"/>
      <c r="Q9" s="971"/>
      <c r="R9" s="971"/>
      <c r="S9" s="971"/>
      <c r="T9" s="971"/>
      <c r="U9" s="971"/>
      <c r="V9" s="971"/>
      <c r="W9" s="971"/>
      <c r="X9" s="971"/>
      <c r="Y9" s="971"/>
      <c r="Z9" s="971"/>
    </row>
    <row r="10" spans="2:26">
      <c r="B10" s="955"/>
      <c r="C10" s="963"/>
      <c r="D10" s="967"/>
      <c r="E10" s="967"/>
      <c r="F10" s="967"/>
      <c r="G10" s="971"/>
      <c r="H10" s="971"/>
      <c r="I10" s="971"/>
      <c r="J10" s="971"/>
      <c r="K10" s="971"/>
      <c r="L10" s="971"/>
      <c r="M10" s="971"/>
      <c r="N10" s="971"/>
      <c r="O10" s="971"/>
      <c r="P10" s="971"/>
      <c r="Q10" s="971"/>
      <c r="R10" s="971"/>
      <c r="S10" s="971"/>
      <c r="T10" s="971"/>
      <c r="U10" s="971"/>
      <c r="V10" s="971"/>
      <c r="W10" s="971"/>
      <c r="X10" s="971"/>
      <c r="Y10" s="971"/>
      <c r="Z10" s="971"/>
    </row>
    <row r="11" spans="2:26">
      <c r="B11" s="953"/>
      <c r="C11" s="961"/>
      <c r="D11" s="971"/>
      <c r="E11" s="971"/>
      <c r="F11" s="971"/>
      <c r="G11" s="971"/>
      <c r="H11" s="971"/>
      <c r="I11" s="971"/>
      <c r="J11" s="971"/>
      <c r="K11" s="971"/>
      <c r="L11" s="971"/>
      <c r="M11" s="971"/>
      <c r="N11" s="971"/>
      <c r="O11" s="971"/>
      <c r="P11" s="971"/>
      <c r="Q11" s="971"/>
      <c r="R11" s="971"/>
      <c r="S11" s="971"/>
      <c r="T11" s="971"/>
      <c r="U11" s="971"/>
      <c r="V11" s="971"/>
      <c r="W11" s="971"/>
      <c r="X11" s="971"/>
      <c r="Y11" s="971"/>
      <c r="Z11" s="971"/>
    </row>
    <row r="12" spans="2:26">
      <c r="B12" s="955"/>
      <c r="C12" s="963"/>
      <c r="D12" s="967"/>
      <c r="E12" s="967"/>
      <c r="F12" s="967"/>
      <c r="G12" s="971"/>
      <c r="H12" s="971"/>
      <c r="I12" s="971"/>
      <c r="J12" s="971"/>
      <c r="K12" s="971"/>
      <c r="L12" s="971"/>
      <c r="M12" s="971"/>
      <c r="N12" s="971"/>
      <c r="O12" s="971"/>
      <c r="P12" s="971"/>
      <c r="Q12" s="971"/>
      <c r="R12" s="971"/>
      <c r="S12" s="971"/>
      <c r="T12" s="971"/>
      <c r="U12" s="971"/>
      <c r="V12" s="971"/>
      <c r="W12" s="971"/>
      <c r="X12" s="971"/>
      <c r="Y12" s="971"/>
      <c r="Z12" s="971"/>
    </row>
    <row r="13" spans="2:26">
      <c r="B13" s="952"/>
      <c r="C13" s="960"/>
      <c r="D13" s="970"/>
      <c r="E13" s="970"/>
      <c r="F13" s="970"/>
      <c r="G13" s="971"/>
      <c r="H13" s="971"/>
      <c r="I13" s="971"/>
      <c r="J13" s="971"/>
      <c r="K13" s="971"/>
      <c r="L13" s="971"/>
      <c r="M13" s="971"/>
      <c r="N13" s="971"/>
      <c r="O13" s="971"/>
      <c r="P13" s="971"/>
      <c r="Q13" s="971"/>
      <c r="R13" s="971"/>
      <c r="S13" s="971"/>
      <c r="T13" s="971"/>
      <c r="U13" s="971"/>
      <c r="V13" s="971"/>
      <c r="W13" s="971"/>
      <c r="X13" s="971"/>
      <c r="Y13" s="971"/>
      <c r="Z13" s="971"/>
    </row>
    <row r="14" spans="2:26">
      <c r="B14" s="954"/>
      <c r="C14" s="962"/>
      <c r="D14" s="972"/>
      <c r="E14" s="972"/>
      <c r="F14" s="972"/>
      <c r="G14" s="972"/>
      <c r="H14" s="971"/>
      <c r="I14" s="971"/>
      <c r="J14" s="971"/>
      <c r="K14" s="971"/>
      <c r="L14" s="971"/>
      <c r="M14" s="971"/>
      <c r="N14" s="971"/>
      <c r="O14" s="971"/>
      <c r="P14" s="971"/>
      <c r="Q14" s="971"/>
      <c r="R14" s="971"/>
      <c r="S14" s="971"/>
      <c r="T14" s="971"/>
      <c r="U14" s="971"/>
      <c r="V14" s="971"/>
      <c r="W14" s="971"/>
      <c r="X14" s="971"/>
      <c r="Y14" s="971"/>
      <c r="Z14" s="971"/>
    </row>
    <row r="15" spans="2:26">
      <c r="B15" s="954"/>
      <c r="C15" s="962"/>
      <c r="D15" s="972"/>
      <c r="E15" s="972"/>
      <c r="F15" s="972"/>
      <c r="G15" s="972"/>
      <c r="H15" s="971"/>
      <c r="I15" s="971"/>
      <c r="J15" s="971"/>
      <c r="K15" s="971"/>
      <c r="L15" s="971"/>
      <c r="M15" s="971"/>
      <c r="N15" s="971"/>
      <c r="O15" s="971"/>
      <c r="P15" s="971"/>
      <c r="Q15" s="971"/>
      <c r="R15" s="971"/>
      <c r="S15" s="971"/>
      <c r="T15" s="971"/>
      <c r="U15" s="971"/>
      <c r="V15" s="971"/>
      <c r="W15" s="971"/>
      <c r="X15" s="971"/>
      <c r="Y15" s="971"/>
      <c r="Z15" s="971"/>
    </row>
    <row r="16" spans="2:26">
      <c r="B16" s="956"/>
      <c r="C16" s="964"/>
      <c r="D16" s="973"/>
      <c r="E16" s="973"/>
      <c r="F16" s="973"/>
      <c r="G16" s="973"/>
      <c r="H16" s="971"/>
      <c r="I16" s="971"/>
      <c r="J16" s="971"/>
      <c r="K16" s="971"/>
      <c r="L16" s="971"/>
      <c r="M16" s="971"/>
      <c r="N16" s="971"/>
      <c r="O16" s="971"/>
      <c r="P16" s="971"/>
      <c r="Q16" s="971"/>
      <c r="R16" s="971"/>
      <c r="S16" s="971"/>
      <c r="T16" s="971"/>
      <c r="U16" s="971"/>
      <c r="V16" s="971"/>
      <c r="W16" s="971"/>
      <c r="X16" s="971"/>
      <c r="Y16" s="971"/>
      <c r="Z16" s="971"/>
    </row>
    <row r="17" spans="2:26">
      <c r="B17" s="954"/>
      <c r="C17" s="962"/>
      <c r="D17" s="972"/>
      <c r="E17" s="972"/>
      <c r="F17" s="972"/>
      <c r="G17" s="972"/>
      <c r="H17" s="971"/>
      <c r="I17" s="971"/>
      <c r="J17" s="971"/>
      <c r="K17" s="971"/>
      <c r="L17" s="971"/>
      <c r="M17" s="971"/>
      <c r="N17" s="971"/>
      <c r="O17" s="971"/>
      <c r="P17" s="971"/>
      <c r="Q17" s="971"/>
      <c r="R17" s="971"/>
      <c r="S17" s="971"/>
      <c r="T17" s="971"/>
      <c r="U17" s="971"/>
      <c r="V17" s="971"/>
      <c r="W17" s="971"/>
      <c r="X17" s="971"/>
      <c r="Y17" s="971"/>
      <c r="Z17" s="971"/>
    </row>
    <row r="18" spans="2:26">
      <c r="B18" s="954"/>
      <c r="C18" s="962"/>
      <c r="D18" s="972"/>
      <c r="E18" s="972"/>
      <c r="F18" s="972"/>
      <c r="G18" s="972"/>
      <c r="H18" s="971"/>
      <c r="I18" s="971"/>
      <c r="J18" s="971"/>
      <c r="K18" s="971"/>
      <c r="L18" s="971"/>
      <c r="M18" s="971"/>
      <c r="N18" s="971"/>
      <c r="O18" s="971"/>
      <c r="P18" s="971"/>
      <c r="Q18" s="971"/>
      <c r="R18" s="971"/>
      <c r="S18" s="971"/>
      <c r="T18" s="971"/>
      <c r="U18" s="971"/>
      <c r="V18" s="971"/>
      <c r="W18" s="971"/>
      <c r="X18" s="971"/>
      <c r="Y18" s="971"/>
      <c r="Z18" s="971"/>
    </row>
    <row r="19" spans="2:26">
      <c r="B19" s="954"/>
      <c r="C19" s="962"/>
      <c r="D19" s="972"/>
      <c r="E19" s="972"/>
      <c r="F19" s="972"/>
      <c r="G19" s="972"/>
      <c r="H19" s="971"/>
      <c r="I19" s="971"/>
      <c r="J19" s="971"/>
      <c r="K19" s="971"/>
      <c r="L19" s="971"/>
      <c r="M19" s="971"/>
      <c r="N19" s="971"/>
      <c r="O19" s="971"/>
      <c r="P19" s="971"/>
      <c r="Q19" s="971"/>
      <c r="R19" s="971"/>
      <c r="S19" s="971"/>
      <c r="T19" s="971"/>
      <c r="U19" s="971"/>
      <c r="V19" s="971"/>
      <c r="W19" s="971"/>
      <c r="X19" s="971"/>
      <c r="Y19" s="971"/>
      <c r="Z19" s="971"/>
    </row>
    <row r="20" spans="2:26">
      <c r="B20" s="957"/>
      <c r="C20" s="965"/>
      <c r="D20" s="971"/>
      <c r="E20" s="971"/>
      <c r="F20" s="971"/>
      <c r="G20" s="971"/>
      <c r="H20" s="971"/>
      <c r="I20" s="971"/>
      <c r="J20" s="971"/>
      <c r="K20" s="971"/>
      <c r="L20" s="971"/>
      <c r="M20" s="971"/>
      <c r="N20" s="971"/>
      <c r="O20" s="971"/>
      <c r="P20" s="971"/>
      <c r="Q20" s="971"/>
      <c r="R20" s="971"/>
      <c r="S20" s="971"/>
      <c r="T20" s="971"/>
      <c r="U20" s="971"/>
      <c r="V20" s="971"/>
      <c r="W20" s="971"/>
      <c r="X20" s="971"/>
      <c r="Y20" s="971"/>
      <c r="Z20" s="971"/>
    </row>
    <row r="21" spans="2:26">
      <c r="B21" s="999"/>
      <c r="C21" s="1000"/>
      <c r="D21" s="1001"/>
      <c r="E21" s="1001"/>
      <c r="F21" s="1001"/>
      <c r="G21" s="1002"/>
      <c r="H21" s="1003"/>
      <c r="I21" s="1003"/>
      <c r="J21" s="1003"/>
      <c r="K21" s="1003"/>
      <c r="L21" s="1003"/>
      <c r="M21" s="1003"/>
      <c r="N21" s="1003"/>
      <c r="O21" s="1003"/>
      <c r="P21" s="1003"/>
      <c r="Q21" s="1003"/>
      <c r="R21" s="1003"/>
      <c r="S21" s="1003"/>
      <c r="T21" s="1003"/>
      <c r="U21" s="1003"/>
      <c r="V21" s="1003"/>
      <c r="W21" s="1003"/>
      <c r="X21" s="1003"/>
      <c r="Y21" s="1003"/>
      <c r="Z21" s="1003"/>
    </row>
    <row r="22" spans="2:26">
      <c r="B22" s="999"/>
      <c r="C22" s="1000"/>
      <c r="D22" s="1001"/>
      <c r="E22" s="1001"/>
      <c r="F22" s="1001"/>
      <c r="G22" s="1003"/>
      <c r="H22" s="1003"/>
      <c r="I22" s="1003"/>
      <c r="J22" s="1003"/>
      <c r="K22" s="1003"/>
      <c r="L22" s="1003"/>
      <c r="M22" s="1003"/>
      <c r="N22" s="1003"/>
      <c r="O22" s="1003"/>
      <c r="P22" s="1003"/>
      <c r="Q22" s="1003"/>
      <c r="R22" s="1003"/>
      <c r="S22" s="1003"/>
      <c r="T22" s="1003"/>
      <c r="U22" s="1003"/>
      <c r="V22" s="1003"/>
      <c r="W22" s="1003"/>
      <c r="X22" s="1003"/>
      <c r="Y22" s="1003"/>
      <c r="Z22" s="1003"/>
    </row>
    <row r="23" spans="2:26">
      <c r="B23" s="953"/>
      <c r="C23" s="961"/>
      <c r="D23" s="974"/>
      <c r="E23" s="974"/>
      <c r="F23" s="974"/>
      <c r="G23" s="974"/>
      <c r="H23" s="974"/>
      <c r="I23" s="974"/>
      <c r="J23" s="974"/>
      <c r="K23" s="974"/>
      <c r="L23" s="974"/>
      <c r="M23" s="974"/>
      <c r="N23" s="974"/>
      <c r="O23" s="974"/>
      <c r="P23" s="974"/>
      <c r="Q23" s="974"/>
      <c r="R23" s="974"/>
      <c r="S23" s="974"/>
      <c r="T23" s="974"/>
      <c r="U23" s="974"/>
      <c r="V23" s="974"/>
      <c r="W23" s="974"/>
      <c r="X23" s="974"/>
      <c r="Y23" s="974"/>
      <c r="Z23" s="974"/>
    </row>
    <row r="24" spans="2:26">
      <c r="D24" s="971"/>
      <c r="E24" s="971"/>
      <c r="F24" s="971"/>
      <c r="G24" s="971"/>
      <c r="H24" s="971"/>
      <c r="I24" s="971"/>
      <c r="J24" s="971"/>
      <c r="K24" s="971"/>
      <c r="L24" s="971"/>
      <c r="M24" s="971"/>
      <c r="N24" s="971"/>
      <c r="O24" s="971"/>
      <c r="P24" s="971"/>
      <c r="Q24" s="971"/>
      <c r="R24" s="971"/>
      <c r="S24" s="971"/>
      <c r="T24" s="971"/>
      <c r="U24" s="971"/>
      <c r="V24" s="971"/>
      <c r="W24" s="971"/>
      <c r="X24" s="971"/>
      <c r="Y24" s="971"/>
      <c r="Z24" s="971"/>
    </row>
    <row r="25" spans="2:26">
      <c r="B25" s="975"/>
      <c r="C25" s="976"/>
      <c r="D25" s="974"/>
      <c r="E25" s="974"/>
      <c r="F25" s="974"/>
      <c r="G25" s="974"/>
      <c r="H25" s="974"/>
      <c r="I25" s="974"/>
      <c r="J25" s="974"/>
      <c r="K25" s="974"/>
      <c r="L25" s="974"/>
      <c r="M25" s="974"/>
      <c r="N25" s="974"/>
      <c r="O25" s="974"/>
      <c r="P25" s="974"/>
      <c r="Q25" s="974"/>
      <c r="R25" s="974"/>
      <c r="S25" s="974"/>
      <c r="T25" s="974"/>
      <c r="U25" s="974"/>
      <c r="V25" s="974"/>
      <c r="W25" s="974"/>
      <c r="X25" s="974"/>
      <c r="Y25" s="974"/>
      <c r="Z25" s="974"/>
    </row>
    <row r="26" spans="2:26">
      <c r="D26" s="998"/>
      <c r="E26" s="998"/>
      <c r="F26" s="998"/>
      <c r="G26" s="998"/>
      <c r="H26" s="998"/>
      <c r="I26" s="998"/>
      <c r="J26" s="998"/>
      <c r="K26" s="998"/>
      <c r="L26" s="998"/>
      <c r="M26" s="998"/>
      <c r="N26" s="998"/>
      <c r="O26" s="998"/>
      <c r="P26" s="998"/>
      <c r="Q26" s="998"/>
      <c r="R26" s="998"/>
      <c r="S26" s="998"/>
      <c r="T26" s="998"/>
      <c r="U26" s="998"/>
      <c r="V26" s="998"/>
      <c r="W26" s="998"/>
      <c r="X26" s="998"/>
      <c r="Y26" s="998"/>
      <c r="Z26" s="998"/>
    </row>
    <row r="28" spans="2:26">
      <c r="D28" s="944"/>
      <c r="E28" s="944"/>
      <c r="F28" s="944"/>
      <c r="G28" s="944"/>
      <c r="H28" s="944"/>
      <c r="I28" s="944"/>
      <c r="J28" s="944"/>
      <c r="K28" s="944"/>
      <c r="L28" s="944"/>
      <c r="M28" s="944"/>
      <c r="N28" s="944"/>
      <c r="O28" s="944"/>
      <c r="P28" s="944"/>
      <c r="Q28" s="944"/>
      <c r="R28" s="944"/>
      <c r="S28" s="944"/>
      <c r="T28" s="944"/>
      <c r="U28" s="944"/>
      <c r="V28" s="944"/>
      <c r="W28" s="944"/>
      <c r="X28" s="944"/>
      <c r="Y28" s="944"/>
      <c r="Z28" s="944"/>
    </row>
    <row r="29" spans="2:26">
      <c r="D29" s="966"/>
      <c r="E29" s="966"/>
      <c r="F29" s="966"/>
      <c r="G29" s="966"/>
      <c r="H29" s="966"/>
      <c r="I29" s="966"/>
      <c r="J29" s="966"/>
      <c r="K29" s="966"/>
      <c r="L29" s="966"/>
      <c r="M29" s="966"/>
      <c r="N29" s="966"/>
      <c r="O29" s="966"/>
      <c r="P29" s="966"/>
      <c r="Q29" s="966"/>
      <c r="R29" s="966"/>
      <c r="S29" s="966"/>
      <c r="T29" s="966"/>
      <c r="U29" s="966"/>
      <c r="V29" s="966"/>
    </row>
    <row r="30" spans="2:26">
      <c r="D30" s="966"/>
      <c r="E30" s="966"/>
      <c r="F30" s="966"/>
      <c r="G30" s="966"/>
      <c r="H30" s="966"/>
      <c r="I30" s="966"/>
      <c r="J30" s="966"/>
      <c r="K30" s="966"/>
      <c r="L30" s="966"/>
      <c r="M30" s="966"/>
      <c r="N30" s="966"/>
      <c r="O30" s="966"/>
      <c r="P30" s="966"/>
      <c r="Q30" s="966"/>
      <c r="R30" s="966"/>
      <c r="S30" s="966"/>
      <c r="T30" s="966"/>
      <c r="U30" s="966"/>
      <c r="V30" s="966"/>
    </row>
    <row r="31" spans="2:26">
      <c r="D31" s="944"/>
      <c r="E31" s="944"/>
      <c r="F31" s="944"/>
      <c r="G31" s="944"/>
      <c r="H31" s="944"/>
      <c r="I31" s="944"/>
      <c r="J31" s="944"/>
      <c r="K31" s="944"/>
      <c r="L31" s="944"/>
      <c r="M31" s="944"/>
      <c r="N31" s="944"/>
      <c r="O31" s="944"/>
      <c r="P31" s="944"/>
      <c r="Q31" s="944"/>
      <c r="R31" s="944"/>
      <c r="S31" s="944"/>
      <c r="T31" s="944"/>
      <c r="U31" s="944"/>
      <c r="V31" s="944"/>
      <c r="W31" s="445"/>
      <c r="X31" s="445"/>
      <c r="Y31" s="445"/>
      <c r="Z31" s="445"/>
    </row>
    <row r="32" spans="2:26">
      <c r="D32" s="944"/>
      <c r="E32" s="944"/>
      <c r="F32" s="944"/>
      <c r="G32" s="944"/>
      <c r="H32" s="944"/>
      <c r="I32" s="944"/>
      <c r="J32" s="944"/>
      <c r="K32" s="944"/>
      <c r="L32" s="944"/>
      <c r="M32" s="944"/>
      <c r="N32" s="944"/>
      <c r="O32" s="944"/>
      <c r="P32" s="944"/>
      <c r="Q32" s="944"/>
      <c r="R32" s="944"/>
      <c r="S32" s="944"/>
      <c r="T32" s="944"/>
      <c r="U32" s="944"/>
      <c r="V32" s="944"/>
      <c r="W32" s="944"/>
      <c r="X32" s="944"/>
      <c r="Y32" s="944"/>
      <c r="Z32" s="944"/>
    </row>
    <row r="33" spans="4:26">
      <c r="D33" s="944"/>
      <c r="E33" s="944"/>
      <c r="F33" s="944"/>
      <c r="G33" s="944"/>
      <c r="H33" s="944"/>
      <c r="I33" s="944"/>
      <c r="J33" s="944"/>
      <c r="K33" s="944"/>
      <c r="L33" s="944"/>
      <c r="M33" s="944"/>
      <c r="N33" s="944"/>
      <c r="O33" s="944"/>
      <c r="P33" s="944"/>
      <c r="Q33" s="944"/>
      <c r="R33" s="944"/>
      <c r="S33" s="944"/>
      <c r="T33" s="944"/>
      <c r="U33" s="944"/>
      <c r="V33" s="944"/>
      <c r="W33" s="944"/>
      <c r="X33" s="944"/>
      <c r="Y33" s="944"/>
      <c r="Z33" s="944"/>
    </row>
    <row r="34" spans="4:26">
      <c r="D34" s="944"/>
      <c r="E34" s="944"/>
      <c r="F34" s="944"/>
      <c r="G34" s="944"/>
      <c r="H34" s="944"/>
      <c r="I34" s="944"/>
      <c r="J34" s="944"/>
      <c r="K34" s="944"/>
      <c r="L34" s="944"/>
      <c r="M34" s="944"/>
      <c r="N34" s="944"/>
      <c r="O34" s="944"/>
      <c r="P34" s="944"/>
      <c r="Q34" s="944"/>
      <c r="R34" s="944"/>
      <c r="S34" s="944"/>
      <c r="T34" s="944"/>
      <c r="U34" s="944"/>
      <c r="V34" s="944"/>
      <c r="W34" s="944"/>
      <c r="X34" s="944"/>
      <c r="Y34" s="944"/>
      <c r="Z34" s="944"/>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AC19"/>
  <sheetViews>
    <sheetView workbookViewId="0">
      <selection activeCell="J17" sqref="J17"/>
    </sheetView>
  </sheetViews>
  <sheetFormatPr defaultRowHeight="15"/>
  <cols>
    <col min="1" max="1" width="2.85546875" customWidth="1"/>
    <col min="2" max="2" width="4.140625" customWidth="1"/>
    <col min="3" max="3" width="19.28515625" customWidth="1"/>
  </cols>
  <sheetData>
    <row r="3" spans="2:29">
      <c r="B3" s="977"/>
      <c r="C3" s="978"/>
      <c r="D3" s="979"/>
      <c r="E3" s="979"/>
      <c r="F3" s="980"/>
      <c r="G3" s="980"/>
      <c r="H3" s="980"/>
      <c r="I3" s="980"/>
      <c r="J3" s="980"/>
      <c r="K3" s="980"/>
      <c r="L3" s="980"/>
      <c r="M3" s="980"/>
      <c r="N3" s="980"/>
      <c r="O3" s="980"/>
      <c r="P3" s="980"/>
      <c r="Q3" s="980"/>
      <c r="R3" s="980"/>
      <c r="S3" s="980"/>
      <c r="T3" s="979"/>
      <c r="U3" s="979"/>
      <c r="V3" s="979"/>
      <c r="W3" s="979"/>
      <c r="X3" s="979"/>
      <c r="Y3" s="979"/>
      <c r="Z3" s="979"/>
      <c r="AA3" s="979"/>
      <c r="AB3" s="979"/>
      <c r="AC3" s="981"/>
    </row>
    <row r="4" spans="2:29">
      <c r="B4" s="977"/>
      <c r="C4" s="979"/>
      <c r="D4" s="982"/>
      <c r="E4" s="982"/>
      <c r="F4" s="980"/>
      <c r="G4" s="980"/>
      <c r="H4" s="980"/>
      <c r="I4" s="980"/>
      <c r="J4" s="980"/>
      <c r="K4" s="980"/>
      <c r="L4" s="980"/>
      <c r="M4" s="980"/>
      <c r="N4" s="980"/>
      <c r="O4" s="980"/>
      <c r="P4" s="980"/>
      <c r="Q4" s="980"/>
      <c r="R4" s="980"/>
      <c r="S4" s="980"/>
      <c r="T4" s="982"/>
      <c r="U4" s="982"/>
      <c r="V4" s="982"/>
      <c r="W4" s="982"/>
      <c r="X4" s="982"/>
      <c r="Y4" s="982"/>
      <c r="Z4" s="982"/>
      <c r="AA4" s="982"/>
      <c r="AB4" s="982"/>
      <c r="AC4" s="983"/>
    </row>
    <row r="5" spans="2:29">
      <c r="B5" s="977"/>
      <c r="C5" s="984"/>
      <c r="D5" s="985"/>
      <c r="E5" s="985"/>
      <c r="F5" s="986"/>
      <c r="G5" s="986"/>
      <c r="H5" s="986"/>
      <c r="I5" s="986"/>
      <c r="J5" s="986"/>
      <c r="K5" s="986"/>
      <c r="L5" s="986"/>
      <c r="M5" s="986"/>
      <c r="N5" s="986"/>
      <c r="O5" s="986"/>
      <c r="P5" s="986"/>
      <c r="Q5" s="986"/>
      <c r="R5" s="986"/>
      <c r="S5" s="986"/>
      <c r="T5" s="985"/>
      <c r="U5" s="985"/>
      <c r="V5" s="985"/>
      <c r="W5" s="985"/>
      <c r="X5" s="985"/>
      <c r="Y5" s="985"/>
      <c r="Z5" s="985"/>
      <c r="AA5" s="985"/>
      <c r="AB5" s="985"/>
      <c r="AC5" s="987"/>
    </row>
    <row r="6" spans="2:29">
      <c r="B6" s="977"/>
      <c r="C6" s="984"/>
      <c r="D6" s="985"/>
      <c r="E6" s="985"/>
      <c r="F6" s="986"/>
      <c r="G6" s="986"/>
      <c r="H6" s="986"/>
      <c r="I6" s="986"/>
      <c r="J6" s="986"/>
      <c r="K6" s="986"/>
      <c r="L6" s="986"/>
      <c r="M6" s="986"/>
      <c r="N6" s="986"/>
      <c r="O6" s="986"/>
      <c r="P6" s="986"/>
      <c r="Q6" s="986"/>
      <c r="R6" s="986"/>
      <c r="S6" s="986"/>
      <c r="T6" s="985"/>
      <c r="U6" s="985"/>
      <c r="V6" s="985"/>
      <c r="W6" s="985"/>
      <c r="X6" s="985"/>
      <c r="Y6" s="985"/>
      <c r="Z6" s="985"/>
      <c r="AA6" s="985"/>
      <c r="AB6" s="985"/>
      <c r="AC6" s="987"/>
    </row>
    <row r="7" spans="2:29">
      <c r="B7" s="977"/>
      <c r="C7" s="984"/>
      <c r="D7" s="985"/>
      <c r="E7" s="985"/>
      <c r="F7" s="986"/>
      <c r="G7" s="986"/>
      <c r="H7" s="986"/>
      <c r="I7" s="986"/>
      <c r="J7" s="986"/>
      <c r="K7" s="986"/>
      <c r="L7" s="986"/>
      <c r="M7" s="986"/>
      <c r="N7" s="986"/>
      <c r="O7" s="986"/>
      <c r="P7" s="986"/>
      <c r="Q7" s="986"/>
      <c r="R7" s="986"/>
      <c r="S7" s="986"/>
      <c r="T7" s="985"/>
      <c r="U7" s="985"/>
      <c r="V7" s="985"/>
      <c r="W7" s="985"/>
      <c r="X7" s="985"/>
      <c r="Y7" s="985"/>
      <c r="Z7" s="985"/>
      <c r="AA7" s="985"/>
      <c r="AB7" s="985"/>
      <c r="AC7" s="987"/>
    </row>
    <row r="8" spans="2:29">
      <c r="B8" s="977"/>
      <c r="C8" s="984"/>
      <c r="D8" s="985"/>
      <c r="E8" s="985"/>
      <c r="F8" s="986"/>
      <c r="G8" s="986"/>
      <c r="H8" s="986"/>
      <c r="I8" s="986"/>
      <c r="J8" s="986"/>
      <c r="K8" s="986"/>
      <c r="L8" s="986"/>
      <c r="M8" s="986"/>
      <c r="N8" s="986"/>
      <c r="O8" s="986"/>
      <c r="P8" s="986"/>
      <c r="Q8" s="986"/>
      <c r="R8" s="986"/>
      <c r="S8" s="986"/>
      <c r="T8" s="985"/>
      <c r="U8" s="985"/>
      <c r="V8" s="985"/>
      <c r="W8" s="985"/>
      <c r="X8" s="985"/>
      <c r="Y8" s="985"/>
      <c r="Z8" s="985"/>
      <c r="AA8" s="985"/>
      <c r="AB8" s="985"/>
      <c r="AC8" s="987"/>
    </row>
    <row r="9" spans="2:29">
      <c r="B9" s="977"/>
      <c r="C9" s="988"/>
      <c r="D9" s="989"/>
      <c r="E9" s="989"/>
      <c r="F9" s="990"/>
      <c r="G9" s="990"/>
      <c r="H9" s="990"/>
      <c r="I9" s="990"/>
      <c r="J9" s="990"/>
      <c r="K9" s="990"/>
      <c r="L9" s="990"/>
      <c r="M9" s="990"/>
      <c r="N9" s="990"/>
      <c r="O9" s="990"/>
      <c r="P9" s="990"/>
      <c r="Q9" s="990"/>
      <c r="R9" s="990"/>
      <c r="S9" s="990"/>
      <c r="T9" s="989"/>
      <c r="U9" s="989"/>
      <c r="V9" s="989"/>
      <c r="W9" s="989"/>
      <c r="X9" s="989"/>
      <c r="Y9" s="989"/>
      <c r="Z9" s="989"/>
      <c r="AA9" s="989"/>
      <c r="AB9" s="989"/>
      <c r="AC9" s="991"/>
    </row>
    <row r="10" spans="2:29">
      <c r="C10" s="1004"/>
      <c r="H10" s="441"/>
      <c r="I10" s="441"/>
      <c r="J10" s="441"/>
      <c r="K10" s="441"/>
      <c r="L10" s="441"/>
      <c r="M10" s="441"/>
      <c r="N10" s="441"/>
      <c r="O10" s="441"/>
      <c r="P10" s="441"/>
      <c r="Q10" s="441"/>
      <c r="R10" s="441"/>
      <c r="S10" s="441"/>
      <c r="T10" s="441"/>
      <c r="U10" s="441"/>
      <c r="V10" s="441"/>
      <c r="W10" s="441"/>
      <c r="X10" s="441"/>
      <c r="Y10" s="441"/>
      <c r="Z10" s="441"/>
      <c r="AA10" s="441"/>
      <c r="AB10" s="441"/>
    </row>
    <row r="12" spans="2:29">
      <c r="B12" s="992"/>
      <c r="C12" s="993"/>
      <c r="D12" s="994"/>
      <c r="E12" s="994"/>
      <c r="F12" s="995"/>
      <c r="G12" s="995"/>
      <c r="H12" s="995"/>
      <c r="I12" s="995"/>
      <c r="J12" s="995"/>
      <c r="K12" s="995"/>
      <c r="L12" s="995"/>
      <c r="M12" s="995"/>
      <c r="N12" s="995"/>
      <c r="O12" s="995"/>
      <c r="P12" s="995"/>
      <c r="Q12" s="995"/>
      <c r="R12" s="995"/>
      <c r="S12" s="995"/>
      <c r="T12" s="994"/>
      <c r="U12" s="994"/>
      <c r="V12" s="994"/>
      <c r="W12" s="994"/>
      <c r="X12" s="994"/>
      <c r="Y12" s="994"/>
      <c r="Z12" s="994"/>
      <c r="AA12" s="994"/>
      <c r="AB12" s="994"/>
      <c r="AC12" s="996"/>
    </row>
    <row r="13" spans="2:29">
      <c r="B13" s="977"/>
      <c r="C13" s="984"/>
      <c r="D13" s="984"/>
      <c r="E13" s="984"/>
      <c r="F13" s="997"/>
      <c r="G13" s="997"/>
      <c r="H13" s="997"/>
      <c r="I13" s="997"/>
      <c r="J13" s="997"/>
      <c r="K13" s="997"/>
      <c r="L13" s="997"/>
      <c r="M13" s="997"/>
      <c r="N13" s="997"/>
      <c r="O13" s="997"/>
      <c r="P13" s="997"/>
      <c r="Q13" s="997"/>
      <c r="R13" s="997"/>
      <c r="S13" s="997"/>
      <c r="T13" s="984"/>
      <c r="U13" s="984"/>
      <c r="V13" s="984"/>
      <c r="W13" s="984"/>
      <c r="X13" s="984"/>
      <c r="Y13" s="984"/>
      <c r="Z13" s="984"/>
      <c r="AA13" s="984"/>
      <c r="AB13" s="984"/>
      <c r="AC13" s="987"/>
    </row>
    <row r="14" spans="2:29">
      <c r="B14" s="977"/>
      <c r="C14" s="984"/>
      <c r="D14" s="984"/>
      <c r="E14" s="984"/>
      <c r="F14" s="997"/>
      <c r="G14" s="997"/>
      <c r="H14" s="997"/>
      <c r="I14" s="997"/>
      <c r="J14" s="997"/>
      <c r="K14" s="997"/>
      <c r="L14" s="997"/>
      <c r="M14" s="997"/>
      <c r="N14" s="997"/>
      <c r="O14" s="997"/>
      <c r="P14" s="997"/>
      <c r="Q14" s="997"/>
      <c r="R14" s="997"/>
      <c r="S14" s="997"/>
      <c r="T14" s="984"/>
      <c r="U14" s="984"/>
      <c r="V14" s="984"/>
      <c r="W14" s="984"/>
      <c r="X14" s="984"/>
      <c r="Y14" s="984"/>
      <c r="Z14" s="984"/>
      <c r="AA14" s="984"/>
      <c r="AB14" s="984"/>
      <c r="AC14" s="987"/>
    </row>
    <row r="15" spans="2:29">
      <c r="B15" s="977"/>
      <c r="C15" s="984"/>
      <c r="D15" s="984"/>
      <c r="E15" s="984"/>
      <c r="F15" s="997"/>
      <c r="G15" s="997"/>
      <c r="H15" s="997"/>
      <c r="I15" s="997"/>
      <c r="J15" s="997"/>
      <c r="K15" s="997"/>
      <c r="L15" s="997"/>
      <c r="M15" s="997"/>
      <c r="N15" s="997"/>
      <c r="O15" s="997"/>
      <c r="P15" s="997"/>
      <c r="Q15" s="997"/>
      <c r="R15" s="997"/>
      <c r="S15" s="997"/>
      <c r="T15" s="984"/>
      <c r="U15" s="984"/>
      <c r="V15" s="984"/>
      <c r="W15" s="984"/>
      <c r="X15" s="984"/>
      <c r="Y15" s="984"/>
      <c r="Z15" s="984"/>
      <c r="AA15" s="984"/>
      <c r="AB15" s="984"/>
      <c r="AC15" s="987"/>
    </row>
    <row r="16" spans="2:29">
      <c r="B16" s="977"/>
      <c r="C16" s="984"/>
      <c r="D16" s="984"/>
      <c r="E16" s="984"/>
      <c r="F16" s="997"/>
      <c r="G16" s="997"/>
      <c r="H16" s="997"/>
      <c r="I16" s="997"/>
      <c r="J16" s="997"/>
      <c r="K16" s="997"/>
      <c r="L16" s="997"/>
      <c r="M16" s="997"/>
      <c r="N16" s="997"/>
      <c r="O16" s="997"/>
      <c r="P16" s="997"/>
      <c r="Q16" s="997"/>
      <c r="R16" s="997"/>
      <c r="S16" s="997"/>
      <c r="T16" s="984"/>
      <c r="U16" s="984"/>
      <c r="V16" s="984"/>
      <c r="W16" s="984"/>
      <c r="X16" s="984"/>
      <c r="Y16" s="984"/>
      <c r="Z16" s="984"/>
      <c r="AA16" s="984"/>
      <c r="AB16" s="984"/>
      <c r="AC16" s="987"/>
    </row>
    <row r="17" spans="2:29">
      <c r="B17" s="977"/>
      <c r="C17" s="984"/>
      <c r="D17" s="984"/>
      <c r="E17" s="984"/>
      <c r="F17" s="997"/>
      <c r="G17" s="997"/>
      <c r="H17" s="997"/>
      <c r="I17" s="997"/>
      <c r="J17" s="997"/>
      <c r="K17" s="997"/>
      <c r="L17" s="997"/>
      <c r="M17" s="997"/>
      <c r="N17" s="997"/>
      <c r="O17" s="997"/>
      <c r="P17" s="997"/>
      <c r="Q17" s="997"/>
      <c r="R17" s="997"/>
      <c r="S17" s="997"/>
      <c r="T17" s="984"/>
      <c r="U17" s="984"/>
      <c r="V17" s="984"/>
      <c r="W17" s="984"/>
      <c r="X17" s="984"/>
      <c r="Y17" s="984"/>
      <c r="Z17" s="984"/>
      <c r="AA17" s="984"/>
      <c r="AB17" s="984"/>
      <c r="AC17" s="987"/>
    </row>
    <row r="18" spans="2:29">
      <c r="B18" s="977"/>
      <c r="C18" s="984"/>
      <c r="D18" s="984"/>
      <c r="E18" s="984"/>
      <c r="F18" s="997"/>
      <c r="G18" s="997"/>
      <c r="H18" s="997"/>
      <c r="I18" s="997"/>
      <c r="J18" s="997"/>
      <c r="K18" s="997"/>
      <c r="L18" s="997"/>
      <c r="M18" s="997"/>
      <c r="N18" s="997"/>
      <c r="O18" s="997"/>
      <c r="P18" s="997"/>
      <c r="Q18" s="997"/>
      <c r="R18" s="997"/>
      <c r="S18" s="997"/>
      <c r="T18" s="984"/>
      <c r="U18" s="984"/>
      <c r="V18" s="984"/>
      <c r="W18" s="984"/>
      <c r="X18" s="984"/>
      <c r="Y18" s="984"/>
      <c r="Z18" s="984"/>
      <c r="AA18" s="984"/>
      <c r="AB18" s="984"/>
      <c r="AC18" s="987"/>
    </row>
    <row r="19" spans="2:29">
      <c r="B19" s="977"/>
      <c r="C19" s="988"/>
      <c r="D19" s="989"/>
      <c r="E19" s="989"/>
      <c r="F19" s="990"/>
      <c r="G19" s="990"/>
      <c r="H19" s="990"/>
      <c r="I19" s="990"/>
      <c r="J19" s="990"/>
      <c r="K19" s="990"/>
      <c r="L19" s="990"/>
      <c r="M19" s="990"/>
      <c r="N19" s="990"/>
      <c r="O19" s="990"/>
      <c r="P19" s="990"/>
      <c r="Q19" s="990"/>
      <c r="R19" s="990"/>
      <c r="S19" s="990"/>
      <c r="T19" s="989"/>
      <c r="U19" s="989"/>
      <c r="V19" s="989"/>
      <c r="W19" s="989"/>
      <c r="X19" s="989"/>
      <c r="Y19" s="989"/>
      <c r="Z19" s="989"/>
      <c r="AA19" s="989"/>
      <c r="AB19" s="989"/>
      <c r="AC19" s="9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H30"/>
  <sheetViews>
    <sheetView topLeftCell="A9" workbookViewId="0">
      <selection activeCell="F30" sqref="F30"/>
    </sheetView>
  </sheetViews>
  <sheetFormatPr defaultRowHeight="15"/>
  <cols>
    <col min="2" max="2" width="10.5703125" bestFit="1" customWidth="1"/>
    <col min="3" max="3" width="9.5703125" bestFit="1" customWidth="1"/>
  </cols>
  <sheetData>
    <row r="4" spans="2:8">
      <c r="C4" s="408">
        <f>Assumptions!H10</f>
        <v>914176</v>
      </c>
      <c r="D4" s="408">
        <f>Assumptions!I10</f>
        <v>1308709</v>
      </c>
      <c r="E4" s="408">
        <f>Assumptions!J10</f>
        <v>1320000</v>
      </c>
      <c r="F4" s="408">
        <f>Assumptions!K10</f>
        <v>1443200</v>
      </c>
      <c r="G4" s="408">
        <f>Assumptions!L10</f>
        <v>1519980</v>
      </c>
      <c r="H4" s="408">
        <f>Assumptions!M10</f>
        <v>1519980</v>
      </c>
    </row>
    <row r="6" spans="2:8">
      <c r="C6">
        <f t="shared" ref="C6:H6" si="0">597300*2</f>
        <v>1194600</v>
      </c>
      <c r="D6">
        <f t="shared" si="0"/>
        <v>1194600</v>
      </c>
      <c r="E6">
        <f t="shared" si="0"/>
        <v>1194600</v>
      </c>
      <c r="F6">
        <f t="shared" si="0"/>
        <v>1194600</v>
      </c>
      <c r="G6">
        <f t="shared" si="0"/>
        <v>1194600</v>
      </c>
      <c r="H6">
        <f t="shared" si="0"/>
        <v>1194600</v>
      </c>
    </row>
    <row r="8" spans="2:8">
      <c r="C8" s="408">
        <f>C4</f>
        <v>914176</v>
      </c>
      <c r="D8" s="408">
        <f>D4-D6</f>
        <v>114109</v>
      </c>
      <c r="E8" s="408">
        <f>E4-E6</f>
        <v>125400</v>
      </c>
      <c r="F8" s="408">
        <f>F4-F6</f>
        <v>248600</v>
      </c>
      <c r="G8" s="408">
        <f>G4-G6</f>
        <v>325380</v>
      </c>
      <c r="H8" s="408">
        <f>H4-H6</f>
        <v>325380</v>
      </c>
    </row>
    <row r="10" spans="2:8">
      <c r="B10" s="903">
        <f>Assumptions!C23*Assumptions!H12</f>
        <v>25928.44516746806</v>
      </c>
    </row>
    <row r="11" spans="2:8">
      <c r="B11" s="903">
        <v>384</v>
      </c>
    </row>
    <row r="12" spans="2:8">
      <c r="B12" s="903">
        <v>12</v>
      </c>
    </row>
    <row r="13" spans="2:8">
      <c r="B13" s="903">
        <v>3446</v>
      </c>
    </row>
    <row r="14" spans="2:8">
      <c r="B14" s="903">
        <v>-4974</v>
      </c>
    </row>
    <row r="15" spans="2:8">
      <c r="B15" s="903">
        <f>SUM(B10:B14)</f>
        <v>24796.44516746806</v>
      </c>
    </row>
    <row r="16" spans="2:8">
      <c r="B16" s="903">
        <v>1345</v>
      </c>
    </row>
    <row r="17" spans="2:8">
      <c r="B17" s="903">
        <f>SUM(B15:B16)</f>
        <v>26141.44516746806</v>
      </c>
      <c r="C17" s="903">
        <f>$B$17*C8/10000000</f>
        <v>2389.7881777415282</v>
      </c>
      <c r="D17" s="903">
        <f>$B$17*D6/10000000</f>
        <v>3122.8570397057347</v>
      </c>
      <c r="E17" s="903">
        <f>$B$17*E6/10000000</f>
        <v>3122.8570397057347</v>
      </c>
      <c r="F17" s="903">
        <f>$B$17*F6/10000000</f>
        <v>3122.8570397057347</v>
      </c>
      <c r="G17" s="903">
        <f>$B$17*G6/10000000</f>
        <v>3122.8570397057347</v>
      </c>
      <c r="H17" s="903">
        <f>$B$17*H6/10000000</f>
        <v>3122.8570397057347</v>
      </c>
    </row>
    <row r="19" spans="2:8">
      <c r="B19" s="904">
        <f>5.5*3661</f>
        <v>20135.5</v>
      </c>
    </row>
    <row r="20" spans="2:8">
      <c r="B20" s="904">
        <f t="shared" ref="B20:B25" si="1">B11</f>
        <v>384</v>
      </c>
    </row>
    <row r="21" spans="2:8">
      <c r="B21" s="904">
        <f t="shared" si="1"/>
        <v>12</v>
      </c>
    </row>
    <row r="22" spans="2:8">
      <c r="B22" s="904">
        <v>1635</v>
      </c>
    </row>
    <row r="23" spans="2:8">
      <c r="B23" s="904">
        <f t="shared" si="1"/>
        <v>-4974</v>
      </c>
    </row>
    <row r="24" spans="2:8">
      <c r="B24" s="904">
        <f>SUM(B19:B23)</f>
        <v>17192.5</v>
      </c>
    </row>
    <row r="25" spans="2:8">
      <c r="B25" s="904">
        <f t="shared" si="1"/>
        <v>1345</v>
      </c>
      <c r="D25" s="441"/>
      <c r="E25" s="441"/>
      <c r="F25" s="441"/>
      <c r="G25" s="441"/>
      <c r="H25" s="441"/>
    </row>
    <row r="26" spans="2:8">
      <c r="B26" s="904">
        <f>B24+B25</f>
        <v>18537.5</v>
      </c>
      <c r="D26" s="441">
        <f>$B$26*D8/10000000</f>
        <v>211.52955875000001</v>
      </c>
      <c r="E26" s="441">
        <f>$B$26*E8/10000000</f>
        <v>232.46025</v>
      </c>
      <c r="F26" s="441">
        <f>$B$26*F8/10000000</f>
        <v>460.84224999999998</v>
      </c>
      <c r="G26" s="441">
        <f>$B$26*G8/10000000</f>
        <v>603.17317500000001</v>
      </c>
      <c r="H26" s="441">
        <f>$B$26*H8/10000000</f>
        <v>603.17317500000001</v>
      </c>
    </row>
    <row r="27" spans="2:8">
      <c r="D27" s="441"/>
      <c r="E27" s="441"/>
      <c r="F27" s="441"/>
      <c r="G27" s="441"/>
      <c r="H27" s="441"/>
    </row>
    <row r="28" spans="2:8">
      <c r="C28" s="441">
        <f t="shared" ref="C28:H28" si="2">C17+C26</f>
        <v>2389.7881777415282</v>
      </c>
      <c r="D28" s="441">
        <f t="shared" si="2"/>
        <v>3334.3865984557347</v>
      </c>
      <c r="E28" s="441">
        <f t="shared" si="2"/>
        <v>3355.3172897057348</v>
      </c>
      <c r="F28" s="441">
        <f t="shared" si="2"/>
        <v>3583.6992897057348</v>
      </c>
      <c r="G28" s="441">
        <f t="shared" si="2"/>
        <v>3726.0302147057346</v>
      </c>
      <c r="H28" s="441">
        <f t="shared" si="2"/>
        <v>3726.0302147057346</v>
      </c>
    </row>
    <row r="30" spans="2:8">
      <c r="C30" s="441">
        <f>C28-'P&amp;L'!F6</f>
        <v>2389.7881777415282</v>
      </c>
      <c r="D30" s="441">
        <f>D28-'P&amp;L'!G6</f>
        <v>-160.26407358044025</v>
      </c>
      <c r="E30" s="441">
        <f>E28-'P&amp;L'!H6</f>
        <v>-167.61727320190221</v>
      </c>
      <c r="F30" s="441">
        <f>F28-'P&amp;L'!I6</f>
        <v>-247.8505734732812</v>
      </c>
      <c r="G30" s="441">
        <f>G28-'P&amp;L'!J6</f>
        <v>-233.36284643407544</v>
      </c>
      <c r="H30" s="441">
        <f>H28-'P&amp;L'!K6</f>
        <v>-233.36284643407544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6E1D1-9A4C-413F-9D1E-E1F5321C3B3E}">
  <sheetPr transitionEvaluation="1" transitionEntry="1">
    <pageSetUpPr fitToPage="1"/>
  </sheetPr>
  <dimension ref="A1:V130"/>
  <sheetViews>
    <sheetView showGridLines="0" zoomScale="80" zoomScaleNormal="80" workbookViewId="0">
      <pane xSplit="2" ySplit="6" topLeftCell="C7" activePane="bottomRight" state="frozen"/>
      <selection activeCell="E8" sqref="E8"/>
      <selection pane="topRight" activeCell="E8" sqref="E8"/>
      <selection pane="bottomLeft" activeCell="E8" sqref="E8"/>
      <selection pane="bottomRight" activeCell="H21" sqref="H21"/>
    </sheetView>
  </sheetViews>
  <sheetFormatPr defaultRowHeight="15" outlineLevelCol="1"/>
  <cols>
    <col min="1" max="1" width="34.140625" style="1085" customWidth="1"/>
    <col min="2" max="2" width="11.5703125" style="1085" bestFit="1" customWidth="1"/>
    <col min="3" max="3" width="18.140625" style="1085" bestFit="1" customWidth="1"/>
    <col min="4" max="4" width="19.5703125" style="1085" bestFit="1" customWidth="1"/>
    <col min="5" max="5" width="16.28515625" style="1085" bestFit="1" customWidth="1"/>
    <col min="6" max="6" width="14.7109375" style="1085" bestFit="1" customWidth="1"/>
    <col min="7" max="7" width="14" style="1085" hidden="1" customWidth="1" outlineLevel="1"/>
    <col min="8" max="8" width="16" style="1085" customWidth="1" collapsed="1"/>
    <col min="9" max="9" width="15.5703125" style="1085" hidden="1" customWidth="1" outlineLevel="1"/>
    <col min="10" max="10" width="18.140625" style="1085" bestFit="1" customWidth="1" collapsed="1"/>
    <col min="11" max="11" width="16.7109375" style="1085" customWidth="1"/>
    <col min="12" max="12" width="18.140625" style="1085" bestFit="1" customWidth="1"/>
    <col min="13" max="13" width="16.140625" style="1085" bestFit="1" customWidth="1"/>
    <col min="14" max="14" width="18.140625" style="1085" bestFit="1" customWidth="1"/>
    <col min="15" max="15" width="20" style="1085" bestFit="1" customWidth="1"/>
    <col min="16" max="16" width="17.5703125" style="1085" bestFit="1" customWidth="1"/>
    <col min="17" max="17" width="9.140625" style="1085"/>
    <col min="18" max="18" width="15.5703125" style="1085" bestFit="1" customWidth="1"/>
    <col min="19" max="19" width="18.85546875" style="1085" bestFit="1" customWidth="1"/>
    <col min="20" max="21" width="9.140625" style="1085"/>
    <col min="22" max="22" width="18.140625" style="1085" bestFit="1" customWidth="1"/>
    <col min="23" max="256" width="9.140625" style="1085"/>
    <col min="257" max="257" width="34.140625" style="1085" customWidth="1"/>
    <col min="258" max="258" width="11.5703125" style="1085" bestFit="1" customWidth="1"/>
    <col min="259" max="259" width="18.28515625" style="1085" customWidth="1"/>
    <col min="260" max="260" width="17.5703125" style="1085" bestFit="1" customWidth="1"/>
    <col min="261" max="261" width="15.5703125" style="1085" bestFit="1" customWidth="1"/>
    <col min="262" max="262" width="16.140625" style="1085" bestFit="1" customWidth="1"/>
    <col min="263" max="263" width="6" style="1085" bestFit="1" customWidth="1"/>
    <col min="264" max="264" width="16.140625" style="1085" bestFit="1" customWidth="1"/>
    <col min="265" max="265" width="15.5703125" style="1085" customWidth="1"/>
    <col min="266" max="266" width="17.5703125" style="1085" bestFit="1" customWidth="1"/>
    <col min="267" max="267" width="16.7109375" style="1085" customWidth="1"/>
    <col min="268" max="268" width="17.5703125" style="1085" bestFit="1" customWidth="1"/>
    <col min="269" max="269" width="20" style="1085" bestFit="1" customWidth="1"/>
    <col min="270" max="270" width="14.28515625" style="1085" bestFit="1" customWidth="1"/>
    <col min="271" max="271" width="20" style="1085" bestFit="1" customWidth="1"/>
    <col min="272" max="272" width="17.5703125" style="1085" bestFit="1" customWidth="1"/>
    <col min="273" max="273" width="9.140625" style="1085"/>
    <col min="274" max="274" width="15.5703125" style="1085" bestFit="1" customWidth="1"/>
    <col min="275" max="275" width="18.85546875" style="1085" bestFit="1" customWidth="1"/>
    <col min="276" max="512" width="9.140625" style="1085"/>
    <col min="513" max="513" width="34.140625" style="1085" customWidth="1"/>
    <col min="514" max="514" width="11.5703125" style="1085" bestFit="1" customWidth="1"/>
    <col min="515" max="515" width="18.28515625" style="1085" customWidth="1"/>
    <col min="516" max="516" width="17.5703125" style="1085" bestFit="1" customWidth="1"/>
    <col min="517" max="517" width="15.5703125" style="1085" bestFit="1" customWidth="1"/>
    <col min="518" max="518" width="16.140625" style="1085" bestFit="1" customWidth="1"/>
    <col min="519" max="519" width="6" style="1085" bestFit="1" customWidth="1"/>
    <col min="520" max="520" width="16.140625" style="1085" bestFit="1" customWidth="1"/>
    <col min="521" max="521" width="15.5703125" style="1085" customWidth="1"/>
    <col min="522" max="522" width="17.5703125" style="1085" bestFit="1" customWidth="1"/>
    <col min="523" max="523" width="16.7109375" style="1085" customWidth="1"/>
    <col min="524" max="524" width="17.5703125" style="1085" bestFit="1" customWidth="1"/>
    <col min="525" max="525" width="20" style="1085" bestFit="1" customWidth="1"/>
    <col min="526" max="526" width="14.28515625" style="1085" bestFit="1" customWidth="1"/>
    <col min="527" max="527" width="20" style="1085" bestFit="1" customWidth="1"/>
    <col min="528" max="528" width="17.5703125" style="1085" bestFit="1" customWidth="1"/>
    <col min="529" max="529" width="9.140625" style="1085"/>
    <col min="530" max="530" width="15.5703125" style="1085" bestFit="1" customWidth="1"/>
    <col min="531" max="531" width="18.85546875" style="1085" bestFit="1" customWidth="1"/>
    <col min="532" max="768" width="9.140625" style="1085"/>
    <col min="769" max="769" width="34.140625" style="1085" customWidth="1"/>
    <col min="770" max="770" width="11.5703125" style="1085" bestFit="1" customWidth="1"/>
    <col min="771" max="771" width="18.28515625" style="1085" customWidth="1"/>
    <col min="772" max="772" width="17.5703125" style="1085" bestFit="1" customWidth="1"/>
    <col min="773" max="773" width="15.5703125" style="1085" bestFit="1" customWidth="1"/>
    <col min="774" max="774" width="16.140625" style="1085" bestFit="1" customWidth="1"/>
    <col min="775" max="775" width="6" style="1085" bestFit="1" customWidth="1"/>
    <col min="776" max="776" width="16.140625" style="1085" bestFit="1" customWidth="1"/>
    <col min="777" max="777" width="15.5703125" style="1085" customWidth="1"/>
    <col min="778" max="778" width="17.5703125" style="1085" bestFit="1" customWidth="1"/>
    <col min="779" max="779" width="16.7109375" style="1085" customWidth="1"/>
    <col min="780" max="780" width="17.5703125" style="1085" bestFit="1" customWidth="1"/>
    <col min="781" max="781" width="20" style="1085" bestFit="1" customWidth="1"/>
    <col min="782" max="782" width="14.28515625" style="1085" bestFit="1" customWidth="1"/>
    <col min="783" max="783" width="20" style="1085" bestFit="1" customWidth="1"/>
    <col min="784" max="784" width="17.5703125" style="1085" bestFit="1" customWidth="1"/>
    <col min="785" max="785" width="9.140625" style="1085"/>
    <col min="786" max="786" width="15.5703125" style="1085" bestFit="1" customWidth="1"/>
    <col min="787" max="787" width="18.85546875" style="1085" bestFit="1" customWidth="1"/>
    <col min="788" max="1024" width="9.140625" style="1085"/>
    <col min="1025" max="1025" width="34.140625" style="1085" customWidth="1"/>
    <col min="1026" max="1026" width="11.5703125" style="1085" bestFit="1" customWidth="1"/>
    <col min="1027" max="1027" width="18.28515625" style="1085" customWidth="1"/>
    <col min="1028" max="1028" width="17.5703125" style="1085" bestFit="1" customWidth="1"/>
    <col min="1029" max="1029" width="15.5703125" style="1085" bestFit="1" customWidth="1"/>
    <col min="1030" max="1030" width="16.140625" style="1085" bestFit="1" customWidth="1"/>
    <col min="1031" max="1031" width="6" style="1085" bestFit="1" customWidth="1"/>
    <col min="1032" max="1032" width="16.140625" style="1085" bestFit="1" customWidth="1"/>
    <col min="1033" max="1033" width="15.5703125" style="1085" customWidth="1"/>
    <col min="1034" max="1034" width="17.5703125" style="1085" bestFit="1" customWidth="1"/>
    <col min="1035" max="1035" width="16.7109375" style="1085" customWidth="1"/>
    <col min="1036" max="1036" width="17.5703125" style="1085" bestFit="1" customWidth="1"/>
    <col min="1037" max="1037" width="20" style="1085" bestFit="1" customWidth="1"/>
    <col min="1038" max="1038" width="14.28515625" style="1085" bestFit="1" customWidth="1"/>
    <col min="1039" max="1039" width="20" style="1085" bestFit="1" customWidth="1"/>
    <col min="1040" max="1040" width="17.5703125" style="1085" bestFit="1" customWidth="1"/>
    <col min="1041" max="1041" width="9.140625" style="1085"/>
    <col min="1042" max="1042" width="15.5703125" style="1085" bestFit="1" customWidth="1"/>
    <col min="1043" max="1043" width="18.85546875" style="1085" bestFit="1" customWidth="1"/>
    <col min="1044" max="1280" width="9.140625" style="1085"/>
    <col min="1281" max="1281" width="34.140625" style="1085" customWidth="1"/>
    <col min="1282" max="1282" width="11.5703125" style="1085" bestFit="1" customWidth="1"/>
    <col min="1283" max="1283" width="18.28515625" style="1085" customWidth="1"/>
    <col min="1284" max="1284" width="17.5703125" style="1085" bestFit="1" customWidth="1"/>
    <col min="1285" max="1285" width="15.5703125" style="1085" bestFit="1" customWidth="1"/>
    <col min="1286" max="1286" width="16.140625" style="1085" bestFit="1" customWidth="1"/>
    <col min="1287" max="1287" width="6" style="1085" bestFit="1" customWidth="1"/>
    <col min="1288" max="1288" width="16.140625" style="1085" bestFit="1" customWidth="1"/>
    <col min="1289" max="1289" width="15.5703125" style="1085" customWidth="1"/>
    <col min="1290" max="1290" width="17.5703125" style="1085" bestFit="1" customWidth="1"/>
    <col min="1291" max="1291" width="16.7109375" style="1085" customWidth="1"/>
    <col min="1292" max="1292" width="17.5703125" style="1085" bestFit="1" customWidth="1"/>
    <col min="1293" max="1293" width="20" style="1085" bestFit="1" customWidth="1"/>
    <col min="1294" max="1294" width="14.28515625" style="1085" bestFit="1" customWidth="1"/>
    <col min="1295" max="1295" width="20" style="1085" bestFit="1" customWidth="1"/>
    <col min="1296" max="1296" width="17.5703125" style="1085" bestFit="1" customWidth="1"/>
    <col min="1297" max="1297" width="9.140625" style="1085"/>
    <col min="1298" max="1298" width="15.5703125" style="1085" bestFit="1" customWidth="1"/>
    <col min="1299" max="1299" width="18.85546875" style="1085" bestFit="1" customWidth="1"/>
    <col min="1300" max="1536" width="9.140625" style="1085"/>
    <col min="1537" max="1537" width="34.140625" style="1085" customWidth="1"/>
    <col min="1538" max="1538" width="11.5703125" style="1085" bestFit="1" customWidth="1"/>
    <col min="1539" max="1539" width="18.28515625" style="1085" customWidth="1"/>
    <col min="1540" max="1540" width="17.5703125" style="1085" bestFit="1" customWidth="1"/>
    <col min="1541" max="1541" width="15.5703125" style="1085" bestFit="1" customWidth="1"/>
    <col min="1542" max="1542" width="16.140625" style="1085" bestFit="1" customWidth="1"/>
    <col min="1543" max="1543" width="6" style="1085" bestFit="1" customWidth="1"/>
    <col min="1544" max="1544" width="16.140625" style="1085" bestFit="1" customWidth="1"/>
    <col min="1545" max="1545" width="15.5703125" style="1085" customWidth="1"/>
    <col min="1546" max="1546" width="17.5703125" style="1085" bestFit="1" customWidth="1"/>
    <col min="1547" max="1547" width="16.7109375" style="1085" customWidth="1"/>
    <col min="1548" max="1548" width="17.5703125" style="1085" bestFit="1" customWidth="1"/>
    <col min="1549" max="1549" width="20" style="1085" bestFit="1" customWidth="1"/>
    <col min="1550" max="1550" width="14.28515625" style="1085" bestFit="1" customWidth="1"/>
    <col min="1551" max="1551" width="20" style="1085" bestFit="1" customWidth="1"/>
    <col min="1552" max="1552" width="17.5703125" style="1085" bestFit="1" customWidth="1"/>
    <col min="1553" max="1553" width="9.140625" style="1085"/>
    <col min="1554" max="1554" width="15.5703125" style="1085" bestFit="1" customWidth="1"/>
    <col min="1555" max="1555" width="18.85546875" style="1085" bestFit="1" customWidth="1"/>
    <col min="1556" max="1792" width="9.140625" style="1085"/>
    <col min="1793" max="1793" width="34.140625" style="1085" customWidth="1"/>
    <col min="1794" max="1794" width="11.5703125" style="1085" bestFit="1" customWidth="1"/>
    <col min="1795" max="1795" width="18.28515625" style="1085" customWidth="1"/>
    <col min="1796" max="1796" width="17.5703125" style="1085" bestFit="1" customWidth="1"/>
    <col min="1797" max="1797" width="15.5703125" style="1085" bestFit="1" customWidth="1"/>
    <col min="1798" max="1798" width="16.140625" style="1085" bestFit="1" customWidth="1"/>
    <col min="1799" max="1799" width="6" style="1085" bestFit="1" customWidth="1"/>
    <col min="1800" max="1800" width="16.140625" style="1085" bestFit="1" customWidth="1"/>
    <col min="1801" max="1801" width="15.5703125" style="1085" customWidth="1"/>
    <col min="1802" max="1802" width="17.5703125" style="1085" bestFit="1" customWidth="1"/>
    <col min="1803" max="1803" width="16.7109375" style="1085" customWidth="1"/>
    <col min="1804" max="1804" width="17.5703125" style="1085" bestFit="1" customWidth="1"/>
    <col min="1805" max="1805" width="20" style="1085" bestFit="1" customWidth="1"/>
    <col min="1806" max="1806" width="14.28515625" style="1085" bestFit="1" customWidth="1"/>
    <col min="1807" max="1807" width="20" style="1085" bestFit="1" customWidth="1"/>
    <col min="1808" max="1808" width="17.5703125" style="1085" bestFit="1" customWidth="1"/>
    <col min="1809" max="1809" width="9.140625" style="1085"/>
    <col min="1810" max="1810" width="15.5703125" style="1085" bestFit="1" customWidth="1"/>
    <col min="1811" max="1811" width="18.85546875" style="1085" bestFit="1" customWidth="1"/>
    <col min="1812" max="2048" width="9.140625" style="1085"/>
    <col min="2049" max="2049" width="34.140625" style="1085" customWidth="1"/>
    <col min="2050" max="2050" width="11.5703125" style="1085" bestFit="1" customWidth="1"/>
    <col min="2051" max="2051" width="18.28515625" style="1085" customWidth="1"/>
    <col min="2052" max="2052" width="17.5703125" style="1085" bestFit="1" customWidth="1"/>
    <col min="2053" max="2053" width="15.5703125" style="1085" bestFit="1" customWidth="1"/>
    <col min="2054" max="2054" width="16.140625" style="1085" bestFit="1" customWidth="1"/>
    <col min="2055" max="2055" width="6" style="1085" bestFit="1" customWidth="1"/>
    <col min="2056" max="2056" width="16.140625" style="1085" bestFit="1" customWidth="1"/>
    <col min="2057" max="2057" width="15.5703125" style="1085" customWidth="1"/>
    <col min="2058" max="2058" width="17.5703125" style="1085" bestFit="1" customWidth="1"/>
    <col min="2059" max="2059" width="16.7109375" style="1085" customWidth="1"/>
    <col min="2060" max="2060" width="17.5703125" style="1085" bestFit="1" customWidth="1"/>
    <col min="2061" max="2061" width="20" style="1085" bestFit="1" customWidth="1"/>
    <col min="2062" max="2062" width="14.28515625" style="1085" bestFit="1" customWidth="1"/>
    <col min="2063" max="2063" width="20" style="1085" bestFit="1" customWidth="1"/>
    <col min="2064" max="2064" width="17.5703125" style="1085" bestFit="1" customWidth="1"/>
    <col min="2065" max="2065" width="9.140625" style="1085"/>
    <col min="2066" max="2066" width="15.5703125" style="1085" bestFit="1" customWidth="1"/>
    <col min="2067" max="2067" width="18.85546875" style="1085" bestFit="1" customWidth="1"/>
    <col min="2068" max="2304" width="9.140625" style="1085"/>
    <col min="2305" max="2305" width="34.140625" style="1085" customWidth="1"/>
    <col min="2306" max="2306" width="11.5703125" style="1085" bestFit="1" customWidth="1"/>
    <col min="2307" max="2307" width="18.28515625" style="1085" customWidth="1"/>
    <col min="2308" max="2308" width="17.5703125" style="1085" bestFit="1" customWidth="1"/>
    <col min="2309" max="2309" width="15.5703125" style="1085" bestFit="1" customWidth="1"/>
    <col min="2310" max="2310" width="16.140625" style="1085" bestFit="1" customWidth="1"/>
    <col min="2311" max="2311" width="6" style="1085" bestFit="1" customWidth="1"/>
    <col min="2312" max="2312" width="16.140625" style="1085" bestFit="1" customWidth="1"/>
    <col min="2313" max="2313" width="15.5703125" style="1085" customWidth="1"/>
    <col min="2314" max="2314" width="17.5703125" style="1085" bestFit="1" customWidth="1"/>
    <col min="2315" max="2315" width="16.7109375" style="1085" customWidth="1"/>
    <col min="2316" max="2316" width="17.5703125" style="1085" bestFit="1" customWidth="1"/>
    <col min="2317" max="2317" width="20" style="1085" bestFit="1" customWidth="1"/>
    <col min="2318" max="2318" width="14.28515625" style="1085" bestFit="1" customWidth="1"/>
    <col min="2319" max="2319" width="20" style="1085" bestFit="1" customWidth="1"/>
    <col min="2320" max="2320" width="17.5703125" style="1085" bestFit="1" customWidth="1"/>
    <col min="2321" max="2321" width="9.140625" style="1085"/>
    <col min="2322" max="2322" width="15.5703125" style="1085" bestFit="1" customWidth="1"/>
    <col min="2323" max="2323" width="18.85546875" style="1085" bestFit="1" customWidth="1"/>
    <col min="2324" max="2560" width="9.140625" style="1085"/>
    <col min="2561" max="2561" width="34.140625" style="1085" customWidth="1"/>
    <col min="2562" max="2562" width="11.5703125" style="1085" bestFit="1" customWidth="1"/>
    <col min="2563" max="2563" width="18.28515625" style="1085" customWidth="1"/>
    <col min="2564" max="2564" width="17.5703125" style="1085" bestFit="1" customWidth="1"/>
    <col min="2565" max="2565" width="15.5703125" style="1085" bestFit="1" customWidth="1"/>
    <col min="2566" max="2566" width="16.140625" style="1085" bestFit="1" customWidth="1"/>
    <col min="2567" max="2567" width="6" style="1085" bestFit="1" customWidth="1"/>
    <col min="2568" max="2568" width="16.140625" style="1085" bestFit="1" customWidth="1"/>
    <col min="2569" max="2569" width="15.5703125" style="1085" customWidth="1"/>
    <col min="2570" max="2570" width="17.5703125" style="1085" bestFit="1" customWidth="1"/>
    <col min="2571" max="2571" width="16.7109375" style="1085" customWidth="1"/>
    <col min="2572" max="2572" width="17.5703125" style="1085" bestFit="1" customWidth="1"/>
    <col min="2573" max="2573" width="20" style="1085" bestFit="1" customWidth="1"/>
    <col min="2574" max="2574" width="14.28515625" style="1085" bestFit="1" customWidth="1"/>
    <col min="2575" max="2575" width="20" style="1085" bestFit="1" customWidth="1"/>
    <col min="2576" max="2576" width="17.5703125" style="1085" bestFit="1" customWidth="1"/>
    <col min="2577" max="2577" width="9.140625" style="1085"/>
    <col min="2578" max="2578" width="15.5703125" style="1085" bestFit="1" customWidth="1"/>
    <col min="2579" max="2579" width="18.85546875" style="1085" bestFit="1" customWidth="1"/>
    <col min="2580" max="2816" width="9.140625" style="1085"/>
    <col min="2817" max="2817" width="34.140625" style="1085" customWidth="1"/>
    <col min="2818" max="2818" width="11.5703125" style="1085" bestFit="1" customWidth="1"/>
    <col min="2819" max="2819" width="18.28515625" style="1085" customWidth="1"/>
    <col min="2820" max="2820" width="17.5703125" style="1085" bestFit="1" customWidth="1"/>
    <col min="2821" max="2821" width="15.5703125" style="1085" bestFit="1" customWidth="1"/>
    <col min="2822" max="2822" width="16.140625" style="1085" bestFit="1" customWidth="1"/>
    <col min="2823" max="2823" width="6" style="1085" bestFit="1" customWidth="1"/>
    <col min="2824" max="2824" width="16.140625" style="1085" bestFit="1" customWidth="1"/>
    <col min="2825" max="2825" width="15.5703125" style="1085" customWidth="1"/>
    <col min="2826" max="2826" width="17.5703125" style="1085" bestFit="1" customWidth="1"/>
    <col min="2827" max="2827" width="16.7109375" style="1085" customWidth="1"/>
    <col min="2828" max="2828" width="17.5703125" style="1085" bestFit="1" customWidth="1"/>
    <col min="2829" max="2829" width="20" style="1085" bestFit="1" customWidth="1"/>
    <col min="2830" max="2830" width="14.28515625" style="1085" bestFit="1" customWidth="1"/>
    <col min="2831" max="2831" width="20" style="1085" bestFit="1" customWidth="1"/>
    <col min="2832" max="2832" width="17.5703125" style="1085" bestFit="1" customWidth="1"/>
    <col min="2833" max="2833" width="9.140625" style="1085"/>
    <col min="2834" max="2834" width="15.5703125" style="1085" bestFit="1" customWidth="1"/>
    <col min="2835" max="2835" width="18.85546875" style="1085" bestFit="1" customWidth="1"/>
    <col min="2836" max="3072" width="9.140625" style="1085"/>
    <col min="3073" max="3073" width="34.140625" style="1085" customWidth="1"/>
    <col min="3074" max="3074" width="11.5703125" style="1085" bestFit="1" customWidth="1"/>
    <col min="3075" max="3075" width="18.28515625" style="1085" customWidth="1"/>
    <col min="3076" max="3076" width="17.5703125" style="1085" bestFit="1" customWidth="1"/>
    <col min="3077" max="3077" width="15.5703125" style="1085" bestFit="1" customWidth="1"/>
    <col min="3078" max="3078" width="16.140625" style="1085" bestFit="1" customWidth="1"/>
    <col min="3079" max="3079" width="6" style="1085" bestFit="1" customWidth="1"/>
    <col min="3080" max="3080" width="16.140625" style="1085" bestFit="1" customWidth="1"/>
    <col min="3081" max="3081" width="15.5703125" style="1085" customWidth="1"/>
    <col min="3082" max="3082" width="17.5703125" style="1085" bestFit="1" customWidth="1"/>
    <col min="3083" max="3083" width="16.7109375" style="1085" customWidth="1"/>
    <col min="3084" max="3084" width="17.5703125" style="1085" bestFit="1" customWidth="1"/>
    <col min="3085" max="3085" width="20" style="1085" bestFit="1" customWidth="1"/>
    <col min="3086" max="3086" width="14.28515625" style="1085" bestFit="1" customWidth="1"/>
    <col min="3087" max="3087" width="20" style="1085" bestFit="1" customWidth="1"/>
    <col min="3088" max="3088" width="17.5703125" style="1085" bestFit="1" customWidth="1"/>
    <col min="3089" max="3089" width="9.140625" style="1085"/>
    <col min="3090" max="3090" width="15.5703125" style="1085" bestFit="1" customWidth="1"/>
    <col min="3091" max="3091" width="18.85546875" style="1085" bestFit="1" customWidth="1"/>
    <col min="3092" max="3328" width="9.140625" style="1085"/>
    <col min="3329" max="3329" width="34.140625" style="1085" customWidth="1"/>
    <col min="3330" max="3330" width="11.5703125" style="1085" bestFit="1" customWidth="1"/>
    <col min="3331" max="3331" width="18.28515625" style="1085" customWidth="1"/>
    <col min="3332" max="3332" width="17.5703125" style="1085" bestFit="1" customWidth="1"/>
    <col min="3333" max="3333" width="15.5703125" style="1085" bestFit="1" customWidth="1"/>
    <col min="3334" max="3334" width="16.140625" style="1085" bestFit="1" customWidth="1"/>
    <col min="3335" max="3335" width="6" style="1085" bestFit="1" customWidth="1"/>
    <col min="3336" max="3336" width="16.140625" style="1085" bestFit="1" customWidth="1"/>
    <col min="3337" max="3337" width="15.5703125" style="1085" customWidth="1"/>
    <col min="3338" max="3338" width="17.5703125" style="1085" bestFit="1" customWidth="1"/>
    <col min="3339" max="3339" width="16.7109375" style="1085" customWidth="1"/>
    <col min="3340" max="3340" width="17.5703125" style="1085" bestFit="1" customWidth="1"/>
    <col min="3341" max="3341" width="20" style="1085" bestFit="1" customWidth="1"/>
    <col min="3342" max="3342" width="14.28515625" style="1085" bestFit="1" customWidth="1"/>
    <col min="3343" max="3343" width="20" style="1085" bestFit="1" customWidth="1"/>
    <col min="3344" max="3344" width="17.5703125" style="1085" bestFit="1" customWidth="1"/>
    <col min="3345" max="3345" width="9.140625" style="1085"/>
    <col min="3346" max="3346" width="15.5703125" style="1085" bestFit="1" customWidth="1"/>
    <col min="3347" max="3347" width="18.85546875" style="1085" bestFit="1" customWidth="1"/>
    <col min="3348" max="3584" width="9.140625" style="1085"/>
    <col min="3585" max="3585" width="34.140625" style="1085" customWidth="1"/>
    <col min="3586" max="3586" width="11.5703125" style="1085" bestFit="1" customWidth="1"/>
    <col min="3587" max="3587" width="18.28515625" style="1085" customWidth="1"/>
    <col min="3588" max="3588" width="17.5703125" style="1085" bestFit="1" customWidth="1"/>
    <col min="3589" max="3589" width="15.5703125" style="1085" bestFit="1" customWidth="1"/>
    <col min="3590" max="3590" width="16.140625" style="1085" bestFit="1" customWidth="1"/>
    <col min="3591" max="3591" width="6" style="1085" bestFit="1" customWidth="1"/>
    <col min="3592" max="3592" width="16.140625" style="1085" bestFit="1" customWidth="1"/>
    <col min="3593" max="3593" width="15.5703125" style="1085" customWidth="1"/>
    <col min="3594" max="3594" width="17.5703125" style="1085" bestFit="1" customWidth="1"/>
    <col min="3595" max="3595" width="16.7109375" style="1085" customWidth="1"/>
    <col min="3596" max="3596" width="17.5703125" style="1085" bestFit="1" customWidth="1"/>
    <col min="3597" max="3597" width="20" style="1085" bestFit="1" customWidth="1"/>
    <col min="3598" max="3598" width="14.28515625" style="1085" bestFit="1" customWidth="1"/>
    <col min="3599" max="3599" width="20" style="1085" bestFit="1" customWidth="1"/>
    <col min="3600" max="3600" width="17.5703125" style="1085" bestFit="1" customWidth="1"/>
    <col min="3601" max="3601" width="9.140625" style="1085"/>
    <col min="3602" max="3602" width="15.5703125" style="1085" bestFit="1" customWidth="1"/>
    <col min="3603" max="3603" width="18.85546875" style="1085" bestFit="1" customWidth="1"/>
    <col min="3604" max="3840" width="9.140625" style="1085"/>
    <col min="3841" max="3841" width="34.140625" style="1085" customWidth="1"/>
    <col min="3842" max="3842" width="11.5703125" style="1085" bestFit="1" customWidth="1"/>
    <col min="3843" max="3843" width="18.28515625" style="1085" customWidth="1"/>
    <col min="3844" max="3844" width="17.5703125" style="1085" bestFit="1" customWidth="1"/>
    <col min="3845" max="3845" width="15.5703125" style="1085" bestFit="1" customWidth="1"/>
    <col min="3846" max="3846" width="16.140625" style="1085" bestFit="1" customWidth="1"/>
    <col min="3847" max="3847" width="6" style="1085" bestFit="1" customWidth="1"/>
    <col min="3848" max="3848" width="16.140625" style="1085" bestFit="1" customWidth="1"/>
    <col min="3849" max="3849" width="15.5703125" style="1085" customWidth="1"/>
    <col min="3850" max="3850" width="17.5703125" style="1085" bestFit="1" customWidth="1"/>
    <col min="3851" max="3851" width="16.7109375" style="1085" customWidth="1"/>
    <col min="3852" max="3852" width="17.5703125" style="1085" bestFit="1" customWidth="1"/>
    <col min="3853" max="3853" width="20" style="1085" bestFit="1" customWidth="1"/>
    <col min="3854" max="3854" width="14.28515625" style="1085" bestFit="1" customWidth="1"/>
    <col min="3855" max="3855" width="20" style="1085" bestFit="1" customWidth="1"/>
    <col min="3856" max="3856" width="17.5703125" style="1085" bestFit="1" customWidth="1"/>
    <col min="3857" max="3857" width="9.140625" style="1085"/>
    <col min="3858" max="3858" width="15.5703125" style="1085" bestFit="1" customWidth="1"/>
    <col min="3859" max="3859" width="18.85546875" style="1085" bestFit="1" customWidth="1"/>
    <col min="3860" max="4096" width="9.140625" style="1085"/>
    <col min="4097" max="4097" width="34.140625" style="1085" customWidth="1"/>
    <col min="4098" max="4098" width="11.5703125" style="1085" bestFit="1" customWidth="1"/>
    <col min="4099" max="4099" width="18.28515625" style="1085" customWidth="1"/>
    <col min="4100" max="4100" width="17.5703125" style="1085" bestFit="1" customWidth="1"/>
    <col min="4101" max="4101" width="15.5703125" style="1085" bestFit="1" customWidth="1"/>
    <col min="4102" max="4102" width="16.140625" style="1085" bestFit="1" customWidth="1"/>
    <col min="4103" max="4103" width="6" style="1085" bestFit="1" customWidth="1"/>
    <col min="4104" max="4104" width="16.140625" style="1085" bestFit="1" customWidth="1"/>
    <col min="4105" max="4105" width="15.5703125" style="1085" customWidth="1"/>
    <col min="4106" max="4106" width="17.5703125" style="1085" bestFit="1" customWidth="1"/>
    <col min="4107" max="4107" width="16.7109375" style="1085" customWidth="1"/>
    <col min="4108" max="4108" width="17.5703125" style="1085" bestFit="1" customWidth="1"/>
    <col min="4109" max="4109" width="20" style="1085" bestFit="1" customWidth="1"/>
    <col min="4110" max="4110" width="14.28515625" style="1085" bestFit="1" customWidth="1"/>
    <col min="4111" max="4111" width="20" style="1085" bestFit="1" customWidth="1"/>
    <col min="4112" max="4112" width="17.5703125" style="1085" bestFit="1" customWidth="1"/>
    <col min="4113" max="4113" width="9.140625" style="1085"/>
    <col min="4114" max="4114" width="15.5703125" style="1085" bestFit="1" customWidth="1"/>
    <col min="4115" max="4115" width="18.85546875" style="1085" bestFit="1" customWidth="1"/>
    <col min="4116" max="4352" width="9.140625" style="1085"/>
    <col min="4353" max="4353" width="34.140625" style="1085" customWidth="1"/>
    <col min="4354" max="4354" width="11.5703125" style="1085" bestFit="1" customWidth="1"/>
    <col min="4355" max="4355" width="18.28515625" style="1085" customWidth="1"/>
    <col min="4356" max="4356" width="17.5703125" style="1085" bestFit="1" customWidth="1"/>
    <col min="4357" max="4357" width="15.5703125" style="1085" bestFit="1" customWidth="1"/>
    <col min="4358" max="4358" width="16.140625" style="1085" bestFit="1" customWidth="1"/>
    <col min="4359" max="4359" width="6" style="1085" bestFit="1" customWidth="1"/>
    <col min="4360" max="4360" width="16.140625" style="1085" bestFit="1" customWidth="1"/>
    <col min="4361" max="4361" width="15.5703125" style="1085" customWidth="1"/>
    <col min="4362" max="4362" width="17.5703125" style="1085" bestFit="1" customWidth="1"/>
    <col min="4363" max="4363" width="16.7109375" style="1085" customWidth="1"/>
    <col min="4364" max="4364" width="17.5703125" style="1085" bestFit="1" customWidth="1"/>
    <col min="4365" max="4365" width="20" style="1085" bestFit="1" customWidth="1"/>
    <col min="4366" max="4366" width="14.28515625" style="1085" bestFit="1" customWidth="1"/>
    <col min="4367" max="4367" width="20" style="1085" bestFit="1" customWidth="1"/>
    <col min="4368" max="4368" width="17.5703125" style="1085" bestFit="1" customWidth="1"/>
    <col min="4369" max="4369" width="9.140625" style="1085"/>
    <col min="4370" max="4370" width="15.5703125" style="1085" bestFit="1" customWidth="1"/>
    <col min="4371" max="4371" width="18.85546875" style="1085" bestFit="1" customWidth="1"/>
    <col min="4372" max="4608" width="9.140625" style="1085"/>
    <col min="4609" max="4609" width="34.140625" style="1085" customWidth="1"/>
    <col min="4610" max="4610" width="11.5703125" style="1085" bestFit="1" customWidth="1"/>
    <col min="4611" max="4611" width="18.28515625" style="1085" customWidth="1"/>
    <col min="4612" max="4612" width="17.5703125" style="1085" bestFit="1" customWidth="1"/>
    <col min="4613" max="4613" width="15.5703125" style="1085" bestFit="1" customWidth="1"/>
    <col min="4614" max="4614" width="16.140625" style="1085" bestFit="1" customWidth="1"/>
    <col min="4615" max="4615" width="6" style="1085" bestFit="1" customWidth="1"/>
    <col min="4616" max="4616" width="16.140625" style="1085" bestFit="1" customWidth="1"/>
    <col min="4617" max="4617" width="15.5703125" style="1085" customWidth="1"/>
    <col min="4618" max="4618" width="17.5703125" style="1085" bestFit="1" customWidth="1"/>
    <col min="4619" max="4619" width="16.7109375" style="1085" customWidth="1"/>
    <col min="4620" max="4620" width="17.5703125" style="1085" bestFit="1" customWidth="1"/>
    <col min="4621" max="4621" width="20" style="1085" bestFit="1" customWidth="1"/>
    <col min="4622" max="4622" width="14.28515625" style="1085" bestFit="1" customWidth="1"/>
    <col min="4623" max="4623" width="20" style="1085" bestFit="1" customWidth="1"/>
    <col min="4624" max="4624" width="17.5703125" style="1085" bestFit="1" customWidth="1"/>
    <col min="4625" max="4625" width="9.140625" style="1085"/>
    <col min="4626" max="4626" width="15.5703125" style="1085" bestFit="1" customWidth="1"/>
    <col min="4627" max="4627" width="18.85546875" style="1085" bestFit="1" customWidth="1"/>
    <col min="4628" max="4864" width="9.140625" style="1085"/>
    <col min="4865" max="4865" width="34.140625" style="1085" customWidth="1"/>
    <col min="4866" max="4866" width="11.5703125" style="1085" bestFit="1" customWidth="1"/>
    <col min="4867" max="4867" width="18.28515625" style="1085" customWidth="1"/>
    <col min="4868" max="4868" width="17.5703125" style="1085" bestFit="1" customWidth="1"/>
    <col min="4869" max="4869" width="15.5703125" style="1085" bestFit="1" customWidth="1"/>
    <col min="4870" max="4870" width="16.140625" style="1085" bestFit="1" customWidth="1"/>
    <col min="4871" max="4871" width="6" style="1085" bestFit="1" customWidth="1"/>
    <col min="4872" max="4872" width="16.140625" style="1085" bestFit="1" customWidth="1"/>
    <col min="4873" max="4873" width="15.5703125" style="1085" customWidth="1"/>
    <col min="4874" max="4874" width="17.5703125" style="1085" bestFit="1" customWidth="1"/>
    <col min="4875" max="4875" width="16.7109375" style="1085" customWidth="1"/>
    <col min="4876" max="4876" width="17.5703125" style="1085" bestFit="1" customWidth="1"/>
    <col min="4877" max="4877" width="20" style="1085" bestFit="1" customWidth="1"/>
    <col min="4878" max="4878" width="14.28515625" style="1085" bestFit="1" customWidth="1"/>
    <col min="4879" max="4879" width="20" style="1085" bestFit="1" customWidth="1"/>
    <col min="4880" max="4880" width="17.5703125" style="1085" bestFit="1" customWidth="1"/>
    <col min="4881" max="4881" width="9.140625" style="1085"/>
    <col min="4882" max="4882" width="15.5703125" style="1085" bestFit="1" customWidth="1"/>
    <col min="4883" max="4883" width="18.85546875" style="1085" bestFit="1" customWidth="1"/>
    <col min="4884" max="5120" width="9.140625" style="1085"/>
    <col min="5121" max="5121" width="34.140625" style="1085" customWidth="1"/>
    <col min="5122" max="5122" width="11.5703125" style="1085" bestFit="1" customWidth="1"/>
    <col min="5123" max="5123" width="18.28515625" style="1085" customWidth="1"/>
    <col min="5124" max="5124" width="17.5703125" style="1085" bestFit="1" customWidth="1"/>
    <col min="5125" max="5125" width="15.5703125" style="1085" bestFit="1" customWidth="1"/>
    <col min="5126" max="5126" width="16.140625" style="1085" bestFit="1" customWidth="1"/>
    <col min="5127" max="5127" width="6" style="1085" bestFit="1" customWidth="1"/>
    <col min="5128" max="5128" width="16.140625" style="1085" bestFit="1" customWidth="1"/>
    <col min="5129" max="5129" width="15.5703125" style="1085" customWidth="1"/>
    <col min="5130" max="5130" width="17.5703125" style="1085" bestFit="1" customWidth="1"/>
    <col min="5131" max="5131" width="16.7109375" style="1085" customWidth="1"/>
    <col min="5132" max="5132" width="17.5703125" style="1085" bestFit="1" customWidth="1"/>
    <col min="5133" max="5133" width="20" style="1085" bestFit="1" customWidth="1"/>
    <col min="5134" max="5134" width="14.28515625" style="1085" bestFit="1" customWidth="1"/>
    <col min="5135" max="5135" width="20" style="1085" bestFit="1" customWidth="1"/>
    <col min="5136" max="5136" width="17.5703125" style="1085" bestFit="1" customWidth="1"/>
    <col min="5137" max="5137" width="9.140625" style="1085"/>
    <col min="5138" max="5138" width="15.5703125" style="1085" bestFit="1" customWidth="1"/>
    <col min="5139" max="5139" width="18.85546875" style="1085" bestFit="1" customWidth="1"/>
    <col min="5140" max="5376" width="9.140625" style="1085"/>
    <col min="5377" max="5377" width="34.140625" style="1085" customWidth="1"/>
    <col min="5378" max="5378" width="11.5703125" style="1085" bestFit="1" customWidth="1"/>
    <col min="5379" max="5379" width="18.28515625" style="1085" customWidth="1"/>
    <col min="5380" max="5380" width="17.5703125" style="1085" bestFit="1" customWidth="1"/>
    <col min="5381" max="5381" width="15.5703125" style="1085" bestFit="1" customWidth="1"/>
    <col min="5382" max="5382" width="16.140625" style="1085" bestFit="1" customWidth="1"/>
    <col min="5383" max="5383" width="6" style="1085" bestFit="1" customWidth="1"/>
    <col min="5384" max="5384" width="16.140625" style="1085" bestFit="1" customWidth="1"/>
    <col min="5385" max="5385" width="15.5703125" style="1085" customWidth="1"/>
    <col min="5386" max="5386" width="17.5703125" style="1085" bestFit="1" customWidth="1"/>
    <col min="5387" max="5387" width="16.7109375" style="1085" customWidth="1"/>
    <col min="5388" max="5388" width="17.5703125" style="1085" bestFit="1" customWidth="1"/>
    <col min="5389" max="5389" width="20" style="1085" bestFit="1" customWidth="1"/>
    <col min="5390" max="5390" width="14.28515625" style="1085" bestFit="1" customWidth="1"/>
    <col min="5391" max="5391" width="20" style="1085" bestFit="1" customWidth="1"/>
    <col min="5392" max="5392" width="17.5703125" style="1085" bestFit="1" customWidth="1"/>
    <col min="5393" max="5393" width="9.140625" style="1085"/>
    <col min="5394" max="5394" width="15.5703125" style="1085" bestFit="1" customWidth="1"/>
    <col min="5395" max="5395" width="18.85546875" style="1085" bestFit="1" customWidth="1"/>
    <col min="5396" max="5632" width="9.140625" style="1085"/>
    <col min="5633" max="5633" width="34.140625" style="1085" customWidth="1"/>
    <col min="5634" max="5634" width="11.5703125" style="1085" bestFit="1" customWidth="1"/>
    <col min="5635" max="5635" width="18.28515625" style="1085" customWidth="1"/>
    <col min="5636" max="5636" width="17.5703125" style="1085" bestFit="1" customWidth="1"/>
    <col min="5637" max="5637" width="15.5703125" style="1085" bestFit="1" customWidth="1"/>
    <col min="5638" max="5638" width="16.140625" style="1085" bestFit="1" customWidth="1"/>
    <col min="5639" max="5639" width="6" style="1085" bestFit="1" customWidth="1"/>
    <col min="5640" max="5640" width="16.140625" style="1085" bestFit="1" customWidth="1"/>
    <col min="5641" max="5641" width="15.5703125" style="1085" customWidth="1"/>
    <col min="5642" max="5642" width="17.5703125" style="1085" bestFit="1" customWidth="1"/>
    <col min="5643" max="5643" width="16.7109375" style="1085" customWidth="1"/>
    <col min="5644" max="5644" width="17.5703125" style="1085" bestFit="1" customWidth="1"/>
    <col min="5645" max="5645" width="20" style="1085" bestFit="1" customWidth="1"/>
    <col min="5646" max="5646" width="14.28515625" style="1085" bestFit="1" customWidth="1"/>
    <col min="5647" max="5647" width="20" style="1085" bestFit="1" customWidth="1"/>
    <col min="5648" max="5648" width="17.5703125" style="1085" bestFit="1" customWidth="1"/>
    <col min="5649" max="5649" width="9.140625" style="1085"/>
    <col min="5650" max="5650" width="15.5703125" style="1085" bestFit="1" customWidth="1"/>
    <col min="5651" max="5651" width="18.85546875" style="1085" bestFit="1" customWidth="1"/>
    <col min="5652" max="5888" width="9.140625" style="1085"/>
    <col min="5889" max="5889" width="34.140625" style="1085" customWidth="1"/>
    <col min="5890" max="5890" width="11.5703125" style="1085" bestFit="1" customWidth="1"/>
    <col min="5891" max="5891" width="18.28515625" style="1085" customWidth="1"/>
    <col min="5892" max="5892" width="17.5703125" style="1085" bestFit="1" customWidth="1"/>
    <col min="5893" max="5893" width="15.5703125" style="1085" bestFit="1" customWidth="1"/>
    <col min="5894" max="5894" width="16.140625" style="1085" bestFit="1" customWidth="1"/>
    <col min="5895" max="5895" width="6" style="1085" bestFit="1" customWidth="1"/>
    <col min="5896" max="5896" width="16.140625" style="1085" bestFit="1" customWidth="1"/>
    <col min="5897" max="5897" width="15.5703125" style="1085" customWidth="1"/>
    <col min="5898" max="5898" width="17.5703125" style="1085" bestFit="1" customWidth="1"/>
    <col min="5899" max="5899" width="16.7109375" style="1085" customWidth="1"/>
    <col min="5900" max="5900" width="17.5703125" style="1085" bestFit="1" customWidth="1"/>
    <col min="5901" max="5901" width="20" style="1085" bestFit="1" customWidth="1"/>
    <col min="5902" max="5902" width="14.28515625" style="1085" bestFit="1" customWidth="1"/>
    <col min="5903" max="5903" width="20" style="1085" bestFit="1" customWidth="1"/>
    <col min="5904" max="5904" width="17.5703125" style="1085" bestFit="1" customWidth="1"/>
    <col min="5905" max="5905" width="9.140625" style="1085"/>
    <col min="5906" max="5906" width="15.5703125" style="1085" bestFit="1" customWidth="1"/>
    <col min="5907" max="5907" width="18.85546875" style="1085" bestFit="1" customWidth="1"/>
    <col min="5908" max="6144" width="9.140625" style="1085"/>
    <col min="6145" max="6145" width="34.140625" style="1085" customWidth="1"/>
    <col min="6146" max="6146" width="11.5703125" style="1085" bestFit="1" customWidth="1"/>
    <col min="6147" max="6147" width="18.28515625" style="1085" customWidth="1"/>
    <col min="6148" max="6148" width="17.5703125" style="1085" bestFit="1" customWidth="1"/>
    <col min="6149" max="6149" width="15.5703125" style="1085" bestFit="1" customWidth="1"/>
    <col min="6150" max="6150" width="16.140625" style="1085" bestFit="1" customWidth="1"/>
    <col min="6151" max="6151" width="6" style="1085" bestFit="1" customWidth="1"/>
    <col min="6152" max="6152" width="16.140625" style="1085" bestFit="1" customWidth="1"/>
    <col min="6153" max="6153" width="15.5703125" style="1085" customWidth="1"/>
    <col min="6154" max="6154" width="17.5703125" style="1085" bestFit="1" customWidth="1"/>
    <col min="6155" max="6155" width="16.7109375" style="1085" customWidth="1"/>
    <col min="6156" max="6156" width="17.5703125" style="1085" bestFit="1" customWidth="1"/>
    <col min="6157" max="6157" width="20" style="1085" bestFit="1" customWidth="1"/>
    <col min="6158" max="6158" width="14.28515625" style="1085" bestFit="1" customWidth="1"/>
    <col min="6159" max="6159" width="20" style="1085" bestFit="1" customWidth="1"/>
    <col min="6160" max="6160" width="17.5703125" style="1085" bestFit="1" customWidth="1"/>
    <col min="6161" max="6161" width="9.140625" style="1085"/>
    <col min="6162" max="6162" width="15.5703125" style="1085" bestFit="1" customWidth="1"/>
    <col min="6163" max="6163" width="18.85546875" style="1085" bestFit="1" customWidth="1"/>
    <col min="6164" max="6400" width="9.140625" style="1085"/>
    <col min="6401" max="6401" width="34.140625" style="1085" customWidth="1"/>
    <col min="6402" max="6402" width="11.5703125" style="1085" bestFit="1" customWidth="1"/>
    <col min="6403" max="6403" width="18.28515625" style="1085" customWidth="1"/>
    <col min="6404" max="6404" width="17.5703125" style="1085" bestFit="1" customWidth="1"/>
    <col min="6405" max="6405" width="15.5703125" style="1085" bestFit="1" customWidth="1"/>
    <col min="6406" max="6406" width="16.140625" style="1085" bestFit="1" customWidth="1"/>
    <col min="6407" max="6407" width="6" style="1085" bestFit="1" customWidth="1"/>
    <col min="6408" max="6408" width="16.140625" style="1085" bestFit="1" customWidth="1"/>
    <col min="6409" max="6409" width="15.5703125" style="1085" customWidth="1"/>
    <col min="6410" max="6410" width="17.5703125" style="1085" bestFit="1" customWidth="1"/>
    <col min="6411" max="6411" width="16.7109375" style="1085" customWidth="1"/>
    <col min="6412" max="6412" width="17.5703125" style="1085" bestFit="1" customWidth="1"/>
    <col min="6413" max="6413" width="20" style="1085" bestFit="1" customWidth="1"/>
    <col min="6414" max="6414" width="14.28515625" style="1085" bestFit="1" customWidth="1"/>
    <col min="6415" max="6415" width="20" style="1085" bestFit="1" customWidth="1"/>
    <col min="6416" max="6416" width="17.5703125" style="1085" bestFit="1" customWidth="1"/>
    <col min="6417" max="6417" width="9.140625" style="1085"/>
    <col min="6418" max="6418" width="15.5703125" style="1085" bestFit="1" customWidth="1"/>
    <col min="6419" max="6419" width="18.85546875" style="1085" bestFit="1" customWidth="1"/>
    <col min="6420" max="6656" width="9.140625" style="1085"/>
    <col min="6657" max="6657" width="34.140625" style="1085" customWidth="1"/>
    <col min="6658" max="6658" width="11.5703125" style="1085" bestFit="1" customWidth="1"/>
    <col min="6659" max="6659" width="18.28515625" style="1085" customWidth="1"/>
    <col min="6660" max="6660" width="17.5703125" style="1085" bestFit="1" customWidth="1"/>
    <col min="6661" max="6661" width="15.5703125" style="1085" bestFit="1" customWidth="1"/>
    <col min="6662" max="6662" width="16.140625" style="1085" bestFit="1" customWidth="1"/>
    <col min="6663" max="6663" width="6" style="1085" bestFit="1" customWidth="1"/>
    <col min="6664" max="6664" width="16.140625" style="1085" bestFit="1" customWidth="1"/>
    <col min="6665" max="6665" width="15.5703125" style="1085" customWidth="1"/>
    <col min="6666" max="6666" width="17.5703125" style="1085" bestFit="1" customWidth="1"/>
    <col min="6667" max="6667" width="16.7109375" style="1085" customWidth="1"/>
    <col min="6668" max="6668" width="17.5703125" style="1085" bestFit="1" customWidth="1"/>
    <col min="6669" max="6669" width="20" style="1085" bestFit="1" customWidth="1"/>
    <col min="6670" max="6670" width="14.28515625" style="1085" bestFit="1" customWidth="1"/>
    <col min="6671" max="6671" width="20" style="1085" bestFit="1" customWidth="1"/>
    <col min="6672" max="6672" width="17.5703125" style="1085" bestFit="1" customWidth="1"/>
    <col min="6673" max="6673" width="9.140625" style="1085"/>
    <col min="6674" max="6674" width="15.5703125" style="1085" bestFit="1" customWidth="1"/>
    <col min="6675" max="6675" width="18.85546875" style="1085" bestFit="1" customWidth="1"/>
    <col min="6676" max="6912" width="9.140625" style="1085"/>
    <col min="6913" max="6913" width="34.140625" style="1085" customWidth="1"/>
    <col min="6914" max="6914" width="11.5703125" style="1085" bestFit="1" customWidth="1"/>
    <col min="6915" max="6915" width="18.28515625" style="1085" customWidth="1"/>
    <col min="6916" max="6916" width="17.5703125" style="1085" bestFit="1" customWidth="1"/>
    <col min="6917" max="6917" width="15.5703125" style="1085" bestFit="1" customWidth="1"/>
    <col min="6918" max="6918" width="16.140625" style="1085" bestFit="1" customWidth="1"/>
    <col min="6919" max="6919" width="6" style="1085" bestFit="1" customWidth="1"/>
    <col min="6920" max="6920" width="16.140625" style="1085" bestFit="1" customWidth="1"/>
    <col min="6921" max="6921" width="15.5703125" style="1085" customWidth="1"/>
    <col min="6922" max="6922" width="17.5703125" style="1085" bestFit="1" customWidth="1"/>
    <col min="6923" max="6923" width="16.7109375" style="1085" customWidth="1"/>
    <col min="6924" max="6924" width="17.5703125" style="1085" bestFit="1" customWidth="1"/>
    <col min="6925" max="6925" width="20" style="1085" bestFit="1" customWidth="1"/>
    <col min="6926" max="6926" width="14.28515625" style="1085" bestFit="1" customWidth="1"/>
    <col min="6927" max="6927" width="20" style="1085" bestFit="1" customWidth="1"/>
    <col min="6928" max="6928" width="17.5703125" style="1085" bestFit="1" customWidth="1"/>
    <col min="6929" max="6929" width="9.140625" style="1085"/>
    <col min="6930" max="6930" width="15.5703125" style="1085" bestFit="1" customWidth="1"/>
    <col min="6931" max="6931" width="18.85546875" style="1085" bestFit="1" customWidth="1"/>
    <col min="6932" max="7168" width="9.140625" style="1085"/>
    <col min="7169" max="7169" width="34.140625" style="1085" customWidth="1"/>
    <col min="7170" max="7170" width="11.5703125" style="1085" bestFit="1" customWidth="1"/>
    <col min="7171" max="7171" width="18.28515625" style="1085" customWidth="1"/>
    <col min="7172" max="7172" width="17.5703125" style="1085" bestFit="1" customWidth="1"/>
    <col min="7173" max="7173" width="15.5703125" style="1085" bestFit="1" customWidth="1"/>
    <col min="7174" max="7174" width="16.140625" style="1085" bestFit="1" customWidth="1"/>
    <col min="7175" max="7175" width="6" style="1085" bestFit="1" customWidth="1"/>
    <col min="7176" max="7176" width="16.140625" style="1085" bestFit="1" customWidth="1"/>
    <col min="7177" max="7177" width="15.5703125" style="1085" customWidth="1"/>
    <col min="7178" max="7178" width="17.5703125" style="1085" bestFit="1" customWidth="1"/>
    <col min="7179" max="7179" width="16.7109375" style="1085" customWidth="1"/>
    <col min="7180" max="7180" width="17.5703125" style="1085" bestFit="1" customWidth="1"/>
    <col min="7181" max="7181" width="20" style="1085" bestFit="1" customWidth="1"/>
    <col min="7182" max="7182" width="14.28515625" style="1085" bestFit="1" customWidth="1"/>
    <col min="7183" max="7183" width="20" style="1085" bestFit="1" customWidth="1"/>
    <col min="7184" max="7184" width="17.5703125" style="1085" bestFit="1" customWidth="1"/>
    <col min="7185" max="7185" width="9.140625" style="1085"/>
    <col min="7186" max="7186" width="15.5703125" style="1085" bestFit="1" customWidth="1"/>
    <col min="7187" max="7187" width="18.85546875" style="1085" bestFit="1" customWidth="1"/>
    <col min="7188" max="7424" width="9.140625" style="1085"/>
    <col min="7425" max="7425" width="34.140625" style="1085" customWidth="1"/>
    <col min="7426" max="7426" width="11.5703125" style="1085" bestFit="1" customWidth="1"/>
    <col min="7427" max="7427" width="18.28515625" style="1085" customWidth="1"/>
    <col min="7428" max="7428" width="17.5703125" style="1085" bestFit="1" customWidth="1"/>
    <col min="7429" max="7429" width="15.5703125" style="1085" bestFit="1" customWidth="1"/>
    <col min="7430" max="7430" width="16.140625" style="1085" bestFit="1" customWidth="1"/>
    <col min="7431" max="7431" width="6" style="1085" bestFit="1" customWidth="1"/>
    <col min="7432" max="7432" width="16.140625" style="1085" bestFit="1" customWidth="1"/>
    <col min="7433" max="7433" width="15.5703125" style="1085" customWidth="1"/>
    <col min="7434" max="7434" width="17.5703125" style="1085" bestFit="1" customWidth="1"/>
    <col min="7435" max="7435" width="16.7109375" style="1085" customWidth="1"/>
    <col min="7436" max="7436" width="17.5703125" style="1085" bestFit="1" customWidth="1"/>
    <col min="7437" max="7437" width="20" style="1085" bestFit="1" customWidth="1"/>
    <col min="7438" max="7438" width="14.28515625" style="1085" bestFit="1" customWidth="1"/>
    <col min="7439" max="7439" width="20" style="1085" bestFit="1" customWidth="1"/>
    <col min="7440" max="7440" width="17.5703125" style="1085" bestFit="1" customWidth="1"/>
    <col min="7441" max="7441" width="9.140625" style="1085"/>
    <col min="7442" max="7442" width="15.5703125" style="1085" bestFit="1" customWidth="1"/>
    <col min="7443" max="7443" width="18.85546875" style="1085" bestFit="1" customWidth="1"/>
    <col min="7444" max="7680" width="9.140625" style="1085"/>
    <col min="7681" max="7681" width="34.140625" style="1085" customWidth="1"/>
    <col min="7682" max="7682" width="11.5703125" style="1085" bestFit="1" customWidth="1"/>
    <col min="7683" max="7683" width="18.28515625" style="1085" customWidth="1"/>
    <col min="7684" max="7684" width="17.5703125" style="1085" bestFit="1" customWidth="1"/>
    <col min="7685" max="7685" width="15.5703125" style="1085" bestFit="1" customWidth="1"/>
    <col min="7686" max="7686" width="16.140625" style="1085" bestFit="1" customWidth="1"/>
    <col min="7687" max="7687" width="6" style="1085" bestFit="1" customWidth="1"/>
    <col min="7688" max="7688" width="16.140625" style="1085" bestFit="1" customWidth="1"/>
    <col min="7689" max="7689" width="15.5703125" style="1085" customWidth="1"/>
    <col min="7690" max="7690" width="17.5703125" style="1085" bestFit="1" customWidth="1"/>
    <col min="7691" max="7691" width="16.7109375" style="1085" customWidth="1"/>
    <col min="7692" max="7692" width="17.5703125" style="1085" bestFit="1" customWidth="1"/>
    <col min="7693" max="7693" width="20" style="1085" bestFit="1" customWidth="1"/>
    <col min="7694" max="7694" width="14.28515625" style="1085" bestFit="1" customWidth="1"/>
    <col min="7695" max="7695" width="20" style="1085" bestFit="1" customWidth="1"/>
    <col min="7696" max="7696" width="17.5703125" style="1085" bestFit="1" customWidth="1"/>
    <col min="7697" max="7697" width="9.140625" style="1085"/>
    <col min="7698" max="7698" width="15.5703125" style="1085" bestFit="1" customWidth="1"/>
    <col min="7699" max="7699" width="18.85546875" style="1085" bestFit="1" customWidth="1"/>
    <col min="7700" max="7936" width="9.140625" style="1085"/>
    <col min="7937" max="7937" width="34.140625" style="1085" customWidth="1"/>
    <col min="7938" max="7938" width="11.5703125" style="1085" bestFit="1" customWidth="1"/>
    <col min="7939" max="7939" width="18.28515625" style="1085" customWidth="1"/>
    <col min="7940" max="7940" width="17.5703125" style="1085" bestFit="1" customWidth="1"/>
    <col min="7941" max="7941" width="15.5703125" style="1085" bestFit="1" customWidth="1"/>
    <col min="7942" max="7942" width="16.140625" style="1085" bestFit="1" customWidth="1"/>
    <col min="7943" max="7943" width="6" style="1085" bestFit="1" customWidth="1"/>
    <col min="7944" max="7944" width="16.140625" style="1085" bestFit="1" customWidth="1"/>
    <col min="7945" max="7945" width="15.5703125" style="1085" customWidth="1"/>
    <col min="7946" max="7946" width="17.5703125" style="1085" bestFit="1" customWidth="1"/>
    <col min="7947" max="7947" width="16.7109375" style="1085" customWidth="1"/>
    <col min="7948" max="7948" width="17.5703125" style="1085" bestFit="1" customWidth="1"/>
    <col min="7949" max="7949" width="20" style="1085" bestFit="1" customWidth="1"/>
    <col min="7950" max="7950" width="14.28515625" style="1085" bestFit="1" customWidth="1"/>
    <col min="7951" max="7951" width="20" style="1085" bestFit="1" customWidth="1"/>
    <col min="7952" max="7952" width="17.5703125" style="1085" bestFit="1" customWidth="1"/>
    <col min="7953" max="7953" width="9.140625" style="1085"/>
    <col min="7954" max="7954" width="15.5703125" style="1085" bestFit="1" customWidth="1"/>
    <col min="7955" max="7955" width="18.85546875" style="1085" bestFit="1" customWidth="1"/>
    <col min="7956" max="8192" width="9.140625" style="1085"/>
    <col min="8193" max="8193" width="34.140625" style="1085" customWidth="1"/>
    <col min="8194" max="8194" width="11.5703125" style="1085" bestFit="1" customWidth="1"/>
    <col min="8195" max="8195" width="18.28515625" style="1085" customWidth="1"/>
    <col min="8196" max="8196" width="17.5703125" style="1085" bestFit="1" customWidth="1"/>
    <col min="8197" max="8197" width="15.5703125" style="1085" bestFit="1" customWidth="1"/>
    <col min="8198" max="8198" width="16.140625" style="1085" bestFit="1" customWidth="1"/>
    <col min="8199" max="8199" width="6" style="1085" bestFit="1" customWidth="1"/>
    <col min="8200" max="8200" width="16.140625" style="1085" bestFit="1" customWidth="1"/>
    <col min="8201" max="8201" width="15.5703125" style="1085" customWidth="1"/>
    <col min="8202" max="8202" width="17.5703125" style="1085" bestFit="1" customWidth="1"/>
    <col min="8203" max="8203" width="16.7109375" style="1085" customWidth="1"/>
    <col min="8204" max="8204" width="17.5703125" style="1085" bestFit="1" customWidth="1"/>
    <col min="8205" max="8205" width="20" style="1085" bestFit="1" customWidth="1"/>
    <col min="8206" max="8206" width="14.28515625" style="1085" bestFit="1" customWidth="1"/>
    <col min="8207" max="8207" width="20" style="1085" bestFit="1" customWidth="1"/>
    <col min="8208" max="8208" width="17.5703125" style="1085" bestFit="1" customWidth="1"/>
    <col min="8209" max="8209" width="9.140625" style="1085"/>
    <col min="8210" max="8210" width="15.5703125" style="1085" bestFit="1" customWidth="1"/>
    <col min="8211" max="8211" width="18.85546875" style="1085" bestFit="1" customWidth="1"/>
    <col min="8212" max="8448" width="9.140625" style="1085"/>
    <col min="8449" max="8449" width="34.140625" style="1085" customWidth="1"/>
    <col min="8450" max="8450" width="11.5703125" style="1085" bestFit="1" customWidth="1"/>
    <col min="8451" max="8451" width="18.28515625" style="1085" customWidth="1"/>
    <col min="8452" max="8452" width="17.5703125" style="1085" bestFit="1" customWidth="1"/>
    <col min="8453" max="8453" width="15.5703125" style="1085" bestFit="1" customWidth="1"/>
    <col min="8454" max="8454" width="16.140625" style="1085" bestFit="1" customWidth="1"/>
    <col min="8455" max="8455" width="6" style="1085" bestFit="1" customWidth="1"/>
    <col min="8456" max="8456" width="16.140625" style="1085" bestFit="1" customWidth="1"/>
    <col min="8457" max="8457" width="15.5703125" style="1085" customWidth="1"/>
    <col min="8458" max="8458" width="17.5703125" style="1085" bestFit="1" customWidth="1"/>
    <col min="8459" max="8459" width="16.7109375" style="1085" customWidth="1"/>
    <col min="8460" max="8460" width="17.5703125" style="1085" bestFit="1" customWidth="1"/>
    <col min="8461" max="8461" width="20" style="1085" bestFit="1" customWidth="1"/>
    <col min="8462" max="8462" width="14.28515625" style="1085" bestFit="1" customWidth="1"/>
    <col min="8463" max="8463" width="20" style="1085" bestFit="1" customWidth="1"/>
    <col min="8464" max="8464" width="17.5703125" style="1085" bestFit="1" customWidth="1"/>
    <col min="8465" max="8465" width="9.140625" style="1085"/>
    <col min="8466" max="8466" width="15.5703125" style="1085" bestFit="1" customWidth="1"/>
    <col min="8467" max="8467" width="18.85546875" style="1085" bestFit="1" customWidth="1"/>
    <col min="8468" max="8704" width="9.140625" style="1085"/>
    <col min="8705" max="8705" width="34.140625" style="1085" customWidth="1"/>
    <col min="8706" max="8706" width="11.5703125" style="1085" bestFit="1" customWidth="1"/>
    <col min="8707" max="8707" width="18.28515625" style="1085" customWidth="1"/>
    <col min="8708" max="8708" width="17.5703125" style="1085" bestFit="1" customWidth="1"/>
    <col min="8709" max="8709" width="15.5703125" style="1085" bestFit="1" customWidth="1"/>
    <col min="8710" max="8710" width="16.140625" style="1085" bestFit="1" customWidth="1"/>
    <col min="8711" max="8711" width="6" style="1085" bestFit="1" customWidth="1"/>
    <col min="8712" max="8712" width="16.140625" style="1085" bestFit="1" customWidth="1"/>
    <col min="8713" max="8713" width="15.5703125" style="1085" customWidth="1"/>
    <col min="8714" max="8714" width="17.5703125" style="1085" bestFit="1" customWidth="1"/>
    <col min="8715" max="8715" width="16.7109375" style="1085" customWidth="1"/>
    <col min="8716" max="8716" width="17.5703125" style="1085" bestFit="1" customWidth="1"/>
    <col min="8717" max="8717" width="20" style="1085" bestFit="1" customWidth="1"/>
    <col min="8718" max="8718" width="14.28515625" style="1085" bestFit="1" customWidth="1"/>
    <col min="8719" max="8719" width="20" style="1085" bestFit="1" customWidth="1"/>
    <col min="8720" max="8720" width="17.5703125" style="1085" bestFit="1" customWidth="1"/>
    <col min="8721" max="8721" width="9.140625" style="1085"/>
    <col min="8722" max="8722" width="15.5703125" style="1085" bestFit="1" customWidth="1"/>
    <col min="8723" max="8723" width="18.85546875" style="1085" bestFit="1" customWidth="1"/>
    <col min="8724" max="8960" width="9.140625" style="1085"/>
    <col min="8961" max="8961" width="34.140625" style="1085" customWidth="1"/>
    <col min="8962" max="8962" width="11.5703125" style="1085" bestFit="1" customWidth="1"/>
    <col min="8963" max="8963" width="18.28515625" style="1085" customWidth="1"/>
    <col min="8964" max="8964" width="17.5703125" style="1085" bestFit="1" customWidth="1"/>
    <col min="8965" max="8965" width="15.5703125" style="1085" bestFit="1" customWidth="1"/>
    <col min="8966" max="8966" width="16.140625" style="1085" bestFit="1" customWidth="1"/>
    <col min="8967" max="8967" width="6" style="1085" bestFit="1" customWidth="1"/>
    <col min="8968" max="8968" width="16.140625" style="1085" bestFit="1" customWidth="1"/>
    <col min="8969" max="8969" width="15.5703125" style="1085" customWidth="1"/>
    <col min="8970" max="8970" width="17.5703125" style="1085" bestFit="1" customWidth="1"/>
    <col min="8971" max="8971" width="16.7109375" style="1085" customWidth="1"/>
    <col min="8972" max="8972" width="17.5703125" style="1085" bestFit="1" customWidth="1"/>
    <col min="8973" max="8973" width="20" style="1085" bestFit="1" customWidth="1"/>
    <col min="8974" max="8974" width="14.28515625" style="1085" bestFit="1" customWidth="1"/>
    <col min="8975" max="8975" width="20" style="1085" bestFit="1" customWidth="1"/>
    <col min="8976" max="8976" width="17.5703125" style="1085" bestFit="1" customWidth="1"/>
    <col min="8977" max="8977" width="9.140625" style="1085"/>
    <col min="8978" max="8978" width="15.5703125" style="1085" bestFit="1" customWidth="1"/>
    <col min="8979" max="8979" width="18.85546875" style="1085" bestFit="1" customWidth="1"/>
    <col min="8980" max="9216" width="9.140625" style="1085"/>
    <col min="9217" max="9217" width="34.140625" style="1085" customWidth="1"/>
    <col min="9218" max="9218" width="11.5703125" style="1085" bestFit="1" customWidth="1"/>
    <col min="9219" max="9219" width="18.28515625" style="1085" customWidth="1"/>
    <col min="9220" max="9220" width="17.5703125" style="1085" bestFit="1" customWidth="1"/>
    <col min="9221" max="9221" width="15.5703125" style="1085" bestFit="1" customWidth="1"/>
    <col min="9222" max="9222" width="16.140625" style="1085" bestFit="1" customWidth="1"/>
    <col min="9223" max="9223" width="6" style="1085" bestFit="1" customWidth="1"/>
    <col min="9224" max="9224" width="16.140625" style="1085" bestFit="1" customWidth="1"/>
    <col min="9225" max="9225" width="15.5703125" style="1085" customWidth="1"/>
    <col min="9226" max="9226" width="17.5703125" style="1085" bestFit="1" customWidth="1"/>
    <col min="9227" max="9227" width="16.7109375" style="1085" customWidth="1"/>
    <col min="9228" max="9228" width="17.5703125" style="1085" bestFit="1" customWidth="1"/>
    <col min="9229" max="9229" width="20" style="1085" bestFit="1" customWidth="1"/>
    <col min="9230" max="9230" width="14.28515625" style="1085" bestFit="1" customWidth="1"/>
    <col min="9231" max="9231" width="20" style="1085" bestFit="1" customWidth="1"/>
    <col min="9232" max="9232" width="17.5703125" style="1085" bestFit="1" customWidth="1"/>
    <col min="9233" max="9233" width="9.140625" style="1085"/>
    <col min="9234" max="9234" width="15.5703125" style="1085" bestFit="1" customWidth="1"/>
    <col min="9235" max="9235" width="18.85546875" style="1085" bestFit="1" customWidth="1"/>
    <col min="9236" max="9472" width="9.140625" style="1085"/>
    <col min="9473" max="9473" width="34.140625" style="1085" customWidth="1"/>
    <col min="9474" max="9474" width="11.5703125" style="1085" bestFit="1" customWidth="1"/>
    <col min="9475" max="9475" width="18.28515625" style="1085" customWidth="1"/>
    <col min="9476" max="9476" width="17.5703125" style="1085" bestFit="1" customWidth="1"/>
    <col min="9477" max="9477" width="15.5703125" style="1085" bestFit="1" customWidth="1"/>
    <col min="9478" max="9478" width="16.140625" style="1085" bestFit="1" customWidth="1"/>
    <col min="9479" max="9479" width="6" style="1085" bestFit="1" customWidth="1"/>
    <col min="9480" max="9480" width="16.140625" style="1085" bestFit="1" customWidth="1"/>
    <col min="9481" max="9481" width="15.5703125" style="1085" customWidth="1"/>
    <col min="9482" max="9482" width="17.5703125" style="1085" bestFit="1" customWidth="1"/>
    <col min="9483" max="9483" width="16.7109375" style="1085" customWidth="1"/>
    <col min="9484" max="9484" width="17.5703125" style="1085" bestFit="1" customWidth="1"/>
    <col min="9485" max="9485" width="20" style="1085" bestFit="1" customWidth="1"/>
    <col min="9486" max="9486" width="14.28515625" style="1085" bestFit="1" customWidth="1"/>
    <col min="9487" max="9487" width="20" style="1085" bestFit="1" customWidth="1"/>
    <col min="9488" max="9488" width="17.5703125" style="1085" bestFit="1" customWidth="1"/>
    <col min="9489" max="9489" width="9.140625" style="1085"/>
    <col min="9490" max="9490" width="15.5703125" style="1085" bestFit="1" customWidth="1"/>
    <col min="9491" max="9491" width="18.85546875" style="1085" bestFit="1" customWidth="1"/>
    <col min="9492" max="9728" width="9.140625" style="1085"/>
    <col min="9729" max="9729" width="34.140625" style="1085" customWidth="1"/>
    <col min="9730" max="9730" width="11.5703125" style="1085" bestFit="1" customWidth="1"/>
    <col min="9731" max="9731" width="18.28515625" style="1085" customWidth="1"/>
    <col min="9732" max="9732" width="17.5703125" style="1085" bestFit="1" customWidth="1"/>
    <col min="9733" max="9733" width="15.5703125" style="1085" bestFit="1" customWidth="1"/>
    <col min="9734" max="9734" width="16.140625" style="1085" bestFit="1" customWidth="1"/>
    <col min="9735" max="9735" width="6" style="1085" bestFit="1" customWidth="1"/>
    <col min="9736" max="9736" width="16.140625" style="1085" bestFit="1" customWidth="1"/>
    <col min="9737" max="9737" width="15.5703125" style="1085" customWidth="1"/>
    <col min="9738" max="9738" width="17.5703125" style="1085" bestFit="1" customWidth="1"/>
    <col min="9739" max="9739" width="16.7109375" style="1085" customWidth="1"/>
    <col min="9740" max="9740" width="17.5703125" style="1085" bestFit="1" customWidth="1"/>
    <col min="9741" max="9741" width="20" style="1085" bestFit="1" customWidth="1"/>
    <col min="9742" max="9742" width="14.28515625" style="1085" bestFit="1" customWidth="1"/>
    <col min="9743" max="9743" width="20" style="1085" bestFit="1" customWidth="1"/>
    <col min="9744" max="9744" width="17.5703125" style="1085" bestFit="1" customWidth="1"/>
    <col min="9745" max="9745" width="9.140625" style="1085"/>
    <col min="9746" max="9746" width="15.5703125" style="1085" bestFit="1" customWidth="1"/>
    <col min="9747" max="9747" width="18.85546875" style="1085" bestFit="1" customWidth="1"/>
    <col min="9748" max="9984" width="9.140625" style="1085"/>
    <col min="9985" max="9985" width="34.140625" style="1085" customWidth="1"/>
    <col min="9986" max="9986" width="11.5703125" style="1085" bestFit="1" customWidth="1"/>
    <col min="9987" max="9987" width="18.28515625" style="1085" customWidth="1"/>
    <col min="9988" max="9988" width="17.5703125" style="1085" bestFit="1" customWidth="1"/>
    <col min="9989" max="9989" width="15.5703125" style="1085" bestFit="1" customWidth="1"/>
    <col min="9990" max="9990" width="16.140625" style="1085" bestFit="1" customWidth="1"/>
    <col min="9991" max="9991" width="6" style="1085" bestFit="1" customWidth="1"/>
    <col min="9992" max="9992" width="16.140625" style="1085" bestFit="1" customWidth="1"/>
    <col min="9993" max="9993" width="15.5703125" style="1085" customWidth="1"/>
    <col min="9994" max="9994" width="17.5703125" style="1085" bestFit="1" customWidth="1"/>
    <col min="9995" max="9995" width="16.7109375" style="1085" customWidth="1"/>
    <col min="9996" max="9996" width="17.5703125" style="1085" bestFit="1" customWidth="1"/>
    <col min="9997" max="9997" width="20" style="1085" bestFit="1" customWidth="1"/>
    <col min="9998" max="9998" width="14.28515625" style="1085" bestFit="1" customWidth="1"/>
    <col min="9999" max="9999" width="20" style="1085" bestFit="1" customWidth="1"/>
    <col min="10000" max="10000" width="17.5703125" style="1085" bestFit="1" customWidth="1"/>
    <col min="10001" max="10001" width="9.140625" style="1085"/>
    <col min="10002" max="10002" width="15.5703125" style="1085" bestFit="1" customWidth="1"/>
    <col min="10003" max="10003" width="18.85546875" style="1085" bestFit="1" customWidth="1"/>
    <col min="10004" max="10240" width="9.140625" style="1085"/>
    <col min="10241" max="10241" width="34.140625" style="1085" customWidth="1"/>
    <col min="10242" max="10242" width="11.5703125" style="1085" bestFit="1" customWidth="1"/>
    <col min="10243" max="10243" width="18.28515625" style="1085" customWidth="1"/>
    <col min="10244" max="10244" width="17.5703125" style="1085" bestFit="1" customWidth="1"/>
    <col min="10245" max="10245" width="15.5703125" style="1085" bestFit="1" customWidth="1"/>
    <col min="10246" max="10246" width="16.140625" style="1085" bestFit="1" customWidth="1"/>
    <col min="10247" max="10247" width="6" style="1085" bestFit="1" customWidth="1"/>
    <col min="10248" max="10248" width="16.140625" style="1085" bestFit="1" customWidth="1"/>
    <col min="10249" max="10249" width="15.5703125" style="1085" customWidth="1"/>
    <col min="10250" max="10250" width="17.5703125" style="1085" bestFit="1" customWidth="1"/>
    <col min="10251" max="10251" width="16.7109375" style="1085" customWidth="1"/>
    <col min="10252" max="10252" width="17.5703125" style="1085" bestFit="1" customWidth="1"/>
    <col min="10253" max="10253" width="20" style="1085" bestFit="1" customWidth="1"/>
    <col min="10254" max="10254" width="14.28515625" style="1085" bestFit="1" customWidth="1"/>
    <col min="10255" max="10255" width="20" style="1085" bestFit="1" customWidth="1"/>
    <col min="10256" max="10256" width="17.5703125" style="1085" bestFit="1" customWidth="1"/>
    <col min="10257" max="10257" width="9.140625" style="1085"/>
    <col min="10258" max="10258" width="15.5703125" style="1085" bestFit="1" customWidth="1"/>
    <col min="10259" max="10259" width="18.85546875" style="1085" bestFit="1" customWidth="1"/>
    <col min="10260" max="10496" width="9.140625" style="1085"/>
    <col min="10497" max="10497" width="34.140625" style="1085" customWidth="1"/>
    <col min="10498" max="10498" width="11.5703125" style="1085" bestFit="1" customWidth="1"/>
    <col min="10499" max="10499" width="18.28515625" style="1085" customWidth="1"/>
    <col min="10500" max="10500" width="17.5703125" style="1085" bestFit="1" customWidth="1"/>
    <col min="10501" max="10501" width="15.5703125" style="1085" bestFit="1" customWidth="1"/>
    <col min="10502" max="10502" width="16.140625" style="1085" bestFit="1" customWidth="1"/>
    <col min="10503" max="10503" width="6" style="1085" bestFit="1" customWidth="1"/>
    <col min="10504" max="10504" width="16.140625" style="1085" bestFit="1" customWidth="1"/>
    <col min="10505" max="10505" width="15.5703125" style="1085" customWidth="1"/>
    <col min="10506" max="10506" width="17.5703125" style="1085" bestFit="1" customWidth="1"/>
    <col min="10507" max="10507" width="16.7109375" style="1085" customWidth="1"/>
    <col min="10508" max="10508" width="17.5703125" style="1085" bestFit="1" customWidth="1"/>
    <col min="10509" max="10509" width="20" style="1085" bestFit="1" customWidth="1"/>
    <col min="10510" max="10510" width="14.28515625" style="1085" bestFit="1" customWidth="1"/>
    <col min="10511" max="10511" width="20" style="1085" bestFit="1" customWidth="1"/>
    <col min="10512" max="10512" width="17.5703125" style="1085" bestFit="1" customWidth="1"/>
    <col min="10513" max="10513" width="9.140625" style="1085"/>
    <col min="10514" max="10514" width="15.5703125" style="1085" bestFit="1" customWidth="1"/>
    <col min="10515" max="10515" width="18.85546875" style="1085" bestFit="1" customWidth="1"/>
    <col min="10516" max="10752" width="9.140625" style="1085"/>
    <col min="10753" max="10753" width="34.140625" style="1085" customWidth="1"/>
    <col min="10754" max="10754" width="11.5703125" style="1085" bestFit="1" customWidth="1"/>
    <col min="10755" max="10755" width="18.28515625" style="1085" customWidth="1"/>
    <col min="10756" max="10756" width="17.5703125" style="1085" bestFit="1" customWidth="1"/>
    <col min="10757" max="10757" width="15.5703125" style="1085" bestFit="1" customWidth="1"/>
    <col min="10758" max="10758" width="16.140625" style="1085" bestFit="1" customWidth="1"/>
    <col min="10759" max="10759" width="6" style="1085" bestFit="1" customWidth="1"/>
    <col min="10760" max="10760" width="16.140625" style="1085" bestFit="1" customWidth="1"/>
    <col min="10761" max="10761" width="15.5703125" style="1085" customWidth="1"/>
    <col min="10762" max="10762" width="17.5703125" style="1085" bestFit="1" customWidth="1"/>
    <col min="10763" max="10763" width="16.7109375" style="1085" customWidth="1"/>
    <col min="10764" max="10764" width="17.5703125" style="1085" bestFit="1" customWidth="1"/>
    <col min="10765" max="10765" width="20" style="1085" bestFit="1" customWidth="1"/>
    <col min="10766" max="10766" width="14.28515625" style="1085" bestFit="1" customWidth="1"/>
    <col min="10767" max="10767" width="20" style="1085" bestFit="1" customWidth="1"/>
    <col min="10768" max="10768" width="17.5703125" style="1085" bestFit="1" customWidth="1"/>
    <col min="10769" max="10769" width="9.140625" style="1085"/>
    <col min="10770" max="10770" width="15.5703125" style="1085" bestFit="1" customWidth="1"/>
    <col min="10771" max="10771" width="18.85546875" style="1085" bestFit="1" customWidth="1"/>
    <col min="10772" max="11008" width="9.140625" style="1085"/>
    <col min="11009" max="11009" width="34.140625" style="1085" customWidth="1"/>
    <col min="11010" max="11010" width="11.5703125" style="1085" bestFit="1" customWidth="1"/>
    <col min="11011" max="11011" width="18.28515625" style="1085" customWidth="1"/>
    <col min="11012" max="11012" width="17.5703125" style="1085" bestFit="1" customWidth="1"/>
    <col min="11013" max="11013" width="15.5703125" style="1085" bestFit="1" customWidth="1"/>
    <col min="11014" max="11014" width="16.140625" style="1085" bestFit="1" customWidth="1"/>
    <col min="11015" max="11015" width="6" style="1085" bestFit="1" customWidth="1"/>
    <col min="11016" max="11016" width="16.140625" style="1085" bestFit="1" customWidth="1"/>
    <col min="11017" max="11017" width="15.5703125" style="1085" customWidth="1"/>
    <col min="11018" max="11018" width="17.5703125" style="1085" bestFit="1" customWidth="1"/>
    <col min="11019" max="11019" width="16.7109375" style="1085" customWidth="1"/>
    <col min="11020" max="11020" width="17.5703125" style="1085" bestFit="1" customWidth="1"/>
    <col min="11021" max="11021" width="20" style="1085" bestFit="1" customWidth="1"/>
    <col min="11022" max="11022" width="14.28515625" style="1085" bestFit="1" customWidth="1"/>
    <col min="11023" max="11023" width="20" style="1085" bestFit="1" customWidth="1"/>
    <col min="11024" max="11024" width="17.5703125" style="1085" bestFit="1" customWidth="1"/>
    <col min="11025" max="11025" width="9.140625" style="1085"/>
    <col min="11026" max="11026" width="15.5703125" style="1085" bestFit="1" customWidth="1"/>
    <col min="11027" max="11027" width="18.85546875" style="1085" bestFit="1" customWidth="1"/>
    <col min="11028" max="11264" width="9.140625" style="1085"/>
    <col min="11265" max="11265" width="34.140625" style="1085" customWidth="1"/>
    <col min="11266" max="11266" width="11.5703125" style="1085" bestFit="1" customWidth="1"/>
    <col min="11267" max="11267" width="18.28515625" style="1085" customWidth="1"/>
    <col min="11268" max="11268" width="17.5703125" style="1085" bestFit="1" customWidth="1"/>
    <col min="11269" max="11269" width="15.5703125" style="1085" bestFit="1" customWidth="1"/>
    <col min="11270" max="11270" width="16.140625" style="1085" bestFit="1" customWidth="1"/>
    <col min="11271" max="11271" width="6" style="1085" bestFit="1" customWidth="1"/>
    <col min="11272" max="11272" width="16.140625" style="1085" bestFit="1" customWidth="1"/>
    <col min="11273" max="11273" width="15.5703125" style="1085" customWidth="1"/>
    <col min="11274" max="11274" width="17.5703125" style="1085" bestFit="1" customWidth="1"/>
    <col min="11275" max="11275" width="16.7109375" style="1085" customWidth="1"/>
    <col min="11276" max="11276" width="17.5703125" style="1085" bestFit="1" customWidth="1"/>
    <col min="11277" max="11277" width="20" style="1085" bestFit="1" customWidth="1"/>
    <col min="11278" max="11278" width="14.28515625" style="1085" bestFit="1" customWidth="1"/>
    <col min="11279" max="11279" width="20" style="1085" bestFit="1" customWidth="1"/>
    <col min="11280" max="11280" width="17.5703125" style="1085" bestFit="1" customWidth="1"/>
    <col min="11281" max="11281" width="9.140625" style="1085"/>
    <col min="11282" max="11282" width="15.5703125" style="1085" bestFit="1" customWidth="1"/>
    <col min="11283" max="11283" width="18.85546875" style="1085" bestFit="1" customWidth="1"/>
    <col min="11284" max="11520" width="9.140625" style="1085"/>
    <col min="11521" max="11521" width="34.140625" style="1085" customWidth="1"/>
    <col min="11522" max="11522" width="11.5703125" style="1085" bestFit="1" customWidth="1"/>
    <col min="11523" max="11523" width="18.28515625" style="1085" customWidth="1"/>
    <col min="11524" max="11524" width="17.5703125" style="1085" bestFit="1" customWidth="1"/>
    <col min="11525" max="11525" width="15.5703125" style="1085" bestFit="1" customWidth="1"/>
    <col min="11526" max="11526" width="16.140625" style="1085" bestFit="1" customWidth="1"/>
    <col min="11527" max="11527" width="6" style="1085" bestFit="1" customWidth="1"/>
    <col min="11528" max="11528" width="16.140625" style="1085" bestFit="1" customWidth="1"/>
    <col min="11529" max="11529" width="15.5703125" style="1085" customWidth="1"/>
    <col min="11530" max="11530" width="17.5703125" style="1085" bestFit="1" customWidth="1"/>
    <col min="11531" max="11531" width="16.7109375" style="1085" customWidth="1"/>
    <col min="11532" max="11532" width="17.5703125" style="1085" bestFit="1" customWidth="1"/>
    <col min="11533" max="11533" width="20" style="1085" bestFit="1" customWidth="1"/>
    <col min="11534" max="11534" width="14.28515625" style="1085" bestFit="1" customWidth="1"/>
    <col min="11535" max="11535" width="20" style="1085" bestFit="1" customWidth="1"/>
    <col min="11536" max="11536" width="17.5703125" style="1085" bestFit="1" customWidth="1"/>
    <col min="11537" max="11537" width="9.140625" style="1085"/>
    <col min="11538" max="11538" width="15.5703125" style="1085" bestFit="1" customWidth="1"/>
    <col min="11539" max="11539" width="18.85546875" style="1085" bestFit="1" customWidth="1"/>
    <col min="11540" max="11776" width="9.140625" style="1085"/>
    <col min="11777" max="11777" width="34.140625" style="1085" customWidth="1"/>
    <col min="11778" max="11778" width="11.5703125" style="1085" bestFit="1" customWidth="1"/>
    <col min="11779" max="11779" width="18.28515625" style="1085" customWidth="1"/>
    <col min="11780" max="11780" width="17.5703125" style="1085" bestFit="1" customWidth="1"/>
    <col min="11781" max="11781" width="15.5703125" style="1085" bestFit="1" customWidth="1"/>
    <col min="11782" max="11782" width="16.140625" style="1085" bestFit="1" customWidth="1"/>
    <col min="11783" max="11783" width="6" style="1085" bestFit="1" customWidth="1"/>
    <col min="11784" max="11784" width="16.140625" style="1085" bestFit="1" customWidth="1"/>
    <col min="11785" max="11785" width="15.5703125" style="1085" customWidth="1"/>
    <col min="11786" max="11786" width="17.5703125" style="1085" bestFit="1" customWidth="1"/>
    <col min="11787" max="11787" width="16.7109375" style="1085" customWidth="1"/>
    <col min="11788" max="11788" width="17.5703125" style="1085" bestFit="1" customWidth="1"/>
    <col min="11789" max="11789" width="20" style="1085" bestFit="1" customWidth="1"/>
    <col min="11790" max="11790" width="14.28515625" style="1085" bestFit="1" customWidth="1"/>
    <col min="11791" max="11791" width="20" style="1085" bestFit="1" customWidth="1"/>
    <col min="11792" max="11792" width="17.5703125" style="1085" bestFit="1" customWidth="1"/>
    <col min="11793" max="11793" width="9.140625" style="1085"/>
    <col min="11794" max="11794" width="15.5703125" style="1085" bestFit="1" customWidth="1"/>
    <col min="11795" max="11795" width="18.85546875" style="1085" bestFit="1" customWidth="1"/>
    <col min="11796" max="12032" width="9.140625" style="1085"/>
    <col min="12033" max="12033" width="34.140625" style="1085" customWidth="1"/>
    <col min="12034" max="12034" width="11.5703125" style="1085" bestFit="1" customWidth="1"/>
    <col min="12035" max="12035" width="18.28515625" style="1085" customWidth="1"/>
    <col min="12036" max="12036" width="17.5703125" style="1085" bestFit="1" customWidth="1"/>
    <col min="12037" max="12037" width="15.5703125" style="1085" bestFit="1" customWidth="1"/>
    <col min="12038" max="12038" width="16.140625" style="1085" bestFit="1" customWidth="1"/>
    <col min="12039" max="12039" width="6" style="1085" bestFit="1" customWidth="1"/>
    <col min="12040" max="12040" width="16.140625" style="1085" bestFit="1" customWidth="1"/>
    <col min="12041" max="12041" width="15.5703125" style="1085" customWidth="1"/>
    <col min="12042" max="12042" width="17.5703125" style="1085" bestFit="1" customWidth="1"/>
    <col min="12043" max="12043" width="16.7109375" style="1085" customWidth="1"/>
    <col min="12044" max="12044" width="17.5703125" style="1085" bestFit="1" customWidth="1"/>
    <col min="12045" max="12045" width="20" style="1085" bestFit="1" customWidth="1"/>
    <col min="12046" max="12046" width="14.28515625" style="1085" bestFit="1" customWidth="1"/>
    <col min="12047" max="12047" width="20" style="1085" bestFit="1" customWidth="1"/>
    <col min="12048" max="12048" width="17.5703125" style="1085" bestFit="1" customWidth="1"/>
    <col min="12049" max="12049" width="9.140625" style="1085"/>
    <col min="12050" max="12050" width="15.5703125" style="1085" bestFit="1" customWidth="1"/>
    <col min="12051" max="12051" width="18.85546875" style="1085" bestFit="1" customWidth="1"/>
    <col min="12052" max="12288" width="9.140625" style="1085"/>
    <col min="12289" max="12289" width="34.140625" style="1085" customWidth="1"/>
    <col min="12290" max="12290" width="11.5703125" style="1085" bestFit="1" customWidth="1"/>
    <col min="12291" max="12291" width="18.28515625" style="1085" customWidth="1"/>
    <col min="12292" max="12292" width="17.5703125" style="1085" bestFit="1" customWidth="1"/>
    <col min="12293" max="12293" width="15.5703125" style="1085" bestFit="1" customWidth="1"/>
    <col min="12294" max="12294" width="16.140625" style="1085" bestFit="1" customWidth="1"/>
    <col min="12295" max="12295" width="6" style="1085" bestFit="1" customWidth="1"/>
    <col min="12296" max="12296" width="16.140625" style="1085" bestFit="1" customWidth="1"/>
    <col min="12297" max="12297" width="15.5703125" style="1085" customWidth="1"/>
    <col min="12298" max="12298" width="17.5703125" style="1085" bestFit="1" customWidth="1"/>
    <col min="12299" max="12299" width="16.7109375" style="1085" customWidth="1"/>
    <col min="12300" max="12300" width="17.5703125" style="1085" bestFit="1" customWidth="1"/>
    <col min="12301" max="12301" width="20" style="1085" bestFit="1" customWidth="1"/>
    <col min="12302" max="12302" width="14.28515625" style="1085" bestFit="1" customWidth="1"/>
    <col min="12303" max="12303" width="20" style="1085" bestFit="1" customWidth="1"/>
    <col min="12304" max="12304" width="17.5703125" style="1085" bestFit="1" customWidth="1"/>
    <col min="12305" max="12305" width="9.140625" style="1085"/>
    <col min="12306" max="12306" width="15.5703125" style="1085" bestFit="1" customWidth="1"/>
    <col min="12307" max="12307" width="18.85546875" style="1085" bestFit="1" customWidth="1"/>
    <col min="12308" max="12544" width="9.140625" style="1085"/>
    <col min="12545" max="12545" width="34.140625" style="1085" customWidth="1"/>
    <col min="12546" max="12546" width="11.5703125" style="1085" bestFit="1" customWidth="1"/>
    <col min="12547" max="12547" width="18.28515625" style="1085" customWidth="1"/>
    <col min="12548" max="12548" width="17.5703125" style="1085" bestFit="1" customWidth="1"/>
    <col min="12549" max="12549" width="15.5703125" style="1085" bestFit="1" customWidth="1"/>
    <col min="12550" max="12550" width="16.140625" style="1085" bestFit="1" customWidth="1"/>
    <col min="12551" max="12551" width="6" style="1085" bestFit="1" customWidth="1"/>
    <col min="12552" max="12552" width="16.140625" style="1085" bestFit="1" customWidth="1"/>
    <col min="12553" max="12553" width="15.5703125" style="1085" customWidth="1"/>
    <col min="12554" max="12554" width="17.5703125" style="1085" bestFit="1" customWidth="1"/>
    <col min="12555" max="12555" width="16.7109375" style="1085" customWidth="1"/>
    <col min="12556" max="12556" width="17.5703125" style="1085" bestFit="1" customWidth="1"/>
    <col min="12557" max="12557" width="20" style="1085" bestFit="1" customWidth="1"/>
    <col min="12558" max="12558" width="14.28515625" style="1085" bestFit="1" customWidth="1"/>
    <col min="12559" max="12559" width="20" style="1085" bestFit="1" customWidth="1"/>
    <col min="12560" max="12560" width="17.5703125" style="1085" bestFit="1" customWidth="1"/>
    <col min="12561" max="12561" width="9.140625" style="1085"/>
    <col min="12562" max="12562" width="15.5703125" style="1085" bestFit="1" customWidth="1"/>
    <col min="12563" max="12563" width="18.85546875" style="1085" bestFit="1" customWidth="1"/>
    <col min="12564" max="12800" width="9.140625" style="1085"/>
    <col min="12801" max="12801" width="34.140625" style="1085" customWidth="1"/>
    <col min="12802" max="12802" width="11.5703125" style="1085" bestFit="1" customWidth="1"/>
    <col min="12803" max="12803" width="18.28515625" style="1085" customWidth="1"/>
    <col min="12804" max="12804" width="17.5703125" style="1085" bestFit="1" customWidth="1"/>
    <col min="12805" max="12805" width="15.5703125" style="1085" bestFit="1" customWidth="1"/>
    <col min="12806" max="12806" width="16.140625" style="1085" bestFit="1" customWidth="1"/>
    <col min="12807" max="12807" width="6" style="1085" bestFit="1" customWidth="1"/>
    <col min="12808" max="12808" width="16.140625" style="1085" bestFit="1" customWidth="1"/>
    <col min="12809" max="12809" width="15.5703125" style="1085" customWidth="1"/>
    <col min="12810" max="12810" width="17.5703125" style="1085" bestFit="1" customWidth="1"/>
    <col min="12811" max="12811" width="16.7109375" style="1085" customWidth="1"/>
    <col min="12812" max="12812" width="17.5703125" style="1085" bestFit="1" customWidth="1"/>
    <col min="12813" max="12813" width="20" style="1085" bestFit="1" customWidth="1"/>
    <col min="12814" max="12814" width="14.28515625" style="1085" bestFit="1" customWidth="1"/>
    <col min="12815" max="12815" width="20" style="1085" bestFit="1" customWidth="1"/>
    <col min="12816" max="12816" width="17.5703125" style="1085" bestFit="1" customWidth="1"/>
    <col min="12817" max="12817" width="9.140625" style="1085"/>
    <col min="12818" max="12818" width="15.5703125" style="1085" bestFit="1" customWidth="1"/>
    <col min="12819" max="12819" width="18.85546875" style="1085" bestFit="1" customWidth="1"/>
    <col min="12820" max="13056" width="9.140625" style="1085"/>
    <col min="13057" max="13057" width="34.140625" style="1085" customWidth="1"/>
    <col min="13058" max="13058" width="11.5703125" style="1085" bestFit="1" customWidth="1"/>
    <col min="13059" max="13059" width="18.28515625" style="1085" customWidth="1"/>
    <col min="13060" max="13060" width="17.5703125" style="1085" bestFit="1" customWidth="1"/>
    <col min="13061" max="13061" width="15.5703125" style="1085" bestFit="1" customWidth="1"/>
    <col min="13062" max="13062" width="16.140625" style="1085" bestFit="1" customWidth="1"/>
    <col min="13063" max="13063" width="6" style="1085" bestFit="1" customWidth="1"/>
    <col min="13064" max="13064" width="16.140625" style="1085" bestFit="1" customWidth="1"/>
    <col min="13065" max="13065" width="15.5703125" style="1085" customWidth="1"/>
    <col min="13066" max="13066" width="17.5703125" style="1085" bestFit="1" customWidth="1"/>
    <col min="13067" max="13067" width="16.7109375" style="1085" customWidth="1"/>
    <col min="13068" max="13068" width="17.5703125" style="1085" bestFit="1" customWidth="1"/>
    <col min="13069" max="13069" width="20" style="1085" bestFit="1" customWidth="1"/>
    <col min="13070" max="13070" width="14.28515625" style="1085" bestFit="1" customWidth="1"/>
    <col min="13071" max="13071" width="20" style="1085" bestFit="1" customWidth="1"/>
    <col min="13072" max="13072" width="17.5703125" style="1085" bestFit="1" customWidth="1"/>
    <col min="13073" max="13073" width="9.140625" style="1085"/>
    <col min="13074" max="13074" width="15.5703125" style="1085" bestFit="1" customWidth="1"/>
    <col min="13075" max="13075" width="18.85546875" style="1085" bestFit="1" customWidth="1"/>
    <col min="13076" max="13312" width="9.140625" style="1085"/>
    <col min="13313" max="13313" width="34.140625" style="1085" customWidth="1"/>
    <col min="13314" max="13314" width="11.5703125" style="1085" bestFit="1" customWidth="1"/>
    <col min="13315" max="13315" width="18.28515625" style="1085" customWidth="1"/>
    <col min="13316" max="13316" width="17.5703125" style="1085" bestFit="1" customWidth="1"/>
    <col min="13317" max="13317" width="15.5703125" style="1085" bestFit="1" customWidth="1"/>
    <col min="13318" max="13318" width="16.140625" style="1085" bestFit="1" customWidth="1"/>
    <col min="13319" max="13319" width="6" style="1085" bestFit="1" customWidth="1"/>
    <col min="13320" max="13320" width="16.140625" style="1085" bestFit="1" customWidth="1"/>
    <col min="13321" max="13321" width="15.5703125" style="1085" customWidth="1"/>
    <col min="13322" max="13322" width="17.5703125" style="1085" bestFit="1" customWidth="1"/>
    <col min="13323" max="13323" width="16.7109375" style="1085" customWidth="1"/>
    <col min="13324" max="13324" width="17.5703125" style="1085" bestFit="1" customWidth="1"/>
    <col min="13325" max="13325" width="20" style="1085" bestFit="1" customWidth="1"/>
    <col min="13326" max="13326" width="14.28515625" style="1085" bestFit="1" customWidth="1"/>
    <col min="13327" max="13327" width="20" style="1085" bestFit="1" customWidth="1"/>
    <col min="13328" max="13328" width="17.5703125" style="1085" bestFit="1" customWidth="1"/>
    <col min="13329" max="13329" width="9.140625" style="1085"/>
    <col min="13330" max="13330" width="15.5703125" style="1085" bestFit="1" customWidth="1"/>
    <col min="13331" max="13331" width="18.85546875" style="1085" bestFit="1" customWidth="1"/>
    <col min="13332" max="13568" width="9.140625" style="1085"/>
    <col min="13569" max="13569" width="34.140625" style="1085" customWidth="1"/>
    <col min="13570" max="13570" width="11.5703125" style="1085" bestFit="1" customWidth="1"/>
    <col min="13571" max="13571" width="18.28515625" style="1085" customWidth="1"/>
    <col min="13572" max="13572" width="17.5703125" style="1085" bestFit="1" customWidth="1"/>
    <col min="13573" max="13573" width="15.5703125" style="1085" bestFit="1" customWidth="1"/>
    <col min="13574" max="13574" width="16.140625" style="1085" bestFit="1" customWidth="1"/>
    <col min="13575" max="13575" width="6" style="1085" bestFit="1" customWidth="1"/>
    <col min="13576" max="13576" width="16.140625" style="1085" bestFit="1" customWidth="1"/>
    <col min="13577" max="13577" width="15.5703125" style="1085" customWidth="1"/>
    <col min="13578" max="13578" width="17.5703125" style="1085" bestFit="1" customWidth="1"/>
    <col min="13579" max="13579" width="16.7109375" style="1085" customWidth="1"/>
    <col min="13580" max="13580" width="17.5703125" style="1085" bestFit="1" customWidth="1"/>
    <col min="13581" max="13581" width="20" style="1085" bestFit="1" customWidth="1"/>
    <col min="13582" max="13582" width="14.28515625" style="1085" bestFit="1" customWidth="1"/>
    <col min="13583" max="13583" width="20" style="1085" bestFit="1" customWidth="1"/>
    <col min="13584" max="13584" width="17.5703125" style="1085" bestFit="1" customWidth="1"/>
    <col min="13585" max="13585" width="9.140625" style="1085"/>
    <col min="13586" max="13586" width="15.5703125" style="1085" bestFit="1" customWidth="1"/>
    <col min="13587" max="13587" width="18.85546875" style="1085" bestFit="1" customWidth="1"/>
    <col min="13588" max="13824" width="9.140625" style="1085"/>
    <col min="13825" max="13825" width="34.140625" style="1085" customWidth="1"/>
    <col min="13826" max="13826" width="11.5703125" style="1085" bestFit="1" customWidth="1"/>
    <col min="13827" max="13827" width="18.28515625" style="1085" customWidth="1"/>
    <col min="13828" max="13828" width="17.5703125" style="1085" bestFit="1" customWidth="1"/>
    <col min="13829" max="13829" width="15.5703125" style="1085" bestFit="1" customWidth="1"/>
    <col min="13830" max="13830" width="16.140625" style="1085" bestFit="1" customWidth="1"/>
    <col min="13831" max="13831" width="6" style="1085" bestFit="1" customWidth="1"/>
    <col min="13832" max="13832" width="16.140625" style="1085" bestFit="1" customWidth="1"/>
    <col min="13833" max="13833" width="15.5703125" style="1085" customWidth="1"/>
    <col min="13834" max="13834" width="17.5703125" style="1085" bestFit="1" customWidth="1"/>
    <col min="13835" max="13835" width="16.7109375" style="1085" customWidth="1"/>
    <col min="13836" max="13836" width="17.5703125" style="1085" bestFit="1" customWidth="1"/>
    <col min="13837" max="13837" width="20" style="1085" bestFit="1" customWidth="1"/>
    <col min="13838" max="13838" width="14.28515625" style="1085" bestFit="1" customWidth="1"/>
    <col min="13839" max="13839" width="20" style="1085" bestFit="1" customWidth="1"/>
    <col min="13840" max="13840" width="17.5703125" style="1085" bestFit="1" customWidth="1"/>
    <col min="13841" max="13841" width="9.140625" style="1085"/>
    <col min="13842" max="13842" width="15.5703125" style="1085" bestFit="1" customWidth="1"/>
    <col min="13843" max="13843" width="18.85546875" style="1085" bestFit="1" customWidth="1"/>
    <col min="13844" max="14080" width="9.140625" style="1085"/>
    <col min="14081" max="14081" width="34.140625" style="1085" customWidth="1"/>
    <col min="14082" max="14082" width="11.5703125" style="1085" bestFit="1" customWidth="1"/>
    <col min="14083" max="14083" width="18.28515625" style="1085" customWidth="1"/>
    <col min="14084" max="14084" width="17.5703125" style="1085" bestFit="1" customWidth="1"/>
    <col min="14085" max="14085" width="15.5703125" style="1085" bestFit="1" customWidth="1"/>
    <col min="14086" max="14086" width="16.140625" style="1085" bestFit="1" customWidth="1"/>
    <col min="14087" max="14087" width="6" style="1085" bestFit="1" customWidth="1"/>
    <col min="14088" max="14088" width="16.140625" style="1085" bestFit="1" customWidth="1"/>
    <col min="14089" max="14089" width="15.5703125" style="1085" customWidth="1"/>
    <col min="14090" max="14090" width="17.5703125" style="1085" bestFit="1" customWidth="1"/>
    <col min="14091" max="14091" width="16.7109375" style="1085" customWidth="1"/>
    <col min="14092" max="14092" width="17.5703125" style="1085" bestFit="1" customWidth="1"/>
    <col min="14093" max="14093" width="20" style="1085" bestFit="1" customWidth="1"/>
    <col min="14094" max="14094" width="14.28515625" style="1085" bestFit="1" customWidth="1"/>
    <col min="14095" max="14095" width="20" style="1085" bestFit="1" customWidth="1"/>
    <col min="14096" max="14096" width="17.5703125" style="1085" bestFit="1" customWidth="1"/>
    <col min="14097" max="14097" width="9.140625" style="1085"/>
    <col min="14098" max="14098" width="15.5703125" style="1085" bestFit="1" customWidth="1"/>
    <col min="14099" max="14099" width="18.85546875" style="1085" bestFit="1" customWidth="1"/>
    <col min="14100" max="14336" width="9.140625" style="1085"/>
    <col min="14337" max="14337" width="34.140625" style="1085" customWidth="1"/>
    <col min="14338" max="14338" width="11.5703125" style="1085" bestFit="1" customWidth="1"/>
    <col min="14339" max="14339" width="18.28515625" style="1085" customWidth="1"/>
    <col min="14340" max="14340" width="17.5703125" style="1085" bestFit="1" customWidth="1"/>
    <col min="14341" max="14341" width="15.5703125" style="1085" bestFit="1" customWidth="1"/>
    <col min="14342" max="14342" width="16.140625" style="1085" bestFit="1" customWidth="1"/>
    <col min="14343" max="14343" width="6" style="1085" bestFit="1" customWidth="1"/>
    <col min="14344" max="14344" width="16.140625" style="1085" bestFit="1" customWidth="1"/>
    <col min="14345" max="14345" width="15.5703125" style="1085" customWidth="1"/>
    <col min="14346" max="14346" width="17.5703125" style="1085" bestFit="1" customWidth="1"/>
    <col min="14347" max="14347" width="16.7109375" style="1085" customWidth="1"/>
    <col min="14348" max="14348" width="17.5703125" style="1085" bestFit="1" customWidth="1"/>
    <col min="14349" max="14349" width="20" style="1085" bestFit="1" customWidth="1"/>
    <col min="14350" max="14350" width="14.28515625" style="1085" bestFit="1" customWidth="1"/>
    <col min="14351" max="14351" width="20" style="1085" bestFit="1" customWidth="1"/>
    <col min="14352" max="14352" width="17.5703125" style="1085" bestFit="1" customWidth="1"/>
    <col min="14353" max="14353" width="9.140625" style="1085"/>
    <col min="14354" max="14354" width="15.5703125" style="1085" bestFit="1" customWidth="1"/>
    <col min="14355" max="14355" width="18.85546875" style="1085" bestFit="1" customWidth="1"/>
    <col min="14356" max="14592" width="9.140625" style="1085"/>
    <col min="14593" max="14593" width="34.140625" style="1085" customWidth="1"/>
    <col min="14594" max="14594" width="11.5703125" style="1085" bestFit="1" customWidth="1"/>
    <col min="14595" max="14595" width="18.28515625" style="1085" customWidth="1"/>
    <col min="14596" max="14596" width="17.5703125" style="1085" bestFit="1" customWidth="1"/>
    <col min="14597" max="14597" width="15.5703125" style="1085" bestFit="1" customWidth="1"/>
    <col min="14598" max="14598" width="16.140625" style="1085" bestFit="1" customWidth="1"/>
    <col min="14599" max="14599" width="6" style="1085" bestFit="1" customWidth="1"/>
    <col min="14600" max="14600" width="16.140625" style="1085" bestFit="1" customWidth="1"/>
    <col min="14601" max="14601" width="15.5703125" style="1085" customWidth="1"/>
    <col min="14602" max="14602" width="17.5703125" style="1085" bestFit="1" customWidth="1"/>
    <col min="14603" max="14603" width="16.7109375" style="1085" customWidth="1"/>
    <col min="14604" max="14604" width="17.5703125" style="1085" bestFit="1" customWidth="1"/>
    <col min="14605" max="14605" width="20" style="1085" bestFit="1" customWidth="1"/>
    <col min="14606" max="14606" width="14.28515625" style="1085" bestFit="1" customWidth="1"/>
    <col min="14607" max="14607" width="20" style="1085" bestFit="1" customWidth="1"/>
    <col min="14608" max="14608" width="17.5703125" style="1085" bestFit="1" customWidth="1"/>
    <col min="14609" max="14609" width="9.140625" style="1085"/>
    <col min="14610" max="14610" width="15.5703125" style="1085" bestFit="1" customWidth="1"/>
    <col min="14611" max="14611" width="18.85546875" style="1085" bestFit="1" customWidth="1"/>
    <col min="14612" max="14848" width="9.140625" style="1085"/>
    <col min="14849" max="14849" width="34.140625" style="1085" customWidth="1"/>
    <col min="14850" max="14850" width="11.5703125" style="1085" bestFit="1" customWidth="1"/>
    <col min="14851" max="14851" width="18.28515625" style="1085" customWidth="1"/>
    <col min="14852" max="14852" width="17.5703125" style="1085" bestFit="1" customWidth="1"/>
    <col min="14853" max="14853" width="15.5703125" style="1085" bestFit="1" customWidth="1"/>
    <col min="14854" max="14854" width="16.140625" style="1085" bestFit="1" customWidth="1"/>
    <col min="14855" max="14855" width="6" style="1085" bestFit="1" customWidth="1"/>
    <col min="14856" max="14856" width="16.140625" style="1085" bestFit="1" customWidth="1"/>
    <col min="14857" max="14857" width="15.5703125" style="1085" customWidth="1"/>
    <col min="14858" max="14858" width="17.5703125" style="1085" bestFit="1" customWidth="1"/>
    <col min="14859" max="14859" width="16.7109375" style="1085" customWidth="1"/>
    <col min="14860" max="14860" width="17.5703125" style="1085" bestFit="1" customWidth="1"/>
    <col min="14861" max="14861" width="20" style="1085" bestFit="1" customWidth="1"/>
    <col min="14862" max="14862" width="14.28515625" style="1085" bestFit="1" customWidth="1"/>
    <col min="14863" max="14863" width="20" style="1085" bestFit="1" customWidth="1"/>
    <col min="14864" max="14864" width="17.5703125" style="1085" bestFit="1" customWidth="1"/>
    <col min="14865" max="14865" width="9.140625" style="1085"/>
    <col min="14866" max="14866" width="15.5703125" style="1085" bestFit="1" customWidth="1"/>
    <col min="14867" max="14867" width="18.85546875" style="1085" bestFit="1" customWidth="1"/>
    <col min="14868" max="15104" width="9.140625" style="1085"/>
    <col min="15105" max="15105" width="34.140625" style="1085" customWidth="1"/>
    <col min="15106" max="15106" width="11.5703125" style="1085" bestFit="1" customWidth="1"/>
    <col min="15107" max="15107" width="18.28515625" style="1085" customWidth="1"/>
    <col min="15108" max="15108" width="17.5703125" style="1085" bestFit="1" customWidth="1"/>
    <col min="15109" max="15109" width="15.5703125" style="1085" bestFit="1" customWidth="1"/>
    <col min="15110" max="15110" width="16.140625" style="1085" bestFit="1" customWidth="1"/>
    <col min="15111" max="15111" width="6" style="1085" bestFit="1" customWidth="1"/>
    <col min="15112" max="15112" width="16.140625" style="1085" bestFit="1" customWidth="1"/>
    <col min="15113" max="15113" width="15.5703125" style="1085" customWidth="1"/>
    <col min="15114" max="15114" width="17.5703125" style="1085" bestFit="1" customWidth="1"/>
    <col min="15115" max="15115" width="16.7109375" style="1085" customWidth="1"/>
    <col min="15116" max="15116" width="17.5703125" style="1085" bestFit="1" customWidth="1"/>
    <col min="15117" max="15117" width="20" style="1085" bestFit="1" customWidth="1"/>
    <col min="15118" max="15118" width="14.28515625" style="1085" bestFit="1" customWidth="1"/>
    <col min="15119" max="15119" width="20" style="1085" bestFit="1" customWidth="1"/>
    <col min="15120" max="15120" width="17.5703125" style="1085" bestFit="1" customWidth="1"/>
    <col min="15121" max="15121" width="9.140625" style="1085"/>
    <col min="15122" max="15122" width="15.5703125" style="1085" bestFit="1" customWidth="1"/>
    <col min="15123" max="15123" width="18.85546875" style="1085" bestFit="1" customWidth="1"/>
    <col min="15124" max="15360" width="9.140625" style="1085"/>
    <col min="15361" max="15361" width="34.140625" style="1085" customWidth="1"/>
    <col min="15362" max="15362" width="11.5703125" style="1085" bestFit="1" customWidth="1"/>
    <col min="15363" max="15363" width="18.28515625" style="1085" customWidth="1"/>
    <col min="15364" max="15364" width="17.5703125" style="1085" bestFit="1" customWidth="1"/>
    <col min="15365" max="15365" width="15.5703125" style="1085" bestFit="1" customWidth="1"/>
    <col min="15366" max="15366" width="16.140625" style="1085" bestFit="1" customWidth="1"/>
    <col min="15367" max="15367" width="6" style="1085" bestFit="1" customWidth="1"/>
    <col min="15368" max="15368" width="16.140625" style="1085" bestFit="1" customWidth="1"/>
    <col min="15369" max="15369" width="15.5703125" style="1085" customWidth="1"/>
    <col min="15370" max="15370" width="17.5703125" style="1085" bestFit="1" customWidth="1"/>
    <col min="15371" max="15371" width="16.7109375" style="1085" customWidth="1"/>
    <col min="15372" max="15372" width="17.5703125" style="1085" bestFit="1" customWidth="1"/>
    <col min="15373" max="15373" width="20" style="1085" bestFit="1" customWidth="1"/>
    <col min="15374" max="15374" width="14.28515625" style="1085" bestFit="1" customWidth="1"/>
    <col min="15375" max="15375" width="20" style="1085" bestFit="1" customWidth="1"/>
    <col min="15376" max="15376" width="17.5703125" style="1085" bestFit="1" customWidth="1"/>
    <col min="15377" max="15377" width="9.140625" style="1085"/>
    <col min="15378" max="15378" width="15.5703125" style="1085" bestFit="1" customWidth="1"/>
    <col min="15379" max="15379" width="18.85546875" style="1085" bestFit="1" customWidth="1"/>
    <col min="15380" max="15616" width="9.140625" style="1085"/>
    <col min="15617" max="15617" width="34.140625" style="1085" customWidth="1"/>
    <col min="15618" max="15618" width="11.5703125" style="1085" bestFit="1" customWidth="1"/>
    <col min="15619" max="15619" width="18.28515625" style="1085" customWidth="1"/>
    <col min="15620" max="15620" width="17.5703125" style="1085" bestFit="1" customWidth="1"/>
    <col min="15621" max="15621" width="15.5703125" style="1085" bestFit="1" customWidth="1"/>
    <col min="15622" max="15622" width="16.140625" style="1085" bestFit="1" customWidth="1"/>
    <col min="15623" max="15623" width="6" style="1085" bestFit="1" customWidth="1"/>
    <col min="15624" max="15624" width="16.140625" style="1085" bestFit="1" customWidth="1"/>
    <col min="15625" max="15625" width="15.5703125" style="1085" customWidth="1"/>
    <col min="15626" max="15626" width="17.5703125" style="1085" bestFit="1" customWidth="1"/>
    <col min="15627" max="15627" width="16.7109375" style="1085" customWidth="1"/>
    <col min="15628" max="15628" width="17.5703125" style="1085" bestFit="1" customWidth="1"/>
    <col min="15629" max="15629" width="20" style="1085" bestFit="1" customWidth="1"/>
    <col min="15630" max="15630" width="14.28515625" style="1085" bestFit="1" customWidth="1"/>
    <col min="15631" max="15631" width="20" style="1085" bestFit="1" customWidth="1"/>
    <col min="15632" max="15632" width="17.5703125" style="1085" bestFit="1" customWidth="1"/>
    <col min="15633" max="15633" width="9.140625" style="1085"/>
    <col min="15634" max="15634" width="15.5703125" style="1085" bestFit="1" customWidth="1"/>
    <col min="15635" max="15635" width="18.85546875" style="1085" bestFit="1" customWidth="1"/>
    <col min="15636" max="15872" width="9.140625" style="1085"/>
    <col min="15873" max="15873" width="34.140625" style="1085" customWidth="1"/>
    <col min="15874" max="15874" width="11.5703125" style="1085" bestFit="1" customWidth="1"/>
    <col min="15875" max="15875" width="18.28515625" style="1085" customWidth="1"/>
    <col min="15876" max="15876" width="17.5703125" style="1085" bestFit="1" customWidth="1"/>
    <col min="15877" max="15877" width="15.5703125" style="1085" bestFit="1" customWidth="1"/>
    <col min="15878" max="15878" width="16.140625" style="1085" bestFit="1" customWidth="1"/>
    <col min="15879" max="15879" width="6" style="1085" bestFit="1" customWidth="1"/>
    <col min="15880" max="15880" width="16.140625" style="1085" bestFit="1" customWidth="1"/>
    <col min="15881" max="15881" width="15.5703125" style="1085" customWidth="1"/>
    <col min="15882" max="15882" width="17.5703125" style="1085" bestFit="1" customWidth="1"/>
    <col min="15883" max="15883" width="16.7109375" style="1085" customWidth="1"/>
    <col min="15884" max="15884" width="17.5703125" style="1085" bestFit="1" customWidth="1"/>
    <col min="15885" max="15885" width="20" style="1085" bestFit="1" customWidth="1"/>
    <col min="15886" max="15886" width="14.28515625" style="1085" bestFit="1" customWidth="1"/>
    <col min="15887" max="15887" width="20" style="1085" bestFit="1" customWidth="1"/>
    <col min="15888" max="15888" width="17.5703125" style="1085" bestFit="1" customWidth="1"/>
    <col min="15889" max="15889" width="9.140625" style="1085"/>
    <col min="15890" max="15890" width="15.5703125" style="1085" bestFit="1" customWidth="1"/>
    <col min="15891" max="15891" width="18.85546875" style="1085" bestFit="1" customWidth="1"/>
    <col min="15892" max="16128" width="9.140625" style="1085"/>
    <col min="16129" max="16129" width="34.140625" style="1085" customWidth="1"/>
    <col min="16130" max="16130" width="11.5703125" style="1085" bestFit="1" customWidth="1"/>
    <col min="16131" max="16131" width="18.28515625" style="1085" customWidth="1"/>
    <col min="16132" max="16132" width="17.5703125" style="1085" bestFit="1" customWidth="1"/>
    <col min="16133" max="16133" width="15.5703125" style="1085" bestFit="1" customWidth="1"/>
    <col min="16134" max="16134" width="16.140625" style="1085" bestFit="1" customWidth="1"/>
    <col min="16135" max="16135" width="6" style="1085" bestFit="1" customWidth="1"/>
    <col min="16136" max="16136" width="16.140625" style="1085" bestFit="1" customWidth="1"/>
    <col min="16137" max="16137" width="15.5703125" style="1085" customWidth="1"/>
    <col min="16138" max="16138" width="17.5703125" style="1085" bestFit="1" customWidth="1"/>
    <col min="16139" max="16139" width="16.7109375" style="1085" customWidth="1"/>
    <col min="16140" max="16140" width="17.5703125" style="1085" bestFit="1" customWidth="1"/>
    <col min="16141" max="16141" width="20" style="1085" bestFit="1" customWidth="1"/>
    <col min="16142" max="16142" width="14.28515625" style="1085" bestFit="1" customWidth="1"/>
    <col min="16143" max="16143" width="20" style="1085" bestFit="1" customWidth="1"/>
    <col min="16144" max="16144" width="17.5703125" style="1085" bestFit="1" customWidth="1"/>
    <col min="16145" max="16145" width="9.140625" style="1085"/>
    <col min="16146" max="16146" width="15.5703125" style="1085" bestFit="1" customWidth="1"/>
    <col min="16147" max="16147" width="18.85546875" style="1085" bestFit="1" customWidth="1"/>
    <col min="16148" max="16384" width="9.140625" style="1085"/>
  </cols>
  <sheetData>
    <row r="1" spans="1:22" ht="15.75" thickBot="1"/>
    <row r="2" spans="1:22" ht="16.5" thickBot="1">
      <c r="A2" s="1086" t="s">
        <v>539</v>
      </c>
      <c r="B2" s="1087"/>
      <c r="C2" s="1087"/>
      <c r="D2" s="1088"/>
      <c r="E2" s="1087"/>
      <c r="F2" s="1087"/>
      <c r="G2" s="1087"/>
      <c r="H2" s="1087"/>
      <c r="I2" s="1087"/>
      <c r="J2" s="1087"/>
      <c r="K2" s="1089" t="s">
        <v>627</v>
      </c>
      <c r="L2" s="1087"/>
      <c r="M2" s="1090" t="s">
        <v>541</v>
      </c>
      <c r="N2" s="1091">
        <v>12</v>
      </c>
    </row>
    <row r="3" spans="1:22" ht="15.75" thickTop="1">
      <c r="A3" s="1092"/>
      <c r="B3" s="1093"/>
      <c r="L3" s="1094"/>
    </row>
    <row r="4" spans="1:22" ht="15.75">
      <c r="A4" s="1095"/>
      <c r="B4" s="1096" t="s">
        <v>542</v>
      </c>
      <c r="C4" s="1097" t="s">
        <v>543</v>
      </c>
      <c r="D4" s="1260" t="s">
        <v>544</v>
      </c>
      <c r="E4" s="1261"/>
      <c r="F4" s="1098"/>
      <c r="G4" s="1098" t="s">
        <v>545</v>
      </c>
      <c r="H4" s="1098" t="s">
        <v>546</v>
      </c>
      <c r="I4" s="1098" t="s">
        <v>547</v>
      </c>
      <c r="J4" s="1098"/>
      <c r="K4" s="1098" t="s">
        <v>548</v>
      </c>
      <c r="L4" s="1098" t="s">
        <v>543</v>
      </c>
    </row>
    <row r="5" spans="1:22" ht="15.75">
      <c r="A5" s="1095" t="s">
        <v>549</v>
      </c>
      <c r="B5" s="1096" t="s">
        <v>550</v>
      </c>
      <c r="C5" s="1099" t="s">
        <v>551</v>
      </c>
      <c r="D5" s="1096"/>
      <c r="E5" s="1096"/>
      <c r="F5" s="1096" t="s">
        <v>552</v>
      </c>
      <c r="G5" s="1096" t="s">
        <v>553</v>
      </c>
      <c r="H5" s="1096" t="s">
        <v>554</v>
      </c>
      <c r="I5" s="1096" t="s">
        <v>555</v>
      </c>
      <c r="J5" s="1096" t="s">
        <v>556</v>
      </c>
      <c r="K5" s="1096" t="s">
        <v>557</v>
      </c>
      <c r="L5" s="1096" t="s">
        <v>551</v>
      </c>
    </row>
    <row r="6" spans="1:22" ht="16.5" thickBot="1">
      <c r="A6" s="1100"/>
      <c r="B6" s="1101" t="s">
        <v>422</v>
      </c>
      <c r="C6" s="1102" t="s">
        <v>628</v>
      </c>
      <c r="D6" s="1101" t="s">
        <v>559</v>
      </c>
      <c r="E6" s="1101" t="s">
        <v>560</v>
      </c>
      <c r="F6" s="1101"/>
      <c r="G6" s="1101" t="s">
        <v>561</v>
      </c>
      <c r="H6" s="1101"/>
      <c r="I6" s="1101" t="s">
        <v>562</v>
      </c>
      <c r="J6" s="1101" t="s">
        <v>543</v>
      </c>
      <c r="K6" s="1103" t="s">
        <v>563</v>
      </c>
      <c r="L6" s="1103" t="str">
        <f>TEXT([52]TB!G1,"dd-mm-yyyy")</f>
        <v>31-03-2022</v>
      </c>
    </row>
    <row r="7" spans="1:22" ht="15.75" thickTop="1">
      <c r="A7" s="1104"/>
      <c r="B7" s="1105"/>
      <c r="C7" s="1106"/>
      <c r="D7" s="1106"/>
      <c r="E7" s="1106"/>
      <c r="F7" s="1106"/>
      <c r="G7" s="1106"/>
      <c r="H7" s="1106"/>
      <c r="I7" s="1106"/>
      <c r="J7" s="1106"/>
      <c r="K7" s="1106"/>
      <c r="L7" s="1106"/>
    </row>
    <row r="8" spans="1:22" ht="15.75">
      <c r="A8" s="1107" t="s">
        <v>564</v>
      </c>
      <c r="B8" s="1106"/>
      <c r="C8" s="1106"/>
      <c r="D8" s="1106"/>
      <c r="E8" s="1106"/>
      <c r="F8" s="1106"/>
      <c r="G8" s="1106"/>
      <c r="H8" s="1106"/>
      <c r="I8" s="1106"/>
      <c r="J8" s="1106"/>
      <c r="K8" s="1106"/>
      <c r="L8" s="1106"/>
    </row>
    <row r="9" spans="1:22">
      <c r="A9" s="1108" t="s">
        <v>303</v>
      </c>
      <c r="B9" s="1109">
        <v>0.05</v>
      </c>
      <c r="C9" s="1110">
        <v>1780226.01</v>
      </c>
      <c r="D9" s="1111">
        <v>0</v>
      </c>
      <c r="E9" s="1110"/>
      <c r="F9" s="1112">
        <v>0</v>
      </c>
      <c r="G9" s="1113">
        <v>0</v>
      </c>
      <c r="H9" s="1112"/>
      <c r="I9" s="1112">
        <v>0</v>
      </c>
      <c r="J9" s="1114">
        <f>+C9+D9+E9-F9+G9-H9-I9</f>
        <v>1780226.01</v>
      </c>
      <c r="K9" s="1115">
        <f>ROUND(((C9+D9-F9-H9)*B9+E9*(B9/2))*$N$2/12,2)</f>
        <v>89011.3</v>
      </c>
      <c r="L9" s="1114">
        <f>+J9-K9</f>
        <v>1691214.71</v>
      </c>
      <c r="N9" s="1116"/>
      <c r="O9" s="1085">
        <v>1873922.12</v>
      </c>
      <c r="P9" s="1117">
        <f>O9-C9</f>
        <v>93696.110000000102</v>
      </c>
      <c r="Q9" s="1118"/>
      <c r="R9" s="1117"/>
      <c r="S9" s="1118"/>
      <c r="U9" s="1118"/>
      <c r="V9" s="1118"/>
    </row>
    <row r="10" spans="1:22">
      <c r="A10" s="1108" t="s">
        <v>303</v>
      </c>
      <c r="B10" s="1109">
        <v>0.1</v>
      </c>
      <c r="C10" s="1110">
        <v>138807204.54999998</v>
      </c>
      <c r="D10" s="1111">
        <v>0</v>
      </c>
      <c r="E10" s="1110"/>
      <c r="F10" s="1114"/>
      <c r="G10" s="1114">
        <v>0</v>
      </c>
      <c r="H10" s="1114"/>
      <c r="I10" s="1114">
        <v>0</v>
      </c>
      <c r="J10" s="1114">
        <f>+C10+D10+E10-F10+G10-H10-I10</f>
        <v>138807204.54999998</v>
      </c>
      <c r="K10" s="1115">
        <f>ROUND(((C10+D10-F10-H10)*B10+E10*(B10/2))*$N$2/12,2)</f>
        <v>13880720.460000001</v>
      </c>
      <c r="L10" s="1114">
        <f>+J10-K10</f>
        <v>124926484.08999997</v>
      </c>
      <c r="N10" s="1116"/>
      <c r="O10" s="1085">
        <v>154230227.27999997</v>
      </c>
      <c r="P10" s="1117">
        <f t="shared" ref="P10:P50" si="0">O10-C10</f>
        <v>15423022.729999989</v>
      </c>
      <c r="Q10" s="1118"/>
      <c r="R10" s="1117"/>
      <c r="S10" s="1118"/>
      <c r="U10" s="1118"/>
      <c r="V10" s="1118"/>
    </row>
    <row r="11" spans="1:22">
      <c r="A11" s="1108" t="s">
        <v>565</v>
      </c>
      <c r="B11" s="1109">
        <v>0.1</v>
      </c>
      <c r="C11" s="1119">
        <v>12208331.180000002</v>
      </c>
      <c r="D11" s="1120">
        <v>0</v>
      </c>
      <c r="E11" s="1119"/>
      <c r="F11" s="1114"/>
      <c r="G11" s="1114"/>
      <c r="H11" s="1114"/>
      <c r="I11" s="1114"/>
      <c r="J11" s="1114">
        <f>+C11+D11+E11-F11+G11-H11-I11</f>
        <v>12208331.180000002</v>
      </c>
      <c r="K11" s="1115">
        <f>ROUND(((C11+D11-F11-H11)*B11+E11*(B11/2))*$N$2/12,2)</f>
        <v>1220833.1200000001</v>
      </c>
      <c r="L11" s="1114">
        <f>+J11-K11</f>
        <v>10987498.060000002</v>
      </c>
      <c r="N11" s="1116"/>
      <c r="O11" s="1085">
        <v>13564812.420000002</v>
      </c>
      <c r="P11" s="1117">
        <f t="shared" si="0"/>
        <v>1356481.2400000002</v>
      </c>
      <c r="Q11" s="1118"/>
      <c r="R11" s="1117"/>
      <c r="S11" s="1118"/>
      <c r="U11" s="1118"/>
      <c r="V11" s="1118"/>
    </row>
    <row r="12" spans="1:22" ht="15.75" thickBot="1">
      <c r="A12" s="1108"/>
      <c r="B12" s="1109"/>
      <c r="C12" s="1119"/>
      <c r="D12" s="1119"/>
      <c r="E12" s="1119"/>
      <c r="F12" s="1114"/>
      <c r="G12" s="1114"/>
      <c r="H12" s="1114"/>
      <c r="I12" s="1114"/>
      <c r="J12" s="1114"/>
      <c r="K12" s="1119"/>
      <c r="L12" s="1114"/>
      <c r="N12" s="1116"/>
      <c r="P12" s="1117">
        <f t="shared" si="0"/>
        <v>0</v>
      </c>
      <c r="Q12" s="1118"/>
      <c r="R12" s="1117"/>
      <c r="S12" s="1118"/>
      <c r="U12" s="1118"/>
      <c r="V12" s="1118"/>
    </row>
    <row r="13" spans="1:22" ht="16.5" thickBot="1">
      <c r="A13" s="1095" t="s">
        <v>556</v>
      </c>
      <c r="B13" s="1121"/>
      <c r="C13" s="1122">
        <f>SUM(C9:C12)</f>
        <v>152795761.73999998</v>
      </c>
      <c r="D13" s="1123">
        <f>SUM(D9:D12)</f>
        <v>0</v>
      </c>
      <c r="E13" s="1122">
        <f t="shared" ref="E13:L13" si="1">SUM(E9:E12)</f>
        <v>0</v>
      </c>
      <c r="F13" s="1123">
        <f t="shared" si="1"/>
        <v>0</v>
      </c>
      <c r="G13" s="1123">
        <f t="shared" si="1"/>
        <v>0</v>
      </c>
      <c r="H13" s="1123">
        <f t="shared" si="1"/>
        <v>0</v>
      </c>
      <c r="I13" s="1123">
        <f t="shared" si="1"/>
        <v>0</v>
      </c>
      <c r="J13" s="1123">
        <f t="shared" si="1"/>
        <v>152795761.73999998</v>
      </c>
      <c r="K13" s="1123">
        <f t="shared" si="1"/>
        <v>15190564.880000003</v>
      </c>
      <c r="L13" s="1123">
        <f t="shared" si="1"/>
        <v>137605196.85999995</v>
      </c>
      <c r="N13" s="1116"/>
      <c r="O13" s="1124">
        <v>169668961.81999999</v>
      </c>
      <c r="P13" s="1117">
        <f t="shared" si="0"/>
        <v>16873200.080000013</v>
      </c>
      <c r="Q13" s="1118"/>
      <c r="R13" s="1117"/>
      <c r="S13" s="1118"/>
      <c r="U13" s="1118"/>
      <c r="V13" s="1118"/>
    </row>
    <row r="14" spans="1:22">
      <c r="A14" s="1104"/>
      <c r="B14" s="1109"/>
      <c r="C14" s="1125"/>
      <c r="D14" s="1125"/>
      <c r="E14" s="1125"/>
      <c r="F14" s="1114"/>
      <c r="G14" s="1114"/>
      <c r="H14" s="1114"/>
      <c r="I14" s="1114"/>
      <c r="J14" s="1114"/>
      <c r="K14" s="1119"/>
      <c r="L14" s="1114"/>
      <c r="N14" s="1116"/>
      <c r="P14" s="1117">
        <f t="shared" si="0"/>
        <v>0</v>
      </c>
      <c r="Q14" s="1118"/>
      <c r="R14" s="1117"/>
      <c r="S14" s="1118"/>
      <c r="U14" s="1118"/>
      <c r="V14" s="1118"/>
    </row>
    <row r="15" spans="1:22" ht="15.75">
      <c r="A15" s="1107" t="s">
        <v>566</v>
      </c>
      <c r="B15" s="1109"/>
      <c r="C15" s="1119"/>
      <c r="D15" s="1119"/>
      <c r="E15" s="1119"/>
      <c r="F15" s="1114"/>
      <c r="G15" s="1114"/>
      <c r="H15" s="1114"/>
      <c r="I15" s="1114"/>
      <c r="J15" s="1114"/>
      <c r="K15" s="1119"/>
      <c r="L15" s="1114"/>
      <c r="N15" s="1116"/>
      <c r="P15" s="1117">
        <f t="shared" si="0"/>
        <v>0</v>
      </c>
      <c r="Q15" s="1118"/>
      <c r="R15" s="1117"/>
      <c r="S15" s="1118"/>
      <c r="U15" s="1118"/>
      <c r="V15" s="1118"/>
    </row>
    <row r="16" spans="1:22">
      <c r="A16" s="1108" t="s">
        <v>303</v>
      </c>
      <c r="B16" s="1109">
        <v>0.15</v>
      </c>
      <c r="C16" s="1126">
        <v>769638638</v>
      </c>
      <c r="D16" s="1127"/>
      <c r="E16" s="1126">
        <v>194776.5</v>
      </c>
      <c r="F16" s="1128">
        <v>258388</v>
      </c>
      <c r="G16" s="1129">
        <v>0</v>
      </c>
      <c r="H16" s="1130"/>
      <c r="I16" s="1129">
        <v>0</v>
      </c>
      <c r="J16" s="1114">
        <f t="shared" ref="J16:J24" si="2">+C16+D16+E16-F16+G16-H16-I16</f>
        <v>769575026.5</v>
      </c>
      <c r="K16" s="1119">
        <f t="shared" ref="K16:K24" si="3">ROUND(((C16+D16-F16-H16)*B16+E16*(B16/2))*$N$2/12,2)</f>
        <v>115421645.73999999</v>
      </c>
      <c r="L16" s="1129">
        <f t="shared" ref="L16:L24" si="4">+J16-K16</f>
        <v>654153380.75999999</v>
      </c>
      <c r="N16" s="1116"/>
      <c r="O16" s="1131">
        <v>764667046.80999994</v>
      </c>
      <c r="P16" s="1117">
        <f t="shared" si="0"/>
        <v>-4971591.1900000572</v>
      </c>
      <c r="Q16" s="1118"/>
      <c r="R16" s="1117"/>
      <c r="S16" s="1118"/>
      <c r="U16" s="1118"/>
      <c r="V16" s="1118"/>
    </row>
    <row r="17" spans="1:22">
      <c r="A17" s="1108" t="s">
        <v>567</v>
      </c>
      <c r="B17" s="1109">
        <v>0.35</v>
      </c>
      <c r="C17" s="1126"/>
      <c r="D17" s="1127"/>
      <c r="E17" s="1132">
        <v>677300</v>
      </c>
      <c r="F17" s="1129"/>
      <c r="G17" s="1129">
        <v>0</v>
      </c>
      <c r="H17" s="1133">
        <v>0</v>
      </c>
      <c r="I17" s="1129">
        <v>0</v>
      </c>
      <c r="J17" s="1114">
        <f t="shared" si="2"/>
        <v>677300</v>
      </c>
      <c r="K17" s="1119">
        <f t="shared" si="3"/>
        <v>118527.5</v>
      </c>
      <c r="L17" s="1129">
        <f t="shared" si="4"/>
        <v>558772.5</v>
      </c>
      <c r="N17" s="1116"/>
      <c r="P17" s="1117">
        <f t="shared" si="0"/>
        <v>0</v>
      </c>
      <c r="Q17" s="1118"/>
      <c r="R17" s="1117"/>
      <c r="S17" s="1118"/>
      <c r="U17" s="1118"/>
      <c r="V17" s="1118"/>
    </row>
    <row r="18" spans="1:22">
      <c r="A18" s="1108" t="s">
        <v>567</v>
      </c>
      <c r="B18" s="1109">
        <v>0.4</v>
      </c>
      <c r="C18" s="1126">
        <v>6850821.6400000006</v>
      </c>
      <c r="D18" s="1127"/>
      <c r="E18" s="1126"/>
      <c r="F18" s="1128"/>
      <c r="G18" s="1129">
        <v>0</v>
      </c>
      <c r="H18" s="1134">
        <v>0</v>
      </c>
      <c r="I18" s="1129">
        <v>0</v>
      </c>
      <c r="J18" s="1114">
        <f t="shared" si="2"/>
        <v>6850821.6400000006</v>
      </c>
      <c r="K18" s="1115">
        <f>ROUND(((C18+D18-F18-H18)*B18+E18*(B18/2))*$N$2/12,2)</f>
        <v>2740328.66</v>
      </c>
      <c r="L18" s="1129">
        <f t="shared" si="4"/>
        <v>4110492.9800000004</v>
      </c>
      <c r="N18" s="1116"/>
      <c r="O18" s="1135">
        <v>10389049</v>
      </c>
      <c r="P18" s="1117">
        <f t="shared" si="0"/>
        <v>3538227.3599999994</v>
      </c>
      <c r="Q18" s="1118"/>
      <c r="R18" s="1117"/>
      <c r="S18" s="1118"/>
      <c r="U18" s="1118"/>
      <c r="V18" s="1118"/>
    </row>
    <row r="19" spans="1:22">
      <c r="A19" s="1108" t="s">
        <v>303</v>
      </c>
      <c r="B19" s="1109">
        <v>0.4</v>
      </c>
      <c r="C19" s="1126">
        <v>0</v>
      </c>
      <c r="D19" s="1127">
        <v>1370280.5</v>
      </c>
      <c r="E19" s="1126"/>
      <c r="F19" s="1129"/>
      <c r="G19" s="1129">
        <v>0</v>
      </c>
      <c r="H19" s="1129"/>
      <c r="I19" s="1129">
        <v>0</v>
      </c>
      <c r="J19" s="1114">
        <f t="shared" si="2"/>
        <v>1370280.5</v>
      </c>
      <c r="K19" s="1119">
        <f t="shared" si="3"/>
        <v>548112.19999999995</v>
      </c>
      <c r="L19" s="1129">
        <f t="shared" si="4"/>
        <v>822168.3</v>
      </c>
      <c r="N19" s="1116"/>
      <c r="O19" s="1085">
        <v>0</v>
      </c>
      <c r="P19" s="1117">
        <f t="shared" si="0"/>
        <v>0</v>
      </c>
      <c r="Q19" s="1118"/>
      <c r="R19" s="1117"/>
      <c r="S19" s="1118"/>
      <c r="U19" s="1118"/>
      <c r="V19" s="1118"/>
    </row>
    <row r="20" spans="1:22">
      <c r="A20" s="1108" t="s">
        <v>303</v>
      </c>
      <c r="B20" s="1109">
        <f>60%*0+40%</f>
        <v>0.4</v>
      </c>
      <c r="C20" s="1126">
        <v>0</v>
      </c>
      <c r="D20" s="1127"/>
      <c r="E20" s="1126"/>
      <c r="F20" s="1129"/>
      <c r="G20" s="1129">
        <v>0</v>
      </c>
      <c r="H20" s="1129"/>
      <c r="I20" s="1129">
        <v>0</v>
      </c>
      <c r="J20" s="1114">
        <f t="shared" si="2"/>
        <v>0</v>
      </c>
      <c r="K20" s="1119">
        <f t="shared" si="3"/>
        <v>0</v>
      </c>
      <c r="L20" s="1129">
        <f t="shared" si="4"/>
        <v>0</v>
      </c>
      <c r="N20" s="1116"/>
      <c r="O20" s="1085">
        <v>0</v>
      </c>
      <c r="P20" s="1117">
        <f t="shared" si="0"/>
        <v>0</v>
      </c>
      <c r="Q20" s="1118"/>
      <c r="R20" s="1117"/>
      <c r="S20" s="1118"/>
      <c r="U20" s="1118"/>
      <c r="V20" s="1118"/>
    </row>
    <row r="21" spans="1:22">
      <c r="A21" s="1108" t="s">
        <v>567</v>
      </c>
      <c r="B21" s="1109">
        <v>0.8</v>
      </c>
      <c r="C21" s="1136">
        <v>0</v>
      </c>
      <c r="D21" s="1127"/>
      <c r="E21" s="1126"/>
      <c r="F21" s="1129"/>
      <c r="G21" s="1129"/>
      <c r="H21" s="1129">
        <v>0</v>
      </c>
      <c r="I21" s="1129"/>
      <c r="J21" s="1114">
        <f t="shared" si="2"/>
        <v>0</v>
      </c>
      <c r="K21" s="1119">
        <f t="shared" si="3"/>
        <v>0</v>
      </c>
      <c r="L21" s="1129">
        <f t="shared" si="4"/>
        <v>0</v>
      </c>
      <c r="N21" s="1116"/>
      <c r="O21" s="1085">
        <v>0</v>
      </c>
      <c r="P21" s="1117">
        <f t="shared" si="0"/>
        <v>0</v>
      </c>
      <c r="Q21" s="1118"/>
      <c r="R21" s="1117"/>
      <c r="S21" s="1118"/>
      <c r="U21" s="1118"/>
      <c r="V21" s="1118"/>
    </row>
    <row r="22" spans="1:22">
      <c r="A22" s="1108" t="s">
        <v>565</v>
      </c>
      <c r="B22" s="1137">
        <v>0.15</v>
      </c>
      <c r="C22" s="1126">
        <v>19266884.670000002</v>
      </c>
      <c r="D22" s="1127"/>
      <c r="E22" s="1126"/>
      <c r="F22" s="1129"/>
      <c r="G22" s="1129">
        <v>0</v>
      </c>
      <c r="H22" s="1129">
        <v>0</v>
      </c>
      <c r="I22" s="1129">
        <v>0</v>
      </c>
      <c r="J22" s="1114">
        <f t="shared" si="2"/>
        <v>19266884.670000002</v>
      </c>
      <c r="K22" s="1119">
        <f t="shared" si="3"/>
        <v>2890032.7</v>
      </c>
      <c r="L22" s="1129">
        <f t="shared" si="4"/>
        <v>16376851.970000003</v>
      </c>
      <c r="N22" s="1116"/>
      <c r="O22" s="1138">
        <v>22666923.140000001</v>
      </c>
      <c r="P22" s="1117">
        <f t="shared" si="0"/>
        <v>3400038.4699999988</v>
      </c>
      <c r="Q22" s="1118"/>
      <c r="R22" s="1117"/>
      <c r="S22" s="1118"/>
      <c r="U22" s="1118"/>
      <c r="V22" s="1118"/>
    </row>
    <row r="23" spans="1:22">
      <c r="A23" s="1108" t="s">
        <v>568</v>
      </c>
      <c r="B23" s="1137">
        <v>0.35</v>
      </c>
      <c r="C23" s="1126">
        <v>0</v>
      </c>
      <c r="D23" s="1127"/>
      <c r="E23" s="1126"/>
      <c r="F23" s="1129"/>
      <c r="G23" s="1129"/>
      <c r="H23" s="1129"/>
      <c r="I23" s="1129"/>
      <c r="J23" s="1114">
        <f t="shared" si="2"/>
        <v>0</v>
      </c>
      <c r="K23" s="1119">
        <f t="shared" si="3"/>
        <v>0</v>
      </c>
      <c r="L23" s="1129">
        <f>+J23-K23</f>
        <v>0</v>
      </c>
      <c r="N23" s="1116"/>
      <c r="O23" s="1138">
        <v>0</v>
      </c>
      <c r="P23" s="1117">
        <f t="shared" si="0"/>
        <v>0</v>
      </c>
      <c r="Q23" s="1118"/>
      <c r="R23" s="1117"/>
      <c r="S23" s="1118"/>
      <c r="U23" s="1118"/>
      <c r="V23" s="1118"/>
    </row>
    <row r="24" spans="1:22" ht="15.75" thickBot="1">
      <c r="A24" s="1108" t="s">
        <v>565</v>
      </c>
      <c r="B24" s="1109">
        <f>60%*0+40%</f>
        <v>0.4</v>
      </c>
      <c r="C24" s="1126">
        <v>35.64</v>
      </c>
      <c r="D24" s="1127">
        <v>0</v>
      </c>
      <c r="E24" s="1126">
        <v>0</v>
      </c>
      <c r="F24" s="1129"/>
      <c r="G24" s="1129"/>
      <c r="H24" s="1129"/>
      <c r="I24" s="1129"/>
      <c r="J24" s="1114">
        <f t="shared" si="2"/>
        <v>35.64</v>
      </c>
      <c r="K24" s="1119">
        <f t="shared" si="3"/>
        <v>14.26</v>
      </c>
      <c r="L24" s="1129">
        <f t="shared" si="4"/>
        <v>21.380000000000003</v>
      </c>
      <c r="N24" s="1116"/>
      <c r="O24" s="1138">
        <v>59.4</v>
      </c>
      <c r="P24" s="1117">
        <f t="shared" si="0"/>
        <v>23.759999999999998</v>
      </c>
      <c r="Q24" s="1118"/>
      <c r="R24" s="1117"/>
      <c r="S24" s="1118"/>
      <c r="U24" s="1118"/>
      <c r="V24" s="1118"/>
    </row>
    <row r="25" spans="1:22" ht="16.5" thickBot="1">
      <c r="A25" s="1095" t="s">
        <v>556</v>
      </c>
      <c r="B25" s="1121"/>
      <c r="C25" s="1139">
        <f>SUM(C16:C24)</f>
        <v>795756379.94999993</v>
      </c>
      <c r="D25" s="1140">
        <f t="shared" ref="D25:L25" si="5">SUM(D16:D24)</f>
        <v>1370280.5</v>
      </c>
      <c r="E25" s="1139">
        <f t="shared" si="5"/>
        <v>872076.5</v>
      </c>
      <c r="F25" s="1140">
        <f t="shared" si="5"/>
        <v>258388</v>
      </c>
      <c r="G25" s="1140">
        <f t="shared" si="5"/>
        <v>0</v>
      </c>
      <c r="H25" s="1140">
        <f t="shared" si="5"/>
        <v>0</v>
      </c>
      <c r="I25" s="1140">
        <f t="shared" si="5"/>
        <v>0</v>
      </c>
      <c r="J25" s="1140">
        <f t="shared" si="5"/>
        <v>797740348.94999993</v>
      </c>
      <c r="K25" s="1140">
        <f t="shared" si="5"/>
        <v>121718661.06</v>
      </c>
      <c r="L25" s="1140">
        <f t="shared" si="5"/>
        <v>676021687.88999999</v>
      </c>
      <c r="N25" s="1116"/>
      <c r="O25" s="1124">
        <v>797723078.3499999</v>
      </c>
      <c r="P25" s="1117">
        <f t="shared" si="0"/>
        <v>1966698.3999999762</v>
      </c>
      <c r="Q25" s="1118"/>
      <c r="R25" s="1117"/>
      <c r="S25" s="1118"/>
      <c r="U25" s="1118"/>
      <c r="V25" s="1118"/>
    </row>
    <row r="26" spans="1:22">
      <c r="A26" s="1104"/>
      <c r="B26" s="1109"/>
      <c r="C26" s="1119"/>
      <c r="D26" s="1119"/>
      <c r="E26" s="1119"/>
      <c r="F26" s="1114"/>
      <c r="G26" s="1114"/>
      <c r="H26" s="1114"/>
      <c r="I26" s="1114"/>
      <c r="J26" s="1114"/>
      <c r="K26" s="1119"/>
      <c r="L26" s="1114"/>
      <c r="N26" s="1116"/>
      <c r="O26" s="1124"/>
      <c r="P26" s="1117">
        <f t="shared" si="0"/>
        <v>0</v>
      </c>
      <c r="Q26" s="1118"/>
      <c r="R26" s="1117"/>
      <c r="S26" s="1118"/>
      <c r="U26" s="1118"/>
      <c r="V26" s="1118"/>
    </row>
    <row r="27" spans="1:22" ht="15.75">
      <c r="A27" s="1107" t="s">
        <v>569</v>
      </c>
      <c r="B27" s="1109"/>
      <c r="C27" s="1119"/>
      <c r="D27" s="1119"/>
      <c r="E27" s="1119"/>
      <c r="F27" s="1114"/>
      <c r="G27" s="1114"/>
      <c r="H27" s="1114"/>
      <c r="I27" s="1114"/>
      <c r="J27" s="1114"/>
      <c r="K27" s="1119"/>
      <c r="L27" s="1114"/>
      <c r="N27" s="1116"/>
      <c r="P27" s="1117">
        <f t="shared" si="0"/>
        <v>0</v>
      </c>
      <c r="Q27" s="1118"/>
      <c r="R27" s="1117"/>
      <c r="S27" s="1118"/>
      <c r="U27" s="1118"/>
      <c r="V27" s="1118"/>
    </row>
    <row r="28" spans="1:22">
      <c r="A28" s="1108" t="s">
        <v>303</v>
      </c>
      <c r="B28" s="1109">
        <v>0.1</v>
      </c>
      <c r="C28" s="1110">
        <v>40232932.939999998</v>
      </c>
      <c r="D28" s="1141"/>
      <c r="E28" s="1110"/>
      <c r="F28" s="1114">
        <v>83059.28</v>
      </c>
      <c r="G28" s="1114"/>
      <c r="H28" s="1114"/>
      <c r="I28" s="1114">
        <v>0</v>
      </c>
      <c r="J28" s="1114">
        <f>+C28+D28+E28-F28+G28-H28-I28</f>
        <v>40149873.659999996</v>
      </c>
      <c r="K28" s="1119">
        <f>ROUND(((C28+D28-F28-H28)*B28+E28*(B28/2))*$N$2/12,2)</f>
        <v>4014987.37</v>
      </c>
      <c r="L28" s="1114">
        <f>+J28-K28</f>
        <v>36134886.289999999</v>
      </c>
      <c r="N28" s="1116"/>
      <c r="O28" s="1085">
        <v>44473742.740000002</v>
      </c>
      <c r="P28" s="1117">
        <f t="shared" si="0"/>
        <v>4240809.8000000045</v>
      </c>
      <c r="Q28" s="1118"/>
      <c r="R28" s="1117"/>
      <c r="S28" s="1118"/>
      <c r="U28" s="1118"/>
      <c r="V28" s="1118"/>
    </row>
    <row r="29" spans="1:22">
      <c r="A29" s="1108" t="s">
        <v>629</v>
      </c>
      <c r="B29" s="1109">
        <v>0.1</v>
      </c>
      <c r="C29" s="1110"/>
      <c r="D29" s="1142">
        <v>860518.40000000002</v>
      </c>
      <c r="E29" s="1110">
        <v>1193738</v>
      </c>
      <c r="F29" s="1114"/>
      <c r="G29" s="1114"/>
      <c r="H29" s="1114"/>
      <c r="I29" s="1114"/>
      <c r="J29" s="1114">
        <f>+C29+D29+E29-F29+G29-H29-I29</f>
        <v>2054256.4</v>
      </c>
      <c r="K29" s="1119">
        <f>ROUND(((C29+D29-F29-H29)*B29+E29*(B29/2))*$N$2/12,2)</f>
        <v>145738.74</v>
      </c>
      <c r="L29" s="1114">
        <f>+J29-K29</f>
        <v>1908517.66</v>
      </c>
      <c r="N29" s="1116"/>
      <c r="O29" s="1085">
        <v>101927.7</v>
      </c>
      <c r="P29" s="1117">
        <f t="shared" si="0"/>
        <v>101927.7</v>
      </c>
      <c r="Q29" s="1118"/>
      <c r="R29" s="1117"/>
      <c r="S29" s="1118"/>
      <c r="U29" s="1118"/>
      <c r="V29" s="1118"/>
    </row>
    <row r="30" spans="1:22">
      <c r="A30" s="1108" t="s">
        <v>565</v>
      </c>
      <c r="B30" s="1109">
        <v>0.1</v>
      </c>
      <c r="C30" s="1110">
        <v>91734.93</v>
      </c>
      <c r="D30" s="1142">
        <v>0</v>
      </c>
      <c r="E30" s="1110">
        <v>0</v>
      </c>
      <c r="F30" s="1114"/>
      <c r="G30" s="1114"/>
      <c r="H30" s="1114"/>
      <c r="I30" s="1114"/>
      <c r="J30" s="1114">
        <f>+C30+D30+E30-F30+G30-H30-I30</f>
        <v>91734.93</v>
      </c>
      <c r="K30" s="1119">
        <f>ROUND(((C30+D30-F30-H30)*B30+E30*(B30/2))*$N$2/12,2)</f>
        <v>9173.49</v>
      </c>
      <c r="L30" s="1114">
        <f>+J30-K30</f>
        <v>82561.439999999988</v>
      </c>
      <c r="N30" s="1116"/>
      <c r="O30" s="1085">
        <v>101927.7</v>
      </c>
      <c r="P30" s="1117">
        <f t="shared" si="0"/>
        <v>10192.770000000004</v>
      </c>
      <c r="Q30" s="1118"/>
      <c r="R30" s="1117"/>
      <c r="S30" s="1118"/>
      <c r="U30" s="1118"/>
      <c r="V30" s="1118"/>
    </row>
    <row r="31" spans="1:22" ht="15.75" thickBot="1">
      <c r="A31" s="1108"/>
      <c r="B31" s="1109"/>
      <c r="C31" s="1143"/>
      <c r="D31" s="1144"/>
      <c r="E31" s="1143"/>
      <c r="F31" s="1114"/>
      <c r="G31" s="1114"/>
      <c r="H31" s="1114"/>
      <c r="I31" s="1114"/>
      <c r="J31" s="1114"/>
      <c r="K31" s="1119"/>
      <c r="L31" s="1114"/>
      <c r="N31" s="1116"/>
      <c r="P31" s="1117">
        <f t="shared" si="0"/>
        <v>0</v>
      </c>
      <c r="Q31" s="1118"/>
      <c r="R31" s="1117"/>
      <c r="S31" s="1118"/>
      <c r="U31" s="1118"/>
      <c r="V31" s="1118"/>
    </row>
    <row r="32" spans="1:22" ht="16.5" thickBot="1">
      <c r="A32" s="1095" t="s">
        <v>556</v>
      </c>
      <c r="B32" s="1121"/>
      <c r="C32" s="1122">
        <f>SUM(C28:C31)</f>
        <v>40324667.869999997</v>
      </c>
      <c r="D32" s="1123">
        <f t="shared" ref="D32:L32" si="6">SUM(D28:D31)</f>
        <v>860518.40000000002</v>
      </c>
      <c r="E32" s="1122">
        <f t="shared" si="6"/>
        <v>1193738</v>
      </c>
      <c r="F32" s="1123">
        <f t="shared" si="6"/>
        <v>83059.28</v>
      </c>
      <c r="G32" s="1123">
        <f t="shared" si="6"/>
        <v>0</v>
      </c>
      <c r="H32" s="1123">
        <f t="shared" si="6"/>
        <v>0</v>
      </c>
      <c r="I32" s="1123">
        <f t="shared" si="6"/>
        <v>0</v>
      </c>
      <c r="J32" s="1123">
        <f t="shared" si="6"/>
        <v>42295864.989999995</v>
      </c>
      <c r="K32" s="1123">
        <f t="shared" si="6"/>
        <v>4169899.6000000006</v>
      </c>
      <c r="L32" s="1123">
        <f t="shared" si="6"/>
        <v>38125965.389999993</v>
      </c>
      <c r="N32" s="1116"/>
      <c r="O32" s="1124">
        <v>44575670.440000005</v>
      </c>
      <c r="P32" s="1117">
        <f t="shared" si="0"/>
        <v>4251002.5700000077</v>
      </c>
      <c r="Q32" s="1118"/>
      <c r="R32" s="1117"/>
      <c r="S32" s="1118"/>
      <c r="U32" s="1118"/>
      <c r="V32" s="1118"/>
    </row>
    <row r="33" spans="1:22">
      <c r="A33" s="1104"/>
      <c r="B33" s="1109"/>
      <c r="C33" s="1119"/>
      <c r="D33" s="1119"/>
      <c r="E33" s="1119"/>
      <c r="F33" s="1114"/>
      <c r="G33" s="1114"/>
      <c r="H33" s="1114"/>
      <c r="I33" s="1114"/>
      <c r="J33" s="1114"/>
      <c r="K33" s="1119"/>
      <c r="L33" s="1114"/>
      <c r="N33" s="1116"/>
      <c r="P33" s="1117">
        <f t="shared" si="0"/>
        <v>0</v>
      </c>
      <c r="Q33" s="1118"/>
      <c r="R33" s="1117"/>
      <c r="S33" s="1118"/>
      <c r="U33" s="1118"/>
      <c r="V33" s="1118"/>
    </row>
    <row r="34" spans="1:22" ht="15.75">
      <c r="A34" s="1107" t="s">
        <v>570</v>
      </c>
      <c r="B34" s="1109"/>
      <c r="C34" s="1119"/>
      <c r="D34" s="1119"/>
      <c r="E34" s="1119"/>
      <c r="F34" s="1114"/>
      <c r="G34" s="1114"/>
      <c r="H34" s="1114"/>
      <c r="I34" s="1114"/>
      <c r="J34" s="1114"/>
      <c r="K34" s="1119"/>
      <c r="L34" s="1114"/>
      <c r="N34" s="1116"/>
      <c r="P34" s="1117">
        <f t="shared" si="0"/>
        <v>0</v>
      </c>
      <c r="Q34" s="1118"/>
      <c r="R34" s="1117"/>
      <c r="S34" s="1118"/>
      <c r="U34" s="1118"/>
      <c r="V34" s="1118"/>
    </row>
    <row r="35" spans="1:22">
      <c r="A35" s="1108" t="s">
        <v>303</v>
      </c>
      <c r="B35" s="1109">
        <v>0.15</v>
      </c>
      <c r="C35" s="1110">
        <v>7358771.2300000004</v>
      </c>
      <c r="D35" s="1145"/>
      <c r="E35" s="1110"/>
      <c r="F35" s="1146"/>
      <c r="G35" s="1114">
        <v>0</v>
      </c>
      <c r="H35" s="1114"/>
      <c r="I35" s="1114">
        <v>0</v>
      </c>
      <c r="J35" s="1114">
        <f>+C35+D35+E35-F35+G35-H35-I35</f>
        <v>7358771.2300000004</v>
      </c>
      <c r="K35" s="1119">
        <f>ROUND(((C35+D35-F35-H35)*B35+E35*(B35/2))*$N$2/12,2)</f>
        <v>1103815.6799999999</v>
      </c>
      <c r="L35" s="1114">
        <f>+J35-K35</f>
        <v>6254955.5500000007</v>
      </c>
      <c r="N35" s="1116"/>
      <c r="O35" s="1085">
        <v>8692116.2699999996</v>
      </c>
      <c r="P35" s="1117">
        <f t="shared" si="0"/>
        <v>1333345.0399999991</v>
      </c>
      <c r="Q35" s="1118"/>
      <c r="R35" s="1117"/>
      <c r="S35" s="1118"/>
      <c r="U35" s="1118"/>
      <c r="V35" s="1118"/>
    </row>
    <row r="36" spans="1:22">
      <c r="A36" s="1108"/>
      <c r="B36" s="1109"/>
      <c r="C36" s="1119"/>
      <c r="D36" s="1144"/>
      <c r="E36" s="1119"/>
      <c r="F36" s="1114"/>
      <c r="G36" s="1114"/>
      <c r="H36" s="1114"/>
      <c r="I36" s="1114"/>
      <c r="J36" s="1114"/>
      <c r="K36" s="1119"/>
      <c r="L36" s="1114"/>
      <c r="N36" s="1116"/>
      <c r="P36" s="1117">
        <f t="shared" si="0"/>
        <v>0</v>
      </c>
      <c r="Q36" s="1118"/>
      <c r="R36" s="1117"/>
      <c r="S36" s="1118"/>
      <c r="U36" s="1118"/>
      <c r="V36" s="1118"/>
    </row>
    <row r="37" spans="1:22" ht="15.75" thickBot="1">
      <c r="A37" s="1108"/>
      <c r="B37" s="1109"/>
      <c r="C37" s="1119"/>
      <c r="D37" s="1144"/>
      <c r="E37" s="1119"/>
      <c r="F37" s="1114"/>
      <c r="G37" s="1114"/>
      <c r="H37" s="1114"/>
      <c r="I37" s="1114"/>
      <c r="J37" s="1114"/>
      <c r="K37" s="1119"/>
      <c r="L37" s="1114"/>
      <c r="N37" s="1116"/>
      <c r="P37" s="1117">
        <f t="shared" si="0"/>
        <v>0</v>
      </c>
      <c r="Q37" s="1118"/>
      <c r="R37" s="1117"/>
      <c r="S37" s="1118"/>
      <c r="U37" s="1118"/>
      <c r="V37" s="1118"/>
    </row>
    <row r="38" spans="1:22" ht="16.5" thickBot="1">
      <c r="A38" s="1095" t="s">
        <v>556</v>
      </c>
      <c r="B38" s="1121"/>
      <c r="C38" s="1122">
        <f>SUM(C35:C37)</f>
        <v>7358771.2300000004</v>
      </c>
      <c r="D38" s="1123">
        <f t="shared" ref="D38:L38" si="7">SUM(D35:D37)</f>
        <v>0</v>
      </c>
      <c r="E38" s="1122">
        <f t="shared" si="7"/>
        <v>0</v>
      </c>
      <c r="F38" s="1123">
        <f t="shared" si="7"/>
        <v>0</v>
      </c>
      <c r="G38" s="1123">
        <f t="shared" si="7"/>
        <v>0</v>
      </c>
      <c r="H38" s="1123">
        <f t="shared" si="7"/>
        <v>0</v>
      </c>
      <c r="I38" s="1123">
        <f t="shared" si="7"/>
        <v>0</v>
      </c>
      <c r="J38" s="1123">
        <f t="shared" si="7"/>
        <v>7358771.2300000004</v>
      </c>
      <c r="K38" s="1123">
        <f t="shared" si="7"/>
        <v>1103815.6799999999</v>
      </c>
      <c r="L38" s="1123">
        <f t="shared" si="7"/>
        <v>6254955.5500000007</v>
      </c>
      <c r="N38" s="1116"/>
      <c r="O38" s="1124">
        <v>8692116.2699999996</v>
      </c>
      <c r="P38" s="1117">
        <f t="shared" si="0"/>
        <v>1333345.0399999991</v>
      </c>
      <c r="Q38" s="1118"/>
      <c r="R38" s="1117"/>
      <c r="S38" s="1118"/>
      <c r="U38" s="1118"/>
      <c r="V38" s="1118"/>
    </row>
    <row r="39" spans="1:22">
      <c r="A39" s="1104"/>
      <c r="B39" s="1109"/>
      <c r="C39" s="1119"/>
      <c r="D39" s="1119"/>
      <c r="E39" s="1119"/>
      <c r="F39" s="1114"/>
      <c r="G39" s="1114"/>
      <c r="H39" s="1114"/>
      <c r="I39" s="1114"/>
      <c r="J39" s="1114"/>
      <c r="K39" s="1119"/>
      <c r="L39" s="1114"/>
      <c r="N39" s="1116"/>
      <c r="P39" s="1117">
        <f t="shared" si="0"/>
        <v>0</v>
      </c>
      <c r="Q39" s="1118"/>
      <c r="R39" s="1117"/>
      <c r="S39" s="1118"/>
      <c r="U39" s="1118"/>
      <c r="V39" s="1118"/>
    </row>
    <row r="40" spans="1:22" ht="15.75">
      <c r="A40" s="1147" t="s">
        <v>571</v>
      </c>
      <c r="B40" s="1109"/>
      <c r="C40" s="1119"/>
      <c r="D40" s="1119"/>
      <c r="E40" s="1119"/>
      <c r="F40" s="1114"/>
      <c r="G40" s="1114"/>
      <c r="H40" s="1114"/>
      <c r="I40" s="1114"/>
      <c r="J40" s="1114"/>
      <c r="K40" s="1119"/>
      <c r="L40" s="1114"/>
      <c r="N40" s="1116"/>
      <c r="P40" s="1117">
        <f t="shared" si="0"/>
        <v>0</v>
      </c>
      <c r="Q40" s="1118"/>
      <c r="R40" s="1117"/>
      <c r="S40" s="1118"/>
      <c r="U40" s="1118"/>
      <c r="V40" s="1118"/>
    </row>
    <row r="41" spans="1:22">
      <c r="A41" s="1108" t="s">
        <v>303</v>
      </c>
      <c r="B41" s="1109">
        <v>0.15</v>
      </c>
      <c r="C41" s="1110">
        <v>1073790.8700000001</v>
      </c>
      <c r="D41" s="1148"/>
      <c r="E41" s="1110">
        <v>0</v>
      </c>
      <c r="F41" s="1114"/>
      <c r="G41" s="1114">
        <v>0</v>
      </c>
      <c r="H41" s="1114"/>
      <c r="I41" s="1114">
        <v>0</v>
      </c>
      <c r="J41" s="1114">
        <f>+C41+D41+E41-F41+G41-H41-I41</f>
        <v>1073790.8700000001</v>
      </c>
      <c r="K41" s="1119">
        <f>ROUND(((C41+D41-F41-H41)*B41+E41*(B41/2))*$N$2/12,2)</f>
        <v>161068.63</v>
      </c>
      <c r="L41" s="1114">
        <f>+J41-K41</f>
        <v>912722.24000000011</v>
      </c>
      <c r="N41" s="1116"/>
      <c r="O41" s="1085">
        <v>1323452.3800000001</v>
      </c>
      <c r="P41" s="1117">
        <f t="shared" si="0"/>
        <v>249661.51</v>
      </c>
      <c r="Q41" s="1118"/>
      <c r="R41" s="1117"/>
      <c r="S41" s="1118"/>
      <c r="U41" s="1118"/>
      <c r="V41" s="1118"/>
    </row>
    <row r="42" spans="1:22">
      <c r="A42" s="1108"/>
      <c r="B42" s="1109"/>
      <c r="C42" s="1119"/>
      <c r="D42" s="1149"/>
      <c r="E42" s="1119"/>
      <c r="F42" s="1114"/>
      <c r="G42" s="1114"/>
      <c r="H42" s="1114"/>
      <c r="I42" s="1114"/>
      <c r="J42" s="1114"/>
      <c r="K42" s="1119"/>
      <c r="L42" s="1114"/>
      <c r="N42" s="1116"/>
      <c r="P42" s="1117">
        <f t="shared" si="0"/>
        <v>0</v>
      </c>
      <c r="Q42" s="1118"/>
      <c r="R42" s="1117"/>
      <c r="S42" s="1118"/>
      <c r="U42" s="1118"/>
      <c r="V42" s="1118"/>
    </row>
    <row r="43" spans="1:22" ht="15.75" thickBot="1">
      <c r="A43" s="1108"/>
      <c r="B43" s="1109"/>
      <c r="C43" s="1119"/>
      <c r="D43" s="1149"/>
      <c r="E43" s="1119"/>
      <c r="F43" s="1114"/>
      <c r="G43" s="1114"/>
      <c r="H43" s="1114"/>
      <c r="I43" s="1114"/>
      <c r="J43" s="1114"/>
      <c r="K43" s="1119"/>
      <c r="L43" s="1114"/>
      <c r="N43" s="1116"/>
      <c r="P43" s="1117">
        <f t="shared" si="0"/>
        <v>0</v>
      </c>
      <c r="Q43" s="1118"/>
      <c r="R43" s="1117"/>
      <c r="S43" s="1118"/>
      <c r="U43" s="1118"/>
      <c r="V43" s="1118"/>
    </row>
    <row r="44" spans="1:22" ht="16.5" thickBot="1">
      <c r="A44" s="1095" t="s">
        <v>556</v>
      </c>
      <c r="B44" s="1121"/>
      <c r="C44" s="1122">
        <f>SUM(C40:C43)</f>
        <v>1073790.8700000001</v>
      </c>
      <c r="D44" s="1123">
        <f t="shared" ref="D44:L44" si="8">SUM(D40:D43)</f>
        <v>0</v>
      </c>
      <c r="E44" s="1122">
        <f t="shared" si="8"/>
        <v>0</v>
      </c>
      <c r="F44" s="1123">
        <f t="shared" si="8"/>
        <v>0</v>
      </c>
      <c r="G44" s="1123">
        <f t="shared" si="8"/>
        <v>0</v>
      </c>
      <c r="H44" s="1123">
        <f t="shared" si="8"/>
        <v>0</v>
      </c>
      <c r="I44" s="1123">
        <f t="shared" si="8"/>
        <v>0</v>
      </c>
      <c r="J44" s="1123">
        <f t="shared" si="8"/>
        <v>1073790.8700000001</v>
      </c>
      <c r="K44" s="1123">
        <f t="shared" si="8"/>
        <v>161068.63</v>
      </c>
      <c r="L44" s="1123">
        <f t="shared" si="8"/>
        <v>912722.24000000011</v>
      </c>
      <c r="N44" s="1116"/>
      <c r="O44" s="1124">
        <v>1323452.3800000001</v>
      </c>
      <c r="P44" s="1117">
        <f t="shared" si="0"/>
        <v>249661.51</v>
      </c>
      <c r="Q44" s="1118"/>
      <c r="R44" s="1117"/>
      <c r="S44" s="1118"/>
      <c r="U44" s="1118"/>
      <c r="V44" s="1118"/>
    </row>
    <row r="45" spans="1:22" ht="15.75">
      <c r="A45" s="1147" t="s">
        <v>188</v>
      </c>
      <c r="B45" s="1150"/>
      <c r="C45" s="1151"/>
      <c r="D45" s="1152"/>
      <c r="E45" s="1151"/>
      <c r="F45" s="1152"/>
      <c r="G45" s="1152"/>
      <c r="H45" s="1152"/>
      <c r="I45" s="1152"/>
      <c r="J45" s="1152"/>
      <c r="K45" s="1152"/>
      <c r="L45" s="1152"/>
      <c r="N45" s="1116"/>
      <c r="P45" s="1117">
        <f t="shared" si="0"/>
        <v>0</v>
      </c>
      <c r="Q45" s="1118"/>
      <c r="R45" s="1117"/>
      <c r="S45" s="1118"/>
      <c r="U45" s="1118"/>
      <c r="V45" s="1118"/>
    </row>
    <row r="46" spans="1:22" ht="15.75">
      <c r="A46" s="1108" t="s">
        <v>360</v>
      </c>
      <c r="B46" s="1109">
        <f>25%</f>
        <v>0.25</v>
      </c>
      <c r="C46" s="1110">
        <v>0</v>
      </c>
      <c r="D46" s="1114"/>
      <c r="E46" s="1110">
        <v>0</v>
      </c>
      <c r="F46" s="1110"/>
      <c r="G46" s="1153"/>
      <c r="H46" s="1110">
        <v>0</v>
      </c>
      <c r="I46" s="1153"/>
      <c r="J46" s="1114">
        <f>+C46+D46+E46-F46+G46-H46-I46</f>
        <v>0</v>
      </c>
      <c r="K46" s="1119">
        <f>ROUND(((C46+D46-F46-H46)*B46+E46*(B46/2))*$N$2/12,2)</f>
        <v>0</v>
      </c>
      <c r="L46" s="1114">
        <f>+J46-K46</f>
        <v>0</v>
      </c>
      <c r="N46" s="1116"/>
      <c r="O46" s="1085">
        <v>0</v>
      </c>
      <c r="P46" s="1117">
        <f t="shared" si="0"/>
        <v>0</v>
      </c>
      <c r="Q46" s="1118"/>
      <c r="R46" s="1117"/>
      <c r="S46" s="1118"/>
      <c r="U46" s="1118"/>
      <c r="V46" s="1118"/>
    </row>
    <row r="47" spans="1:22" ht="15.75">
      <c r="A47" s="1108"/>
      <c r="B47" s="1109"/>
      <c r="C47" s="1154"/>
      <c r="D47" s="1153"/>
      <c r="E47" s="1154"/>
      <c r="F47" s="1153"/>
      <c r="G47" s="1153"/>
      <c r="H47" s="1153"/>
      <c r="I47" s="1153"/>
      <c r="J47" s="1153"/>
      <c r="K47" s="1153"/>
      <c r="L47" s="1153"/>
      <c r="N47" s="1116"/>
      <c r="P47" s="1117">
        <f t="shared" si="0"/>
        <v>0</v>
      </c>
      <c r="Q47" s="1118"/>
      <c r="R47" s="1117"/>
      <c r="S47" s="1118"/>
      <c r="U47" s="1118"/>
      <c r="V47" s="1118"/>
    </row>
    <row r="48" spans="1:22" ht="16.5" thickBot="1">
      <c r="A48" s="1095"/>
      <c r="B48" s="1155"/>
      <c r="C48" s="1156"/>
      <c r="D48" s="1157"/>
      <c r="E48" s="1156"/>
      <c r="F48" s="1157"/>
      <c r="G48" s="1157"/>
      <c r="H48" s="1157"/>
      <c r="I48" s="1157"/>
      <c r="J48" s="1157"/>
      <c r="K48" s="1157"/>
      <c r="L48" s="1157"/>
      <c r="N48" s="1116"/>
      <c r="P48" s="1117">
        <f t="shared" si="0"/>
        <v>0</v>
      </c>
      <c r="Q48" s="1118"/>
      <c r="R48" s="1117"/>
      <c r="S48" s="1118"/>
      <c r="U48" s="1118"/>
      <c r="V48" s="1118"/>
    </row>
    <row r="49" spans="1:22" ht="16.5" thickBot="1">
      <c r="A49" s="1095"/>
      <c r="B49" s="1121"/>
      <c r="C49" s="1122">
        <f t="shared" ref="C49:J49" si="9">SUM(C46:C48)</f>
        <v>0</v>
      </c>
      <c r="D49" s="1122">
        <f t="shared" si="9"/>
        <v>0</v>
      </c>
      <c r="E49" s="1122">
        <f t="shared" si="9"/>
        <v>0</v>
      </c>
      <c r="F49" s="1122">
        <f t="shared" si="9"/>
        <v>0</v>
      </c>
      <c r="G49" s="1122">
        <f t="shared" si="9"/>
        <v>0</v>
      </c>
      <c r="H49" s="1122">
        <f t="shared" si="9"/>
        <v>0</v>
      </c>
      <c r="I49" s="1122">
        <f t="shared" si="9"/>
        <v>0</v>
      </c>
      <c r="J49" s="1122">
        <f t="shared" si="9"/>
        <v>0</v>
      </c>
      <c r="K49" s="1123">
        <f>K46</f>
        <v>0</v>
      </c>
      <c r="L49" s="1123">
        <f>L46</f>
        <v>0</v>
      </c>
      <c r="N49" s="1116"/>
      <c r="O49" s="1085">
        <v>0</v>
      </c>
      <c r="P49" s="1117">
        <f t="shared" si="0"/>
        <v>0</v>
      </c>
      <c r="Q49" s="1118"/>
      <c r="R49" s="1117"/>
      <c r="S49" s="1118"/>
      <c r="U49" s="1118"/>
      <c r="V49" s="1118"/>
    </row>
    <row r="50" spans="1:22" ht="16.5" thickBot="1">
      <c r="A50" s="1158" t="s">
        <v>572</v>
      </c>
      <c r="B50" s="1159"/>
      <c r="C50" s="1160">
        <f>+C44+C38+C32+C25+C13+C46</f>
        <v>997309371.65999997</v>
      </c>
      <c r="D50" s="1160">
        <f>D13+D25+D32+D38+D44+D49</f>
        <v>2230798.9</v>
      </c>
      <c r="E50" s="1160">
        <f>E13+E25+E32+E38+E44+E49</f>
        <v>2065814.5</v>
      </c>
      <c r="F50" s="1160">
        <f>+F44+F38+F32+F25+F13+F46</f>
        <v>341447.28</v>
      </c>
      <c r="G50" s="1160">
        <f>+G44+G38+G32+G25+G13+G46</f>
        <v>0</v>
      </c>
      <c r="H50" s="1160">
        <f>+H44+H38+H32+H25+H13+H46</f>
        <v>0</v>
      </c>
      <c r="I50" s="1160">
        <f>+I44+I38+I32+I25+I13+I46</f>
        <v>0</v>
      </c>
      <c r="J50" s="1160">
        <f>+J44+J38+J32+J25+J13+J49</f>
        <v>1001264537.78</v>
      </c>
      <c r="K50" s="1161">
        <f>K13+K25+K32+K38+K44+K49</f>
        <v>142344009.84999999</v>
      </c>
      <c r="L50" s="1161">
        <f>L13+L25+L32+L38+L44+L49</f>
        <v>858920527.92999995</v>
      </c>
      <c r="N50" s="1116"/>
      <c r="O50" s="1124">
        <v>1021983279.26</v>
      </c>
      <c r="P50" s="1117">
        <f t="shared" si="0"/>
        <v>24673907.600000024</v>
      </c>
      <c r="Q50" s="1118"/>
      <c r="R50" s="1117"/>
      <c r="S50" s="1118"/>
    </row>
    <row r="51" spans="1:22" ht="15.75">
      <c r="A51" s="1162" t="s">
        <v>573</v>
      </c>
      <c r="B51" s="1163"/>
      <c r="C51" s="1164">
        <v>0</v>
      </c>
      <c r="D51" s="1165">
        <v>0</v>
      </c>
      <c r="E51" s="1165">
        <v>0</v>
      </c>
      <c r="F51" s="1164">
        <v>0</v>
      </c>
      <c r="G51" s="1164">
        <v>0</v>
      </c>
      <c r="H51" s="1164">
        <v>0</v>
      </c>
      <c r="I51" s="1164">
        <v>0</v>
      </c>
      <c r="J51" s="1164">
        <v>0</v>
      </c>
      <c r="K51" s="1164">
        <v>0</v>
      </c>
      <c r="L51" s="1164">
        <v>0</v>
      </c>
      <c r="M51" s="1166"/>
    </row>
    <row r="52" spans="1:22" ht="15.75">
      <c r="A52" s="1162" t="s">
        <v>574</v>
      </c>
      <c r="B52" s="1163"/>
      <c r="C52" s="1164"/>
      <c r="D52" s="1167"/>
      <c r="E52" s="1165"/>
      <c r="F52" s="1164"/>
      <c r="G52" s="1164"/>
      <c r="H52" s="1164"/>
      <c r="I52" s="1164"/>
      <c r="J52" s="1168"/>
      <c r="K52" s="1169"/>
      <c r="L52" s="1164"/>
    </row>
    <row r="53" spans="1:22" ht="15.75">
      <c r="A53" s="1162" t="s">
        <v>509</v>
      </c>
      <c r="B53" s="1163"/>
      <c r="C53" s="1164"/>
      <c r="D53" s="1170">
        <f>'[52]Sch 3A'!D16</f>
        <v>0</v>
      </c>
      <c r="E53" s="1167">
        <v>0</v>
      </c>
      <c r="F53" s="1164"/>
      <c r="G53" s="1164"/>
      <c r="H53" s="1164"/>
      <c r="I53" s="1164"/>
      <c r="J53" s="1168"/>
      <c r="K53" s="1169"/>
      <c r="L53" s="1118"/>
    </row>
    <row r="54" spans="1:22" ht="15.75">
      <c r="A54" s="1162" t="s">
        <v>575</v>
      </c>
      <c r="B54" s="1163"/>
      <c r="C54" s="1164"/>
      <c r="D54" s="1167">
        <v>0</v>
      </c>
      <c r="E54" s="1167"/>
      <c r="F54" s="1164"/>
      <c r="G54" s="1164"/>
      <c r="H54" s="1164"/>
      <c r="I54" s="1164"/>
      <c r="J54" s="1168"/>
      <c r="K54" s="1169"/>
      <c r="L54" s="1118"/>
    </row>
    <row r="55" spans="1:22" ht="15.75">
      <c r="A55" s="1162" t="s">
        <v>576</v>
      </c>
      <c r="B55" s="1163"/>
      <c r="C55" s="1164"/>
      <c r="D55" s="1171">
        <f>'[52]Sch 3B-4'!D40</f>
        <v>4296613.4000000004</v>
      </c>
      <c r="E55" s="1165"/>
      <c r="F55" s="1164"/>
      <c r="G55" s="1164"/>
      <c r="H55" s="1164"/>
      <c r="I55" s="1164"/>
      <c r="J55" s="1165"/>
      <c r="K55" s="1172"/>
      <c r="L55" s="1164"/>
    </row>
    <row r="56" spans="1:22" ht="15.75">
      <c r="A56" s="1162" t="s">
        <v>577</v>
      </c>
      <c r="B56" s="1163"/>
      <c r="C56" s="1164"/>
      <c r="D56" s="1167"/>
      <c r="E56" s="1165"/>
      <c r="F56" s="1173">
        <v>0</v>
      </c>
      <c r="G56" s="1164"/>
      <c r="H56" s="1164"/>
      <c r="I56" s="1164"/>
      <c r="J56" s="1165"/>
      <c r="K56" s="1172"/>
      <c r="L56" s="1164"/>
    </row>
    <row r="57" spans="1:22" ht="15.75">
      <c r="A57" s="1174" t="s">
        <v>578</v>
      </c>
      <c r="B57" s="1163"/>
      <c r="C57" s="1164"/>
      <c r="D57" s="1175">
        <v>0</v>
      </c>
      <c r="E57" s="1175"/>
      <c r="F57" s="1164"/>
      <c r="G57" s="1164"/>
      <c r="H57" s="1164"/>
      <c r="I57" s="1164"/>
      <c r="J57" s="1164"/>
      <c r="K57" s="1169"/>
      <c r="L57" s="1164"/>
    </row>
    <row r="58" spans="1:22" ht="15.75">
      <c r="A58" s="1162" t="s">
        <v>579</v>
      </c>
      <c r="B58" s="1163"/>
      <c r="C58" s="1164"/>
      <c r="D58" s="1176">
        <f>D55-D50-D51-D52-D53-D54-E50</f>
        <v>0</v>
      </c>
      <c r="E58" s="1177"/>
      <c r="F58" s="1178"/>
      <c r="G58" s="1178"/>
      <c r="H58" s="1178"/>
      <c r="I58" s="1179"/>
      <c r="J58" s="1179"/>
      <c r="K58" s="1180"/>
      <c r="L58" s="1179"/>
    </row>
    <row r="59" spans="1:22" ht="15.75">
      <c r="A59" s="1162" t="s">
        <v>580</v>
      </c>
      <c r="B59" s="1181"/>
      <c r="C59" s="1164"/>
      <c r="D59" s="1182"/>
      <c r="E59" s="1165"/>
      <c r="F59" s="1179"/>
      <c r="G59" s="1179"/>
      <c r="H59" s="1183"/>
      <c r="I59" s="1179"/>
      <c r="J59" s="1179"/>
      <c r="K59" s="1184"/>
      <c r="L59" s="1179"/>
    </row>
    <row r="60" spans="1:22" ht="15.75">
      <c r="A60" s="1185" t="s">
        <v>573</v>
      </c>
      <c r="B60" s="1186"/>
      <c r="C60" s="1179"/>
      <c r="D60" s="1187">
        <f>D51</f>
        <v>0</v>
      </c>
      <c r="E60" s="1188"/>
      <c r="F60" s="1189"/>
      <c r="G60" s="1189"/>
      <c r="H60" s="1189"/>
      <c r="I60" s="1179"/>
      <c r="J60" s="1179"/>
      <c r="K60" s="1184"/>
      <c r="L60" s="1179"/>
    </row>
    <row r="61" spans="1:22">
      <c r="A61" s="1190" t="s">
        <v>581</v>
      </c>
      <c r="B61" s="1186"/>
      <c r="C61" s="1179"/>
      <c r="D61" s="1191"/>
      <c r="E61" s="1188"/>
      <c r="F61" s="1192"/>
      <c r="G61" s="1179"/>
      <c r="H61" s="1179"/>
      <c r="I61" s="1179"/>
      <c r="J61" s="1179"/>
      <c r="K61" s="1184"/>
      <c r="L61" s="1179"/>
    </row>
    <row r="62" spans="1:22">
      <c r="A62" s="1190" t="s">
        <v>582</v>
      </c>
      <c r="B62" s="1186"/>
      <c r="C62" s="1179"/>
      <c r="D62" s="1191">
        <f>D60+D61</f>
        <v>0</v>
      </c>
      <c r="E62" s="1188"/>
      <c r="F62" s="1192"/>
      <c r="G62" s="1179"/>
      <c r="H62" s="1179"/>
      <c r="I62" s="1179"/>
      <c r="J62" s="1179"/>
      <c r="K62" s="1184"/>
      <c r="L62" s="1179"/>
    </row>
    <row r="63" spans="1:22">
      <c r="A63" s="1190"/>
      <c r="B63" s="1193"/>
      <c r="C63" s="1179"/>
      <c r="D63" s="1191"/>
      <c r="E63" s="1188"/>
      <c r="F63" s="1188"/>
      <c r="G63" s="1188"/>
      <c r="H63" s="1188"/>
      <c r="I63" s="1179"/>
      <c r="J63" s="1179"/>
      <c r="K63" s="1184"/>
      <c r="L63" s="1179"/>
    </row>
    <row r="64" spans="1:22">
      <c r="A64" s="1194"/>
      <c r="B64" s="1186"/>
      <c r="C64" s="1179"/>
      <c r="D64" s="1195"/>
      <c r="E64" s="1179"/>
      <c r="F64" s="1179"/>
      <c r="G64" s="1188"/>
      <c r="H64" s="1179"/>
      <c r="I64" s="1179"/>
      <c r="J64" s="1179"/>
      <c r="K64" s="1184"/>
      <c r="L64" s="1179"/>
    </row>
    <row r="65" spans="1:12" ht="15.75">
      <c r="A65" s="1196"/>
      <c r="B65" s="1193"/>
      <c r="C65" s="1179"/>
      <c r="D65" s="1195"/>
      <c r="E65" s="1179"/>
      <c r="F65" s="1188"/>
      <c r="G65" s="1188"/>
      <c r="H65" s="1188"/>
      <c r="I65" s="1164"/>
      <c r="J65" s="1164"/>
      <c r="K65" s="1169"/>
      <c r="L65" s="1164"/>
    </row>
    <row r="66" spans="1:12">
      <c r="A66" s="1197"/>
      <c r="B66" s="1186"/>
      <c r="C66" s="1179"/>
      <c r="D66" s="1185"/>
      <c r="E66" s="1188"/>
      <c r="F66" s="1179"/>
      <c r="G66" s="1179"/>
      <c r="H66" s="1188"/>
      <c r="I66" s="1179"/>
      <c r="J66" s="1179"/>
      <c r="K66" s="1184"/>
      <c r="L66" s="1179"/>
    </row>
    <row r="67" spans="1:12" ht="15.75">
      <c r="A67" s="1198"/>
      <c r="B67" s="1193"/>
      <c r="C67" s="1193"/>
      <c r="D67" s="1184"/>
      <c r="E67" s="1165"/>
      <c r="F67" s="1164"/>
      <c r="G67" s="1164"/>
      <c r="H67" s="1164"/>
      <c r="I67" s="1164"/>
      <c r="J67" s="1164"/>
      <c r="K67" s="1169"/>
      <c r="L67" s="1164"/>
    </row>
    <row r="68" spans="1:12">
      <c r="A68" s="1199"/>
      <c r="B68" s="1186"/>
      <c r="C68" s="1193"/>
      <c r="D68" s="1190"/>
      <c r="E68" s="1188"/>
      <c r="F68" s="1179"/>
      <c r="G68" s="1179"/>
      <c r="H68" s="1188"/>
      <c r="I68" s="1179"/>
      <c r="J68" s="1179"/>
      <c r="K68" s="1184"/>
      <c r="L68" s="1179"/>
    </row>
    <row r="69" spans="1:12">
      <c r="A69" s="1200"/>
      <c r="B69" s="1186"/>
      <c r="C69" s="1193"/>
      <c r="D69" s="1184"/>
      <c r="E69" s="1201"/>
      <c r="F69" s="1179"/>
      <c r="G69" s="1179"/>
      <c r="H69" s="1179"/>
      <c r="I69" s="1179"/>
      <c r="J69" s="1179"/>
      <c r="K69" s="1184"/>
      <c r="L69" s="1179"/>
    </row>
    <row r="70" spans="1:12">
      <c r="A70" s="1200"/>
      <c r="B70" s="1186"/>
      <c r="C70" s="1193"/>
      <c r="D70" s="1184"/>
      <c r="E70" s="1188"/>
      <c r="F70" s="1188"/>
      <c r="G70" s="1188"/>
      <c r="H70" s="1188"/>
      <c r="I70" s="1179"/>
      <c r="J70" s="1179"/>
      <c r="K70" s="1184"/>
      <c r="L70" s="1179"/>
    </row>
    <row r="71" spans="1:12" ht="15.75">
      <c r="A71" s="1194"/>
      <c r="B71" s="1186"/>
      <c r="C71" s="1202"/>
      <c r="E71" s="1118"/>
    </row>
    <row r="72" spans="1:12">
      <c r="C72" s="1203"/>
    </row>
    <row r="73" spans="1:12">
      <c r="C73" s="1203"/>
    </row>
    <row r="74" spans="1:12">
      <c r="C74" s="1203"/>
    </row>
    <row r="75" spans="1:12">
      <c r="C75" s="1203"/>
    </row>
    <row r="76" spans="1:12">
      <c r="C76" s="1203"/>
    </row>
    <row r="78" spans="1:12">
      <c r="I78" s="1085">
        <f>24885005.37</f>
        <v>24885005.370000001</v>
      </c>
    </row>
    <row r="82" spans="3:6" ht="18.75">
      <c r="C82" s="1204"/>
      <c r="D82" s="1204"/>
      <c r="E82" s="1205"/>
      <c r="F82" s="1205"/>
    </row>
    <row r="83" spans="3:6" ht="18.75">
      <c r="C83" s="1204"/>
      <c r="D83" s="1206"/>
      <c r="E83" s="1205"/>
      <c r="F83" s="1205"/>
    </row>
    <row r="84" spans="3:6">
      <c r="C84" s="1207"/>
      <c r="D84" s="1207"/>
      <c r="E84" s="1207"/>
      <c r="F84" s="1207"/>
    </row>
    <row r="85" spans="3:6" ht="15.75">
      <c r="C85" s="1205"/>
      <c r="D85" s="1208"/>
      <c r="E85" s="1208"/>
      <c r="F85" s="1209"/>
    </row>
    <row r="86" spans="3:6" ht="15.75">
      <c r="C86" s="1205"/>
      <c r="D86" s="1208"/>
      <c r="E86" s="1208"/>
      <c r="F86" s="1209"/>
    </row>
    <row r="87" spans="3:6" ht="15.75">
      <c r="C87" s="1205"/>
      <c r="D87" s="1208"/>
      <c r="E87" s="1208"/>
      <c r="F87" s="1209"/>
    </row>
    <row r="88" spans="3:6" ht="15.75">
      <c r="C88" s="1205"/>
      <c r="D88" s="1208"/>
      <c r="E88" s="1208"/>
      <c r="F88" s="1209"/>
    </row>
    <row r="89" spans="3:6" ht="15.75">
      <c r="C89" s="1205"/>
      <c r="D89" s="1208"/>
      <c r="E89" s="1208"/>
      <c r="F89" s="1209"/>
    </row>
    <row r="90" spans="3:6" ht="15.75">
      <c r="C90" s="1205"/>
      <c r="D90" s="1208"/>
      <c r="E90" s="1208"/>
      <c r="F90" s="1209"/>
    </row>
    <row r="91" spans="3:6" ht="15.75">
      <c r="C91" s="1205"/>
      <c r="D91" s="1208"/>
      <c r="E91" s="1208"/>
      <c r="F91" s="1209"/>
    </row>
    <row r="92" spans="3:6" ht="15.75">
      <c r="C92" s="1205"/>
      <c r="D92" s="1208"/>
      <c r="E92" s="1208"/>
      <c r="F92" s="1209"/>
    </row>
    <row r="93" spans="3:6" ht="15.75">
      <c r="C93" s="1205"/>
      <c r="D93" s="1208"/>
      <c r="E93" s="1208"/>
      <c r="F93" s="1209"/>
    </row>
    <row r="94" spans="3:6" ht="15.75">
      <c r="C94" s="1205"/>
      <c r="D94" s="1208"/>
      <c r="E94" s="1208"/>
      <c r="F94" s="1209"/>
    </row>
    <row r="95" spans="3:6" ht="15.75">
      <c r="C95" s="1205"/>
      <c r="D95" s="1208"/>
      <c r="E95" s="1208"/>
      <c r="F95" s="1208"/>
    </row>
    <row r="97" spans="1:7">
      <c r="A97" s="1205"/>
      <c r="B97" s="1205"/>
      <c r="C97" s="1205"/>
      <c r="D97" s="1205"/>
      <c r="E97" s="1205"/>
      <c r="F97" s="1205"/>
      <c r="G97" s="1205"/>
    </row>
    <row r="98" spans="1:7">
      <c r="A98" s="1210"/>
      <c r="B98" s="1205"/>
      <c r="C98" s="1205"/>
      <c r="D98" s="1205"/>
      <c r="E98" s="1205"/>
      <c r="F98" s="1205"/>
      <c r="G98" s="1205"/>
    </row>
    <row r="99" spans="1:7">
      <c r="A99" s="1205"/>
      <c r="B99" s="1205"/>
      <c r="C99" s="1205"/>
      <c r="D99" s="1205"/>
      <c r="E99" s="1205"/>
      <c r="F99" s="1205"/>
      <c r="G99" s="1205"/>
    </row>
    <row r="100" spans="1:7">
      <c r="A100" s="1205"/>
      <c r="B100" s="1205"/>
      <c r="C100" s="1205"/>
      <c r="D100" s="1205"/>
      <c r="E100" s="1205"/>
      <c r="F100" s="1205"/>
      <c r="G100" s="1211" t="s">
        <v>584</v>
      </c>
    </row>
    <row r="101" spans="1:7">
      <c r="A101" s="1205"/>
      <c r="B101" s="1205"/>
      <c r="C101" s="1205"/>
      <c r="D101" s="1212"/>
      <c r="E101" s="1212"/>
      <c r="F101" s="1212"/>
      <c r="G101" s="1211" t="s">
        <v>585</v>
      </c>
    </row>
    <row r="102" spans="1:7">
      <c r="A102" s="1205"/>
      <c r="B102" s="1205"/>
      <c r="C102" s="1205"/>
      <c r="D102" s="1212"/>
      <c r="E102" s="1212"/>
      <c r="F102" s="1212"/>
      <c r="G102" s="1211" t="s">
        <v>586</v>
      </c>
    </row>
    <row r="103" spans="1:7">
      <c r="A103" s="1205"/>
      <c r="B103" s="1205"/>
      <c r="C103" s="1205"/>
      <c r="D103" s="1212"/>
      <c r="E103" s="1212"/>
      <c r="F103" s="1212"/>
      <c r="G103" s="1211" t="s">
        <v>587</v>
      </c>
    </row>
    <row r="104" spans="1:7">
      <c r="A104" s="1205"/>
      <c r="B104" s="1205"/>
      <c r="C104" s="1205"/>
      <c r="D104" s="1212"/>
      <c r="E104" s="1212"/>
      <c r="F104" s="1212"/>
      <c r="G104" s="1211" t="s">
        <v>588</v>
      </c>
    </row>
    <row r="105" spans="1:7">
      <c r="A105" s="1205"/>
      <c r="B105" s="1205"/>
      <c r="C105" s="1205"/>
      <c r="D105" s="1212"/>
      <c r="E105" s="1212"/>
      <c r="F105" s="1212"/>
      <c r="G105" s="1211" t="s">
        <v>589</v>
      </c>
    </row>
    <row r="106" spans="1:7">
      <c r="A106" s="1205"/>
      <c r="B106" s="1205"/>
      <c r="C106" s="1205"/>
      <c r="D106" s="1212"/>
      <c r="E106" s="1212"/>
      <c r="F106" s="1212"/>
      <c r="G106" s="1211" t="s">
        <v>590</v>
      </c>
    </row>
    <row r="107" spans="1:7">
      <c r="A107" s="1205"/>
      <c r="B107" s="1205"/>
      <c r="C107" s="1205"/>
      <c r="D107" s="1212"/>
      <c r="E107" s="1212"/>
      <c r="F107" s="1212"/>
      <c r="G107" s="1211" t="s">
        <v>591</v>
      </c>
    </row>
    <row r="108" spans="1:7">
      <c r="A108" s="1205"/>
      <c r="B108" s="1205"/>
      <c r="C108" s="1205"/>
      <c r="D108" s="1212"/>
      <c r="E108" s="1212"/>
      <c r="F108" s="1212"/>
      <c r="G108" s="1211" t="s">
        <v>592</v>
      </c>
    </row>
    <row r="109" spans="1:7">
      <c r="A109" s="1205"/>
      <c r="B109" s="1205"/>
      <c r="C109" s="1205"/>
      <c r="D109" s="1212"/>
      <c r="E109" s="1212"/>
      <c r="F109" s="1212"/>
      <c r="G109" s="1211" t="s">
        <v>593</v>
      </c>
    </row>
    <row r="110" spans="1:7" ht="15.75">
      <c r="A110" s="1205"/>
      <c r="B110" s="1205"/>
      <c r="C110" s="1205"/>
      <c r="D110" s="1213"/>
      <c r="E110" s="1213"/>
      <c r="F110" s="1213"/>
      <c r="G110" s="1211"/>
    </row>
    <row r="111" spans="1:7">
      <c r="A111" s="1205"/>
      <c r="B111" s="1205"/>
      <c r="C111" s="1205"/>
      <c r="D111" s="1212"/>
      <c r="E111" s="1212"/>
      <c r="F111" s="1212"/>
      <c r="G111" s="1211"/>
    </row>
    <row r="112" spans="1:7">
      <c r="A112" s="1205"/>
      <c r="B112" s="1205"/>
      <c r="C112" s="1205"/>
      <c r="D112" s="1212"/>
      <c r="E112" s="1212"/>
      <c r="F112" s="1212"/>
      <c r="G112" s="1211"/>
    </row>
    <row r="113" spans="1:7">
      <c r="A113" s="1205"/>
      <c r="B113" s="1205"/>
      <c r="C113" s="1205"/>
      <c r="D113" s="1212"/>
      <c r="E113" s="1212"/>
      <c r="F113" s="1212"/>
      <c r="G113" s="1211" t="s">
        <v>594</v>
      </c>
    </row>
    <row r="114" spans="1:7" ht="15.75">
      <c r="A114" s="1205"/>
      <c r="B114" s="1205"/>
      <c r="C114" s="1205"/>
      <c r="D114" s="1213"/>
      <c r="E114" s="1213"/>
      <c r="F114" s="1213"/>
      <c r="G114" s="1211"/>
    </row>
    <row r="115" spans="1:7">
      <c r="A115" s="1205"/>
      <c r="B115" s="1205"/>
      <c r="C115" s="1205"/>
      <c r="D115" s="1212"/>
      <c r="E115" s="1212"/>
      <c r="F115" s="1212"/>
      <c r="G115" s="1211"/>
    </row>
    <row r="116" spans="1:7">
      <c r="A116" s="1205"/>
      <c r="B116" s="1205"/>
      <c r="C116" s="1205"/>
      <c r="D116" s="1212"/>
      <c r="E116" s="1212"/>
      <c r="F116" s="1212"/>
      <c r="G116" s="1211" t="s">
        <v>595</v>
      </c>
    </row>
    <row r="117" spans="1:7" ht="15.75">
      <c r="A117" s="1205"/>
      <c r="B117" s="1205"/>
      <c r="C117" s="1205"/>
      <c r="D117" s="1213"/>
      <c r="E117" s="1213"/>
      <c r="F117" s="1213"/>
      <c r="G117" s="1211"/>
    </row>
    <row r="118" spans="1:7">
      <c r="A118" s="1214"/>
      <c r="B118" s="1205"/>
      <c r="C118" s="1205"/>
      <c r="D118" s="1212"/>
      <c r="E118" s="1212"/>
      <c r="F118" s="1212"/>
      <c r="G118" s="1211"/>
    </row>
    <row r="119" spans="1:7">
      <c r="A119" s="1205"/>
      <c r="B119" s="1205"/>
      <c r="C119" s="1205"/>
      <c r="D119" s="1212"/>
      <c r="E119" s="1212"/>
      <c r="F119" s="1212"/>
      <c r="G119" s="1211" t="s">
        <v>596</v>
      </c>
    </row>
    <row r="120" spans="1:7" ht="15.75">
      <c r="A120" s="1205"/>
      <c r="B120" s="1205"/>
      <c r="C120" s="1205"/>
      <c r="D120" s="1213"/>
      <c r="E120" s="1213"/>
      <c r="F120" s="1213"/>
      <c r="G120" s="1211"/>
    </row>
    <row r="121" spans="1:7">
      <c r="A121" s="1205"/>
      <c r="B121" s="1205"/>
      <c r="C121" s="1205"/>
      <c r="D121" s="1212"/>
      <c r="E121" s="1212"/>
      <c r="F121" s="1212"/>
      <c r="G121" s="1211"/>
    </row>
    <row r="122" spans="1:7" ht="15.75">
      <c r="A122" s="1205"/>
      <c r="B122" s="1205"/>
      <c r="C122" s="1205"/>
      <c r="D122" s="1212"/>
      <c r="E122" s="1215"/>
      <c r="F122" s="1212"/>
      <c r="G122" s="1211" t="s">
        <v>597</v>
      </c>
    </row>
    <row r="123" spans="1:7" ht="15.75">
      <c r="A123" s="1205"/>
      <c r="B123" s="1205"/>
      <c r="C123" s="1205"/>
      <c r="D123" s="1213"/>
      <c r="E123" s="1213"/>
      <c r="F123" s="1213"/>
      <c r="G123" s="1211"/>
    </row>
    <row r="124" spans="1:7" ht="15.75">
      <c r="A124" s="1214"/>
      <c r="B124" s="1205"/>
      <c r="C124" s="1205"/>
      <c r="D124" s="1213"/>
      <c r="E124" s="1213"/>
      <c r="F124" s="1213"/>
      <c r="G124" s="1211"/>
    </row>
    <row r="125" spans="1:7" ht="15.75">
      <c r="A125" s="1205"/>
      <c r="B125" s="1205"/>
      <c r="C125" s="1214"/>
      <c r="D125" s="1216"/>
      <c r="E125" s="1216"/>
      <c r="F125" s="1212"/>
      <c r="G125" s="1211" t="s">
        <v>598</v>
      </c>
    </row>
    <row r="126" spans="1:7" ht="15.75">
      <c r="A126" s="1205"/>
      <c r="B126" s="1205"/>
      <c r="C126" s="1205"/>
      <c r="D126" s="1213"/>
      <c r="E126" s="1213"/>
      <c r="F126" s="1213"/>
      <c r="G126" s="1211"/>
    </row>
    <row r="127" spans="1:7" ht="15.75">
      <c r="A127" s="1214"/>
      <c r="B127" s="1205"/>
      <c r="C127" s="1205"/>
      <c r="D127" s="1213"/>
      <c r="E127" s="1213"/>
      <c r="F127" s="1213"/>
      <c r="G127" s="1211"/>
    </row>
    <row r="128" spans="1:7" ht="15.75">
      <c r="A128" s="1205"/>
      <c r="B128" s="1205"/>
      <c r="C128" s="1214"/>
      <c r="D128" s="1216"/>
      <c r="E128" s="1216"/>
      <c r="F128" s="1212"/>
      <c r="G128" s="1211" t="s">
        <v>599</v>
      </c>
    </row>
    <row r="129" spans="1:7" ht="15.75">
      <c r="A129" s="1205"/>
      <c r="B129" s="1205"/>
      <c r="C129" s="1205"/>
      <c r="D129" s="1213"/>
      <c r="E129" s="1213"/>
      <c r="F129" s="1213"/>
      <c r="G129" s="1211"/>
    </row>
    <row r="130" spans="1:7" ht="15.75">
      <c r="A130" s="1205"/>
      <c r="B130" s="1205"/>
      <c r="C130" s="1217"/>
      <c r="D130" s="1213"/>
      <c r="E130" s="1213"/>
      <c r="F130" s="1213"/>
      <c r="G130" s="1218"/>
    </row>
  </sheetData>
  <mergeCells count="1">
    <mergeCell ref="D4:E4"/>
  </mergeCells>
  <printOptions horizontalCentered="1"/>
  <pageMargins left="0.23622047244094499" right="0.15748031496063" top="0.47244094488188998" bottom="0.35433070866141703" header="0.31496062992126" footer="0.23622047244094499"/>
  <pageSetup scale="74" orientation="landscape" blackAndWhite="1"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ransitionEntry="1"/>
  <dimension ref="A1:V129"/>
  <sheetViews>
    <sheetView showGridLines="0" zoomScale="90" zoomScaleNormal="90" workbookViewId="0">
      <pane xSplit="2" ySplit="6" topLeftCell="C14" activePane="bottomRight" state="frozen"/>
      <selection activeCell="B91" sqref="B91"/>
      <selection pane="topRight" activeCell="B91" sqref="B91"/>
      <selection pane="bottomLeft" activeCell="B91" sqref="B91"/>
      <selection pane="bottomRight" activeCell="K22" sqref="K22"/>
    </sheetView>
  </sheetViews>
  <sheetFormatPr defaultRowHeight="12.75" outlineLevelCol="1"/>
  <cols>
    <col min="1" max="1" width="34.140625" style="754" customWidth="1"/>
    <col min="2" max="2" width="11.5703125" style="754" bestFit="1" customWidth="1"/>
    <col min="3" max="3" width="18.140625" style="754" bestFit="1" customWidth="1"/>
    <col min="4" max="4" width="19.5703125" style="755" bestFit="1" customWidth="1"/>
    <col min="5" max="5" width="16.28515625" style="754" bestFit="1" customWidth="1"/>
    <col min="6" max="6" width="14.7109375" style="754" bestFit="1" customWidth="1"/>
    <col min="7" max="7" width="14" style="754" hidden="1" customWidth="1" outlineLevel="1"/>
    <col min="8" max="8" width="16" style="754" customWidth="1" collapsed="1"/>
    <col min="9" max="9" width="15.5703125" style="754" hidden="1" customWidth="1" outlineLevel="1"/>
    <col min="10" max="10" width="18.140625" style="754" bestFit="1" customWidth="1" collapsed="1"/>
    <col min="11" max="11" width="23.85546875" style="755" bestFit="1" customWidth="1"/>
    <col min="12" max="12" width="12.42578125" style="754" bestFit="1" customWidth="1"/>
    <col min="13" max="13" width="16.140625" style="754" bestFit="1" customWidth="1"/>
    <col min="14" max="14" width="13.42578125" style="754" bestFit="1" customWidth="1"/>
    <col min="15" max="15" width="20" style="754" bestFit="1" customWidth="1"/>
    <col min="16" max="16" width="17.5703125" style="754" bestFit="1" customWidth="1"/>
    <col min="17" max="17" width="9.140625" style="754"/>
    <col min="18" max="18" width="15.5703125" style="754" bestFit="1" customWidth="1"/>
    <col min="19" max="19" width="18.85546875" style="754" bestFit="1" customWidth="1"/>
    <col min="20" max="21" width="9.140625" style="754"/>
    <col min="22" max="22" width="18.140625" style="754" bestFit="1" customWidth="1"/>
    <col min="23" max="256" width="9.140625" style="754"/>
    <col min="257" max="257" width="34.140625" style="754" customWidth="1"/>
    <col min="258" max="258" width="11.5703125" style="754" bestFit="1" customWidth="1"/>
    <col min="259" max="259" width="18.28515625" style="754" customWidth="1"/>
    <col min="260" max="260" width="17.5703125" style="754" bestFit="1" customWidth="1"/>
    <col min="261" max="261" width="15.5703125" style="754" bestFit="1" customWidth="1"/>
    <col min="262" max="262" width="16.140625" style="754" bestFit="1" customWidth="1"/>
    <col min="263" max="263" width="6" style="754" bestFit="1" customWidth="1"/>
    <col min="264" max="264" width="16.140625" style="754" bestFit="1" customWidth="1"/>
    <col min="265" max="265" width="15.5703125" style="754" customWidth="1"/>
    <col min="266" max="266" width="17.5703125" style="754" bestFit="1" customWidth="1"/>
    <col min="267" max="267" width="16.7109375" style="754" customWidth="1"/>
    <col min="268" max="268" width="17.5703125" style="754" bestFit="1" customWidth="1"/>
    <col min="269" max="269" width="20" style="754" bestFit="1" customWidth="1"/>
    <col min="270" max="270" width="14.28515625" style="754" bestFit="1" customWidth="1"/>
    <col min="271" max="271" width="20" style="754" bestFit="1" customWidth="1"/>
    <col min="272" max="272" width="17.5703125" style="754" bestFit="1" customWidth="1"/>
    <col min="273" max="273" width="9.140625" style="754"/>
    <col min="274" max="274" width="15.5703125" style="754" bestFit="1" customWidth="1"/>
    <col min="275" max="275" width="18.85546875" style="754" bestFit="1" customWidth="1"/>
    <col min="276" max="512" width="9.140625" style="754"/>
    <col min="513" max="513" width="34.140625" style="754" customWidth="1"/>
    <col min="514" max="514" width="11.5703125" style="754" bestFit="1" customWidth="1"/>
    <col min="515" max="515" width="18.28515625" style="754" customWidth="1"/>
    <col min="516" max="516" width="17.5703125" style="754" bestFit="1" customWidth="1"/>
    <col min="517" max="517" width="15.5703125" style="754" bestFit="1" customWidth="1"/>
    <col min="518" max="518" width="16.140625" style="754" bestFit="1" customWidth="1"/>
    <col min="519" max="519" width="6" style="754" bestFit="1" customWidth="1"/>
    <col min="520" max="520" width="16.140625" style="754" bestFit="1" customWidth="1"/>
    <col min="521" max="521" width="15.5703125" style="754" customWidth="1"/>
    <col min="522" max="522" width="17.5703125" style="754" bestFit="1" customWidth="1"/>
    <col min="523" max="523" width="16.7109375" style="754" customWidth="1"/>
    <col min="524" max="524" width="17.5703125" style="754" bestFit="1" customWidth="1"/>
    <col min="525" max="525" width="20" style="754" bestFit="1" customWidth="1"/>
    <col min="526" max="526" width="14.28515625" style="754" bestFit="1" customWidth="1"/>
    <col min="527" max="527" width="20" style="754" bestFit="1" customWidth="1"/>
    <col min="528" max="528" width="17.5703125" style="754" bestFit="1" customWidth="1"/>
    <col min="529" max="529" width="9.140625" style="754"/>
    <col min="530" max="530" width="15.5703125" style="754" bestFit="1" customWidth="1"/>
    <col min="531" max="531" width="18.85546875" style="754" bestFit="1" customWidth="1"/>
    <col min="532" max="768" width="9.140625" style="754"/>
    <col min="769" max="769" width="34.140625" style="754" customWidth="1"/>
    <col min="770" max="770" width="11.5703125" style="754" bestFit="1" customWidth="1"/>
    <col min="771" max="771" width="18.28515625" style="754" customWidth="1"/>
    <col min="772" max="772" width="17.5703125" style="754" bestFit="1" customWidth="1"/>
    <col min="773" max="773" width="15.5703125" style="754" bestFit="1" customWidth="1"/>
    <col min="774" max="774" width="16.140625" style="754" bestFit="1" customWidth="1"/>
    <col min="775" max="775" width="6" style="754" bestFit="1" customWidth="1"/>
    <col min="776" max="776" width="16.140625" style="754" bestFit="1" customWidth="1"/>
    <col min="777" max="777" width="15.5703125" style="754" customWidth="1"/>
    <col min="778" max="778" width="17.5703125" style="754" bestFit="1" customWidth="1"/>
    <col min="779" max="779" width="16.7109375" style="754" customWidth="1"/>
    <col min="780" max="780" width="17.5703125" style="754" bestFit="1" customWidth="1"/>
    <col min="781" max="781" width="20" style="754" bestFit="1" customWidth="1"/>
    <col min="782" max="782" width="14.28515625" style="754" bestFit="1" customWidth="1"/>
    <col min="783" max="783" width="20" style="754" bestFit="1" customWidth="1"/>
    <col min="784" max="784" width="17.5703125" style="754" bestFit="1" customWidth="1"/>
    <col min="785" max="785" width="9.140625" style="754"/>
    <col min="786" max="786" width="15.5703125" style="754" bestFit="1" customWidth="1"/>
    <col min="787" max="787" width="18.85546875" style="754" bestFit="1" customWidth="1"/>
    <col min="788" max="1024" width="9.140625" style="754"/>
    <col min="1025" max="1025" width="34.140625" style="754" customWidth="1"/>
    <col min="1026" max="1026" width="11.5703125" style="754" bestFit="1" customWidth="1"/>
    <col min="1027" max="1027" width="18.28515625" style="754" customWidth="1"/>
    <col min="1028" max="1028" width="17.5703125" style="754" bestFit="1" customWidth="1"/>
    <col min="1029" max="1029" width="15.5703125" style="754" bestFit="1" customWidth="1"/>
    <col min="1030" max="1030" width="16.140625" style="754" bestFit="1" customWidth="1"/>
    <col min="1031" max="1031" width="6" style="754" bestFit="1" customWidth="1"/>
    <col min="1032" max="1032" width="16.140625" style="754" bestFit="1" customWidth="1"/>
    <col min="1033" max="1033" width="15.5703125" style="754" customWidth="1"/>
    <col min="1034" max="1034" width="17.5703125" style="754" bestFit="1" customWidth="1"/>
    <col min="1035" max="1035" width="16.7109375" style="754" customWidth="1"/>
    <col min="1036" max="1036" width="17.5703125" style="754" bestFit="1" customWidth="1"/>
    <col min="1037" max="1037" width="20" style="754" bestFit="1" customWidth="1"/>
    <col min="1038" max="1038" width="14.28515625" style="754" bestFit="1" customWidth="1"/>
    <col min="1039" max="1039" width="20" style="754" bestFit="1" customWidth="1"/>
    <col min="1040" max="1040" width="17.5703125" style="754" bestFit="1" customWidth="1"/>
    <col min="1041" max="1041" width="9.140625" style="754"/>
    <col min="1042" max="1042" width="15.5703125" style="754" bestFit="1" customWidth="1"/>
    <col min="1043" max="1043" width="18.85546875" style="754" bestFit="1" customWidth="1"/>
    <col min="1044" max="1280" width="9.140625" style="754"/>
    <col min="1281" max="1281" width="34.140625" style="754" customWidth="1"/>
    <col min="1282" max="1282" width="11.5703125" style="754" bestFit="1" customWidth="1"/>
    <col min="1283" max="1283" width="18.28515625" style="754" customWidth="1"/>
    <col min="1284" max="1284" width="17.5703125" style="754" bestFit="1" customWidth="1"/>
    <col min="1285" max="1285" width="15.5703125" style="754" bestFit="1" customWidth="1"/>
    <col min="1286" max="1286" width="16.140625" style="754" bestFit="1" customWidth="1"/>
    <col min="1287" max="1287" width="6" style="754" bestFit="1" customWidth="1"/>
    <col min="1288" max="1288" width="16.140625" style="754" bestFit="1" customWidth="1"/>
    <col min="1289" max="1289" width="15.5703125" style="754" customWidth="1"/>
    <col min="1290" max="1290" width="17.5703125" style="754" bestFit="1" customWidth="1"/>
    <col min="1291" max="1291" width="16.7109375" style="754" customWidth="1"/>
    <col min="1292" max="1292" width="17.5703125" style="754" bestFit="1" customWidth="1"/>
    <col min="1293" max="1293" width="20" style="754" bestFit="1" customWidth="1"/>
    <col min="1294" max="1294" width="14.28515625" style="754" bestFit="1" customWidth="1"/>
    <col min="1295" max="1295" width="20" style="754" bestFit="1" customWidth="1"/>
    <col min="1296" max="1296" width="17.5703125" style="754" bestFit="1" customWidth="1"/>
    <col min="1297" max="1297" width="9.140625" style="754"/>
    <col min="1298" max="1298" width="15.5703125" style="754" bestFit="1" customWidth="1"/>
    <col min="1299" max="1299" width="18.85546875" style="754" bestFit="1" customWidth="1"/>
    <col min="1300" max="1536" width="9.140625" style="754"/>
    <col min="1537" max="1537" width="34.140625" style="754" customWidth="1"/>
    <col min="1538" max="1538" width="11.5703125" style="754" bestFit="1" customWidth="1"/>
    <col min="1539" max="1539" width="18.28515625" style="754" customWidth="1"/>
    <col min="1540" max="1540" width="17.5703125" style="754" bestFit="1" customWidth="1"/>
    <col min="1541" max="1541" width="15.5703125" style="754" bestFit="1" customWidth="1"/>
    <col min="1542" max="1542" width="16.140625" style="754" bestFit="1" customWidth="1"/>
    <col min="1543" max="1543" width="6" style="754" bestFit="1" customWidth="1"/>
    <col min="1544" max="1544" width="16.140625" style="754" bestFit="1" customWidth="1"/>
    <col min="1545" max="1545" width="15.5703125" style="754" customWidth="1"/>
    <col min="1546" max="1546" width="17.5703125" style="754" bestFit="1" customWidth="1"/>
    <col min="1547" max="1547" width="16.7109375" style="754" customWidth="1"/>
    <col min="1548" max="1548" width="17.5703125" style="754" bestFit="1" customWidth="1"/>
    <col min="1549" max="1549" width="20" style="754" bestFit="1" customWidth="1"/>
    <col min="1550" max="1550" width="14.28515625" style="754" bestFit="1" customWidth="1"/>
    <col min="1551" max="1551" width="20" style="754" bestFit="1" customWidth="1"/>
    <col min="1552" max="1552" width="17.5703125" style="754" bestFit="1" customWidth="1"/>
    <col min="1553" max="1553" width="9.140625" style="754"/>
    <col min="1554" max="1554" width="15.5703125" style="754" bestFit="1" customWidth="1"/>
    <col min="1555" max="1555" width="18.85546875" style="754" bestFit="1" customWidth="1"/>
    <col min="1556" max="1792" width="9.140625" style="754"/>
    <col min="1793" max="1793" width="34.140625" style="754" customWidth="1"/>
    <col min="1794" max="1794" width="11.5703125" style="754" bestFit="1" customWidth="1"/>
    <col min="1795" max="1795" width="18.28515625" style="754" customWidth="1"/>
    <col min="1796" max="1796" width="17.5703125" style="754" bestFit="1" customWidth="1"/>
    <col min="1797" max="1797" width="15.5703125" style="754" bestFit="1" customWidth="1"/>
    <col min="1798" max="1798" width="16.140625" style="754" bestFit="1" customWidth="1"/>
    <col min="1799" max="1799" width="6" style="754" bestFit="1" customWidth="1"/>
    <col min="1800" max="1800" width="16.140625" style="754" bestFit="1" customWidth="1"/>
    <col min="1801" max="1801" width="15.5703125" style="754" customWidth="1"/>
    <col min="1802" max="1802" width="17.5703125" style="754" bestFit="1" customWidth="1"/>
    <col min="1803" max="1803" width="16.7109375" style="754" customWidth="1"/>
    <col min="1804" max="1804" width="17.5703125" style="754" bestFit="1" customWidth="1"/>
    <col min="1805" max="1805" width="20" style="754" bestFit="1" customWidth="1"/>
    <col min="1806" max="1806" width="14.28515625" style="754" bestFit="1" customWidth="1"/>
    <col min="1807" max="1807" width="20" style="754" bestFit="1" customWidth="1"/>
    <col min="1808" max="1808" width="17.5703125" style="754" bestFit="1" customWidth="1"/>
    <col min="1809" max="1809" width="9.140625" style="754"/>
    <col min="1810" max="1810" width="15.5703125" style="754" bestFit="1" customWidth="1"/>
    <col min="1811" max="1811" width="18.85546875" style="754" bestFit="1" customWidth="1"/>
    <col min="1812" max="2048" width="9.140625" style="754"/>
    <col min="2049" max="2049" width="34.140625" style="754" customWidth="1"/>
    <col min="2050" max="2050" width="11.5703125" style="754" bestFit="1" customWidth="1"/>
    <col min="2051" max="2051" width="18.28515625" style="754" customWidth="1"/>
    <col min="2052" max="2052" width="17.5703125" style="754" bestFit="1" customWidth="1"/>
    <col min="2053" max="2053" width="15.5703125" style="754" bestFit="1" customWidth="1"/>
    <col min="2054" max="2054" width="16.140625" style="754" bestFit="1" customWidth="1"/>
    <col min="2055" max="2055" width="6" style="754" bestFit="1" customWidth="1"/>
    <col min="2056" max="2056" width="16.140625" style="754" bestFit="1" customWidth="1"/>
    <col min="2057" max="2057" width="15.5703125" style="754" customWidth="1"/>
    <col min="2058" max="2058" width="17.5703125" style="754" bestFit="1" customWidth="1"/>
    <col min="2059" max="2059" width="16.7109375" style="754" customWidth="1"/>
    <col min="2060" max="2060" width="17.5703125" style="754" bestFit="1" customWidth="1"/>
    <col min="2061" max="2061" width="20" style="754" bestFit="1" customWidth="1"/>
    <col min="2062" max="2062" width="14.28515625" style="754" bestFit="1" customWidth="1"/>
    <col min="2063" max="2063" width="20" style="754" bestFit="1" customWidth="1"/>
    <col min="2064" max="2064" width="17.5703125" style="754" bestFit="1" customWidth="1"/>
    <col min="2065" max="2065" width="9.140625" style="754"/>
    <col min="2066" max="2066" width="15.5703125" style="754" bestFit="1" customWidth="1"/>
    <col min="2067" max="2067" width="18.85546875" style="754" bestFit="1" customWidth="1"/>
    <col min="2068" max="2304" width="9.140625" style="754"/>
    <col min="2305" max="2305" width="34.140625" style="754" customWidth="1"/>
    <col min="2306" max="2306" width="11.5703125" style="754" bestFit="1" customWidth="1"/>
    <col min="2307" max="2307" width="18.28515625" style="754" customWidth="1"/>
    <col min="2308" max="2308" width="17.5703125" style="754" bestFit="1" customWidth="1"/>
    <col min="2309" max="2309" width="15.5703125" style="754" bestFit="1" customWidth="1"/>
    <col min="2310" max="2310" width="16.140625" style="754" bestFit="1" customWidth="1"/>
    <col min="2311" max="2311" width="6" style="754" bestFit="1" customWidth="1"/>
    <col min="2312" max="2312" width="16.140625" style="754" bestFit="1" customWidth="1"/>
    <col min="2313" max="2313" width="15.5703125" style="754" customWidth="1"/>
    <col min="2314" max="2314" width="17.5703125" style="754" bestFit="1" customWidth="1"/>
    <col min="2315" max="2315" width="16.7109375" style="754" customWidth="1"/>
    <col min="2316" max="2316" width="17.5703125" style="754" bestFit="1" customWidth="1"/>
    <col min="2317" max="2317" width="20" style="754" bestFit="1" customWidth="1"/>
    <col min="2318" max="2318" width="14.28515625" style="754" bestFit="1" customWidth="1"/>
    <col min="2319" max="2319" width="20" style="754" bestFit="1" customWidth="1"/>
    <col min="2320" max="2320" width="17.5703125" style="754" bestFit="1" customWidth="1"/>
    <col min="2321" max="2321" width="9.140625" style="754"/>
    <col min="2322" max="2322" width="15.5703125" style="754" bestFit="1" customWidth="1"/>
    <col min="2323" max="2323" width="18.85546875" style="754" bestFit="1" customWidth="1"/>
    <col min="2324" max="2560" width="9.140625" style="754"/>
    <col min="2561" max="2561" width="34.140625" style="754" customWidth="1"/>
    <col min="2562" max="2562" width="11.5703125" style="754" bestFit="1" customWidth="1"/>
    <col min="2563" max="2563" width="18.28515625" style="754" customWidth="1"/>
    <col min="2564" max="2564" width="17.5703125" style="754" bestFit="1" customWidth="1"/>
    <col min="2565" max="2565" width="15.5703125" style="754" bestFit="1" customWidth="1"/>
    <col min="2566" max="2566" width="16.140625" style="754" bestFit="1" customWidth="1"/>
    <col min="2567" max="2567" width="6" style="754" bestFit="1" customWidth="1"/>
    <col min="2568" max="2568" width="16.140625" style="754" bestFit="1" customWidth="1"/>
    <col min="2569" max="2569" width="15.5703125" style="754" customWidth="1"/>
    <col min="2570" max="2570" width="17.5703125" style="754" bestFit="1" customWidth="1"/>
    <col min="2571" max="2571" width="16.7109375" style="754" customWidth="1"/>
    <col min="2572" max="2572" width="17.5703125" style="754" bestFit="1" customWidth="1"/>
    <col min="2573" max="2573" width="20" style="754" bestFit="1" customWidth="1"/>
    <col min="2574" max="2574" width="14.28515625" style="754" bestFit="1" customWidth="1"/>
    <col min="2575" max="2575" width="20" style="754" bestFit="1" customWidth="1"/>
    <col min="2576" max="2576" width="17.5703125" style="754" bestFit="1" customWidth="1"/>
    <col min="2577" max="2577" width="9.140625" style="754"/>
    <col min="2578" max="2578" width="15.5703125" style="754" bestFit="1" customWidth="1"/>
    <col min="2579" max="2579" width="18.85546875" style="754" bestFit="1" customWidth="1"/>
    <col min="2580" max="2816" width="9.140625" style="754"/>
    <col min="2817" max="2817" width="34.140625" style="754" customWidth="1"/>
    <col min="2818" max="2818" width="11.5703125" style="754" bestFit="1" customWidth="1"/>
    <col min="2819" max="2819" width="18.28515625" style="754" customWidth="1"/>
    <col min="2820" max="2820" width="17.5703125" style="754" bestFit="1" customWidth="1"/>
    <col min="2821" max="2821" width="15.5703125" style="754" bestFit="1" customWidth="1"/>
    <col min="2822" max="2822" width="16.140625" style="754" bestFit="1" customWidth="1"/>
    <col min="2823" max="2823" width="6" style="754" bestFit="1" customWidth="1"/>
    <col min="2824" max="2824" width="16.140625" style="754" bestFit="1" customWidth="1"/>
    <col min="2825" max="2825" width="15.5703125" style="754" customWidth="1"/>
    <col min="2826" max="2826" width="17.5703125" style="754" bestFit="1" customWidth="1"/>
    <col min="2827" max="2827" width="16.7109375" style="754" customWidth="1"/>
    <col min="2828" max="2828" width="17.5703125" style="754" bestFit="1" customWidth="1"/>
    <col min="2829" max="2829" width="20" style="754" bestFit="1" customWidth="1"/>
    <col min="2830" max="2830" width="14.28515625" style="754" bestFit="1" customWidth="1"/>
    <col min="2831" max="2831" width="20" style="754" bestFit="1" customWidth="1"/>
    <col min="2832" max="2832" width="17.5703125" style="754" bestFit="1" customWidth="1"/>
    <col min="2833" max="2833" width="9.140625" style="754"/>
    <col min="2834" max="2834" width="15.5703125" style="754" bestFit="1" customWidth="1"/>
    <col min="2835" max="2835" width="18.85546875" style="754" bestFit="1" customWidth="1"/>
    <col min="2836" max="3072" width="9.140625" style="754"/>
    <col min="3073" max="3073" width="34.140625" style="754" customWidth="1"/>
    <col min="3074" max="3074" width="11.5703125" style="754" bestFit="1" customWidth="1"/>
    <col min="3075" max="3075" width="18.28515625" style="754" customWidth="1"/>
    <col min="3076" max="3076" width="17.5703125" style="754" bestFit="1" customWidth="1"/>
    <col min="3077" max="3077" width="15.5703125" style="754" bestFit="1" customWidth="1"/>
    <col min="3078" max="3078" width="16.140625" style="754" bestFit="1" customWidth="1"/>
    <col min="3079" max="3079" width="6" style="754" bestFit="1" customWidth="1"/>
    <col min="3080" max="3080" width="16.140625" style="754" bestFit="1" customWidth="1"/>
    <col min="3081" max="3081" width="15.5703125" style="754" customWidth="1"/>
    <col min="3082" max="3082" width="17.5703125" style="754" bestFit="1" customWidth="1"/>
    <col min="3083" max="3083" width="16.7109375" style="754" customWidth="1"/>
    <col min="3084" max="3084" width="17.5703125" style="754" bestFit="1" customWidth="1"/>
    <col min="3085" max="3085" width="20" style="754" bestFit="1" customWidth="1"/>
    <col min="3086" max="3086" width="14.28515625" style="754" bestFit="1" customWidth="1"/>
    <col min="3087" max="3087" width="20" style="754" bestFit="1" customWidth="1"/>
    <col min="3088" max="3088" width="17.5703125" style="754" bestFit="1" customWidth="1"/>
    <col min="3089" max="3089" width="9.140625" style="754"/>
    <col min="3090" max="3090" width="15.5703125" style="754" bestFit="1" customWidth="1"/>
    <col min="3091" max="3091" width="18.85546875" style="754" bestFit="1" customWidth="1"/>
    <col min="3092" max="3328" width="9.140625" style="754"/>
    <col min="3329" max="3329" width="34.140625" style="754" customWidth="1"/>
    <col min="3330" max="3330" width="11.5703125" style="754" bestFit="1" customWidth="1"/>
    <col min="3331" max="3331" width="18.28515625" style="754" customWidth="1"/>
    <col min="3332" max="3332" width="17.5703125" style="754" bestFit="1" customWidth="1"/>
    <col min="3333" max="3333" width="15.5703125" style="754" bestFit="1" customWidth="1"/>
    <col min="3334" max="3334" width="16.140625" style="754" bestFit="1" customWidth="1"/>
    <col min="3335" max="3335" width="6" style="754" bestFit="1" customWidth="1"/>
    <col min="3336" max="3336" width="16.140625" style="754" bestFit="1" customWidth="1"/>
    <col min="3337" max="3337" width="15.5703125" style="754" customWidth="1"/>
    <col min="3338" max="3338" width="17.5703125" style="754" bestFit="1" customWidth="1"/>
    <col min="3339" max="3339" width="16.7109375" style="754" customWidth="1"/>
    <col min="3340" max="3340" width="17.5703125" style="754" bestFit="1" customWidth="1"/>
    <col min="3341" max="3341" width="20" style="754" bestFit="1" customWidth="1"/>
    <col min="3342" max="3342" width="14.28515625" style="754" bestFit="1" customWidth="1"/>
    <col min="3343" max="3343" width="20" style="754" bestFit="1" customWidth="1"/>
    <col min="3344" max="3344" width="17.5703125" style="754" bestFit="1" customWidth="1"/>
    <col min="3345" max="3345" width="9.140625" style="754"/>
    <col min="3346" max="3346" width="15.5703125" style="754" bestFit="1" customWidth="1"/>
    <col min="3347" max="3347" width="18.85546875" style="754" bestFit="1" customWidth="1"/>
    <col min="3348" max="3584" width="9.140625" style="754"/>
    <col min="3585" max="3585" width="34.140625" style="754" customWidth="1"/>
    <col min="3586" max="3586" width="11.5703125" style="754" bestFit="1" customWidth="1"/>
    <col min="3587" max="3587" width="18.28515625" style="754" customWidth="1"/>
    <col min="3588" max="3588" width="17.5703125" style="754" bestFit="1" customWidth="1"/>
    <col min="3589" max="3589" width="15.5703125" style="754" bestFit="1" customWidth="1"/>
    <col min="3590" max="3590" width="16.140625" style="754" bestFit="1" customWidth="1"/>
    <col min="3591" max="3591" width="6" style="754" bestFit="1" customWidth="1"/>
    <col min="3592" max="3592" width="16.140625" style="754" bestFit="1" customWidth="1"/>
    <col min="3593" max="3593" width="15.5703125" style="754" customWidth="1"/>
    <col min="3594" max="3594" width="17.5703125" style="754" bestFit="1" customWidth="1"/>
    <col min="3595" max="3595" width="16.7109375" style="754" customWidth="1"/>
    <col min="3596" max="3596" width="17.5703125" style="754" bestFit="1" customWidth="1"/>
    <col min="3597" max="3597" width="20" style="754" bestFit="1" customWidth="1"/>
    <col min="3598" max="3598" width="14.28515625" style="754" bestFit="1" customWidth="1"/>
    <col min="3599" max="3599" width="20" style="754" bestFit="1" customWidth="1"/>
    <col min="3600" max="3600" width="17.5703125" style="754" bestFit="1" customWidth="1"/>
    <col min="3601" max="3601" width="9.140625" style="754"/>
    <col min="3602" max="3602" width="15.5703125" style="754" bestFit="1" customWidth="1"/>
    <col min="3603" max="3603" width="18.85546875" style="754" bestFit="1" customWidth="1"/>
    <col min="3604" max="3840" width="9.140625" style="754"/>
    <col min="3841" max="3841" width="34.140625" style="754" customWidth="1"/>
    <col min="3842" max="3842" width="11.5703125" style="754" bestFit="1" customWidth="1"/>
    <col min="3843" max="3843" width="18.28515625" style="754" customWidth="1"/>
    <col min="3844" max="3844" width="17.5703125" style="754" bestFit="1" customWidth="1"/>
    <col min="3845" max="3845" width="15.5703125" style="754" bestFit="1" customWidth="1"/>
    <col min="3846" max="3846" width="16.140625" style="754" bestFit="1" customWidth="1"/>
    <col min="3847" max="3847" width="6" style="754" bestFit="1" customWidth="1"/>
    <col min="3848" max="3848" width="16.140625" style="754" bestFit="1" customWidth="1"/>
    <col min="3849" max="3849" width="15.5703125" style="754" customWidth="1"/>
    <col min="3850" max="3850" width="17.5703125" style="754" bestFit="1" customWidth="1"/>
    <col min="3851" max="3851" width="16.7109375" style="754" customWidth="1"/>
    <col min="3852" max="3852" width="17.5703125" style="754" bestFit="1" customWidth="1"/>
    <col min="3853" max="3853" width="20" style="754" bestFit="1" customWidth="1"/>
    <col min="3854" max="3854" width="14.28515625" style="754" bestFit="1" customWidth="1"/>
    <col min="3855" max="3855" width="20" style="754" bestFit="1" customWidth="1"/>
    <col min="3856" max="3856" width="17.5703125" style="754" bestFit="1" customWidth="1"/>
    <col min="3857" max="3857" width="9.140625" style="754"/>
    <col min="3858" max="3858" width="15.5703125" style="754" bestFit="1" customWidth="1"/>
    <col min="3859" max="3859" width="18.85546875" style="754" bestFit="1" customWidth="1"/>
    <col min="3860" max="4096" width="9.140625" style="754"/>
    <col min="4097" max="4097" width="34.140625" style="754" customWidth="1"/>
    <col min="4098" max="4098" width="11.5703125" style="754" bestFit="1" customWidth="1"/>
    <col min="4099" max="4099" width="18.28515625" style="754" customWidth="1"/>
    <col min="4100" max="4100" width="17.5703125" style="754" bestFit="1" customWidth="1"/>
    <col min="4101" max="4101" width="15.5703125" style="754" bestFit="1" customWidth="1"/>
    <col min="4102" max="4102" width="16.140625" style="754" bestFit="1" customWidth="1"/>
    <col min="4103" max="4103" width="6" style="754" bestFit="1" customWidth="1"/>
    <col min="4104" max="4104" width="16.140625" style="754" bestFit="1" customWidth="1"/>
    <col min="4105" max="4105" width="15.5703125" style="754" customWidth="1"/>
    <col min="4106" max="4106" width="17.5703125" style="754" bestFit="1" customWidth="1"/>
    <col min="4107" max="4107" width="16.7109375" style="754" customWidth="1"/>
    <col min="4108" max="4108" width="17.5703125" style="754" bestFit="1" customWidth="1"/>
    <col min="4109" max="4109" width="20" style="754" bestFit="1" customWidth="1"/>
    <col min="4110" max="4110" width="14.28515625" style="754" bestFit="1" customWidth="1"/>
    <col min="4111" max="4111" width="20" style="754" bestFit="1" customWidth="1"/>
    <col min="4112" max="4112" width="17.5703125" style="754" bestFit="1" customWidth="1"/>
    <col min="4113" max="4113" width="9.140625" style="754"/>
    <col min="4114" max="4114" width="15.5703125" style="754" bestFit="1" customWidth="1"/>
    <col min="4115" max="4115" width="18.85546875" style="754" bestFit="1" customWidth="1"/>
    <col min="4116" max="4352" width="9.140625" style="754"/>
    <col min="4353" max="4353" width="34.140625" style="754" customWidth="1"/>
    <col min="4354" max="4354" width="11.5703125" style="754" bestFit="1" customWidth="1"/>
    <col min="4355" max="4355" width="18.28515625" style="754" customWidth="1"/>
    <col min="4356" max="4356" width="17.5703125" style="754" bestFit="1" customWidth="1"/>
    <col min="4357" max="4357" width="15.5703125" style="754" bestFit="1" customWidth="1"/>
    <col min="4358" max="4358" width="16.140625" style="754" bestFit="1" customWidth="1"/>
    <col min="4359" max="4359" width="6" style="754" bestFit="1" customWidth="1"/>
    <col min="4360" max="4360" width="16.140625" style="754" bestFit="1" customWidth="1"/>
    <col min="4361" max="4361" width="15.5703125" style="754" customWidth="1"/>
    <col min="4362" max="4362" width="17.5703125" style="754" bestFit="1" customWidth="1"/>
    <col min="4363" max="4363" width="16.7109375" style="754" customWidth="1"/>
    <col min="4364" max="4364" width="17.5703125" style="754" bestFit="1" customWidth="1"/>
    <col min="4365" max="4365" width="20" style="754" bestFit="1" customWidth="1"/>
    <col min="4366" max="4366" width="14.28515625" style="754" bestFit="1" customWidth="1"/>
    <col min="4367" max="4367" width="20" style="754" bestFit="1" customWidth="1"/>
    <col min="4368" max="4368" width="17.5703125" style="754" bestFit="1" customWidth="1"/>
    <col min="4369" max="4369" width="9.140625" style="754"/>
    <col min="4370" max="4370" width="15.5703125" style="754" bestFit="1" customWidth="1"/>
    <col min="4371" max="4371" width="18.85546875" style="754" bestFit="1" customWidth="1"/>
    <col min="4372" max="4608" width="9.140625" style="754"/>
    <col min="4609" max="4609" width="34.140625" style="754" customWidth="1"/>
    <col min="4610" max="4610" width="11.5703125" style="754" bestFit="1" customWidth="1"/>
    <col min="4611" max="4611" width="18.28515625" style="754" customWidth="1"/>
    <col min="4612" max="4612" width="17.5703125" style="754" bestFit="1" customWidth="1"/>
    <col min="4613" max="4613" width="15.5703125" style="754" bestFit="1" customWidth="1"/>
    <col min="4614" max="4614" width="16.140625" style="754" bestFit="1" customWidth="1"/>
    <col min="4615" max="4615" width="6" style="754" bestFit="1" customWidth="1"/>
    <col min="4616" max="4616" width="16.140625" style="754" bestFit="1" customWidth="1"/>
    <col min="4617" max="4617" width="15.5703125" style="754" customWidth="1"/>
    <col min="4618" max="4618" width="17.5703125" style="754" bestFit="1" customWidth="1"/>
    <col min="4619" max="4619" width="16.7109375" style="754" customWidth="1"/>
    <col min="4620" max="4620" width="17.5703125" style="754" bestFit="1" customWidth="1"/>
    <col min="4621" max="4621" width="20" style="754" bestFit="1" customWidth="1"/>
    <col min="4622" max="4622" width="14.28515625" style="754" bestFit="1" customWidth="1"/>
    <col min="4623" max="4623" width="20" style="754" bestFit="1" customWidth="1"/>
    <col min="4624" max="4624" width="17.5703125" style="754" bestFit="1" customWidth="1"/>
    <col min="4625" max="4625" width="9.140625" style="754"/>
    <col min="4626" max="4626" width="15.5703125" style="754" bestFit="1" customWidth="1"/>
    <col min="4627" max="4627" width="18.85546875" style="754" bestFit="1" customWidth="1"/>
    <col min="4628" max="4864" width="9.140625" style="754"/>
    <col min="4865" max="4865" width="34.140625" style="754" customWidth="1"/>
    <col min="4866" max="4866" width="11.5703125" style="754" bestFit="1" customWidth="1"/>
    <col min="4867" max="4867" width="18.28515625" style="754" customWidth="1"/>
    <col min="4868" max="4868" width="17.5703125" style="754" bestFit="1" customWidth="1"/>
    <col min="4869" max="4869" width="15.5703125" style="754" bestFit="1" customWidth="1"/>
    <col min="4870" max="4870" width="16.140625" style="754" bestFit="1" customWidth="1"/>
    <col min="4871" max="4871" width="6" style="754" bestFit="1" customWidth="1"/>
    <col min="4872" max="4872" width="16.140625" style="754" bestFit="1" customWidth="1"/>
    <col min="4873" max="4873" width="15.5703125" style="754" customWidth="1"/>
    <col min="4874" max="4874" width="17.5703125" style="754" bestFit="1" customWidth="1"/>
    <col min="4875" max="4875" width="16.7109375" style="754" customWidth="1"/>
    <col min="4876" max="4876" width="17.5703125" style="754" bestFit="1" customWidth="1"/>
    <col min="4877" max="4877" width="20" style="754" bestFit="1" customWidth="1"/>
    <col min="4878" max="4878" width="14.28515625" style="754" bestFit="1" customWidth="1"/>
    <col min="4879" max="4879" width="20" style="754" bestFit="1" customWidth="1"/>
    <col min="4880" max="4880" width="17.5703125" style="754" bestFit="1" customWidth="1"/>
    <col min="4881" max="4881" width="9.140625" style="754"/>
    <col min="4882" max="4882" width="15.5703125" style="754" bestFit="1" customWidth="1"/>
    <col min="4883" max="4883" width="18.85546875" style="754" bestFit="1" customWidth="1"/>
    <col min="4884" max="5120" width="9.140625" style="754"/>
    <col min="5121" max="5121" width="34.140625" style="754" customWidth="1"/>
    <col min="5122" max="5122" width="11.5703125" style="754" bestFit="1" customWidth="1"/>
    <col min="5123" max="5123" width="18.28515625" style="754" customWidth="1"/>
    <col min="5124" max="5124" width="17.5703125" style="754" bestFit="1" customWidth="1"/>
    <col min="5125" max="5125" width="15.5703125" style="754" bestFit="1" customWidth="1"/>
    <col min="5126" max="5126" width="16.140625" style="754" bestFit="1" customWidth="1"/>
    <col min="5127" max="5127" width="6" style="754" bestFit="1" customWidth="1"/>
    <col min="5128" max="5128" width="16.140625" style="754" bestFit="1" customWidth="1"/>
    <col min="5129" max="5129" width="15.5703125" style="754" customWidth="1"/>
    <col min="5130" max="5130" width="17.5703125" style="754" bestFit="1" customWidth="1"/>
    <col min="5131" max="5131" width="16.7109375" style="754" customWidth="1"/>
    <col min="5132" max="5132" width="17.5703125" style="754" bestFit="1" customWidth="1"/>
    <col min="5133" max="5133" width="20" style="754" bestFit="1" customWidth="1"/>
    <col min="5134" max="5134" width="14.28515625" style="754" bestFit="1" customWidth="1"/>
    <col min="5135" max="5135" width="20" style="754" bestFit="1" customWidth="1"/>
    <col min="5136" max="5136" width="17.5703125" style="754" bestFit="1" customWidth="1"/>
    <col min="5137" max="5137" width="9.140625" style="754"/>
    <col min="5138" max="5138" width="15.5703125" style="754" bestFit="1" customWidth="1"/>
    <col min="5139" max="5139" width="18.85546875" style="754" bestFit="1" customWidth="1"/>
    <col min="5140" max="5376" width="9.140625" style="754"/>
    <col min="5377" max="5377" width="34.140625" style="754" customWidth="1"/>
    <col min="5378" max="5378" width="11.5703125" style="754" bestFit="1" customWidth="1"/>
    <col min="5379" max="5379" width="18.28515625" style="754" customWidth="1"/>
    <col min="5380" max="5380" width="17.5703125" style="754" bestFit="1" customWidth="1"/>
    <col min="5381" max="5381" width="15.5703125" style="754" bestFit="1" customWidth="1"/>
    <col min="5382" max="5382" width="16.140625" style="754" bestFit="1" customWidth="1"/>
    <col min="5383" max="5383" width="6" style="754" bestFit="1" customWidth="1"/>
    <col min="5384" max="5384" width="16.140625" style="754" bestFit="1" customWidth="1"/>
    <col min="5385" max="5385" width="15.5703125" style="754" customWidth="1"/>
    <col min="5386" max="5386" width="17.5703125" style="754" bestFit="1" customWidth="1"/>
    <col min="5387" max="5387" width="16.7109375" style="754" customWidth="1"/>
    <col min="5388" max="5388" width="17.5703125" style="754" bestFit="1" customWidth="1"/>
    <col min="5389" max="5389" width="20" style="754" bestFit="1" customWidth="1"/>
    <col min="5390" max="5390" width="14.28515625" style="754" bestFit="1" customWidth="1"/>
    <col min="5391" max="5391" width="20" style="754" bestFit="1" customWidth="1"/>
    <col min="5392" max="5392" width="17.5703125" style="754" bestFit="1" customWidth="1"/>
    <col min="5393" max="5393" width="9.140625" style="754"/>
    <col min="5394" max="5394" width="15.5703125" style="754" bestFit="1" customWidth="1"/>
    <col min="5395" max="5395" width="18.85546875" style="754" bestFit="1" customWidth="1"/>
    <col min="5396" max="5632" width="9.140625" style="754"/>
    <col min="5633" max="5633" width="34.140625" style="754" customWidth="1"/>
    <col min="5634" max="5634" width="11.5703125" style="754" bestFit="1" customWidth="1"/>
    <col min="5635" max="5635" width="18.28515625" style="754" customWidth="1"/>
    <col min="5636" max="5636" width="17.5703125" style="754" bestFit="1" customWidth="1"/>
    <col min="5637" max="5637" width="15.5703125" style="754" bestFit="1" customWidth="1"/>
    <col min="5638" max="5638" width="16.140625" style="754" bestFit="1" customWidth="1"/>
    <col min="5639" max="5639" width="6" style="754" bestFit="1" customWidth="1"/>
    <col min="5640" max="5640" width="16.140625" style="754" bestFit="1" customWidth="1"/>
    <col min="5641" max="5641" width="15.5703125" style="754" customWidth="1"/>
    <col min="5642" max="5642" width="17.5703125" style="754" bestFit="1" customWidth="1"/>
    <col min="5643" max="5643" width="16.7109375" style="754" customWidth="1"/>
    <col min="5644" max="5644" width="17.5703125" style="754" bestFit="1" customWidth="1"/>
    <col min="5645" max="5645" width="20" style="754" bestFit="1" customWidth="1"/>
    <col min="5646" max="5646" width="14.28515625" style="754" bestFit="1" customWidth="1"/>
    <col min="5647" max="5647" width="20" style="754" bestFit="1" customWidth="1"/>
    <col min="5648" max="5648" width="17.5703125" style="754" bestFit="1" customWidth="1"/>
    <col min="5649" max="5649" width="9.140625" style="754"/>
    <col min="5650" max="5650" width="15.5703125" style="754" bestFit="1" customWidth="1"/>
    <col min="5651" max="5651" width="18.85546875" style="754" bestFit="1" customWidth="1"/>
    <col min="5652" max="5888" width="9.140625" style="754"/>
    <col min="5889" max="5889" width="34.140625" style="754" customWidth="1"/>
    <col min="5890" max="5890" width="11.5703125" style="754" bestFit="1" customWidth="1"/>
    <col min="5891" max="5891" width="18.28515625" style="754" customWidth="1"/>
    <col min="5892" max="5892" width="17.5703125" style="754" bestFit="1" customWidth="1"/>
    <col min="5893" max="5893" width="15.5703125" style="754" bestFit="1" customWidth="1"/>
    <col min="5894" max="5894" width="16.140625" style="754" bestFit="1" customWidth="1"/>
    <col min="5895" max="5895" width="6" style="754" bestFit="1" customWidth="1"/>
    <col min="5896" max="5896" width="16.140625" style="754" bestFit="1" customWidth="1"/>
    <col min="5897" max="5897" width="15.5703125" style="754" customWidth="1"/>
    <col min="5898" max="5898" width="17.5703125" style="754" bestFit="1" customWidth="1"/>
    <col min="5899" max="5899" width="16.7109375" style="754" customWidth="1"/>
    <col min="5900" max="5900" width="17.5703125" style="754" bestFit="1" customWidth="1"/>
    <col min="5901" max="5901" width="20" style="754" bestFit="1" customWidth="1"/>
    <col min="5902" max="5902" width="14.28515625" style="754" bestFit="1" customWidth="1"/>
    <col min="5903" max="5903" width="20" style="754" bestFit="1" customWidth="1"/>
    <col min="5904" max="5904" width="17.5703125" style="754" bestFit="1" customWidth="1"/>
    <col min="5905" max="5905" width="9.140625" style="754"/>
    <col min="5906" max="5906" width="15.5703125" style="754" bestFit="1" customWidth="1"/>
    <col min="5907" max="5907" width="18.85546875" style="754" bestFit="1" customWidth="1"/>
    <col min="5908" max="6144" width="9.140625" style="754"/>
    <col min="6145" max="6145" width="34.140625" style="754" customWidth="1"/>
    <col min="6146" max="6146" width="11.5703125" style="754" bestFit="1" customWidth="1"/>
    <col min="6147" max="6147" width="18.28515625" style="754" customWidth="1"/>
    <col min="6148" max="6148" width="17.5703125" style="754" bestFit="1" customWidth="1"/>
    <col min="6149" max="6149" width="15.5703125" style="754" bestFit="1" customWidth="1"/>
    <col min="6150" max="6150" width="16.140625" style="754" bestFit="1" customWidth="1"/>
    <col min="6151" max="6151" width="6" style="754" bestFit="1" customWidth="1"/>
    <col min="6152" max="6152" width="16.140625" style="754" bestFit="1" customWidth="1"/>
    <col min="6153" max="6153" width="15.5703125" style="754" customWidth="1"/>
    <col min="6154" max="6154" width="17.5703125" style="754" bestFit="1" customWidth="1"/>
    <col min="6155" max="6155" width="16.7109375" style="754" customWidth="1"/>
    <col min="6156" max="6156" width="17.5703125" style="754" bestFit="1" customWidth="1"/>
    <col min="6157" max="6157" width="20" style="754" bestFit="1" customWidth="1"/>
    <col min="6158" max="6158" width="14.28515625" style="754" bestFit="1" customWidth="1"/>
    <col min="6159" max="6159" width="20" style="754" bestFit="1" customWidth="1"/>
    <col min="6160" max="6160" width="17.5703125" style="754" bestFit="1" customWidth="1"/>
    <col min="6161" max="6161" width="9.140625" style="754"/>
    <col min="6162" max="6162" width="15.5703125" style="754" bestFit="1" customWidth="1"/>
    <col min="6163" max="6163" width="18.85546875" style="754" bestFit="1" customWidth="1"/>
    <col min="6164" max="6400" width="9.140625" style="754"/>
    <col min="6401" max="6401" width="34.140625" style="754" customWidth="1"/>
    <col min="6402" max="6402" width="11.5703125" style="754" bestFit="1" customWidth="1"/>
    <col min="6403" max="6403" width="18.28515625" style="754" customWidth="1"/>
    <col min="6404" max="6404" width="17.5703125" style="754" bestFit="1" customWidth="1"/>
    <col min="6405" max="6405" width="15.5703125" style="754" bestFit="1" customWidth="1"/>
    <col min="6406" max="6406" width="16.140625" style="754" bestFit="1" customWidth="1"/>
    <col min="6407" max="6407" width="6" style="754" bestFit="1" customWidth="1"/>
    <col min="6408" max="6408" width="16.140625" style="754" bestFit="1" customWidth="1"/>
    <col min="6409" max="6409" width="15.5703125" style="754" customWidth="1"/>
    <col min="6410" max="6410" width="17.5703125" style="754" bestFit="1" customWidth="1"/>
    <col min="6411" max="6411" width="16.7109375" style="754" customWidth="1"/>
    <col min="6412" max="6412" width="17.5703125" style="754" bestFit="1" customWidth="1"/>
    <col min="6413" max="6413" width="20" style="754" bestFit="1" customWidth="1"/>
    <col min="6414" max="6414" width="14.28515625" style="754" bestFit="1" customWidth="1"/>
    <col min="6415" max="6415" width="20" style="754" bestFit="1" customWidth="1"/>
    <col min="6416" max="6416" width="17.5703125" style="754" bestFit="1" customWidth="1"/>
    <col min="6417" max="6417" width="9.140625" style="754"/>
    <col min="6418" max="6418" width="15.5703125" style="754" bestFit="1" customWidth="1"/>
    <col min="6419" max="6419" width="18.85546875" style="754" bestFit="1" customWidth="1"/>
    <col min="6420" max="6656" width="9.140625" style="754"/>
    <col min="6657" max="6657" width="34.140625" style="754" customWidth="1"/>
    <col min="6658" max="6658" width="11.5703125" style="754" bestFit="1" customWidth="1"/>
    <col min="6659" max="6659" width="18.28515625" style="754" customWidth="1"/>
    <col min="6660" max="6660" width="17.5703125" style="754" bestFit="1" customWidth="1"/>
    <col min="6661" max="6661" width="15.5703125" style="754" bestFit="1" customWidth="1"/>
    <col min="6662" max="6662" width="16.140625" style="754" bestFit="1" customWidth="1"/>
    <col min="6663" max="6663" width="6" style="754" bestFit="1" customWidth="1"/>
    <col min="6664" max="6664" width="16.140625" style="754" bestFit="1" customWidth="1"/>
    <col min="6665" max="6665" width="15.5703125" style="754" customWidth="1"/>
    <col min="6666" max="6666" width="17.5703125" style="754" bestFit="1" customWidth="1"/>
    <col min="6667" max="6667" width="16.7109375" style="754" customWidth="1"/>
    <col min="6668" max="6668" width="17.5703125" style="754" bestFit="1" customWidth="1"/>
    <col min="6669" max="6669" width="20" style="754" bestFit="1" customWidth="1"/>
    <col min="6670" max="6670" width="14.28515625" style="754" bestFit="1" customWidth="1"/>
    <col min="6671" max="6671" width="20" style="754" bestFit="1" customWidth="1"/>
    <col min="6672" max="6672" width="17.5703125" style="754" bestFit="1" customWidth="1"/>
    <col min="6673" max="6673" width="9.140625" style="754"/>
    <col min="6674" max="6674" width="15.5703125" style="754" bestFit="1" customWidth="1"/>
    <col min="6675" max="6675" width="18.85546875" style="754" bestFit="1" customWidth="1"/>
    <col min="6676" max="6912" width="9.140625" style="754"/>
    <col min="6913" max="6913" width="34.140625" style="754" customWidth="1"/>
    <col min="6914" max="6914" width="11.5703125" style="754" bestFit="1" customWidth="1"/>
    <col min="6915" max="6915" width="18.28515625" style="754" customWidth="1"/>
    <col min="6916" max="6916" width="17.5703125" style="754" bestFit="1" customWidth="1"/>
    <col min="6917" max="6917" width="15.5703125" style="754" bestFit="1" customWidth="1"/>
    <col min="6918" max="6918" width="16.140625" style="754" bestFit="1" customWidth="1"/>
    <col min="6919" max="6919" width="6" style="754" bestFit="1" customWidth="1"/>
    <col min="6920" max="6920" width="16.140625" style="754" bestFit="1" customWidth="1"/>
    <col min="6921" max="6921" width="15.5703125" style="754" customWidth="1"/>
    <col min="6922" max="6922" width="17.5703125" style="754" bestFit="1" customWidth="1"/>
    <col min="6923" max="6923" width="16.7109375" style="754" customWidth="1"/>
    <col min="6924" max="6924" width="17.5703125" style="754" bestFit="1" customWidth="1"/>
    <col min="6925" max="6925" width="20" style="754" bestFit="1" customWidth="1"/>
    <col min="6926" max="6926" width="14.28515625" style="754" bestFit="1" customWidth="1"/>
    <col min="6927" max="6927" width="20" style="754" bestFit="1" customWidth="1"/>
    <col min="6928" max="6928" width="17.5703125" style="754" bestFit="1" customWidth="1"/>
    <col min="6929" max="6929" width="9.140625" style="754"/>
    <col min="6930" max="6930" width="15.5703125" style="754" bestFit="1" customWidth="1"/>
    <col min="6931" max="6931" width="18.85546875" style="754" bestFit="1" customWidth="1"/>
    <col min="6932" max="7168" width="9.140625" style="754"/>
    <col min="7169" max="7169" width="34.140625" style="754" customWidth="1"/>
    <col min="7170" max="7170" width="11.5703125" style="754" bestFit="1" customWidth="1"/>
    <col min="7171" max="7171" width="18.28515625" style="754" customWidth="1"/>
    <col min="7172" max="7172" width="17.5703125" style="754" bestFit="1" customWidth="1"/>
    <col min="7173" max="7173" width="15.5703125" style="754" bestFit="1" customWidth="1"/>
    <col min="7174" max="7174" width="16.140625" style="754" bestFit="1" customWidth="1"/>
    <col min="7175" max="7175" width="6" style="754" bestFit="1" customWidth="1"/>
    <col min="7176" max="7176" width="16.140625" style="754" bestFit="1" customWidth="1"/>
    <col min="7177" max="7177" width="15.5703125" style="754" customWidth="1"/>
    <col min="7178" max="7178" width="17.5703125" style="754" bestFit="1" customWidth="1"/>
    <col min="7179" max="7179" width="16.7109375" style="754" customWidth="1"/>
    <col min="7180" max="7180" width="17.5703125" style="754" bestFit="1" customWidth="1"/>
    <col min="7181" max="7181" width="20" style="754" bestFit="1" customWidth="1"/>
    <col min="7182" max="7182" width="14.28515625" style="754" bestFit="1" customWidth="1"/>
    <col min="7183" max="7183" width="20" style="754" bestFit="1" customWidth="1"/>
    <col min="7184" max="7184" width="17.5703125" style="754" bestFit="1" customWidth="1"/>
    <col min="7185" max="7185" width="9.140625" style="754"/>
    <col min="7186" max="7186" width="15.5703125" style="754" bestFit="1" customWidth="1"/>
    <col min="7187" max="7187" width="18.85546875" style="754" bestFit="1" customWidth="1"/>
    <col min="7188" max="7424" width="9.140625" style="754"/>
    <col min="7425" max="7425" width="34.140625" style="754" customWidth="1"/>
    <col min="7426" max="7426" width="11.5703125" style="754" bestFit="1" customWidth="1"/>
    <col min="7427" max="7427" width="18.28515625" style="754" customWidth="1"/>
    <col min="7428" max="7428" width="17.5703125" style="754" bestFit="1" customWidth="1"/>
    <col min="7429" max="7429" width="15.5703125" style="754" bestFit="1" customWidth="1"/>
    <col min="7430" max="7430" width="16.140625" style="754" bestFit="1" customWidth="1"/>
    <col min="7431" max="7431" width="6" style="754" bestFit="1" customWidth="1"/>
    <col min="7432" max="7432" width="16.140625" style="754" bestFit="1" customWidth="1"/>
    <col min="7433" max="7433" width="15.5703125" style="754" customWidth="1"/>
    <col min="7434" max="7434" width="17.5703125" style="754" bestFit="1" customWidth="1"/>
    <col min="7435" max="7435" width="16.7109375" style="754" customWidth="1"/>
    <col min="7436" max="7436" width="17.5703125" style="754" bestFit="1" customWidth="1"/>
    <col min="7437" max="7437" width="20" style="754" bestFit="1" customWidth="1"/>
    <col min="7438" max="7438" width="14.28515625" style="754" bestFit="1" customWidth="1"/>
    <col min="7439" max="7439" width="20" style="754" bestFit="1" customWidth="1"/>
    <col min="7440" max="7440" width="17.5703125" style="754" bestFit="1" customWidth="1"/>
    <col min="7441" max="7441" width="9.140625" style="754"/>
    <col min="7442" max="7442" width="15.5703125" style="754" bestFit="1" customWidth="1"/>
    <col min="7443" max="7443" width="18.85546875" style="754" bestFit="1" customWidth="1"/>
    <col min="7444" max="7680" width="9.140625" style="754"/>
    <col min="7681" max="7681" width="34.140625" style="754" customWidth="1"/>
    <col min="7682" max="7682" width="11.5703125" style="754" bestFit="1" customWidth="1"/>
    <col min="7683" max="7683" width="18.28515625" style="754" customWidth="1"/>
    <col min="7684" max="7684" width="17.5703125" style="754" bestFit="1" customWidth="1"/>
    <col min="7685" max="7685" width="15.5703125" style="754" bestFit="1" customWidth="1"/>
    <col min="7686" max="7686" width="16.140625" style="754" bestFit="1" customWidth="1"/>
    <col min="7687" max="7687" width="6" style="754" bestFit="1" customWidth="1"/>
    <col min="7688" max="7688" width="16.140625" style="754" bestFit="1" customWidth="1"/>
    <col min="7689" max="7689" width="15.5703125" style="754" customWidth="1"/>
    <col min="7690" max="7690" width="17.5703125" style="754" bestFit="1" customWidth="1"/>
    <col min="7691" max="7691" width="16.7109375" style="754" customWidth="1"/>
    <col min="7692" max="7692" width="17.5703125" style="754" bestFit="1" customWidth="1"/>
    <col min="7693" max="7693" width="20" style="754" bestFit="1" customWidth="1"/>
    <col min="7694" max="7694" width="14.28515625" style="754" bestFit="1" customWidth="1"/>
    <col min="7695" max="7695" width="20" style="754" bestFit="1" customWidth="1"/>
    <col min="7696" max="7696" width="17.5703125" style="754" bestFit="1" customWidth="1"/>
    <col min="7697" max="7697" width="9.140625" style="754"/>
    <col min="7698" max="7698" width="15.5703125" style="754" bestFit="1" customWidth="1"/>
    <col min="7699" max="7699" width="18.85546875" style="754" bestFit="1" customWidth="1"/>
    <col min="7700" max="7936" width="9.140625" style="754"/>
    <col min="7937" max="7937" width="34.140625" style="754" customWidth="1"/>
    <col min="7938" max="7938" width="11.5703125" style="754" bestFit="1" customWidth="1"/>
    <col min="7939" max="7939" width="18.28515625" style="754" customWidth="1"/>
    <col min="7940" max="7940" width="17.5703125" style="754" bestFit="1" customWidth="1"/>
    <col min="7941" max="7941" width="15.5703125" style="754" bestFit="1" customWidth="1"/>
    <col min="7942" max="7942" width="16.140625" style="754" bestFit="1" customWidth="1"/>
    <col min="7943" max="7943" width="6" style="754" bestFit="1" customWidth="1"/>
    <col min="7944" max="7944" width="16.140625" style="754" bestFit="1" customWidth="1"/>
    <col min="7945" max="7945" width="15.5703125" style="754" customWidth="1"/>
    <col min="7946" max="7946" width="17.5703125" style="754" bestFit="1" customWidth="1"/>
    <col min="7947" max="7947" width="16.7109375" style="754" customWidth="1"/>
    <col min="7948" max="7948" width="17.5703125" style="754" bestFit="1" customWidth="1"/>
    <col min="7949" max="7949" width="20" style="754" bestFit="1" customWidth="1"/>
    <col min="7950" max="7950" width="14.28515625" style="754" bestFit="1" customWidth="1"/>
    <col min="7951" max="7951" width="20" style="754" bestFit="1" customWidth="1"/>
    <col min="7952" max="7952" width="17.5703125" style="754" bestFit="1" customWidth="1"/>
    <col min="7953" max="7953" width="9.140625" style="754"/>
    <col min="7954" max="7954" width="15.5703125" style="754" bestFit="1" customWidth="1"/>
    <col min="7955" max="7955" width="18.85546875" style="754" bestFit="1" customWidth="1"/>
    <col min="7956" max="8192" width="9.140625" style="754"/>
    <col min="8193" max="8193" width="34.140625" style="754" customWidth="1"/>
    <col min="8194" max="8194" width="11.5703125" style="754" bestFit="1" customWidth="1"/>
    <col min="8195" max="8195" width="18.28515625" style="754" customWidth="1"/>
    <col min="8196" max="8196" width="17.5703125" style="754" bestFit="1" customWidth="1"/>
    <col min="8197" max="8197" width="15.5703125" style="754" bestFit="1" customWidth="1"/>
    <col min="8198" max="8198" width="16.140625" style="754" bestFit="1" customWidth="1"/>
    <col min="8199" max="8199" width="6" style="754" bestFit="1" customWidth="1"/>
    <col min="8200" max="8200" width="16.140625" style="754" bestFit="1" customWidth="1"/>
    <col min="8201" max="8201" width="15.5703125" style="754" customWidth="1"/>
    <col min="8202" max="8202" width="17.5703125" style="754" bestFit="1" customWidth="1"/>
    <col min="8203" max="8203" width="16.7109375" style="754" customWidth="1"/>
    <col min="8204" max="8204" width="17.5703125" style="754" bestFit="1" customWidth="1"/>
    <col min="8205" max="8205" width="20" style="754" bestFit="1" customWidth="1"/>
    <col min="8206" max="8206" width="14.28515625" style="754" bestFit="1" customWidth="1"/>
    <col min="8207" max="8207" width="20" style="754" bestFit="1" customWidth="1"/>
    <col min="8208" max="8208" width="17.5703125" style="754" bestFit="1" customWidth="1"/>
    <col min="8209" max="8209" width="9.140625" style="754"/>
    <col min="8210" max="8210" width="15.5703125" style="754" bestFit="1" customWidth="1"/>
    <col min="8211" max="8211" width="18.85546875" style="754" bestFit="1" customWidth="1"/>
    <col min="8212" max="8448" width="9.140625" style="754"/>
    <col min="8449" max="8449" width="34.140625" style="754" customWidth="1"/>
    <col min="8450" max="8450" width="11.5703125" style="754" bestFit="1" customWidth="1"/>
    <col min="8451" max="8451" width="18.28515625" style="754" customWidth="1"/>
    <col min="8452" max="8452" width="17.5703125" style="754" bestFit="1" customWidth="1"/>
    <col min="8453" max="8453" width="15.5703125" style="754" bestFit="1" customWidth="1"/>
    <col min="8454" max="8454" width="16.140625" style="754" bestFit="1" customWidth="1"/>
    <col min="8455" max="8455" width="6" style="754" bestFit="1" customWidth="1"/>
    <col min="8456" max="8456" width="16.140625" style="754" bestFit="1" customWidth="1"/>
    <col min="8457" max="8457" width="15.5703125" style="754" customWidth="1"/>
    <col min="8458" max="8458" width="17.5703125" style="754" bestFit="1" customWidth="1"/>
    <col min="8459" max="8459" width="16.7109375" style="754" customWidth="1"/>
    <col min="8460" max="8460" width="17.5703125" style="754" bestFit="1" customWidth="1"/>
    <col min="8461" max="8461" width="20" style="754" bestFit="1" customWidth="1"/>
    <col min="8462" max="8462" width="14.28515625" style="754" bestFit="1" customWidth="1"/>
    <col min="8463" max="8463" width="20" style="754" bestFit="1" customWidth="1"/>
    <col min="8464" max="8464" width="17.5703125" style="754" bestFit="1" customWidth="1"/>
    <col min="8465" max="8465" width="9.140625" style="754"/>
    <col min="8466" max="8466" width="15.5703125" style="754" bestFit="1" customWidth="1"/>
    <col min="8467" max="8467" width="18.85546875" style="754" bestFit="1" customWidth="1"/>
    <col min="8468" max="8704" width="9.140625" style="754"/>
    <col min="8705" max="8705" width="34.140625" style="754" customWidth="1"/>
    <col min="8706" max="8706" width="11.5703125" style="754" bestFit="1" customWidth="1"/>
    <col min="8707" max="8707" width="18.28515625" style="754" customWidth="1"/>
    <col min="8708" max="8708" width="17.5703125" style="754" bestFit="1" customWidth="1"/>
    <col min="8709" max="8709" width="15.5703125" style="754" bestFit="1" customWidth="1"/>
    <col min="8710" max="8710" width="16.140625" style="754" bestFit="1" customWidth="1"/>
    <col min="8711" max="8711" width="6" style="754" bestFit="1" customWidth="1"/>
    <col min="8712" max="8712" width="16.140625" style="754" bestFit="1" customWidth="1"/>
    <col min="8713" max="8713" width="15.5703125" style="754" customWidth="1"/>
    <col min="8714" max="8714" width="17.5703125" style="754" bestFit="1" customWidth="1"/>
    <col min="8715" max="8715" width="16.7109375" style="754" customWidth="1"/>
    <col min="8716" max="8716" width="17.5703125" style="754" bestFit="1" customWidth="1"/>
    <col min="8717" max="8717" width="20" style="754" bestFit="1" customWidth="1"/>
    <col min="8718" max="8718" width="14.28515625" style="754" bestFit="1" customWidth="1"/>
    <col min="8719" max="8719" width="20" style="754" bestFit="1" customWidth="1"/>
    <col min="8720" max="8720" width="17.5703125" style="754" bestFit="1" customWidth="1"/>
    <col min="8721" max="8721" width="9.140625" style="754"/>
    <col min="8722" max="8722" width="15.5703125" style="754" bestFit="1" customWidth="1"/>
    <col min="8723" max="8723" width="18.85546875" style="754" bestFit="1" customWidth="1"/>
    <col min="8724" max="8960" width="9.140625" style="754"/>
    <col min="8961" max="8961" width="34.140625" style="754" customWidth="1"/>
    <col min="8962" max="8962" width="11.5703125" style="754" bestFit="1" customWidth="1"/>
    <col min="8963" max="8963" width="18.28515625" style="754" customWidth="1"/>
    <col min="8964" max="8964" width="17.5703125" style="754" bestFit="1" customWidth="1"/>
    <col min="8965" max="8965" width="15.5703125" style="754" bestFit="1" customWidth="1"/>
    <col min="8966" max="8966" width="16.140625" style="754" bestFit="1" customWidth="1"/>
    <col min="8967" max="8967" width="6" style="754" bestFit="1" customWidth="1"/>
    <col min="8968" max="8968" width="16.140625" style="754" bestFit="1" customWidth="1"/>
    <col min="8969" max="8969" width="15.5703125" style="754" customWidth="1"/>
    <col min="8970" max="8970" width="17.5703125" style="754" bestFit="1" customWidth="1"/>
    <col min="8971" max="8971" width="16.7109375" style="754" customWidth="1"/>
    <col min="8972" max="8972" width="17.5703125" style="754" bestFit="1" customWidth="1"/>
    <col min="8973" max="8973" width="20" style="754" bestFit="1" customWidth="1"/>
    <col min="8974" max="8974" width="14.28515625" style="754" bestFit="1" customWidth="1"/>
    <col min="8975" max="8975" width="20" style="754" bestFit="1" customWidth="1"/>
    <col min="8976" max="8976" width="17.5703125" style="754" bestFit="1" customWidth="1"/>
    <col min="8977" max="8977" width="9.140625" style="754"/>
    <col min="8978" max="8978" width="15.5703125" style="754" bestFit="1" customWidth="1"/>
    <col min="8979" max="8979" width="18.85546875" style="754" bestFit="1" customWidth="1"/>
    <col min="8980" max="9216" width="9.140625" style="754"/>
    <col min="9217" max="9217" width="34.140625" style="754" customWidth="1"/>
    <col min="9218" max="9218" width="11.5703125" style="754" bestFit="1" customWidth="1"/>
    <col min="9219" max="9219" width="18.28515625" style="754" customWidth="1"/>
    <col min="9220" max="9220" width="17.5703125" style="754" bestFit="1" customWidth="1"/>
    <col min="9221" max="9221" width="15.5703125" style="754" bestFit="1" customWidth="1"/>
    <col min="9222" max="9222" width="16.140625" style="754" bestFit="1" customWidth="1"/>
    <col min="9223" max="9223" width="6" style="754" bestFit="1" customWidth="1"/>
    <col min="9224" max="9224" width="16.140625" style="754" bestFit="1" customWidth="1"/>
    <col min="9225" max="9225" width="15.5703125" style="754" customWidth="1"/>
    <col min="9226" max="9226" width="17.5703125" style="754" bestFit="1" customWidth="1"/>
    <col min="9227" max="9227" width="16.7109375" style="754" customWidth="1"/>
    <col min="9228" max="9228" width="17.5703125" style="754" bestFit="1" customWidth="1"/>
    <col min="9229" max="9229" width="20" style="754" bestFit="1" customWidth="1"/>
    <col min="9230" max="9230" width="14.28515625" style="754" bestFit="1" customWidth="1"/>
    <col min="9231" max="9231" width="20" style="754" bestFit="1" customWidth="1"/>
    <col min="9232" max="9232" width="17.5703125" style="754" bestFit="1" customWidth="1"/>
    <col min="9233" max="9233" width="9.140625" style="754"/>
    <col min="9234" max="9234" width="15.5703125" style="754" bestFit="1" customWidth="1"/>
    <col min="9235" max="9235" width="18.85546875" style="754" bestFit="1" customWidth="1"/>
    <col min="9236" max="9472" width="9.140625" style="754"/>
    <col min="9473" max="9473" width="34.140625" style="754" customWidth="1"/>
    <col min="9474" max="9474" width="11.5703125" style="754" bestFit="1" customWidth="1"/>
    <col min="9475" max="9475" width="18.28515625" style="754" customWidth="1"/>
    <col min="9476" max="9476" width="17.5703125" style="754" bestFit="1" customWidth="1"/>
    <col min="9477" max="9477" width="15.5703125" style="754" bestFit="1" customWidth="1"/>
    <col min="9478" max="9478" width="16.140625" style="754" bestFit="1" customWidth="1"/>
    <col min="9479" max="9479" width="6" style="754" bestFit="1" customWidth="1"/>
    <col min="9480" max="9480" width="16.140625" style="754" bestFit="1" customWidth="1"/>
    <col min="9481" max="9481" width="15.5703125" style="754" customWidth="1"/>
    <col min="9482" max="9482" width="17.5703125" style="754" bestFit="1" customWidth="1"/>
    <col min="9483" max="9483" width="16.7109375" style="754" customWidth="1"/>
    <col min="9484" max="9484" width="17.5703125" style="754" bestFit="1" customWidth="1"/>
    <col min="9485" max="9485" width="20" style="754" bestFit="1" customWidth="1"/>
    <col min="9486" max="9486" width="14.28515625" style="754" bestFit="1" customWidth="1"/>
    <col min="9487" max="9487" width="20" style="754" bestFit="1" customWidth="1"/>
    <col min="9488" max="9488" width="17.5703125" style="754" bestFit="1" customWidth="1"/>
    <col min="9489" max="9489" width="9.140625" style="754"/>
    <col min="9490" max="9490" width="15.5703125" style="754" bestFit="1" customWidth="1"/>
    <col min="9491" max="9491" width="18.85546875" style="754" bestFit="1" customWidth="1"/>
    <col min="9492" max="9728" width="9.140625" style="754"/>
    <col min="9729" max="9729" width="34.140625" style="754" customWidth="1"/>
    <col min="9730" max="9730" width="11.5703125" style="754" bestFit="1" customWidth="1"/>
    <col min="9731" max="9731" width="18.28515625" style="754" customWidth="1"/>
    <col min="9732" max="9732" width="17.5703125" style="754" bestFit="1" customWidth="1"/>
    <col min="9733" max="9733" width="15.5703125" style="754" bestFit="1" customWidth="1"/>
    <col min="9734" max="9734" width="16.140625" style="754" bestFit="1" customWidth="1"/>
    <col min="9735" max="9735" width="6" style="754" bestFit="1" customWidth="1"/>
    <col min="9736" max="9736" width="16.140625" style="754" bestFit="1" customWidth="1"/>
    <col min="9737" max="9737" width="15.5703125" style="754" customWidth="1"/>
    <col min="9738" max="9738" width="17.5703125" style="754" bestFit="1" customWidth="1"/>
    <col min="9739" max="9739" width="16.7109375" style="754" customWidth="1"/>
    <col min="9740" max="9740" width="17.5703125" style="754" bestFit="1" customWidth="1"/>
    <col min="9741" max="9741" width="20" style="754" bestFit="1" customWidth="1"/>
    <col min="9742" max="9742" width="14.28515625" style="754" bestFit="1" customWidth="1"/>
    <col min="9743" max="9743" width="20" style="754" bestFit="1" customWidth="1"/>
    <col min="9744" max="9744" width="17.5703125" style="754" bestFit="1" customWidth="1"/>
    <col min="9745" max="9745" width="9.140625" style="754"/>
    <col min="9746" max="9746" width="15.5703125" style="754" bestFit="1" customWidth="1"/>
    <col min="9747" max="9747" width="18.85546875" style="754" bestFit="1" customWidth="1"/>
    <col min="9748" max="9984" width="9.140625" style="754"/>
    <col min="9985" max="9985" width="34.140625" style="754" customWidth="1"/>
    <col min="9986" max="9986" width="11.5703125" style="754" bestFit="1" customWidth="1"/>
    <col min="9987" max="9987" width="18.28515625" style="754" customWidth="1"/>
    <col min="9988" max="9988" width="17.5703125" style="754" bestFit="1" customWidth="1"/>
    <col min="9989" max="9989" width="15.5703125" style="754" bestFit="1" customWidth="1"/>
    <col min="9990" max="9990" width="16.140625" style="754" bestFit="1" customWidth="1"/>
    <col min="9991" max="9991" width="6" style="754" bestFit="1" customWidth="1"/>
    <col min="9992" max="9992" width="16.140625" style="754" bestFit="1" customWidth="1"/>
    <col min="9993" max="9993" width="15.5703125" style="754" customWidth="1"/>
    <col min="9994" max="9994" width="17.5703125" style="754" bestFit="1" customWidth="1"/>
    <col min="9995" max="9995" width="16.7109375" style="754" customWidth="1"/>
    <col min="9996" max="9996" width="17.5703125" style="754" bestFit="1" customWidth="1"/>
    <col min="9997" max="9997" width="20" style="754" bestFit="1" customWidth="1"/>
    <col min="9998" max="9998" width="14.28515625" style="754" bestFit="1" customWidth="1"/>
    <col min="9999" max="9999" width="20" style="754" bestFit="1" customWidth="1"/>
    <col min="10000" max="10000" width="17.5703125" style="754" bestFit="1" customWidth="1"/>
    <col min="10001" max="10001" width="9.140625" style="754"/>
    <col min="10002" max="10002" width="15.5703125" style="754" bestFit="1" customWidth="1"/>
    <col min="10003" max="10003" width="18.85546875" style="754" bestFit="1" customWidth="1"/>
    <col min="10004" max="10240" width="9.140625" style="754"/>
    <col min="10241" max="10241" width="34.140625" style="754" customWidth="1"/>
    <col min="10242" max="10242" width="11.5703125" style="754" bestFit="1" customWidth="1"/>
    <col min="10243" max="10243" width="18.28515625" style="754" customWidth="1"/>
    <col min="10244" max="10244" width="17.5703125" style="754" bestFit="1" customWidth="1"/>
    <col min="10245" max="10245" width="15.5703125" style="754" bestFit="1" customWidth="1"/>
    <col min="10246" max="10246" width="16.140625" style="754" bestFit="1" customWidth="1"/>
    <col min="10247" max="10247" width="6" style="754" bestFit="1" customWidth="1"/>
    <col min="10248" max="10248" width="16.140625" style="754" bestFit="1" customWidth="1"/>
    <col min="10249" max="10249" width="15.5703125" style="754" customWidth="1"/>
    <col min="10250" max="10250" width="17.5703125" style="754" bestFit="1" customWidth="1"/>
    <col min="10251" max="10251" width="16.7109375" style="754" customWidth="1"/>
    <col min="10252" max="10252" width="17.5703125" style="754" bestFit="1" customWidth="1"/>
    <col min="10253" max="10253" width="20" style="754" bestFit="1" customWidth="1"/>
    <col min="10254" max="10254" width="14.28515625" style="754" bestFit="1" customWidth="1"/>
    <col min="10255" max="10255" width="20" style="754" bestFit="1" customWidth="1"/>
    <col min="10256" max="10256" width="17.5703125" style="754" bestFit="1" customWidth="1"/>
    <col min="10257" max="10257" width="9.140625" style="754"/>
    <col min="10258" max="10258" width="15.5703125" style="754" bestFit="1" customWidth="1"/>
    <col min="10259" max="10259" width="18.85546875" style="754" bestFit="1" customWidth="1"/>
    <col min="10260" max="10496" width="9.140625" style="754"/>
    <col min="10497" max="10497" width="34.140625" style="754" customWidth="1"/>
    <col min="10498" max="10498" width="11.5703125" style="754" bestFit="1" customWidth="1"/>
    <col min="10499" max="10499" width="18.28515625" style="754" customWidth="1"/>
    <col min="10500" max="10500" width="17.5703125" style="754" bestFit="1" customWidth="1"/>
    <col min="10501" max="10501" width="15.5703125" style="754" bestFit="1" customWidth="1"/>
    <col min="10502" max="10502" width="16.140625" style="754" bestFit="1" customWidth="1"/>
    <col min="10503" max="10503" width="6" style="754" bestFit="1" customWidth="1"/>
    <col min="10504" max="10504" width="16.140625" style="754" bestFit="1" customWidth="1"/>
    <col min="10505" max="10505" width="15.5703125" style="754" customWidth="1"/>
    <col min="10506" max="10506" width="17.5703125" style="754" bestFit="1" customWidth="1"/>
    <col min="10507" max="10507" width="16.7109375" style="754" customWidth="1"/>
    <col min="10508" max="10508" width="17.5703125" style="754" bestFit="1" customWidth="1"/>
    <col min="10509" max="10509" width="20" style="754" bestFit="1" customWidth="1"/>
    <col min="10510" max="10510" width="14.28515625" style="754" bestFit="1" customWidth="1"/>
    <col min="10511" max="10511" width="20" style="754" bestFit="1" customWidth="1"/>
    <col min="10512" max="10512" width="17.5703125" style="754" bestFit="1" customWidth="1"/>
    <col min="10513" max="10513" width="9.140625" style="754"/>
    <col min="10514" max="10514" width="15.5703125" style="754" bestFit="1" customWidth="1"/>
    <col min="10515" max="10515" width="18.85546875" style="754" bestFit="1" customWidth="1"/>
    <col min="10516" max="10752" width="9.140625" style="754"/>
    <col min="10753" max="10753" width="34.140625" style="754" customWidth="1"/>
    <col min="10754" max="10754" width="11.5703125" style="754" bestFit="1" customWidth="1"/>
    <col min="10755" max="10755" width="18.28515625" style="754" customWidth="1"/>
    <col min="10756" max="10756" width="17.5703125" style="754" bestFit="1" customWidth="1"/>
    <col min="10757" max="10757" width="15.5703125" style="754" bestFit="1" customWidth="1"/>
    <col min="10758" max="10758" width="16.140625" style="754" bestFit="1" customWidth="1"/>
    <col min="10759" max="10759" width="6" style="754" bestFit="1" customWidth="1"/>
    <col min="10760" max="10760" width="16.140625" style="754" bestFit="1" customWidth="1"/>
    <col min="10761" max="10761" width="15.5703125" style="754" customWidth="1"/>
    <col min="10762" max="10762" width="17.5703125" style="754" bestFit="1" customWidth="1"/>
    <col min="10763" max="10763" width="16.7109375" style="754" customWidth="1"/>
    <col min="10764" max="10764" width="17.5703125" style="754" bestFit="1" customWidth="1"/>
    <col min="10765" max="10765" width="20" style="754" bestFit="1" customWidth="1"/>
    <col min="10766" max="10766" width="14.28515625" style="754" bestFit="1" customWidth="1"/>
    <col min="10767" max="10767" width="20" style="754" bestFit="1" customWidth="1"/>
    <col min="10768" max="10768" width="17.5703125" style="754" bestFit="1" customWidth="1"/>
    <col min="10769" max="10769" width="9.140625" style="754"/>
    <col min="10770" max="10770" width="15.5703125" style="754" bestFit="1" customWidth="1"/>
    <col min="10771" max="10771" width="18.85546875" style="754" bestFit="1" customWidth="1"/>
    <col min="10772" max="11008" width="9.140625" style="754"/>
    <col min="11009" max="11009" width="34.140625" style="754" customWidth="1"/>
    <col min="11010" max="11010" width="11.5703125" style="754" bestFit="1" customWidth="1"/>
    <col min="11011" max="11011" width="18.28515625" style="754" customWidth="1"/>
    <col min="11012" max="11012" width="17.5703125" style="754" bestFit="1" customWidth="1"/>
    <col min="11013" max="11013" width="15.5703125" style="754" bestFit="1" customWidth="1"/>
    <col min="11014" max="11014" width="16.140625" style="754" bestFit="1" customWidth="1"/>
    <col min="11015" max="11015" width="6" style="754" bestFit="1" customWidth="1"/>
    <col min="11016" max="11016" width="16.140625" style="754" bestFit="1" customWidth="1"/>
    <col min="11017" max="11017" width="15.5703125" style="754" customWidth="1"/>
    <col min="11018" max="11018" width="17.5703125" style="754" bestFit="1" customWidth="1"/>
    <col min="11019" max="11019" width="16.7109375" style="754" customWidth="1"/>
    <col min="11020" max="11020" width="17.5703125" style="754" bestFit="1" customWidth="1"/>
    <col min="11021" max="11021" width="20" style="754" bestFit="1" customWidth="1"/>
    <col min="11022" max="11022" width="14.28515625" style="754" bestFit="1" customWidth="1"/>
    <col min="11023" max="11023" width="20" style="754" bestFit="1" customWidth="1"/>
    <col min="11024" max="11024" width="17.5703125" style="754" bestFit="1" customWidth="1"/>
    <col min="11025" max="11025" width="9.140625" style="754"/>
    <col min="11026" max="11026" width="15.5703125" style="754" bestFit="1" customWidth="1"/>
    <col min="11027" max="11027" width="18.85546875" style="754" bestFit="1" customWidth="1"/>
    <col min="11028" max="11264" width="9.140625" style="754"/>
    <col min="11265" max="11265" width="34.140625" style="754" customWidth="1"/>
    <col min="11266" max="11266" width="11.5703125" style="754" bestFit="1" customWidth="1"/>
    <col min="11267" max="11267" width="18.28515625" style="754" customWidth="1"/>
    <col min="11268" max="11268" width="17.5703125" style="754" bestFit="1" customWidth="1"/>
    <col min="11269" max="11269" width="15.5703125" style="754" bestFit="1" customWidth="1"/>
    <col min="11270" max="11270" width="16.140625" style="754" bestFit="1" customWidth="1"/>
    <col min="11271" max="11271" width="6" style="754" bestFit="1" customWidth="1"/>
    <col min="11272" max="11272" width="16.140625" style="754" bestFit="1" customWidth="1"/>
    <col min="11273" max="11273" width="15.5703125" style="754" customWidth="1"/>
    <col min="11274" max="11274" width="17.5703125" style="754" bestFit="1" customWidth="1"/>
    <col min="11275" max="11275" width="16.7109375" style="754" customWidth="1"/>
    <col min="11276" max="11276" width="17.5703125" style="754" bestFit="1" customWidth="1"/>
    <col min="11277" max="11277" width="20" style="754" bestFit="1" customWidth="1"/>
    <col min="11278" max="11278" width="14.28515625" style="754" bestFit="1" customWidth="1"/>
    <col min="11279" max="11279" width="20" style="754" bestFit="1" customWidth="1"/>
    <col min="11280" max="11280" width="17.5703125" style="754" bestFit="1" customWidth="1"/>
    <col min="11281" max="11281" width="9.140625" style="754"/>
    <col min="11282" max="11282" width="15.5703125" style="754" bestFit="1" customWidth="1"/>
    <col min="11283" max="11283" width="18.85546875" style="754" bestFit="1" customWidth="1"/>
    <col min="11284" max="11520" width="9.140625" style="754"/>
    <col min="11521" max="11521" width="34.140625" style="754" customWidth="1"/>
    <col min="11522" max="11522" width="11.5703125" style="754" bestFit="1" customWidth="1"/>
    <col min="11523" max="11523" width="18.28515625" style="754" customWidth="1"/>
    <col min="11524" max="11524" width="17.5703125" style="754" bestFit="1" customWidth="1"/>
    <col min="11525" max="11525" width="15.5703125" style="754" bestFit="1" customWidth="1"/>
    <col min="11526" max="11526" width="16.140625" style="754" bestFit="1" customWidth="1"/>
    <col min="11527" max="11527" width="6" style="754" bestFit="1" customWidth="1"/>
    <col min="11528" max="11528" width="16.140625" style="754" bestFit="1" customWidth="1"/>
    <col min="11529" max="11529" width="15.5703125" style="754" customWidth="1"/>
    <col min="11530" max="11530" width="17.5703125" style="754" bestFit="1" customWidth="1"/>
    <col min="11531" max="11531" width="16.7109375" style="754" customWidth="1"/>
    <col min="11532" max="11532" width="17.5703125" style="754" bestFit="1" customWidth="1"/>
    <col min="11533" max="11533" width="20" style="754" bestFit="1" customWidth="1"/>
    <col min="11534" max="11534" width="14.28515625" style="754" bestFit="1" customWidth="1"/>
    <col min="11535" max="11535" width="20" style="754" bestFit="1" customWidth="1"/>
    <col min="11536" max="11536" width="17.5703125" style="754" bestFit="1" customWidth="1"/>
    <col min="11537" max="11537" width="9.140625" style="754"/>
    <col min="11538" max="11538" width="15.5703125" style="754" bestFit="1" customWidth="1"/>
    <col min="11539" max="11539" width="18.85546875" style="754" bestFit="1" customWidth="1"/>
    <col min="11540" max="11776" width="9.140625" style="754"/>
    <col min="11777" max="11777" width="34.140625" style="754" customWidth="1"/>
    <col min="11778" max="11778" width="11.5703125" style="754" bestFit="1" customWidth="1"/>
    <col min="11779" max="11779" width="18.28515625" style="754" customWidth="1"/>
    <col min="11780" max="11780" width="17.5703125" style="754" bestFit="1" customWidth="1"/>
    <col min="11781" max="11781" width="15.5703125" style="754" bestFit="1" customWidth="1"/>
    <col min="11782" max="11782" width="16.140625" style="754" bestFit="1" customWidth="1"/>
    <col min="11783" max="11783" width="6" style="754" bestFit="1" customWidth="1"/>
    <col min="11784" max="11784" width="16.140625" style="754" bestFit="1" customWidth="1"/>
    <col min="11785" max="11785" width="15.5703125" style="754" customWidth="1"/>
    <col min="11786" max="11786" width="17.5703125" style="754" bestFit="1" customWidth="1"/>
    <col min="11787" max="11787" width="16.7109375" style="754" customWidth="1"/>
    <col min="11788" max="11788" width="17.5703125" style="754" bestFit="1" customWidth="1"/>
    <col min="11789" max="11789" width="20" style="754" bestFit="1" customWidth="1"/>
    <col min="11790" max="11790" width="14.28515625" style="754" bestFit="1" customWidth="1"/>
    <col min="11791" max="11791" width="20" style="754" bestFit="1" customWidth="1"/>
    <col min="11792" max="11792" width="17.5703125" style="754" bestFit="1" customWidth="1"/>
    <col min="11793" max="11793" width="9.140625" style="754"/>
    <col min="11794" max="11794" width="15.5703125" style="754" bestFit="1" customWidth="1"/>
    <col min="11795" max="11795" width="18.85546875" style="754" bestFit="1" customWidth="1"/>
    <col min="11796" max="12032" width="9.140625" style="754"/>
    <col min="12033" max="12033" width="34.140625" style="754" customWidth="1"/>
    <col min="12034" max="12034" width="11.5703125" style="754" bestFit="1" customWidth="1"/>
    <col min="12035" max="12035" width="18.28515625" style="754" customWidth="1"/>
    <col min="12036" max="12036" width="17.5703125" style="754" bestFit="1" customWidth="1"/>
    <col min="12037" max="12037" width="15.5703125" style="754" bestFit="1" customWidth="1"/>
    <col min="12038" max="12038" width="16.140625" style="754" bestFit="1" customWidth="1"/>
    <col min="12039" max="12039" width="6" style="754" bestFit="1" customWidth="1"/>
    <col min="12040" max="12040" width="16.140625" style="754" bestFit="1" customWidth="1"/>
    <col min="12041" max="12041" width="15.5703125" style="754" customWidth="1"/>
    <col min="12042" max="12042" width="17.5703125" style="754" bestFit="1" customWidth="1"/>
    <col min="12043" max="12043" width="16.7109375" style="754" customWidth="1"/>
    <col min="12044" max="12044" width="17.5703125" style="754" bestFit="1" customWidth="1"/>
    <col min="12045" max="12045" width="20" style="754" bestFit="1" customWidth="1"/>
    <col min="12046" max="12046" width="14.28515625" style="754" bestFit="1" customWidth="1"/>
    <col min="12047" max="12047" width="20" style="754" bestFit="1" customWidth="1"/>
    <col min="12048" max="12048" width="17.5703125" style="754" bestFit="1" customWidth="1"/>
    <col min="12049" max="12049" width="9.140625" style="754"/>
    <col min="12050" max="12050" width="15.5703125" style="754" bestFit="1" customWidth="1"/>
    <col min="12051" max="12051" width="18.85546875" style="754" bestFit="1" customWidth="1"/>
    <col min="12052" max="12288" width="9.140625" style="754"/>
    <col min="12289" max="12289" width="34.140625" style="754" customWidth="1"/>
    <col min="12290" max="12290" width="11.5703125" style="754" bestFit="1" customWidth="1"/>
    <col min="12291" max="12291" width="18.28515625" style="754" customWidth="1"/>
    <col min="12292" max="12292" width="17.5703125" style="754" bestFit="1" customWidth="1"/>
    <col min="12293" max="12293" width="15.5703125" style="754" bestFit="1" customWidth="1"/>
    <col min="12294" max="12294" width="16.140625" style="754" bestFit="1" customWidth="1"/>
    <col min="12295" max="12295" width="6" style="754" bestFit="1" customWidth="1"/>
    <col min="12296" max="12296" width="16.140625" style="754" bestFit="1" customWidth="1"/>
    <col min="12297" max="12297" width="15.5703125" style="754" customWidth="1"/>
    <col min="12298" max="12298" width="17.5703125" style="754" bestFit="1" customWidth="1"/>
    <col min="12299" max="12299" width="16.7109375" style="754" customWidth="1"/>
    <col min="12300" max="12300" width="17.5703125" style="754" bestFit="1" customWidth="1"/>
    <col min="12301" max="12301" width="20" style="754" bestFit="1" customWidth="1"/>
    <col min="12302" max="12302" width="14.28515625" style="754" bestFit="1" customWidth="1"/>
    <col min="12303" max="12303" width="20" style="754" bestFit="1" customWidth="1"/>
    <col min="12304" max="12304" width="17.5703125" style="754" bestFit="1" customWidth="1"/>
    <col min="12305" max="12305" width="9.140625" style="754"/>
    <col min="12306" max="12306" width="15.5703125" style="754" bestFit="1" customWidth="1"/>
    <col min="12307" max="12307" width="18.85546875" style="754" bestFit="1" customWidth="1"/>
    <col min="12308" max="12544" width="9.140625" style="754"/>
    <col min="12545" max="12545" width="34.140625" style="754" customWidth="1"/>
    <col min="12546" max="12546" width="11.5703125" style="754" bestFit="1" customWidth="1"/>
    <col min="12547" max="12547" width="18.28515625" style="754" customWidth="1"/>
    <col min="12548" max="12548" width="17.5703125" style="754" bestFit="1" customWidth="1"/>
    <col min="12549" max="12549" width="15.5703125" style="754" bestFit="1" customWidth="1"/>
    <col min="12550" max="12550" width="16.140625" style="754" bestFit="1" customWidth="1"/>
    <col min="12551" max="12551" width="6" style="754" bestFit="1" customWidth="1"/>
    <col min="12552" max="12552" width="16.140625" style="754" bestFit="1" customWidth="1"/>
    <col min="12553" max="12553" width="15.5703125" style="754" customWidth="1"/>
    <col min="12554" max="12554" width="17.5703125" style="754" bestFit="1" customWidth="1"/>
    <col min="12555" max="12555" width="16.7109375" style="754" customWidth="1"/>
    <col min="12556" max="12556" width="17.5703125" style="754" bestFit="1" customWidth="1"/>
    <col min="12557" max="12557" width="20" style="754" bestFit="1" customWidth="1"/>
    <col min="12558" max="12558" width="14.28515625" style="754" bestFit="1" customWidth="1"/>
    <col min="12559" max="12559" width="20" style="754" bestFit="1" customWidth="1"/>
    <col min="12560" max="12560" width="17.5703125" style="754" bestFit="1" customWidth="1"/>
    <col min="12561" max="12561" width="9.140625" style="754"/>
    <col min="12562" max="12562" width="15.5703125" style="754" bestFit="1" customWidth="1"/>
    <col min="12563" max="12563" width="18.85546875" style="754" bestFit="1" customWidth="1"/>
    <col min="12564" max="12800" width="9.140625" style="754"/>
    <col min="12801" max="12801" width="34.140625" style="754" customWidth="1"/>
    <col min="12802" max="12802" width="11.5703125" style="754" bestFit="1" customWidth="1"/>
    <col min="12803" max="12803" width="18.28515625" style="754" customWidth="1"/>
    <col min="12804" max="12804" width="17.5703125" style="754" bestFit="1" customWidth="1"/>
    <col min="12805" max="12805" width="15.5703125" style="754" bestFit="1" customWidth="1"/>
    <col min="12806" max="12806" width="16.140625" style="754" bestFit="1" customWidth="1"/>
    <col min="12807" max="12807" width="6" style="754" bestFit="1" customWidth="1"/>
    <col min="12808" max="12808" width="16.140625" style="754" bestFit="1" customWidth="1"/>
    <col min="12809" max="12809" width="15.5703125" style="754" customWidth="1"/>
    <col min="12810" max="12810" width="17.5703125" style="754" bestFit="1" customWidth="1"/>
    <col min="12811" max="12811" width="16.7109375" style="754" customWidth="1"/>
    <col min="12812" max="12812" width="17.5703125" style="754" bestFit="1" customWidth="1"/>
    <col min="12813" max="12813" width="20" style="754" bestFit="1" customWidth="1"/>
    <col min="12814" max="12814" width="14.28515625" style="754" bestFit="1" customWidth="1"/>
    <col min="12815" max="12815" width="20" style="754" bestFit="1" customWidth="1"/>
    <col min="12816" max="12816" width="17.5703125" style="754" bestFit="1" customWidth="1"/>
    <col min="12817" max="12817" width="9.140625" style="754"/>
    <col min="12818" max="12818" width="15.5703125" style="754" bestFit="1" customWidth="1"/>
    <col min="12819" max="12819" width="18.85546875" style="754" bestFit="1" customWidth="1"/>
    <col min="12820" max="13056" width="9.140625" style="754"/>
    <col min="13057" max="13057" width="34.140625" style="754" customWidth="1"/>
    <col min="13058" max="13058" width="11.5703125" style="754" bestFit="1" customWidth="1"/>
    <col min="13059" max="13059" width="18.28515625" style="754" customWidth="1"/>
    <col min="13060" max="13060" width="17.5703125" style="754" bestFit="1" customWidth="1"/>
    <col min="13061" max="13061" width="15.5703125" style="754" bestFit="1" customWidth="1"/>
    <col min="13062" max="13062" width="16.140625" style="754" bestFit="1" customWidth="1"/>
    <col min="13063" max="13063" width="6" style="754" bestFit="1" customWidth="1"/>
    <col min="13064" max="13064" width="16.140625" style="754" bestFit="1" customWidth="1"/>
    <col min="13065" max="13065" width="15.5703125" style="754" customWidth="1"/>
    <col min="13066" max="13066" width="17.5703125" style="754" bestFit="1" customWidth="1"/>
    <col min="13067" max="13067" width="16.7109375" style="754" customWidth="1"/>
    <col min="13068" max="13068" width="17.5703125" style="754" bestFit="1" customWidth="1"/>
    <col min="13069" max="13069" width="20" style="754" bestFit="1" customWidth="1"/>
    <col min="13070" max="13070" width="14.28515625" style="754" bestFit="1" customWidth="1"/>
    <col min="13071" max="13071" width="20" style="754" bestFit="1" customWidth="1"/>
    <col min="13072" max="13072" width="17.5703125" style="754" bestFit="1" customWidth="1"/>
    <col min="13073" max="13073" width="9.140625" style="754"/>
    <col min="13074" max="13074" width="15.5703125" style="754" bestFit="1" customWidth="1"/>
    <col min="13075" max="13075" width="18.85546875" style="754" bestFit="1" customWidth="1"/>
    <col min="13076" max="13312" width="9.140625" style="754"/>
    <col min="13313" max="13313" width="34.140625" style="754" customWidth="1"/>
    <col min="13314" max="13314" width="11.5703125" style="754" bestFit="1" customWidth="1"/>
    <col min="13315" max="13315" width="18.28515625" style="754" customWidth="1"/>
    <col min="13316" max="13316" width="17.5703125" style="754" bestFit="1" customWidth="1"/>
    <col min="13317" max="13317" width="15.5703125" style="754" bestFit="1" customWidth="1"/>
    <col min="13318" max="13318" width="16.140625" style="754" bestFit="1" customWidth="1"/>
    <col min="13319" max="13319" width="6" style="754" bestFit="1" customWidth="1"/>
    <col min="13320" max="13320" width="16.140625" style="754" bestFit="1" customWidth="1"/>
    <col min="13321" max="13321" width="15.5703125" style="754" customWidth="1"/>
    <col min="13322" max="13322" width="17.5703125" style="754" bestFit="1" customWidth="1"/>
    <col min="13323" max="13323" width="16.7109375" style="754" customWidth="1"/>
    <col min="13324" max="13324" width="17.5703125" style="754" bestFit="1" customWidth="1"/>
    <col min="13325" max="13325" width="20" style="754" bestFit="1" customWidth="1"/>
    <col min="13326" max="13326" width="14.28515625" style="754" bestFit="1" customWidth="1"/>
    <col min="13327" max="13327" width="20" style="754" bestFit="1" customWidth="1"/>
    <col min="13328" max="13328" width="17.5703125" style="754" bestFit="1" customWidth="1"/>
    <col min="13329" max="13329" width="9.140625" style="754"/>
    <col min="13330" max="13330" width="15.5703125" style="754" bestFit="1" customWidth="1"/>
    <col min="13331" max="13331" width="18.85546875" style="754" bestFit="1" customWidth="1"/>
    <col min="13332" max="13568" width="9.140625" style="754"/>
    <col min="13569" max="13569" width="34.140625" style="754" customWidth="1"/>
    <col min="13570" max="13570" width="11.5703125" style="754" bestFit="1" customWidth="1"/>
    <col min="13571" max="13571" width="18.28515625" style="754" customWidth="1"/>
    <col min="13572" max="13572" width="17.5703125" style="754" bestFit="1" customWidth="1"/>
    <col min="13573" max="13573" width="15.5703125" style="754" bestFit="1" customWidth="1"/>
    <col min="13574" max="13574" width="16.140625" style="754" bestFit="1" customWidth="1"/>
    <col min="13575" max="13575" width="6" style="754" bestFit="1" customWidth="1"/>
    <col min="13576" max="13576" width="16.140625" style="754" bestFit="1" customWidth="1"/>
    <col min="13577" max="13577" width="15.5703125" style="754" customWidth="1"/>
    <col min="13578" max="13578" width="17.5703125" style="754" bestFit="1" customWidth="1"/>
    <col min="13579" max="13579" width="16.7109375" style="754" customWidth="1"/>
    <col min="13580" max="13580" width="17.5703125" style="754" bestFit="1" customWidth="1"/>
    <col min="13581" max="13581" width="20" style="754" bestFit="1" customWidth="1"/>
    <col min="13582" max="13582" width="14.28515625" style="754" bestFit="1" customWidth="1"/>
    <col min="13583" max="13583" width="20" style="754" bestFit="1" customWidth="1"/>
    <col min="13584" max="13584" width="17.5703125" style="754" bestFit="1" customWidth="1"/>
    <col min="13585" max="13585" width="9.140625" style="754"/>
    <col min="13586" max="13586" width="15.5703125" style="754" bestFit="1" customWidth="1"/>
    <col min="13587" max="13587" width="18.85546875" style="754" bestFit="1" customWidth="1"/>
    <col min="13588" max="13824" width="9.140625" style="754"/>
    <col min="13825" max="13825" width="34.140625" style="754" customWidth="1"/>
    <col min="13826" max="13826" width="11.5703125" style="754" bestFit="1" customWidth="1"/>
    <col min="13827" max="13827" width="18.28515625" style="754" customWidth="1"/>
    <col min="13828" max="13828" width="17.5703125" style="754" bestFit="1" customWidth="1"/>
    <col min="13829" max="13829" width="15.5703125" style="754" bestFit="1" customWidth="1"/>
    <col min="13830" max="13830" width="16.140625" style="754" bestFit="1" customWidth="1"/>
    <col min="13831" max="13831" width="6" style="754" bestFit="1" customWidth="1"/>
    <col min="13832" max="13832" width="16.140625" style="754" bestFit="1" customWidth="1"/>
    <col min="13833" max="13833" width="15.5703125" style="754" customWidth="1"/>
    <col min="13834" max="13834" width="17.5703125" style="754" bestFit="1" customWidth="1"/>
    <col min="13835" max="13835" width="16.7109375" style="754" customWidth="1"/>
    <col min="13836" max="13836" width="17.5703125" style="754" bestFit="1" customWidth="1"/>
    <col min="13837" max="13837" width="20" style="754" bestFit="1" customWidth="1"/>
    <col min="13838" max="13838" width="14.28515625" style="754" bestFit="1" customWidth="1"/>
    <col min="13839" max="13839" width="20" style="754" bestFit="1" customWidth="1"/>
    <col min="13840" max="13840" width="17.5703125" style="754" bestFit="1" customWidth="1"/>
    <col min="13841" max="13841" width="9.140625" style="754"/>
    <col min="13842" max="13842" width="15.5703125" style="754" bestFit="1" customWidth="1"/>
    <col min="13843" max="13843" width="18.85546875" style="754" bestFit="1" customWidth="1"/>
    <col min="13844" max="14080" width="9.140625" style="754"/>
    <col min="14081" max="14081" width="34.140625" style="754" customWidth="1"/>
    <col min="14082" max="14082" width="11.5703125" style="754" bestFit="1" customWidth="1"/>
    <col min="14083" max="14083" width="18.28515625" style="754" customWidth="1"/>
    <col min="14084" max="14084" width="17.5703125" style="754" bestFit="1" customWidth="1"/>
    <col min="14085" max="14085" width="15.5703125" style="754" bestFit="1" customWidth="1"/>
    <col min="14086" max="14086" width="16.140625" style="754" bestFit="1" customWidth="1"/>
    <col min="14087" max="14087" width="6" style="754" bestFit="1" customWidth="1"/>
    <col min="14088" max="14088" width="16.140625" style="754" bestFit="1" customWidth="1"/>
    <col min="14089" max="14089" width="15.5703125" style="754" customWidth="1"/>
    <col min="14090" max="14090" width="17.5703125" style="754" bestFit="1" customWidth="1"/>
    <col min="14091" max="14091" width="16.7109375" style="754" customWidth="1"/>
    <col min="14092" max="14092" width="17.5703125" style="754" bestFit="1" customWidth="1"/>
    <col min="14093" max="14093" width="20" style="754" bestFit="1" customWidth="1"/>
    <col min="14094" max="14094" width="14.28515625" style="754" bestFit="1" customWidth="1"/>
    <col min="14095" max="14095" width="20" style="754" bestFit="1" customWidth="1"/>
    <col min="14096" max="14096" width="17.5703125" style="754" bestFit="1" customWidth="1"/>
    <col min="14097" max="14097" width="9.140625" style="754"/>
    <col min="14098" max="14098" width="15.5703125" style="754" bestFit="1" customWidth="1"/>
    <col min="14099" max="14099" width="18.85546875" style="754" bestFit="1" customWidth="1"/>
    <col min="14100" max="14336" width="9.140625" style="754"/>
    <col min="14337" max="14337" width="34.140625" style="754" customWidth="1"/>
    <col min="14338" max="14338" width="11.5703125" style="754" bestFit="1" customWidth="1"/>
    <col min="14339" max="14339" width="18.28515625" style="754" customWidth="1"/>
    <col min="14340" max="14340" width="17.5703125" style="754" bestFit="1" customWidth="1"/>
    <col min="14341" max="14341" width="15.5703125" style="754" bestFit="1" customWidth="1"/>
    <col min="14342" max="14342" width="16.140625" style="754" bestFit="1" customWidth="1"/>
    <col min="14343" max="14343" width="6" style="754" bestFit="1" customWidth="1"/>
    <col min="14344" max="14344" width="16.140625" style="754" bestFit="1" customWidth="1"/>
    <col min="14345" max="14345" width="15.5703125" style="754" customWidth="1"/>
    <col min="14346" max="14346" width="17.5703125" style="754" bestFit="1" customWidth="1"/>
    <col min="14347" max="14347" width="16.7109375" style="754" customWidth="1"/>
    <col min="14348" max="14348" width="17.5703125" style="754" bestFit="1" customWidth="1"/>
    <col min="14349" max="14349" width="20" style="754" bestFit="1" customWidth="1"/>
    <col min="14350" max="14350" width="14.28515625" style="754" bestFit="1" customWidth="1"/>
    <col min="14351" max="14351" width="20" style="754" bestFit="1" customWidth="1"/>
    <col min="14352" max="14352" width="17.5703125" style="754" bestFit="1" customWidth="1"/>
    <col min="14353" max="14353" width="9.140625" style="754"/>
    <col min="14354" max="14354" width="15.5703125" style="754" bestFit="1" customWidth="1"/>
    <col min="14355" max="14355" width="18.85546875" style="754" bestFit="1" customWidth="1"/>
    <col min="14356" max="14592" width="9.140625" style="754"/>
    <col min="14593" max="14593" width="34.140625" style="754" customWidth="1"/>
    <col min="14594" max="14594" width="11.5703125" style="754" bestFit="1" customWidth="1"/>
    <col min="14595" max="14595" width="18.28515625" style="754" customWidth="1"/>
    <col min="14596" max="14596" width="17.5703125" style="754" bestFit="1" customWidth="1"/>
    <col min="14597" max="14597" width="15.5703125" style="754" bestFit="1" customWidth="1"/>
    <col min="14598" max="14598" width="16.140625" style="754" bestFit="1" customWidth="1"/>
    <col min="14599" max="14599" width="6" style="754" bestFit="1" customWidth="1"/>
    <col min="14600" max="14600" width="16.140625" style="754" bestFit="1" customWidth="1"/>
    <col min="14601" max="14601" width="15.5703125" style="754" customWidth="1"/>
    <col min="14602" max="14602" width="17.5703125" style="754" bestFit="1" customWidth="1"/>
    <col min="14603" max="14603" width="16.7109375" style="754" customWidth="1"/>
    <col min="14604" max="14604" width="17.5703125" style="754" bestFit="1" customWidth="1"/>
    <col min="14605" max="14605" width="20" style="754" bestFit="1" customWidth="1"/>
    <col min="14606" max="14606" width="14.28515625" style="754" bestFit="1" customWidth="1"/>
    <col min="14607" max="14607" width="20" style="754" bestFit="1" customWidth="1"/>
    <col min="14608" max="14608" width="17.5703125" style="754" bestFit="1" customWidth="1"/>
    <col min="14609" max="14609" width="9.140625" style="754"/>
    <col min="14610" max="14610" width="15.5703125" style="754" bestFit="1" customWidth="1"/>
    <col min="14611" max="14611" width="18.85546875" style="754" bestFit="1" customWidth="1"/>
    <col min="14612" max="14848" width="9.140625" style="754"/>
    <col min="14849" max="14849" width="34.140625" style="754" customWidth="1"/>
    <col min="14850" max="14850" width="11.5703125" style="754" bestFit="1" customWidth="1"/>
    <col min="14851" max="14851" width="18.28515625" style="754" customWidth="1"/>
    <col min="14852" max="14852" width="17.5703125" style="754" bestFit="1" customWidth="1"/>
    <col min="14853" max="14853" width="15.5703125" style="754" bestFit="1" customWidth="1"/>
    <col min="14854" max="14854" width="16.140625" style="754" bestFit="1" customWidth="1"/>
    <col min="14855" max="14855" width="6" style="754" bestFit="1" customWidth="1"/>
    <col min="14856" max="14856" width="16.140625" style="754" bestFit="1" customWidth="1"/>
    <col min="14857" max="14857" width="15.5703125" style="754" customWidth="1"/>
    <col min="14858" max="14858" width="17.5703125" style="754" bestFit="1" customWidth="1"/>
    <col min="14859" max="14859" width="16.7109375" style="754" customWidth="1"/>
    <col min="14860" max="14860" width="17.5703125" style="754" bestFit="1" customWidth="1"/>
    <col min="14861" max="14861" width="20" style="754" bestFit="1" customWidth="1"/>
    <col min="14862" max="14862" width="14.28515625" style="754" bestFit="1" customWidth="1"/>
    <col min="14863" max="14863" width="20" style="754" bestFit="1" customWidth="1"/>
    <col min="14864" max="14864" width="17.5703125" style="754" bestFit="1" customWidth="1"/>
    <col min="14865" max="14865" width="9.140625" style="754"/>
    <col min="14866" max="14866" width="15.5703125" style="754" bestFit="1" customWidth="1"/>
    <col min="14867" max="14867" width="18.85546875" style="754" bestFit="1" customWidth="1"/>
    <col min="14868" max="15104" width="9.140625" style="754"/>
    <col min="15105" max="15105" width="34.140625" style="754" customWidth="1"/>
    <col min="15106" max="15106" width="11.5703125" style="754" bestFit="1" customWidth="1"/>
    <col min="15107" max="15107" width="18.28515625" style="754" customWidth="1"/>
    <col min="15108" max="15108" width="17.5703125" style="754" bestFit="1" customWidth="1"/>
    <col min="15109" max="15109" width="15.5703125" style="754" bestFit="1" customWidth="1"/>
    <col min="15110" max="15110" width="16.140625" style="754" bestFit="1" customWidth="1"/>
    <col min="15111" max="15111" width="6" style="754" bestFit="1" customWidth="1"/>
    <col min="15112" max="15112" width="16.140625" style="754" bestFit="1" customWidth="1"/>
    <col min="15113" max="15113" width="15.5703125" style="754" customWidth="1"/>
    <col min="15114" max="15114" width="17.5703125" style="754" bestFit="1" customWidth="1"/>
    <col min="15115" max="15115" width="16.7109375" style="754" customWidth="1"/>
    <col min="15116" max="15116" width="17.5703125" style="754" bestFit="1" customWidth="1"/>
    <col min="15117" max="15117" width="20" style="754" bestFit="1" customWidth="1"/>
    <col min="15118" max="15118" width="14.28515625" style="754" bestFit="1" customWidth="1"/>
    <col min="15119" max="15119" width="20" style="754" bestFit="1" customWidth="1"/>
    <col min="15120" max="15120" width="17.5703125" style="754" bestFit="1" customWidth="1"/>
    <col min="15121" max="15121" width="9.140625" style="754"/>
    <col min="15122" max="15122" width="15.5703125" style="754" bestFit="1" customWidth="1"/>
    <col min="15123" max="15123" width="18.85546875" style="754" bestFit="1" customWidth="1"/>
    <col min="15124" max="15360" width="9.140625" style="754"/>
    <col min="15361" max="15361" width="34.140625" style="754" customWidth="1"/>
    <col min="15362" max="15362" width="11.5703125" style="754" bestFit="1" customWidth="1"/>
    <col min="15363" max="15363" width="18.28515625" style="754" customWidth="1"/>
    <col min="15364" max="15364" width="17.5703125" style="754" bestFit="1" customWidth="1"/>
    <col min="15365" max="15365" width="15.5703125" style="754" bestFit="1" customWidth="1"/>
    <col min="15366" max="15366" width="16.140625" style="754" bestFit="1" customWidth="1"/>
    <col min="15367" max="15367" width="6" style="754" bestFit="1" customWidth="1"/>
    <col min="15368" max="15368" width="16.140625" style="754" bestFit="1" customWidth="1"/>
    <col min="15369" max="15369" width="15.5703125" style="754" customWidth="1"/>
    <col min="15370" max="15370" width="17.5703125" style="754" bestFit="1" customWidth="1"/>
    <col min="15371" max="15371" width="16.7109375" style="754" customWidth="1"/>
    <col min="15372" max="15372" width="17.5703125" style="754" bestFit="1" customWidth="1"/>
    <col min="15373" max="15373" width="20" style="754" bestFit="1" customWidth="1"/>
    <col min="15374" max="15374" width="14.28515625" style="754" bestFit="1" customWidth="1"/>
    <col min="15375" max="15375" width="20" style="754" bestFit="1" customWidth="1"/>
    <col min="15376" max="15376" width="17.5703125" style="754" bestFit="1" customWidth="1"/>
    <col min="15377" max="15377" width="9.140625" style="754"/>
    <col min="15378" max="15378" width="15.5703125" style="754" bestFit="1" customWidth="1"/>
    <col min="15379" max="15379" width="18.85546875" style="754" bestFit="1" customWidth="1"/>
    <col min="15380" max="15616" width="9.140625" style="754"/>
    <col min="15617" max="15617" width="34.140625" style="754" customWidth="1"/>
    <col min="15618" max="15618" width="11.5703125" style="754" bestFit="1" customWidth="1"/>
    <col min="15619" max="15619" width="18.28515625" style="754" customWidth="1"/>
    <col min="15620" max="15620" width="17.5703125" style="754" bestFit="1" customWidth="1"/>
    <col min="15621" max="15621" width="15.5703125" style="754" bestFit="1" customWidth="1"/>
    <col min="15622" max="15622" width="16.140625" style="754" bestFit="1" customWidth="1"/>
    <col min="15623" max="15623" width="6" style="754" bestFit="1" customWidth="1"/>
    <col min="15624" max="15624" width="16.140625" style="754" bestFit="1" customWidth="1"/>
    <col min="15625" max="15625" width="15.5703125" style="754" customWidth="1"/>
    <col min="15626" max="15626" width="17.5703125" style="754" bestFit="1" customWidth="1"/>
    <col min="15627" max="15627" width="16.7109375" style="754" customWidth="1"/>
    <col min="15628" max="15628" width="17.5703125" style="754" bestFit="1" customWidth="1"/>
    <col min="15629" max="15629" width="20" style="754" bestFit="1" customWidth="1"/>
    <col min="15630" max="15630" width="14.28515625" style="754" bestFit="1" customWidth="1"/>
    <col min="15631" max="15631" width="20" style="754" bestFit="1" customWidth="1"/>
    <col min="15632" max="15632" width="17.5703125" style="754" bestFit="1" customWidth="1"/>
    <col min="15633" max="15633" width="9.140625" style="754"/>
    <col min="15634" max="15634" width="15.5703125" style="754" bestFit="1" customWidth="1"/>
    <col min="15635" max="15635" width="18.85546875" style="754" bestFit="1" customWidth="1"/>
    <col min="15636" max="15872" width="9.140625" style="754"/>
    <col min="15873" max="15873" width="34.140625" style="754" customWidth="1"/>
    <col min="15874" max="15874" width="11.5703125" style="754" bestFit="1" customWidth="1"/>
    <col min="15875" max="15875" width="18.28515625" style="754" customWidth="1"/>
    <col min="15876" max="15876" width="17.5703125" style="754" bestFit="1" customWidth="1"/>
    <col min="15877" max="15877" width="15.5703125" style="754" bestFit="1" customWidth="1"/>
    <col min="15878" max="15878" width="16.140625" style="754" bestFit="1" customWidth="1"/>
    <col min="15879" max="15879" width="6" style="754" bestFit="1" customWidth="1"/>
    <col min="15880" max="15880" width="16.140625" style="754" bestFit="1" customWidth="1"/>
    <col min="15881" max="15881" width="15.5703125" style="754" customWidth="1"/>
    <col min="15882" max="15882" width="17.5703125" style="754" bestFit="1" customWidth="1"/>
    <col min="15883" max="15883" width="16.7109375" style="754" customWidth="1"/>
    <col min="15884" max="15884" width="17.5703125" style="754" bestFit="1" customWidth="1"/>
    <col min="15885" max="15885" width="20" style="754" bestFit="1" customWidth="1"/>
    <col min="15886" max="15886" width="14.28515625" style="754" bestFit="1" customWidth="1"/>
    <col min="15887" max="15887" width="20" style="754" bestFit="1" customWidth="1"/>
    <col min="15888" max="15888" width="17.5703125" style="754" bestFit="1" customWidth="1"/>
    <col min="15889" max="15889" width="9.140625" style="754"/>
    <col min="15890" max="15890" width="15.5703125" style="754" bestFit="1" customWidth="1"/>
    <col min="15891" max="15891" width="18.85546875" style="754" bestFit="1" customWidth="1"/>
    <col min="15892" max="16128" width="9.140625" style="754"/>
    <col min="16129" max="16129" width="34.140625" style="754" customWidth="1"/>
    <col min="16130" max="16130" width="11.5703125" style="754" bestFit="1" customWidth="1"/>
    <col min="16131" max="16131" width="18.28515625" style="754" customWidth="1"/>
    <col min="16132" max="16132" width="17.5703125" style="754" bestFit="1" customWidth="1"/>
    <col min="16133" max="16133" width="15.5703125" style="754" bestFit="1" customWidth="1"/>
    <col min="16134" max="16134" width="16.140625" style="754" bestFit="1" customWidth="1"/>
    <col min="16135" max="16135" width="6" style="754" bestFit="1" customWidth="1"/>
    <col min="16136" max="16136" width="16.140625" style="754" bestFit="1" customWidth="1"/>
    <col min="16137" max="16137" width="15.5703125" style="754" customWidth="1"/>
    <col min="16138" max="16138" width="17.5703125" style="754" bestFit="1" customWidth="1"/>
    <col min="16139" max="16139" width="16.7109375" style="754" customWidth="1"/>
    <col min="16140" max="16140" width="17.5703125" style="754" bestFit="1" customWidth="1"/>
    <col min="16141" max="16141" width="20" style="754" bestFit="1" customWidth="1"/>
    <col min="16142" max="16142" width="14.28515625" style="754" bestFit="1" customWidth="1"/>
    <col min="16143" max="16143" width="20" style="754" bestFit="1" customWidth="1"/>
    <col min="16144" max="16144" width="17.5703125" style="754" bestFit="1" customWidth="1"/>
    <col min="16145" max="16145" width="9.140625" style="754"/>
    <col min="16146" max="16146" width="15.5703125" style="754" bestFit="1" customWidth="1"/>
    <col min="16147" max="16147" width="18.85546875" style="754" bestFit="1" customWidth="1"/>
    <col min="16148" max="16384" width="9.140625" style="754"/>
  </cols>
  <sheetData>
    <row r="1" spans="1:22" ht="13.5" thickBot="1"/>
    <row r="2" spans="1:22" ht="13.5" thickBot="1">
      <c r="A2" s="756" t="s">
        <v>539</v>
      </c>
      <c r="B2" s="757"/>
      <c r="C2" s="757"/>
      <c r="D2" s="758"/>
      <c r="E2" s="757"/>
      <c r="F2" s="757"/>
      <c r="G2" s="757"/>
      <c r="H2" s="757"/>
      <c r="I2" s="757"/>
      <c r="J2" s="757"/>
      <c r="K2" s="759" t="s">
        <v>540</v>
      </c>
      <c r="L2" s="757"/>
      <c r="M2" s="760" t="s">
        <v>541</v>
      </c>
      <c r="N2" s="761">
        <v>12</v>
      </c>
    </row>
    <row r="3" spans="1:22" ht="13.5" thickTop="1">
      <c r="A3" s="762"/>
      <c r="B3" s="763"/>
      <c r="C3" s="764"/>
      <c r="D3" s="765"/>
      <c r="E3" s="764"/>
      <c r="F3" s="764"/>
      <c r="G3" s="764"/>
      <c r="H3" s="764"/>
      <c r="I3" s="764"/>
      <c r="J3" s="764"/>
      <c r="K3" s="765"/>
      <c r="L3" s="766"/>
    </row>
    <row r="4" spans="1:22">
      <c r="A4" s="767"/>
      <c r="B4" s="768" t="s">
        <v>542</v>
      </c>
      <c r="C4" s="769" t="s">
        <v>543</v>
      </c>
      <c r="D4" s="1262" t="s">
        <v>544</v>
      </c>
      <c r="E4" s="1263"/>
      <c r="F4" s="770"/>
      <c r="G4" s="770" t="s">
        <v>545</v>
      </c>
      <c r="H4" s="770" t="s">
        <v>546</v>
      </c>
      <c r="I4" s="770" t="s">
        <v>547</v>
      </c>
      <c r="J4" s="770"/>
      <c r="K4" s="771" t="s">
        <v>548</v>
      </c>
      <c r="L4" s="770" t="s">
        <v>543</v>
      </c>
    </row>
    <row r="5" spans="1:22">
      <c r="A5" s="767" t="s">
        <v>549</v>
      </c>
      <c r="B5" s="768" t="s">
        <v>550</v>
      </c>
      <c r="C5" s="772" t="s">
        <v>551</v>
      </c>
      <c r="D5" s="773"/>
      <c r="E5" s="768"/>
      <c r="F5" s="768" t="s">
        <v>552</v>
      </c>
      <c r="G5" s="768" t="s">
        <v>553</v>
      </c>
      <c r="H5" s="768" t="s">
        <v>554</v>
      </c>
      <c r="I5" s="768" t="s">
        <v>555</v>
      </c>
      <c r="J5" s="768" t="s">
        <v>556</v>
      </c>
      <c r="K5" s="773" t="s">
        <v>557</v>
      </c>
      <c r="L5" s="768" t="s">
        <v>551</v>
      </c>
    </row>
    <row r="6" spans="1:22" ht="13.5" thickBot="1">
      <c r="A6" s="774"/>
      <c r="B6" s="775" t="s">
        <v>422</v>
      </c>
      <c r="C6" s="776" t="s">
        <v>558</v>
      </c>
      <c r="D6" s="777" t="s">
        <v>559</v>
      </c>
      <c r="E6" s="777" t="s">
        <v>560</v>
      </c>
      <c r="F6" s="775"/>
      <c r="G6" s="775" t="s">
        <v>561</v>
      </c>
      <c r="H6" s="775"/>
      <c r="I6" s="775" t="s">
        <v>562</v>
      </c>
      <c r="J6" s="775" t="s">
        <v>543</v>
      </c>
      <c r="K6" s="778" t="s">
        <v>563</v>
      </c>
      <c r="L6" s="779" t="s">
        <v>624</v>
      </c>
    </row>
    <row r="7" spans="1:22" ht="13.5" thickTop="1">
      <c r="A7" s="780"/>
      <c r="B7" s="781"/>
      <c r="C7" s="782"/>
      <c r="D7" s="783"/>
      <c r="E7" s="782"/>
      <c r="F7" s="782"/>
      <c r="G7" s="782"/>
      <c r="H7" s="782"/>
      <c r="I7" s="782"/>
      <c r="J7" s="782"/>
      <c r="K7" s="783"/>
      <c r="L7" s="782"/>
    </row>
    <row r="8" spans="1:22">
      <c r="A8" s="784" t="s">
        <v>564</v>
      </c>
      <c r="B8" s="782"/>
      <c r="C8" s="782"/>
      <c r="D8" s="783"/>
      <c r="E8" s="782"/>
      <c r="F8" s="782"/>
      <c r="G8" s="782"/>
      <c r="H8" s="782"/>
      <c r="I8" s="782"/>
      <c r="J8" s="782"/>
      <c r="K8" s="783"/>
      <c r="L8" s="782"/>
    </row>
    <row r="9" spans="1:22">
      <c r="A9" s="785" t="s">
        <v>303</v>
      </c>
      <c r="B9" s="786">
        <v>0.05</v>
      </c>
      <c r="C9" s="787">
        <v>1873922.12</v>
      </c>
      <c r="D9" s="788">
        <v>0</v>
      </c>
      <c r="E9" s="787"/>
      <c r="F9" s="789">
        <v>0</v>
      </c>
      <c r="G9" s="790">
        <v>0</v>
      </c>
      <c r="H9" s="789"/>
      <c r="I9" s="789">
        <v>0</v>
      </c>
      <c r="J9" s="791">
        <f>+C9+D9+E9-F9+G9-H9-I9</f>
        <v>1873922.12</v>
      </c>
      <c r="K9" s="792">
        <f>ROUND(((C9+D9-F9-H9)*B9+E9*(B9/2))*$N$2/12,2)</f>
        <v>93696.11</v>
      </c>
      <c r="L9" s="791">
        <f>+J9-K9</f>
        <v>1780226.01</v>
      </c>
      <c r="N9" s="793"/>
      <c r="O9" s="754">
        <v>1873922.12</v>
      </c>
      <c r="P9" s="794">
        <f>O9-C9</f>
        <v>0</v>
      </c>
      <c r="Q9" s="795"/>
      <c r="R9" s="794"/>
      <c r="S9" s="795"/>
      <c r="U9" s="795"/>
      <c r="V9" s="795"/>
    </row>
    <row r="10" spans="1:22">
      <c r="A10" s="785" t="s">
        <v>303</v>
      </c>
      <c r="B10" s="786">
        <v>0.1</v>
      </c>
      <c r="C10" s="787">
        <v>154230227.27999997</v>
      </c>
      <c r="D10" s="788">
        <v>0</v>
      </c>
      <c r="E10" s="787"/>
      <c r="F10" s="791"/>
      <c r="G10" s="791">
        <v>0</v>
      </c>
      <c r="H10" s="791"/>
      <c r="I10" s="791">
        <v>0</v>
      </c>
      <c r="J10" s="791">
        <f>+C10+D10+E10-F10+G10-H10-I10</f>
        <v>154230227.27999997</v>
      </c>
      <c r="K10" s="792">
        <f>ROUND(((C10+D10-F10-H10)*B10+E10*(B10/2))*$N$2/12,2)</f>
        <v>15423022.73</v>
      </c>
      <c r="L10" s="791">
        <f>+J10-K10</f>
        <v>138807204.54999998</v>
      </c>
      <c r="N10" s="793"/>
      <c r="O10" s="754">
        <v>154230227.27999997</v>
      </c>
      <c r="P10" s="794">
        <f t="shared" ref="P10:P49" si="0">O10-C10</f>
        <v>0</v>
      </c>
      <c r="Q10" s="795"/>
      <c r="R10" s="794"/>
      <c r="S10" s="795"/>
      <c r="U10" s="795"/>
      <c r="V10" s="795"/>
    </row>
    <row r="11" spans="1:22">
      <c r="A11" s="785" t="s">
        <v>565</v>
      </c>
      <c r="B11" s="786">
        <v>0.1</v>
      </c>
      <c r="C11" s="796">
        <v>13564812.420000002</v>
      </c>
      <c r="D11" s="797">
        <v>0</v>
      </c>
      <c r="E11" s="796"/>
      <c r="F11" s="791"/>
      <c r="G11" s="791"/>
      <c r="H11" s="791"/>
      <c r="I11" s="791"/>
      <c r="J11" s="791">
        <f>+C11+D11+E11-F11+G11-H11-I11</f>
        <v>13564812.420000002</v>
      </c>
      <c r="K11" s="792">
        <f>ROUND(((C11+D11-F11-H11)*B11+E11*(B11/2))*$N$2/12,2)</f>
        <v>1356481.24</v>
      </c>
      <c r="L11" s="791">
        <f>+J11-K11</f>
        <v>12208331.180000002</v>
      </c>
      <c r="N11" s="793"/>
      <c r="O11" s="754">
        <v>13564812.420000002</v>
      </c>
      <c r="P11" s="794">
        <f t="shared" si="0"/>
        <v>0</v>
      </c>
      <c r="Q11" s="795"/>
      <c r="R11" s="794"/>
      <c r="S11" s="795"/>
      <c r="U11" s="795"/>
      <c r="V11" s="795"/>
    </row>
    <row r="12" spans="1:22" ht="13.5" thickBot="1">
      <c r="A12" s="785"/>
      <c r="B12" s="786"/>
      <c r="C12" s="796"/>
      <c r="D12" s="796"/>
      <c r="E12" s="796"/>
      <c r="F12" s="791"/>
      <c r="G12" s="791"/>
      <c r="H12" s="791"/>
      <c r="I12" s="791"/>
      <c r="J12" s="791"/>
      <c r="K12" s="796"/>
      <c r="L12" s="791"/>
      <c r="N12" s="793"/>
      <c r="P12" s="794">
        <f t="shared" si="0"/>
        <v>0</v>
      </c>
      <c r="Q12" s="795"/>
      <c r="R12" s="794"/>
      <c r="S12" s="795"/>
      <c r="U12" s="795"/>
      <c r="V12" s="795"/>
    </row>
    <row r="13" spans="1:22" ht="13.5" thickBot="1">
      <c r="A13" s="767" t="s">
        <v>556</v>
      </c>
      <c r="B13" s="798"/>
      <c r="C13" s="799">
        <f>SUM(C9:C12)</f>
        <v>169668961.81999999</v>
      </c>
      <c r="D13" s="800">
        <f>SUM(D9:D12)</f>
        <v>0</v>
      </c>
      <c r="E13" s="799">
        <f t="shared" ref="E13:L13" si="1">SUM(E9:E12)</f>
        <v>0</v>
      </c>
      <c r="F13" s="800">
        <f t="shared" si="1"/>
        <v>0</v>
      </c>
      <c r="G13" s="800">
        <f t="shared" si="1"/>
        <v>0</v>
      </c>
      <c r="H13" s="800">
        <f t="shared" si="1"/>
        <v>0</v>
      </c>
      <c r="I13" s="800">
        <f t="shared" si="1"/>
        <v>0</v>
      </c>
      <c r="J13" s="800">
        <f t="shared" si="1"/>
        <v>169668961.81999999</v>
      </c>
      <c r="K13" s="800">
        <f t="shared" si="1"/>
        <v>16873200.079999998</v>
      </c>
      <c r="L13" s="800">
        <f t="shared" si="1"/>
        <v>152795761.73999998</v>
      </c>
      <c r="N13" s="793"/>
      <c r="O13" s="801">
        <v>169668961.81999999</v>
      </c>
      <c r="P13" s="794">
        <f t="shared" si="0"/>
        <v>0</v>
      </c>
      <c r="Q13" s="795"/>
      <c r="R13" s="794"/>
      <c r="S13" s="795"/>
      <c r="U13" s="795"/>
      <c r="V13" s="795"/>
    </row>
    <row r="14" spans="1:22">
      <c r="A14" s="780"/>
      <c r="B14" s="786"/>
      <c r="C14" s="802"/>
      <c r="D14" s="802"/>
      <c r="E14" s="802"/>
      <c r="F14" s="791"/>
      <c r="G14" s="791"/>
      <c r="H14" s="791"/>
      <c r="I14" s="791"/>
      <c r="J14" s="791"/>
      <c r="K14" s="796"/>
      <c r="L14" s="791"/>
      <c r="N14" s="793"/>
      <c r="P14" s="794">
        <f t="shared" si="0"/>
        <v>0</v>
      </c>
      <c r="Q14" s="795"/>
      <c r="R14" s="794"/>
      <c r="S14" s="795"/>
      <c r="U14" s="795"/>
      <c r="V14" s="795"/>
    </row>
    <row r="15" spans="1:22">
      <c r="A15" s="784" t="s">
        <v>566</v>
      </c>
      <c r="B15" s="786"/>
      <c r="C15" s="796"/>
      <c r="D15" s="796"/>
      <c r="E15" s="796"/>
      <c r="F15" s="791"/>
      <c r="G15" s="791"/>
      <c r="H15" s="791"/>
      <c r="I15" s="791"/>
      <c r="J15" s="791"/>
      <c r="K15" s="796"/>
      <c r="L15" s="791"/>
      <c r="N15" s="793"/>
      <c r="P15" s="794">
        <f t="shared" si="0"/>
        <v>0</v>
      </c>
      <c r="Q15" s="795"/>
      <c r="R15" s="794"/>
      <c r="S15" s="795"/>
      <c r="U15" s="795"/>
      <c r="V15" s="795"/>
    </row>
    <row r="16" spans="1:22">
      <c r="A16" s="785" t="s">
        <v>303</v>
      </c>
      <c r="B16" s="786">
        <v>0.15</v>
      </c>
      <c r="C16" s="803">
        <v>764667046.80999994</v>
      </c>
      <c r="D16" s="804">
        <v>0</v>
      </c>
      <c r="E16" s="803"/>
      <c r="F16" s="805">
        <v>12881.72</v>
      </c>
      <c r="G16" s="806">
        <v>0</v>
      </c>
      <c r="H16" s="807"/>
      <c r="I16" s="806">
        <v>0</v>
      </c>
      <c r="J16" s="791">
        <f t="shared" ref="J16:J24" si="2">+C16+D16+E16-F16+G16-H16-I16</f>
        <v>764654165.08999991</v>
      </c>
      <c r="K16" s="796">
        <f t="shared" ref="K16:K24" si="3">ROUND(((C16+D16-F16-H16)*B16+E16*(B16/2))*$N$2/12,2)</f>
        <v>114698124.76000001</v>
      </c>
      <c r="L16" s="806">
        <f t="shared" ref="L16:L24" si="4">+J16-K16</f>
        <v>649956040.32999992</v>
      </c>
      <c r="N16" s="793"/>
      <c r="O16" s="808">
        <v>764667046.80999994</v>
      </c>
      <c r="P16" s="794">
        <f t="shared" si="0"/>
        <v>0</v>
      </c>
      <c r="Q16" s="795"/>
      <c r="R16" s="794"/>
      <c r="S16" s="795"/>
      <c r="U16" s="795"/>
      <c r="V16" s="795"/>
    </row>
    <row r="17" spans="1:22">
      <c r="A17" s="785" t="s">
        <v>567</v>
      </c>
      <c r="B17" s="786">
        <v>0.35</v>
      </c>
      <c r="C17" s="803"/>
      <c r="D17" s="804">
        <v>183950586.80000001</v>
      </c>
      <c r="E17" s="809">
        <v>139050</v>
      </c>
      <c r="F17" s="805">
        <v>0</v>
      </c>
      <c r="G17" s="806">
        <v>0</v>
      </c>
      <c r="H17" s="810">
        <v>0</v>
      </c>
      <c r="I17" s="806">
        <v>0</v>
      </c>
      <c r="J17" s="791">
        <f t="shared" si="2"/>
        <v>184089636.80000001</v>
      </c>
      <c r="K17" s="796">
        <f t="shared" si="3"/>
        <v>64407039.130000003</v>
      </c>
      <c r="L17" s="806">
        <f t="shared" si="4"/>
        <v>119682597.67000002</v>
      </c>
      <c r="N17" s="793"/>
      <c r="P17" s="794">
        <f t="shared" si="0"/>
        <v>0</v>
      </c>
      <c r="Q17" s="795"/>
      <c r="R17" s="794"/>
      <c r="S17" s="795"/>
      <c r="U17" s="795"/>
      <c r="V17" s="795"/>
    </row>
    <row r="18" spans="1:22">
      <c r="A18" s="785" t="s">
        <v>567</v>
      </c>
      <c r="B18" s="786">
        <v>0.4</v>
      </c>
      <c r="C18" s="803">
        <v>10389049</v>
      </c>
      <c r="D18" s="804">
        <v>0</v>
      </c>
      <c r="E18" s="803">
        <v>0</v>
      </c>
      <c r="F18" s="805">
        <v>11637.94</v>
      </c>
      <c r="G18" s="806">
        <v>0</v>
      </c>
      <c r="H18" s="811">
        <v>0</v>
      </c>
      <c r="I18" s="806">
        <v>0</v>
      </c>
      <c r="J18" s="791">
        <f t="shared" si="2"/>
        <v>10377411.060000001</v>
      </c>
      <c r="K18" s="792">
        <f>ROUND(((C18+D18-F18-H18)*B18+E18*(B18/2))*$N$2/12,2)</f>
        <v>4150964.42</v>
      </c>
      <c r="L18" s="806">
        <f t="shared" si="4"/>
        <v>6226446.6400000006</v>
      </c>
      <c r="N18" s="793"/>
      <c r="O18" s="812">
        <v>10389049</v>
      </c>
      <c r="P18" s="794">
        <f t="shared" si="0"/>
        <v>0</v>
      </c>
      <c r="Q18" s="795"/>
      <c r="R18" s="794"/>
      <c r="S18" s="795"/>
      <c r="U18" s="795"/>
      <c r="V18" s="795"/>
    </row>
    <row r="19" spans="1:22">
      <c r="A19" s="785" t="s">
        <v>303</v>
      </c>
      <c r="B19" s="786">
        <v>0.4</v>
      </c>
      <c r="C19" s="803">
        <v>0</v>
      </c>
      <c r="D19" s="804">
        <v>1040625</v>
      </c>
      <c r="E19" s="803">
        <v>0</v>
      </c>
      <c r="F19" s="806">
        <v>0</v>
      </c>
      <c r="G19" s="806">
        <v>0</v>
      </c>
      <c r="H19" s="806"/>
      <c r="I19" s="806">
        <v>0</v>
      </c>
      <c r="J19" s="791">
        <f t="shared" si="2"/>
        <v>1040625</v>
      </c>
      <c r="K19" s="796">
        <f t="shared" si="3"/>
        <v>416250</v>
      </c>
      <c r="L19" s="806">
        <f t="shared" si="4"/>
        <v>624375</v>
      </c>
      <c r="N19" s="793"/>
      <c r="O19" s="754">
        <v>0</v>
      </c>
      <c r="P19" s="794">
        <f t="shared" si="0"/>
        <v>0</v>
      </c>
      <c r="Q19" s="795"/>
      <c r="R19" s="794"/>
      <c r="S19" s="795"/>
      <c r="U19" s="795"/>
      <c r="V19" s="795"/>
    </row>
    <row r="20" spans="1:22">
      <c r="A20" s="785" t="s">
        <v>303</v>
      </c>
      <c r="B20" s="786">
        <f>60%*0+40%</f>
        <v>0.4</v>
      </c>
      <c r="C20" s="803">
        <v>0</v>
      </c>
      <c r="D20" s="804">
        <v>0</v>
      </c>
      <c r="E20" s="803">
        <v>0</v>
      </c>
      <c r="F20" s="806">
        <v>0</v>
      </c>
      <c r="G20" s="806">
        <v>0</v>
      </c>
      <c r="H20" s="806"/>
      <c r="I20" s="806">
        <v>0</v>
      </c>
      <c r="J20" s="791">
        <f t="shared" si="2"/>
        <v>0</v>
      </c>
      <c r="K20" s="796">
        <f t="shared" si="3"/>
        <v>0</v>
      </c>
      <c r="L20" s="806">
        <f t="shared" si="4"/>
        <v>0</v>
      </c>
      <c r="N20" s="793"/>
      <c r="O20" s="754">
        <v>0</v>
      </c>
      <c r="P20" s="794">
        <f t="shared" si="0"/>
        <v>0</v>
      </c>
      <c r="Q20" s="795"/>
      <c r="R20" s="794"/>
      <c r="S20" s="795"/>
      <c r="U20" s="795"/>
      <c r="V20" s="795"/>
    </row>
    <row r="21" spans="1:22">
      <c r="A21" s="785" t="s">
        <v>567</v>
      </c>
      <c r="B21" s="786">
        <v>0.8</v>
      </c>
      <c r="C21" s="813">
        <v>0</v>
      </c>
      <c r="D21" s="804">
        <v>0</v>
      </c>
      <c r="E21" s="803">
        <v>0</v>
      </c>
      <c r="F21" s="806">
        <v>0</v>
      </c>
      <c r="G21" s="806"/>
      <c r="H21" s="806">
        <v>0</v>
      </c>
      <c r="I21" s="806"/>
      <c r="J21" s="791">
        <f t="shared" si="2"/>
        <v>0</v>
      </c>
      <c r="K21" s="796">
        <f t="shared" si="3"/>
        <v>0</v>
      </c>
      <c r="L21" s="806">
        <f t="shared" si="4"/>
        <v>0</v>
      </c>
      <c r="N21" s="793"/>
      <c r="O21" s="754">
        <v>0</v>
      </c>
      <c r="P21" s="794">
        <f t="shared" si="0"/>
        <v>0</v>
      </c>
      <c r="Q21" s="795"/>
      <c r="R21" s="794"/>
      <c r="S21" s="795"/>
      <c r="U21" s="795"/>
      <c r="V21" s="795"/>
    </row>
    <row r="22" spans="1:22">
      <c r="A22" s="785" t="s">
        <v>565</v>
      </c>
      <c r="B22" s="814">
        <v>0.15</v>
      </c>
      <c r="C22" s="803">
        <v>22666923.140000001</v>
      </c>
      <c r="D22" s="804">
        <v>0</v>
      </c>
      <c r="E22" s="803">
        <v>0</v>
      </c>
      <c r="F22" s="806">
        <v>0</v>
      </c>
      <c r="G22" s="806">
        <v>0</v>
      </c>
      <c r="H22" s="806">
        <v>0</v>
      </c>
      <c r="I22" s="806">
        <v>0</v>
      </c>
      <c r="J22" s="791">
        <f t="shared" si="2"/>
        <v>22666923.140000001</v>
      </c>
      <c r="K22" s="796">
        <f t="shared" si="3"/>
        <v>3400038.47</v>
      </c>
      <c r="L22" s="806">
        <f t="shared" si="4"/>
        <v>19266884.670000002</v>
      </c>
      <c r="N22" s="793"/>
      <c r="O22" s="815">
        <v>22666923.140000001</v>
      </c>
      <c r="P22" s="794">
        <f t="shared" si="0"/>
        <v>0</v>
      </c>
      <c r="Q22" s="795"/>
      <c r="R22" s="794"/>
      <c r="S22" s="795"/>
      <c r="U22" s="795"/>
      <c r="V22" s="795"/>
    </row>
    <row r="23" spans="1:22">
      <c r="A23" s="785" t="s">
        <v>568</v>
      </c>
      <c r="B23" s="814">
        <v>0.35</v>
      </c>
      <c r="C23" s="803">
        <v>0</v>
      </c>
      <c r="D23" s="804">
        <v>0</v>
      </c>
      <c r="E23" s="803">
        <v>0</v>
      </c>
      <c r="F23" s="806">
        <v>0</v>
      </c>
      <c r="G23" s="806"/>
      <c r="H23" s="806"/>
      <c r="I23" s="806"/>
      <c r="J23" s="791">
        <f t="shared" si="2"/>
        <v>0</v>
      </c>
      <c r="K23" s="796">
        <f t="shared" si="3"/>
        <v>0</v>
      </c>
      <c r="L23" s="806">
        <f>+J23-K23</f>
        <v>0</v>
      </c>
      <c r="N23" s="793"/>
      <c r="O23" s="815">
        <v>0</v>
      </c>
      <c r="P23" s="794">
        <f t="shared" si="0"/>
        <v>0</v>
      </c>
      <c r="Q23" s="795"/>
      <c r="R23" s="794"/>
      <c r="S23" s="795"/>
      <c r="U23" s="795"/>
      <c r="V23" s="795"/>
    </row>
    <row r="24" spans="1:22" ht="13.5" thickBot="1">
      <c r="A24" s="785" t="s">
        <v>565</v>
      </c>
      <c r="B24" s="786">
        <f>60%*0+40%</f>
        <v>0.4</v>
      </c>
      <c r="C24" s="803">
        <v>59.4</v>
      </c>
      <c r="D24" s="804">
        <v>0</v>
      </c>
      <c r="E24" s="803">
        <v>0</v>
      </c>
      <c r="F24" s="806"/>
      <c r="G24" s="806"/>
      <c r="H24" s="806"/>
      <c r="I24" s="806"/>
      <c r="J24" s="791">
        <f t="shared" si="2"/>
        <v>59.4</v>
      </c>
      <c r="K24" s="796">
        <f t="shared" si="3"/>
        <v>23.76</v>
      </c>
      <c r="L24" s="806">
        <f t="shared" si="4"/>
        <v>35.64</v>
      </c>
      <c r="N24" s="793"/>
      <c r="O24" s="815">
        <v>59.4</v>
      </c>
      <c r="P24" s="794">
        <f t="shared" si="0"/>
        <v>0</v>
      </c>
      <c r="Q24" s="795"/>
      <c r="R24" s="794"/>
      <c r="S24" s="795"/>
      <c r="U24" s="795"/>
      <c r="V24" s="795"/>
    </row>
    <row r="25" spans="1:22" ht="13.5" thickBot="1">
      <c r="A25" s="767" t="s">
        <v>556</v>
      </c>
      <c r="B25" s="798"/>
      <c r="C25" s="816">
        <f>SUM(C16:C24)</f>
        <v>797723078.3499999</v>
      </c>
      <c r="D25" s="817">
        <f t="shared" ref="D25:L25" si="5">SUM(D16:D24)</f>
        <v>184991211.80000001</v>
      </c>
      <c r="E25" s="816">
        <f t="shared" si="5"/>
        <v>139050</v>
      </c>
      <c r="F25" s="817">
        <f t="shared" si="5"/>
        <v>24519.66</v>
      </c>
      <c r="G25" s="817">
        <f t="shared" si="5"/>
        <v>0</v>
      </c>
      <c r="H25" s="817">
        <f t="shared" si="5"/>
        <v>0</v>
      </c>
      <c r="I25" s="817">
        <f t="shared" si="5"/>
        <v>0</v>
      </c>
      <c r="J25" s="817">
        <f t="shared" si="5"/>
        <v>982828820.48999977</v>
      </c>
      <c r="K25" s="817">
        <f t="shared" si="5"/>
        <v>187072440.53999999</v>
      </c>
      <c r="L25" s="817">
        <f t="shared" si="5"/>
        <v>795756379.94999993</v>
      </c>
      <c r="N25" s="793"/>
      <c r="O25" s="801">
        <v>797723078.3499999</v>
      </c>
      <c r="P25" s="794">
        <f t="shared" si="0"/>
        <v>0</v>
      </c>
      <c r="Q25" s="795"/>
      <c r="R25" s="794"/>
      <c r="S25" s="795"/>
      <c r="U25" s="795"/>
      <c r="V25" s="795"/>
    </row>
    <row r="26" spans="1:22">
      <c r="A26" s="780"/>
      <c r="B26" s="786"/>
      <c r="C26" s="796"/>
      <c r="D26" s="796"/>
      <c r="E26" s="796"/>
      <c r="F26" s="791"/>
      <c r="G26" s="791"/>
      <c r="H26" s="791"/>
      <c r="I26" s="791"/>
      <c r="J26" s="791"/>
      <c r="K26" s="796"/>
      <c r="L26" s="791"/>
      <c r="N26" s="793"/>
      <c r="O26" s="801"/>
      <c r="P26" s="794">
        <f t="shared" si="0"/>
        <v>0</v>
      </c>
      <c r="Q26" s="795"/>
      <c r="R26" s="794"/>
      <c r="S26" s="795"/>
      <c r="U26" s="795"/>
      <c r="V26" s="795"/>
    </row>
    <row r="27" spans="1:22">
      <c r="A27" s="784" t="s">
        <v>569</v>
      </c>
      <c r="B27" s="786"/>
      <c r="C27" s="796"/>
      <c r="D27" s="796"/>
      <c r="E27" s="796"/>
      <c r="F27" s="791"/>
      <c r="G27" s="791"/>
      <c r="H27" s="791"/>
      <c r="I27" s="791"/>
      <c r="J27" s="791"/>
      <c r="K27" s="796"/>
      <c r="L27" s="791"/>
      <c r="N27" s="793"/>
      <c r="P27" s="794">
        <f t="shared" si="0"/>
        <v>0</v>
      </c>
      <c r="Q27" s="795"/>
      <c r="R27" s="794"/>
      <c r="S27" s="795"/>
      <c r="U27" s="795"/>
      <c r="V27" s="795"/>
    </row>
    <row r="28" spans="1:22">
      <c r="A28" s="785" t="s">
        <v>303</v>
      </c>
      <c r="B28" s="786">
        <v>0.1</v>
      </c>
      <c r="C28" s="787">
        <v>44473742.740000002</v>
      </c>
      <c r="D28" s="818">
        <v>70393</v>
      </c>
      <c r="E28" s="787">
        <v>156488.76</v>
      </c>
      <c r="F28" s="791">
        <v>6059.5</v>
      </c>
      <c r="G28" s="791">
        <v>0</v>
      </c>
      <c r="H28" s="791"/>
      <c r="I28" s="791">
        <v>0</v>
      </c>
      <c r="J28" s="791">
        <f>+C28+D28+E28-F28+G28-H28-I28</f>
        <v>44694565</v>
      </c>
      <c r="K28" s="796">
        <f>ROUND(((C28+D28-F28-H28)*B28+E28*(B28/2))*$N$2/12,2)</f>
        <v>4461632.0599999996</v>
      </c>
      <c r="L28" s="791">
        <f>+J28-K28</f>
        <v>40232932.939999998</v>
      </c>
      <c r="N28" s="793"/>
      <c r="O28" s="754">
        <v>44473742.740000002</v>
      </c>
      <c r="P28" s="794">
        <f t="shared" si="0"/>
        <v>0</v>
      </c>
      <c r="Q28" s="795"/>
      <c r="R28" s="794"/>
      <c r="S28" s="795"/>
      <c r="U28" s="795"/>
      <c r="V28" s="795"/>
    </row>
    <row r="29" spans="1:22">
      <c r="A29" s="785" t="s">
        <v>565</v>
      </c>
      <c r="B29" s="786">
        <v>0.1</v>
      </c>
      <c r="C29" s="787">
        <v>101927.7</v>
      </c>
      <c r="D29" s="818">
        <v>0</v>
      </c>
      <c r="E29" s="787">
        <v>0</v>
      </c>
      <c r="F29" s="791"/>
      <c r="G29" s="791"/>
      <c r="H29" s="791"/>
      <c r="I29" s="791"/>
      <c r="J29" s="791">
        <f>+C29+D29+E29-F29+G29-H29-I29</f>
        <v>101927.7</v>
      </c>
      <c r="K29" s="796">
        <f>ROUND(((C29+D29-F29-H29)*B29+E29*(B29/2))*$N$2/12,2)</f>
        <v>10192.77</v>
      </c>
      <c r="L29" s="791">
        <f>+J29-K29</f>
        <v>91734.93</v>
      </c>
      <c r="N29" s="793"/>
      <c r="O29" s="754">
        <v>101927.7</v>
      </c>
      <c r="P29" s="794">
        <f t="shared" si="0"/>
        <v>0</v>
      </c>
      <c r="Q29" s="795"/>
      <c r="R29" s="794"/>
      <c r="S29" s="795"/>
      <c r="U29" s="795"/>
      <c r="V29" s="795"/>
    </row>
    <row r="30" spans="1:22" ht="13.5" thickBot="1">
      <c r="A30" s="785"/>
      <c r="B30" s="786"/>
      <c r="C30" s="819"/>
      <c r="D30" s="820"/>
      <c r="E30" s="819"/>
      <c r="F30" s="791"/>
      <c r="G30" s="791"/>
      <c r="H30" s="791"/>
      <c r="I30" s="791"/>
      <c r="J30" s="791"/>
      <c r="K30" s="796"/>
      <c r="L30" s="791"/>
      <c r="N30" s="793"/>
      <c r="P30" s="794">
        <f t="shared" si="0"/>
        <v>0</v>
      </c>
      <c r="Q30" s="795"/>
      <c r="R30" s="794"/>
      <c r="S30" s="795"/>
      <c r="U30" s="795"/>
      <c r="V30" s="795"/>
    </row>
    <row r="31" spans="1:22" ht="13.5" thickBot="1">
      <c r="A31" s="767" t="s">
        <v>556</v>
      </c>
      <c r="B31" s="798"/>
      <c r="C31" s="799">
        <f>SUM(C28:C30)</f>
        <v>44575670.440000005</v>
      </c>
      <c r="D31" s="800">
        <f t="shared" ref="D31:L31" si="6">SUM(D28:D30)</f>
        <v>70393</v>
      </c>
      <c r="E31" s="799">
        <f t="shared" si="6"/>
        <v>156488.76</v>
      </c>
      <c r="F31" s="800">
        <f t="shared" si="6"/>
        <v>6059.5</v>
      </c>
      <c r="G31" s="800">
        <f t="shared" si="6"/>
        <v>0</v>
      </c>
      <c r="H31" s="800">
        <f t="shared" si="6"/>
        <v>0</v>
      </c>
      <c r="I31" s="800">
        <f t="shared" si="6"/>
        <v>0</v>
      </c>
      <c r="J31" s="800">
        <f t="shared" si="6"/>
        <v>44796492.700000003</v>
      </c>
      <c r="K31" s="800">
        <f t="shared" si="6"/>
        <v>4471824.8299999991</v>
      </c>
      <c r="L31" s="800">
        <f t="shared" si="6"/>
        <v>40324667.869999997</v>
      </c>
      <c r="N31" s="793"/>
      <c r="O31" s="801">
        <v>44575670.440000005</v>
      </c>
      <c r="P31" s="794">
        <f t="shared" si="0"/>
        <v>0</v>
      </c>
      <c r="Q31" s="795"/>
      <c r="R31" s="794"/>
      <c r="S31" s="795"/>
      <c r="U31" s="795"/>
      <c r="V31" s="795"/>
    </row>
    <row r="32" spans="1:22">
      <c r="A32" s="780"/>
      <c r="B32" s="786"/>
      <c r="C32" s="796"/>
      <c r="D32" s="796"/>
      <c r="E32" s="796"/>
      <c r="F32" s="791"/>
      <c r="G32" s="791"/>
      <c r="H32" s="791"/>
      <c r="I32" s="791"/>
      <c r="J32" s="791"/>
      <c r="K32" s="796"/>
      <c r="L32" s="791"/>
      <c r="N32" s="793"/>
      <c r="P32" s="794">
        <f t="shared" si="0"/>
        <v>0</v>
      </c>
      <c r="Q32" s="795"/>
      <c r="R32" s="794"/>
      <c r="S32" s="795"/>
      <c r="U32" s="795"/>
      <c r="V32" s="795"/>
    </row>
    <row r="33" spans="1:22">
      <c r="A33" s="784" t="s">
        <v>570</v>
      </c>
      <c r="B33" s="786"/>
      <c r="C33" s="796"/>
      <c r="D33" s="796"/>
      <c r="E33" s="796"/>
      <c r="F33" s="791"/>
      <c r="G33" s="791"/>
      <c r="H33" s="791"/>
      <c r="I33" s="791"/>
      <c r="J33" s="791"/>
      <c r="K33" s="796"/>
      <c r="L33" s="791"/>
      <c r="N33" s="793"/>
      <c r="P33" s="794">
        <f t="shared" si="0"/>
        <v>0</v>
      </c>
      <c r="Q33" s="795"/>
      <c r="R33" s="794"/>
      <c r="S33" s="795"/>
      <c r="U33" s="795"/>
      <c r="V33" s="795"/>
    </row>
    <row r="34" spans="1:22">
      <c r="A34" s="785" t="s">
        <v>303</v>
      </c>
      <c r="B34" s="786">
        <v>0.15</v>
      </c>
      <c r="C34" s="787">
        <v>8692116.2699999996</v>
      </c>
      <c r="D34" s="821"/>
      <c r="E34" s="787"/>
      <c r="F34" s="822">
        <v>72998.64</v>
      </c>
      <c r="G34" s="791">
        <v>0</v>
      </c>
      <c r="H34" s="791"/>
      <c r="I34" s="791">
        <v>0</v>
      </c>
      <c r="J34" s="791">
        <f>+C34+D34+E34-F34+G34-H34-I34</f>
        <v>8619117.629999999</v>
      </c>
      <c r="K34" s="796">
        <f>ROUND(((C34+D34-F34-H34)*B34+E34*(B34/2))*$N$2/12,2)</f>
        <v>1292867.6399999999</v>
      </c>
      <c r="L34" s="791">
        <f>+J34-K34</f>
        <v>7326249.9899999993</v>
      </c>
      <c r="N34" s="793"/>
      <c r="O34" s="754">
        <v>8692116.2699999996</v>
      </c>
      <c r="P34" s="794">
        <f t="shared" si="0"/>
        <v>0</v>
      </c>
      <c r="Q34" s="795"/>
      <c r="R34" s="794"/>
      <c r="S34" s="795"/>
      <c r="U34" s="795"/>
      <c r="V34" s="795"/>
    </row>
    <row r="35" spans="1:22">
      <c r="A35" s="785"/>
      <c r="B35" s="786"/>
      <c r="C35" s="796"/>
      <c r="D35" s="820"/>
      <c r="E35" s="796"/>
      <c r="F35" s="791"/>
      <c r="G35" s="791"/>
      <c r="H35" s="791"/>
      <c r="I35" s="791"/>
      <c r="J35" s="791"/>
      <c r="K35" s="796"/>
      <c r="L35" s="791"/>
      <c r="N35" s="793"/>
      <c r="P35" s="794">
        <f t="shared" si="0"/>
        <v>0</v>
      </c>
      <c r="Q35" s="795"/>
      <c r="R35" s="794"/>
      <c r="S35" s="795"/>
      <c r="U35" s="795"/>
      <c r="V35" s="795"/>
    </row>
    <row r="36" spans="1:22" ht="13.5" thickBot="1">
      <c r="A36" s="785"/>
      <c r="B36" s="786"/>
      <c r="C36" s="796"/>
      <c r="D36" s="820"/>
      <c r="E36" s="796"/>
      <c r="F36" s="791"/>
      <c r="G36" s="791"/>
      <c r="H36" s="791"/>
      <c r="I36" s="791"/>
      <c r="J36" s="791"/>
      <c r="K36" s="796"/>
      <c r="L36" s="791"/>
      <c r="N36" s="793"/>
      <c r="P36" s="794">
        <f t="shared" si="0"/>
        <v>0</v>
      </c>
      <c r="Q36" s="795"/>
      <c r="R36" s="794"/>
      <c r="S36" s="795"/>
      <c r="U36" s="795"/>
      <c r="V36" s="795"/>
    </row>
    <row r="37" spans="1:22" ht="13.5" thickBot="1">
      <c r="A37" s="767" t="s">
        <v>556</v>
      </c>
      <c r="B37" s="798"/>
      <c r="C37" s="799">
        <f>SUM(C34:C36)</f>
        <v>8692116.2699999996</v>
      </c>
      <c r="D37" s="800">
        <f t="shared" ref="D37:L37" si="7">SUM(D34:D36)</f>
        <v>0</v>
      </c>
      <c r="E37" s="799">
        <f t="shared" si="7"/>
        <v>0</v>
      </c>
      <c r="F37" s="800">
        <f t="shared" si="7"/>
        <v>72998.64</v>
      </c>
      <c r="G37" s="800">
        <f t="shared" si="7"/>
        <v>0</v>
      </c>
      <c r="H37" s="800">
        <f t="shared" si="7"/>
        <v>0</v>
      </c>
      <c r="I37" s="800">
        <f t="shared" si="7"/>
        <v>0</v>
      </c>
      <c r="J37" s="800">
        <f t="shared" si="7"/>
        <v>8619117.629999999</v>
      </c>
      <c r="K37" s="800">
        <f t="shared" si="7"/>
        <v>1292867.6399999999</v>
      </c>
      <c r="L37" s="800">
        <f t="shared" si="7"/>
        <v>7326249.9899999993</v>
      </c>
      <c r="N37" s="793"/>
      <c r="O37" s="801">
        <v>8692116.2699999996</v>
      </c>
      <c r="P37" s="794">
        <f t="shared" si="0"/>
        <v>0</v>
      </c>
      <c r="Q37" s="795"/>
      <c r="R37" s="794"/>
      <c r="S37" s="795"/>
      <c r="U37" s="795"/>
      <c r="V37" s="795"/>
    </row>
    <row r="38" spans="1:22">
      <c r="A38" s="780"/>
      <c r="B38" s="786"/>
      <c r="C38" s="796"/>
      <c r="D38" s="796"/>
      <c r="E38" s="796"/>
      <c r="F38" s="791"/>
      <c r="G38" s="791"/>
      <c r="H38" s="791"/>
      <c r="I38" s="791"/>
      <c r="J38" s="791"/>
      <c r="K38" s="796"/>
      <c r="L38" s="791"/>
      <c r="N38" s="793"/>
      <c r="P38" s="794">
        <f t="shared" si="0"/>
        <v>0</v>
      </c>
      <c r="Q38" s="795"/>
      <c r="R38" s="794"/>
      <c r="S38" s="795"/>
      <c r="U38" s="795"/>
      <c r="V38" s="795"/>
    </row>
    <row r="39" spans="1:22">
      <c r="A39" s="823" t="s">
        <v>571</v>
      </c>
      <c r="B39" s="786"/>
      <c r="C39" s="796"/>
      <c r="D39" s="796"/>
      <c r="E39" s="796"/>
      <c r="F39" s="791"/>
      <c r="G39" s="791"/>
      <c r="H39" s="791"/>
      <c r="I39" s="791"/>
      <c r="J39" s="791"/>
      <c r="K39" s="796"/>
      <c r="L39" s="791"/>
      <c r="N39" s="793"/>
      <c r="P39" s="794">
        <f t="shared" si="0"/>
        <v>0</v>
      </c>
      <c r="Q39" s="795"/>
      <c r="R39" s="794"/>
      <c r="S39" s="795"/>
      <c r="U39" s="795"/>
      <c r="V39" s="795"/>
    </row>
    <row r="40" spans="1:22">
      <c r="A40" s="785" t="s">
        <v>303</v>
      </c>
      <c r="B40" s="786">
        <v>0.15</v>
      </c>
      <c r="C40" s="787">
        <v>1323452.3800000001</v>
      </c>
      <c r="D40" s="824"/>
      <c r="E40" s="787">
        <v>0</v>
      </c>
      <c r="F40" s="791">
        <v>60169</v>
      </c>
      <c r="G40" s="791">
        <v>0</v>
      </c>
      <c r="H40" s="791"/>
      <c r="I40" s="791">
        <v>0</v>
      </c>
      <c r="J40" s="791">
        <f>+C40+D40+E40-F40+G40-H40-I40</f>
        <v>1263283.3800000001</v>
      </c>
      <c r="K40" s="796">
        <f>ROUND(((C40+D40-F40-H40)*B40+E40*(B40/2))*$N$2/12,2)</f>
        <v>189492.51</v>
      </c>
      <c r="L40" s="791">
        <f>+J40-K40</f>
        <v>1073790.8700000001</v>
      </c>
      <c r="N40" s="793"/>
      <c r="O40" s="754">
        <v>1323452.3800000001</v>
      </c>
      <c r="P40" s="794">
        <f t="shared" si="0"/>
        <v>0</v>
      </c>
      <c r="Q40" s="795"/>
      <c r="R40" s="794"/>
      <c r="S40" s="795"/>
      <c r="U40" s="795"/>
      <c r="V40" s="795"/>
    </row>
    <row r="41" spans="1:22">
      <c r="A41" s="785"/>
      <c r="B41" s="786"/>
      <c r="C41" s="796"/>
      <c r="D41" s="825"/>
      <c r="E41" s="796"/>
      <c r="F41" s="791"/>
      <c r="G41" s="791"/>
      <c r="H41" s="791"/>
      <c r="I41" s="791"/>
      <c r="J41" s="791"/>
      <c r="K41" s="796"/>
      <c r="L41" s="791"/>
      <c r="N41" s="793"/>
      <c r="P41" s="794">
        <f t="shared" si="0"/>
        <v>0</v>
      </c>
      <c r="Q41" s="795"/>
      <c r="R41" s="794"/>
      <c r="S41" s="795"/>
      <c r="U41" s="795"/>
      <c r="V41" s="795"/>
    </row>
    <row r="42" spans="1:22" ht="13.5" thickBot="1">
      <c r="A42" s="785"/>
      <c r="B42" s="786"/>
      <c r="C42" s="796"/>
      <c r="D42" s="825"/>
      <c r="E42" s="796"/>
      <c r="F42" s="791"/>
      <c r="G42" s="791"/>
      <c r="H42" s="791"/>
      <c r="I42" s="791"/>
      <c r="J42" s="791"/>
      <c r="K42" s="796"/>
      <c r="L42" s="791"/>
      <c r="N42" s="793"/>
      <c r="P42" s="794">
        <f t="shared" si="0"/>
        <v>0</v>
      </c>
      <c r="Q42" s="795"/>
      <c r="R42" s="794"/>
      <c r="S42" s="795"/>
      <c r="U42" s="795"/>
      <c r="V42" s="795"/>
    </row>
    <row r="43" spans="1:22" ht="13.5" thickBot="1">
      <c r="A43" s="767" t="s">
        <v>556</v>
      </c>
      <c r="B43" s="798"/>
      <c r="C43" s="799">
        <f>SUM(C39:C42)</f>
        <v>1323452.3800000001</v>
      </c>
      <c r="D43" s="800">
        <f t="shared" ref="D43:L43" si="8">SUM(D39:D42)</f>
        <v>0</v>
      </c>
      <c r="E43" s="799">
        <f t="shared" si="8"/>
        <v>0</v>
      </c>
      <c r="F43" s="800">
        <f t="shared" si="8"/>
        <v>60169</v>
      </c>
      <c r="G43" s="800">
        <f t="shared" si="8"/>
        <v>0</v>
      </c>
      <c r="H43" s="800">
        <f t="shared" si="8"/>
        <v>0</v>
      </c>
      <c r="I43" s="800">
        <f t="shared" si="8"/>
        <v>0</v>
      </c>
      <c r="J43" s="800">
        <f t="shared" si="8"/>
        <v>1263283.3800000001</v>
      </c>
      <c r="K43" s="800">
        <f t="shared" si="8"/>
        <v>189492.51</v>
      </c>
      <c r="L43" s="800">
        <f t="shared" si="8"/>
        <v>1073790.8700000001</v>
      </c>
      <c r="N43" s="793"/>
      <c r="O43" s="801">
        <v>1323452.3800000001</v>
      </c>
      <c r="P43" s="794">
        <f t="shared" si="0"/>
        <v>0</v>
      </c>
      <c r="Q43" s="795"/>
      <c r="R43" s="794"/>
      <c r="S43" s="795"/>
      <c r="U43" s="795"/>
      <c r="V43" s="795"/>
    </row>
    <row r="44" spans="1:22">
      <c r="A44" s="823" t="s">
        <v>188</v>
      </c>
      <c r="B44" s="826"/>
      <c r="C44" s="827"/>
      <c r="D44" s="828"/>
      <c r="E44" s="827"/>
      <c r="F44" s="828"/>
      <c r="G44" s="828"/>
      <c r="H44" s="828"/>
      <c r="I44" s="828"/>
      <c r="J44" s="828"/>
      <c r="K44" s="828"/>
      <c r="L44" s="828"/>
      <c r="N44" s="793"/>
      <c r="P44" s="794">
        <f t="shared" si="0"/>
        <v>0</v>
      </c>
      <c r="Q44" s="795"/>
      <c r="R44" s="794"/>
      <c r="S44" s="795"/>
      <c r="U44" s="795"/>
      <c r="V44" s="795"/>
    </row>
    <row r="45" spans="1:22">
      <c r="A45" s="785" t="s">
        <v>360</v>
      </c>
      <c r="B45" s="786">
        <f>25%</f>
        <v>0.25</v>
      </c>
      <c r="C45" s="787">
        <v>0</v>
      </c>
      <c r="D45" s="791"/>
      <c r="E45" s="787">
        <v>0</v>
      </c>
      <c r="F45" s="787"/>
      <c r="G45" s="829"/>
      <c r="H45" s="787">
        <v>0</v>
      </c>
      <c r="I45" s="829"/>
      <c r="J45" s="791">
        <f>+C45+D45+E45-F45+G45-H45-I45</f>
        <v>0</v>
      </c>
      <c r="K45" s="796">
        <f>ROUND(((C45+D45-F45-H45)*B45+E45*(B45/2))*$N$2/12,2)</f>
        <v>0</v>
      </c>
      <c r="L45" s="791">
        <f>+J45-K45</f>
        <v>0</v>
      </c>
      <c r="N45" s="793"/>
      <c r="O45" s="754">
        <v>0</v>
      </c>
      <c r="P45" s="794">
        <f t="shared" si="0"/>
        <v>0</v>
      </c>
      <c r="Q45" s="795"/>
      <c r="R45" s="794"/>
      <c r="S45" s="795"/>
      <c r="U45" s="795"/>
      <c r="V45" s="795"/>
    </row>
    <row r="46" spans="1:22">
      <c r="A46" s="785"/>
      <c r="B46" s="786"/>
      <c r="C46" s="830"/>
      <c r="D46" s="829"/>
      <c r="E46" s="830"/>
      <c r="F46" s="829"/>
      <c r="G46" s="829"/>
      <c r="H46" s="829"/>
      <c r="I46" s="829"/>
      <c r="J46" s="829"/>
      <c r="K46" s="829"/>
      <c r="L46" s="829"/>
      <c r="N46" s="793"/>
      <c r="P46" s="794">
        <f t="shared" si="0"/>
        <v>0</v>
      </c>
      <c r="Q46" s="795"/>
      <c r="R46" s="794"/>
      <c r="S46" s="795"/>
      <c r="U46" s="795"/>
      <c r="V46" s="795"/>
    </row>
    <row r="47" spans="1:22" ht="13.5" thickBot="1">
      <c r="A47" s="767"/>
      <c r="B47" s="831"/>
      <c r="C47" s="832"/>
      <c r="D47" s="833"/>
      <c r="E47" s="832"/>
      <c r="F47" s="833"/>
      <c r="G47" s="833"/>
      <c r="H47" s="833"/>
      <c r="I47" s="833"/>
      <c r="J47" s="833"/>
      <c r="K47" s="833"/>
      <c r="L47" s="833"/>
      <c r="N47" s="793"/>
      <c r="P47" s="794">
        <f t="shared" si="0"/>
        <v>0</v>
      </c>
      <c r="Q47" s="795"/>
      <c r="R47" s="794"/>
      <c r="S47" s="795"/>
      <c r="U47" s="795"/>
      <c r="V47" s="795"/>
    </row>
    <row r="48" spans="1:22" ht="13.5" thickBot="1">
      <c r="A48" s="767"/>
      <c r="B48" s="798"/>
      <c r="C48" s="799">
        <f t="shared" ref="C48:J48" si="9">SUM(C45:C47)</f>
        <v>0</v>
      </c>
      <c r="D48" s="799">
        <f t="shared" si="9"/>
        <v>0</v>
      </c>
      <c r="E48" s="799">
        <f t="shared" si="9"/>
        <v>0</v>
      </c>
      <c r="F48" s="799">
        <f t="shared" si="9"/>
        <v>0</v>
      </c>
      <c r="G48" s="799">
        <f t="shared" si="9"/>
        <v>0</v>
      </c>
      <c r="H48" s="799">
        <f t="shared" si="9"/>
        <v>0</v>
      </c>
      <c r="I48" s="799">
        <f t="shared" si="9"/>
        <v>0</v>
      </c>
      <c r="J48" s="799">
        <f t="shared" si="9"/>
        <v>0</v>
      </c>
      <c r="K48" s="800">
        <f>K45</f>
        <v>0</v>
      </c>
      <c r="L48" s="800">
        <f>L45</f>
        <v>0</v>
      </c>
      <c r="N48" s="793"/>
      <c r="O48" s="754">
        <v>0</v>
      </c>
      <c r="P48" s="794">
        <f t="shared" si="0"/>
        <v>0</v>
      </c>
      <c r="Q48" s="795"/>
      <c r="R48" s="794"/>
      <c r="S48" s="795"/>
      <c r="U48" s="795"/>
      <c r="V48" s="795"/>
    </row>
    <row r="49" spans="1:19" ht="13.5" thickBot="1">
      <c r="A49" s="834" t="s">
        <v>572</v>
      </c>
      <c r="B49" s="835"/>
      <c r="C49" s="836">
        <f>+C43+C37+C31+C25+C13+C45</f>
        <v>1021983279.26</v>
      </c>
      <c r="D49" s="836">
        <f>D13+D25+D31+D37+D43+D48</f>
        <v>185061604.80000001</v>
      </c>
      <c r="E49" s="836">
        <f>E13+E25+E31+E37+E43+E48</f>
        <v>295538.76</v>
      </c>
      <c r="F49" s="836">
        <f>+F43+F37+F31+F25+F13+F45</f>
        <v>163746.80000000002</v>
      </c>
      <c r="G49" s="836">
        <f>+G43+G37+G31+G25+G13+G45</f>
        <v>0</v>
      </c>
      <c r="H49" s="836">
        <f>+H43+H37+H31+H25+H13+H45</f>
        <v>0</v>
      </c>
      <c r="I49" s="836">
        <f>+I43+I37+I31+I25+I13+I45</f>
        <v>0</v>
      </c>
      <c r="J49" s="836">
        <f>+J43+J37+J31+J25+J13+J48</f>
        <v>1207176676.0199997</v>
      </c>
      <c r="K49" s="837">
        <f>K13+K25+K31+K37+K43+K48</f>
        <v>209899825.59999999</v>
      </c>
      <c r="L49" s="837">
        <f>L13+L25+L31+L37+L43+L48</f>
        <v>997276850.41999996</v>
      </c>
      <c r="N49" s="793"/>
      <c r="O49" s="801">
        <v>1021983279.26</v>
      </c>
      <c r="P49" s="794">
        <f t="shared" si="0"/>
        <v>0</v>
      </c>
      <c r="Q49" s="795"/>
      <c r="R49" s="794"/>
      <c r="S49" s="795"/>
    </row>
    <row r="50" spans="1:19">
      <c r="A50" s="838" t="s">
        <v>573</v>
      </c>
      <c r="B50" s="839"/>
      <c r="C50" s="840">
        <v>0</v>
      </c>
      <c r="D50" s="841">
        <v>0</v>
      </c>
      <c r="E50" s="841">
        <v>0</v>
      </c>
      <c r="F50" s="840">
        <v>0</v>
      </c>
      <c r="G50" s="840">
        <v>0</v>
      </c>
      <c r="H50" s="840">
        <v>0</v>
      </c>
      <c r="I50" s="840">
        <v>0</v>
      </c>
      <c r="J50" s="840">
        <v>0</v>
      </c>
      <c r="K50" s="840">
        <v>0</v>
      </c>
      <c r="L50" s="840">
        <v>0</v>
      </c>
      <c r="M50" s="842"/>
      <c r="N50" s="764"/>
    </row>
    <row r="51" spans="1:19">
      <c r="A51" s="838" t="s">
        <v>574</v>
      </c>
      <c r="B51" s="839"/>
      <c r="C51" s="840"/>
      <c r="D51" s="843"/>
      <c r="E51" s="841"/>
      <c r="F51" s="840"/>
      <c r="G51" s="840"/>
      <c r="H51" s="840"/>
      <c r="I51" s="840"/>
      <c r="J51" s="844"/>
      <c r="K51" s="845"/>
      <c r="L51" s="840"/>
    </row>
    <row r="52" spans="1:19">
      <c r="A52" s="838" t="s">
        <v>509</v>
      </c>
      <c r="B52" s="839"/>
      <c r="C52" s="840"/>
      <c r="D52" s="846">
        <v>0</v>
      </c>
      <c r="E52" s="843">
        <v>0</v>
      </c>
      <c r="F52" s="840"/>
      <c r="G52" s="840"/>
      <c r="H52" s="840"/>
      <c r="I52" s="840"/>
      <c r="J52" s="844"/>
      <c r="K52" s="845"/>
      <c r="L52" s="795"/>
    </row>
    <row r="53" spans="1:19">
      <c r="A53" s="838" t="s">
        <v>575</v>
      </c>
      <c r="B53" s="839"/>
      <c r="C53" s="840"/>
      <c r="D53" s="843">
        <v>0</v>
      </c>
      <c r="E53" s="843"/>
      <c r="F53" s="840"/>
      <c r="G53" s="840"/>
      <c r="H53" s="840"/>
      <c r="I53" s="840"/>
      <c r="J53" s="844"/>
      <c r="K53" s="845"/>
      <c r="L53" s="795"/>
    </row>
    <row r="54" spans="1:19">
      <c r="A54" s="838" t="s">
        <v>576</v>
      </c>
      <c r="B54" s="839"/>
      <c r="C54" s="840"/>
      <c r="D54" s="847">
        <v>185357143.56</v>
      </c>
      <c r="E54" s="841"/>
      <c r="F54" s="840"/>
      <c r="G54" s="840"/>
      <c r="H54" s="840"/>
      <c r="I54" s="840"/>
      <c r="J54" s="841"/>
      <c r="K54" s="848"/>
      <c r="L54" s="840"/>
    </row>
    <row r="55" spans="1:19">
      <c r="A55" s="838" t="s">
        <v>577</v>
      </c>
      <c r="B55" s="839"/>
      <c r="C55" s="840"/>
      <c r="D55" s="843"/>
      <c r="E55" s="841"/>
      <c r="F55" s="849">
        <v>0</v>
      </c>
      <c r="G55" s="840"/>
      <c r="H55" s="840"/>
      <c r="I55" s="840"/>
      <c r="J55" s="841"/>
      <c r="K55" s="848"/>
      <c r="L55" s="840"/>
    </row>
    <row r="56" spans="1:19">
      <c r="A56" s="850" t="s">
        <v>578</v>
      </c>
      <c r="B56" s="839"/>
      <c r="C56" s="840"/>
      <c r="D56" s="851">
        <v>0</v>
      </c>
      <c r="E56" s="851"/>
      <c r="F56" s="840"/>
      <c r="G56" s="840"/>
      <c r="H56" s="840"/>
      <c r="I56" s="840"/>
      <c r="J56" s="840"/>
      <c r="K56" s="845"/>
      <c r="L56" s="840"/>
    </row>
    <row r="57" spans="1:19">
      <c r="A57" s="838" t="s">
        <v>579</v>
      </c>
      <c r="B57" s="839"/>
      <c r="C57" s="840"/>
      <c r="D57" s="852">
        <f>D54-D49-D50-D51-D52-D53-E49</f>
        <v>-9.5460563898086548E-9</v>
      </c>
      <c r="E57" s="853"/>
      <c r="F57" s="854"/>
      <c r="G57" s="854"/>
      <c r="H57" s="854"/>
      <c r="I57" s="855"/>
      <c r="J57" s="855"/>
      <c r="K57" s="856"/>
      <c r="L57" s="855"/>
    </row>
    <row r="58" spans="1:19">
      <c r="A58" s="838" t="s">
        <v>580</v>
      </c>
      <c r="B58" s="857"/>
      <c r="C58" s="840"/>
      <c r="D58" s="858"/>
      <c r="E58" s="841"/>
      <c r="F58" s="855"/>
      <c r="G58" s="855"/>
      <c r="H58" s="859"/>
      <c r="I58" s="855"/>
      <c r="J58" s="855"/>
      <c r="K58" s="860"/>
      <c r="L58" s="855"/>
    </row>
    <row r="59" spans="1:19">
      <c r="A59" s="861" t="s">
        <v>573</v>
      </c>
      <c r="B59" s="862"/>
      <c r="C59" s="855"/>
      <c r="D59" s="863">
        <f>D50</f>
        <v>0</v>
      </c>
      <c r="E59" s="864"/>
      <c r="F59" s="865"/>
      <c r="G59" s="865"/>
      <c r="H59" s="865"/>
      <c r="I59" s="855"/>
      <c r="J59" s="855"/>
      <c r="K59" s="860"/>
      <c r="L59" s="855"/>
    </row>
    <row r="60" spans="1:19">
      <c r="A60" s="866" t="s">
        <v>581</v>
      </c>
      <c r="B60" s="862"/>
      <c r="C60" s="855"/>
      <c r="D60" s="867"/>
      <c r="E60" s="864"/>
      <c r="F60" s="868"/>
      <c r="G60" s="855"/>
      <c r="H60" s="855"/>
      <c r="I60" s="855"/>
      <c r="J60" s="855"/>
      <c r="K60" s="860"/>
      <c r="L60" s="855"/>
    </row>
    <row r="61" spans="1:19">
      <c r="A61" s="866" t="s">
        <v>582</v>
      </c>
      <c r="B61" s="862"/>
      <c r="C61" s="855"/>
      <c r="D61" s="867">
        <f>D59+D60</f>
        <v>0</v>
      </c>
      <c r="E61" s="864"/>
      <c r="F61" s="868"/>
      <c r="G61" s="855"/>
      <c r="H61" s="855"/>
      <c r="I61" s="855"/>
      <c r="J61" s="855"/>
      <c r="K61" s="860"/>
      <c r="L61" s="855"/>
    </row>
    <row r="62" spans="1:19">
      <c r="A62" s="866"/>
      <c r="B62" s="869"/>
      <c r="C62" s="855"/>
      <c r="D62" s="867"/>
      <c r="E62" s="864"/>
      <c r="F62" s="864"/>
      <c r="G62" s="864"/>
      <c r="H62" s="864"/>
      <c r="I62" s="855"/>
      <c r="J62" s="855"/>
      <c r="K62" s="860"/>
      <c r="L62" s="855"/>
    </row>
    <row r="63" spans="1:19">
      <c r="A63" s="870" t="s">
        <v>583</v>
      </c>
      <c r="B63" s="862"/>
      <c r="C63" s="855"/>
      <c r="D63" s="871"/>
      <c r="E63" s="855"/>
      <c r="F63" s="855"/>
      <c r="G63" s="864"/>
      <c r="H63" s="855"/>
      <c r="I63" s="855"/>
      <c r="J63" s="855"/>
      <c r="K63" s="860"/>
      <c r="L63" s="855"/>
    </row>
    <row r="64" spans="1:19">
      <c r="A64" s="872">
        <v>0.1</v>
      </c>
      <c r="B64" s="869"/>
      <c r="C64" s="855">
        <f>SUM(C9:C11,C28:C29)</f>
        <v>214244632.25999999</v>
      </c>
      <c r="D64" s="855">
        <f t="shared" ref="D64:L64" si="10">SUM(D9:D11,D28:D29)</f>
        <v>70393</v>
      </c>
      <c r="E64" s="855">
        <f t="shared" si="10"/>
        <v>156488.76</v>
      </c>
      <c r="F64" s="855">
        <f t="shared" si="10"/>
        <v>6059.5</v>
      </c>
      <c r="G64" s="855">
        <f t="shared" si="10"/>
        <v>0</v>
      </c>
      <c r="H64" s="855">
        <f t="shared" si="10"/>
        <v>0</v>
      </c>
      <c r="I64" s="855">
        <f t="shared" si="10"/>
        <v>0</v>
      </c>
      <c r="J64" s="855">
        <f t="shared" si="10"/>
        <v>214465454.51999998</v>
      </c>
      <c r="K64" s="855">
        <f t="shared" si="10"/>
        <v>21345024.909999996</v>
      </c>
      <c r="L64" s="855">
        <f t="shared" si="10"/>
        <v>193120429.60999998</v>
      </c>
    </row>
    <row r="65" spans="1:12">
      <c r="A65" s="872">
        <v>0.15</v>
      </c>
      <c r="B65" s="862"/>
      <c r="C65" s="855">
        <f>SUM(C16,C22,C34,C40)</f>
        <v>797349538.5999999</v>
      </c>
      <c r="D65" s="855">
        <f t="shared" ref="D65:L65" si="11">SUM(D16,D22,D34,D40)</f>
        <v>0</v>
      </c>
      <c r="E65" s="855">
        <f t="shared" si="11"/>
        <v>0</v>
      </c>
      <c r="F65" s="855">
        <f t="shared" si="11"/>
        <v>146049.35999999999</v>
      </c>
      <c r="G65" s="855">
        <f t="shared" si="11"/>
        <v>0</v>
      </c>
      <c r="H65" s="855">
        <f t="shared" si="11"/>
        <v>0</v>
      </c>
      <c r="I65" s="855">
        <f t="shared" si="11"/>
        <v>0</v>
      </c>
      <c r="J65" s="855">
        <f t="shared" si="11"/>
        <v>797203489.23999989</v>
      </c>
      <c r="K65" s="855">
        <f t="shared" si="11"/>
        <v>119580523.38000001</v>
      </c>
      <c r="L65" s="855">
        <f t="shared" si="11"/>
        <v>677622965.8599999</v>
      </c>
    </row>
    <row r="66" spans="1:12">
      <c r="A66" s="872">
        <v>0.6</v>
      </c>
      <c r="B66" s="869"/>
      <c r="C66" s="869">
        <f>SUM(C17:C21)</f>
        <v>10389049</v>
      </c>
      <c r="D66" s="869">
        <f t="shared" ref="D66:L66" si="12">SUM(D17:D21)</f>
        <v>184991211.80000001</v>
      </c>
      <c r="E66" s="869">
        <f t="shared" si="12"/>
        <v>139050</v>
      </c>
      <c r="F66" s="869">
        <f t="shared" si="12"/>
        <v>11637.94</v>
      </c>
      <c r="G66" s="869">
        <f t="shared" si="12"/>
        <v>0</v>
      </c>
      <c r="H66" s="869">
        <f t="shared" si="12"/>
        <v>0</v>
      </c>
      <c r="I66" s="869">
        <f t="shared" si="12"/>
        <v>0</v>
      </c>
      <c r="J66" s="869">
        <f t="shared" si="12"/>
        <v>195507672.86000001</v>
      </c>
      <c r="K66" s="869">
        <f t="shared" si="12"/>
        <v>68974253.549999997</v>
      </c>
      <c r="L66" s="869">
        <f t="shared" si="12"/>
        <v>126533419.31000002</v>
      </c>
    </row>
    <row r="67" spans="1:12">
      <c r="A67" s="873" t="s">
        <v>279</v>
      </c>
      <c r="B67" s="862"/>
      <c r="C67" s="874">
        <f>SUM(C64:C66)</f>
        <v>1021983219.8599999</v>
      </c>
      <c r="D67" s="874">
        <f t="shared" ref="D67:L67" si="13">SUM(D64:D66)</f>
        <v>185061604.80000001</v>
      </c>
      <c r="E67" s="874">
        <f t="shared" si="13"/>
        <v>295538.76</v>
      </c>
      <c r="F67" s="874">
        <f t="shared" si="13"/>
        <v>163746.79999999999</v>
      </c>
      <c r="G67" s="874">
        <f t="shared" si="13"/>
        <v>0</v>
      </c>
      <c r="H67" s="874">
        <f t="shared" si="13"/>
        <v>0</v>
      </c>
      <c r="I67" s="874">
        <f t="shared" si="13"/>
        <v>0</v>
      </c>
      <c r="J67" s="874">
        <f t="shared" si="13"/>
        <v>1207176616.6199999</v>
      </c>
      <c r="K67" s="874">
        <f t="shared" si="13"/>
        <v>209899801.84000003</v>
      </c>
      <c r="L67" s="874">
        <f t="shared" si="13"/>
        <v>997276814.77999997</v>
      </c>
    </row>
    <row r="68" spans="1:12">
      <c r="A68" s="875"/>
      <c r="B68" s="862"/>
      <c r="C68" s="869"/>
      <c r="D68" s="860"/>
      <c r="E68" s="876"/>
      <c r="F68" s="855"/>
      <c r="G68" s="855"/>
      <c r="H68" s="855"/>
      <c r="I68" s="855"/>
      <c r="J68" s="855"/>
      <c r="K68" s="860"/>
      <c r="L68" s="855"/>
    </row>
    <row r="69" spans="1:12">
      <c r="A69" s="875"/>
      <c r="B69" s="862"/>
      <c r="C69" s="869"/>
      <c r="D69" s="860"/>
      <c r="E69" s="864"/>
      <c r="F69" s="864"/>
      <c r="G69" s="864"/>
      <c r="H69" s="864"/>
      <c r="I69" s="855"/>
      <c r="J69" s="855"/>
      <c r="K69" s="860"/>
      <c r="L69" s="855"/>
    </row>
    <row r="70" spans="1:12">
      <c r="A70" s="870"/>
      <c r="B70" s="862"/>
      <c r="C70" s="874"/>
      <c r="D70" s="765"/>
      <c r="E70" s="795"/>
    </row>
    <row r="71" spans="1:12">
      <c r="A71" s="764"/>
      <c r="B71" s="764"/>
      <c r="C71" s="877"/>
      <c r="D71" s="765"/>
    </row>
    <row r="72" spans="1:12">
      <c r="A72" s="764"/>
      <c r="B72" s="764"/>
      <c r="C72" s="877"/>
      <c r="D72" s="765"/>
    </row>
    <row r="73" spans="1:12">
      <c r="A73" s="764"/>
      <c r="B73" s="764"/>
      <c r="C73" s="877"/>
      <c r="D73" s="765"/>
    </row>
    <row r="74" spans="1:12">
      <c r="A74" s="764"/>
      <c r="B74" s="764"/>
      <c r="C74" s="877"/>
      <c r="D74" s="765"/>
    </row>
    <row r="75" spans="1:12">
      <c r="A75" s="764"/>
      <c r="B75" s="764"/>
      <c r="C75" s="877"/>
      <c r="D75" s="765"/>
    </row>
    <row r="76" spans="1:12">
      <c r="A76" s="764"/>
      <c r="B76" s="764"/>
      <c r="C76" s="764"/>
    </row>
    <row r="77" spans="1:12">
      <c r="C77" s="764"/>
      <c r="I77" s="754">
        <f>24885005.37</f>
        <v>24885005.370000001</v>
      </c>
    </row>
    <row r="78" spans="1:12">
      <c r="C78" s="764"/>
    </row>
    <row r="79" spans="1:12">
      <c r="C79" s="764"/>
    </row>
    <row r="80" spans="1:12">
      <c r="C80" s="764"/>
    </row>
    <row r="81" spans="1:7">
      <c r="C81" s="878"/>
      <c r="D81" s="878"/>
      <c r="E81" s="879"/>
      <c r="F81" s="879"/>
    </row>
    <row r="82" spans="1:7">
      <c r="C82" s="878"/>
      <c r="D82" s="880"/>
      <c r="E82" s="879"/>
      <c r="F82" s="879"/>
    </row>
    <row r="83" spans="1:7">
      <c r="C83" s="881"/>
      <c r="D83" s="881"/>
      <c r="E83" s="881"/>
      <c r="F83" s="881"/>
    </row>
    <row r="84" spans="1:7">
      <c r="C84" s="879"/>
      <c r="D84" s="882"/>
      <c r="E84" s="882"/>
      <c r="F84" s="883"/>
    </row>
    <row r="85" spans="1:7">
      <c r="C85" s="879"/>
      <c r="D85" s="882"/>
      <c r="E85" s="882"/>
      <c r="F85" s="883"/>
    </row>
    <row r="86" spans="1:7">
      <c r="C86" s="879"/>
      <c r="D86" s="882"/>
      <c r="E86" s="882"/>
      <c r="F86" s="883"/>
    </row>
    <row r="87" spans="1:7">
      <c r="C87" s="879"/>
      <c r="D87" s="882"/>
      <c r="E87" s="882"/>
      <c r="F87" s="883"/>
    </row>
    <row r="88" spans="1:7">
      <c r="C88" s="879"/>
      <c r="D88" s="882"/>
      <c r="E88" s="882"/>
      <c r="F88" s="883"/>
    </row>
    <row r="89" spans="1:7">
      <c r="C89" s="879"/>
      <c r="D89" s="882"/>
      <c r="E89" s="882"/>
      <c r="F89" s="883"/>
    </row>
    <row r="90" spans="1:7">
      <c r="C90" s="879"/>
      <c r="D90" s="882"/>
      <c r="E90" s="882"/>
      <c r="F90" s="883"/>
    </row>
    <row r="91" spans="1:7">
      <c r="C91" s="879"/>
      <c r="D91" s="882"/>
      <c r="E91" s="882"/>
      <c r="F91" s="883"/>
    </row>
    <row r="92" spans="1:7">
      <c r="C92" s="879"/>
      <c r="D92" s="882"/>
      <c r="E92" s="882"/>
      <c r="F92" s="883"/>
    </row>
    <row r="93" spans="1:7">
      <c r="C93" s="879"/>
      <c r="D93" s="882"/>
      <c r="E93" s="882"/>
      <c r="F93" s="883"/>
    </row>
    <row r="94" spans="1:7">
      <c r="C94" s="879"/>
      <c r="D94" s="882"/>
      <c r="E94" s="882"/>
      <c r="F94" s="882"/>
    </row>
    <row r="96" spans="1:7">
      <c r="A96" s="884"/>
      <c r="B96" s="884"/>
      <c r="C96" s="884"/>
      <c r="D96" s="884"/>
      <c r="E96" s="884"/>
      <c r="F96" s="884"/>
      <c r="G96" s="885"/>
    </row>
    <row r="97" spans="1:11">
      <c r="A97" s="884"/>
      <c r="B97" s="884"/>
      <c r="C97" s="884"/>
      <c r="D97" s="884"/>
      <c r="E97" s="884"/>
      <c r="F97" s="884"/>
      <c r="G97" s="885"/>
    </row>
    <row r="98" spans="1:11">
      <c r="A98" s="884"/>
      <c r="B98" s="884"/>
      <c r="C98" s="884"/>
      <c r="D98" s="884"/>
      <c r="E98" s="884"/>
      <c r="F98" s="884"/>
      <c r="G98" s="885"/>
    </row>
    <row r="99" spans="1:11">
      <c r="A99" s="884"/>
      <c r="B99" s="884"/>
      <c r="C99" s="884"/>
      <c r="D99" s="884"/>
      <c r="E99" s="884"/>
      <c r="F99" s="884"/>
      <c r="G99" s="886" t="s">
        <v>584</v>
      </c>
      <c r="J99" s="755"/>
      <c r="K99" s="754"/>
    </row>
    <row r="100" spans="1:11">
      <c r="A100" s="884"/>
      <c r="B100" s="884"/>
      <c r="C100" s="884"/>
      <c r="D100" s="887"/>
      <c r="E100" s="887"/>
      <c r="F100" s="887"/>
      <c r="G100" s="886" t="s">
        <v>585</v>
      </c>
      <c r="J100" s="755"/>
      <c r="K100" s="754"/>
    </row>
    <row r="101" spans="1:11">
      <c r="A101" s="884"/>
      <c r="B101" s="884"/>
      <c r="C101" s="884"/>
      <c r="D101" s="887"/>
      <c r="E101" s="887"/>
      <c r="F101" s="887"/>
      <c r="G101" s="886" t="s">
        <v>586</v>
      </c>
      <c r="J101" s="755"/>
      <c r="K101" s="754"/>
    </row>
    <row r="102" spans="1:11">
      <c r="A102" s="884"/>
      <c r="B102" s="884"/>
      <c r="C102" s="884"/>
      <c r="D102" s="887"/>
      <c r="E102" s="887"/>
      <c r="F102" s="887"/>
      <c r="G102" s="886" t="s">
        <v>587</v>
      </c>
      <c r="J102" s="755"/>
      <c r="K102" s="754"/>
    </row>
    <row r="103" spans="1:11">
      <c r="A103" s="884"/>
      <c r="B103" s="884"/>
      <c r="C103" s="884"/>
      <c r="D103" s="887"/>
      <c r="E103" s="887"/>
      <c r="F103" s="887"/>
      <c r="G103" s="886" t="s">
        <v>588</v>
      </c>
      <c r="J103" s="755"/>
      <c r="K103" s="754"/>
    </row>
    <row r="104" spans="1:11">
      <c r="A104" s="884"/>
      <c r="B104" s="884"/>
      <c r="C104" s="884"/>
      <c r="D104" s="887"/>
      <c r="E104" s="887"/>
      <c r="F104" s="887"/>
      <c r="G104" s="886" t="s">
        <v>589</v>
      </c>
      <c r="J104" s="755"/>
      <c r="K104" s="754"/>
    </row>
    <row r="105" spans="1:11">
      <c r="A105" s="884"/>
      <c r="B105" s="884"/>
      <c r="C105" s="884"/>
      <c r="D105" s="887"/>
      <c r="E105" s="887"/>
      <c r="F105" s="887"/>
      <c r="G105" s="886" t="s">
        <v>590</v>
      </c>
      <c r="J105" s="755"/>
      <c r="K105" s="754"/>
    </row>
    <row r="106" spans="1:11">
      <c r="A106" s="884"/>
      <c r="B106" s="884"/>
      <c r="C106" s="884"/>
      <c r="D106" s="887"/>
      <c r="E106" s="887"/>
      <c r="F106" s="887"/>
      <c r="G106" s="886" t="s">
        <v>591</v>
      </c>
      <c r="J106" s="755"/>
      <c r="K106" s="754"/>
    </row>
    <row r="107" spans="1:11">
      <c r="A107" s="884"/>
      <c r="B107" s="884"/>
      <c r="C107" s="884"/>
      <c r="D107" s="887"/>
      <c r="E107" s="887"/>
      <c r="F107" s="887"/>
      <c r="G107" s="886" t="s">
        <v>592</v>
      </c>
      <c r="J107" s="755"/>
      <c r="K107" s="754"/>
    </row>
    <row r="108" spans="1:11">
      <c r="A108" s="884"/>
      <c r="B108" s="884"/>
      <c r="C108" s="884"/>
      <c r="D108" s="887"/>
      <c r="E108" s="887"/>
      <c r="F108" s="887"/>
      <c r="G108" s="886" t="s">
        <v>593</v>
      </c>
      <c r="J108" s="755"/>
      <c r="K108" s="754"/>
    </row>
    <row r="109" spans="1:11">
      <c r="A109" s="884"/>
      <c r="B109" s="884"/>
      <c r="C109" s="884"/>
      <c r="D109" s="888"/>
      <c r="E109" s="888"/>
      <c r="F109" s="888"/>
      <c r="G109" s="886"/>
      <c r="J109" s="755"/>
      <c r="K109" s="754"/>
    </row>
    <row r="110" spans="1:11">
      <c r="A110" s="884"/>
      <c r="B110" s="884"/>
      <c r="C110" s="884"/>
      <c r="D110" s="887"/>
      <c r="E110" s="887"/>
      <c r="F110" s="887"/>
      <c r="G110" s="886"/>
      <c r="J110" s="755"/>
      <c r="K110" s="754"/>
    </row>
    <row r="111" spans="1:11">
      <c r="A111" s="884"/>
      <c r="B111" s="884"/>
      <c r="C111" s="884"/>
      <c r="D111" s="887"/>
      <c r="E111" s="887"/>
      <c r="F111" s="887"/>
      <c r="G111" s="886"/>
      <c r="J111" s="755"/>
      <c r="K111" s="754"/>
    </row>
    <row r="112" spans="1:11">
      <c r="A112" s="884"/>
      <c r="B112" s="884"/>
      <c r="C112" s="884"/>
      <c r="D112" s="887"/>
      <c r="E112" s="887"/>
      <c r="F112" s="887"/>
      <c r="G112" s="886" t="s">
        <v>594</v>
      </c>
      <c r="J112" s="755"/>
      <c r="K112" s="754"/>
    </row>
    <row r="113" spans="1:10" s="754" customFormat="1">
      <c r="A113" s="884"/>
      <c r="B113" s="884"/>
      <c r="C113" s="884"/>
      <c r="D113" s="888"/>
      <c r="E113" s="888"/>
      <c r="F113" s="888"/>
      <c r="G113" s="886"/>
      <c r="J113" s="755"/>
    </row>
    <row r="114" spans="1:10" s="754" customFormat="1">
      <c r="A114" s="884"/>
      <c r="B114" s="884"/>
      <c r="C114" s="884"/>
      <c r="D114" s="887"/>
      <c r="E114" s="887"/>
      <c r="F114" s="887"/>
      <c r="G114" s="886"/>
      <c r="J114" s="755"/>
    </row>
    <row r="115" spans="1:10" s="754" customFormat="1">
      <c r="A115" s="884"/>
      <c r="B115" s="884"/>
      <c r="C115" s="884"/>
      <c r="D115" s="887"/>
      <c r="E115" s="887"/>
      <c r="F115" s="887"/>
      <c r="G115" s="886" t="s">
        <v>595</v>
      </c>
      <c r="J115" s="755"/>
    </row>
    <row r="116" spans="1:10" s="754" customFormat="1">
      <c r="A116" s="884"/>
      <c r="B116" s="884"/>
      <c r="C116" s="884"/>
      <c r="D116" s="888"/>
      <c r="E116" s="888"/>
      <c r="F116" s="888"/>
      <c r="G116" s="886"/>
      <c r="J116" s="755"/>
    </row>
    <row r="117" spans="1:10" s="754" customFormat="1">
      <c r="A117" s="889"/>
      <c r="B117" s="884"/>
      <c r="C117" s="884"/>
      <c r="D117" s="887"/>
      <c r="E117" s="887"/>
      <c r="F117" s="887"/>
      <c r="G117" s="886"/>
      <c r="J117" s="755"/>
    </row>
    <row r="118" spans="1:10" s="754" customFormat="1">
      <c r="A118" s="884"/>
      <c r="B118" s="884"/>
      <c r="C118" s="884"/>
      <c r="D118" s="887"/>
      <c r="E118" s="887"/>
      <c r="F118" s="887"/>
      <c r="G118" s="886" t="s">
        <v>596</v>
      </c>
      <c r="J118" s="755"/>
    </row>
    <row r="119" spans="1:10" s="754" customFormat="1">
      <c r="A119" s="884"/>
      <c r="B119" s="884"/>
      <c r="C119" s="884"/>
      <c r="D119" s="888"/>
      <c r="E119" s="888"/>
      <c r="F119" s="888"/>
      <c r="G119" s="886"/>
      <c r="J119" s="755"/>
    </row>
    <row r="120" spans="1:10" s="754" customFormat="1">
      <c r="A120" s="884"/>
      <c r="B120" s="884"/>
      <c r="C120" s="884"/>
      <c r="D120" s="887"/>
      <c r="E120" s="887"/>
      <c r="F120" s="887"/>
      <c r="G120" s="886"/>
      <c r="J120" s="755"/>
    </row>
    <row r="121" spans="1:10" s="754" customFormat="1">
      <c r="A121" s="884"/>
      <c r="B121" s="884"/>
      <c r="C121" s="884"/>
      <c r="D121" s="887"/>
      <c r="E121" s="890"/>
      <c r="F121" s="887"/>
      <c r="G121" s="886" t="s">
        <v>597</v>
      </c>
      <c r="J121" s="755"/>
    </row>
    <row r="122" spans="1:10" s="754" customFormat="1">
      <c r="A122" s="884"/>
      <c r="B122" s="884"/>
      <c r="C122" s="884"/>
      <c r="D122" s="888"/>
      <c r="E122" s="888"/>
      <c r="F122" s="888"/>
      <c r="G122" s="886"/>
      <c r="J122" s="755"/>
    </row>
    <row r="123" spans="1:10" s="754" customFormat="1">
      <c r="A123" s="889"/>
      <c r="B123" s="884"/>
      <c r="C123" s="884"/>
      <c r="D123" s="888"/>
      <c r="E123" s="888"/>
      <c r="F123" s="888"/>
      <c r="G123" s="886"/>
      <c r="J123" s="755"/>
    </row>
    <row r="124" spans="1:10" s="754" customFormat="1">
      <c r="A124" s="884"/>
      <c r="B124" s="884"/>
      <c r="C124" s="889"/>
      <c r="D124" s="891"/>
      <c r="E124" s="891"/>
      <c r="F124" s="887"/>
      <c r="G124" s="886" t="s">
        <v>598</v>
      </c>
      <c r="J124" s="755"/>
    </row>
    <row r="125" spans="1:10" s="754" customFormat="1">
      <c r="A125" s="884"/>
      <c r="B125" s="884"/>
      <c r="C125" s="884"/>
      <c r="D125" s="888"/>
      <c r="E125" s="888"/>
      <c r="F125" s="888"/>
      <c r="G125" s="886"/>
      <c r="J125" s="755"/>
    </row>
    <row r="126" spans="1:10" s="754" customFormat="1">
      <c r="A126" s="889"/>
      <c r="B126" s="884"/>
      <c r="C126" s="884"/>
      <c r="D126" s="888"/>
      <c r="E126" s="888"/>
      <c r="F126" s="888"/>
      <c r="G126" s="886"/>
      <c r="J126" s="755"/>
    </row>
    <row r="127" spans="1:10" s="754" customFormat="1">
      <c r="A127" s="884"/>
      <c r="B127" s="884"/>
      <c r="C127" s="889"/>
      <c r="D127" s="891"/>
      <c r="E127" s="891"/>
      <c r="F127" s="887"/>
      <c r="G127" s="886" t="s">
        <v>599</v>
      </c>
      <c r="J127" s="755"/>
    </row>
    <row r="128" spans="1:10" s="754" customFormat="1">
      <c r="A128" s="884"/>
      <c r="B128" s="884"/>
      <c r="C128" s="884"/>
      <c r="D128" s="888"/>
      <c r="E128" s="888"/>
      <c r="F128" s="888"/>
      <c r="G128" s="886"/>
      <c r="J128" s="755"/>
    </row>
    <row r="129" spans="1:10" s="754" customFormat="1">
      <c r="A129" s="884"/>
      <c r="B129" s="884"/>
      <c r="C129" s="892"/>
      <c r="D129" s="888"/>
      <c r="E129" s="888"/>
      <c r="F129" s="888"/>
      <c r="G129" s="893"/>
      <c r="J129" s="755"/>
    </row>
  </sheetData>
  <mergeCells count="1">
    <mergeCell ref="D4:E4"/>
  </mergeCells>
  <pageMargins left="0.70866141732283472" right="0.70866141732283472" top="0.74803149606299213" bottom="0.74803149606299213" header="0.31496062992125984" footer="0.31496062992125984"/>
  <pageSetup paperSize="9" orientation="portrait" r:id="rId1"/>
  <headerFooter>
    <oddFooter xml:space="preserve">&amp;L&amp;"-,Bold"&amp;9Strictly private and confidential&amp;R&amp;"-,Bold"&amp;9Page &amp;P of &amp;N
&amp;A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CB07B-2B47-47D4-9B2F-E33F7BBCCAA3}">
  <dimension ref="A6:X88"/>
  <sheetViews>
    <sheetView topLeftCell="A59" zoomScale="70" zoomScaleNormal="70" workbookViewId="0">
      <selection activeCell="F86" sqref="F86"/>
    </sheetView>
  </sheetViews>
  <sheetFormatPr defaultRowHeight="15"/>
  <cols>
    <col min="1" max="1" width="6.7109375" bestFit="1" customWidth="1"/>
    <col min="2" max="2" width="7.28515625" bestFit="1" customWidth="1"/>
    <col min="3" max="3" width="15.7109375" bestFit="1" customWidth="1"/>
    <col min="4" max="4" width="7.28515625" bestFit="1" customWidth="1"/>
    <col min="6" max="14" width="12" bestFit="1" customWidth="1"/>
    <col min="15" max="15" width="11.5703125" bestFit="1" customWidth="1"/>
    <col min="16" max="23" width="12" bestFit="1" customWidth="1"/>
    <col min="24" max="24" width="15.85546875" bestFit="1" customWidth="1"/>
  </cols>
  <sheetData>
    <row r="6" spans="1:24">
      <c r="F6" t="s">
        <v>630</v>
      </c>
      <c r="G6" t="s">
        <v>631</v>
      </c>
      <c r="H6" t="s">
        <v>632</v>
      </c>
      <c r="I6" t="s">
        <v>633</v>
      </c>
      <c r="J6" t="s">
        <v>634</v>
      </c>
      <c r="K6" t="s">
        <v>635</v>
      </c>
      <c r="L6" t="s">
        <v>636</v>
      </c>
      <c r="M6" t="s">
        <v>637</v>
      </c>
      <c r="N6" t="s">
        <v>638</v>
      </c>
      <c r="O6" t="s">
        <v>639</v>
      </c>
      <c r="P6" t="s">
        <v>640</v>
      </c>
      <c r="Q6" t="s">
        <v>641</v>
      </c>
      <c r="R6" t="s">
        <v>642</v>
      </c>
      <c r="S6" t="s">
        <v>643</v>
      </c>
      <c r="T6" t="s">
        <v>644</v>
      </c>
      <c r="U6" t="s">
        <v>645</v>
      </c>
      <c r="V6" t="s">
        <v>679</v>
      </c>
      <c r="W6" t="s">
        <v>680</v>
      </c>
      <c r="X6" t="s">
        <v>681</v>
      </c>
    </row>
    <row r="7" spans="1:24">
      <c r="F7" s="1009" t="s">
        <v>646</v>
      </c>
      <c r="G7" t="s">
        <v>647</v>
      </c>
      <c r="H7" t="s">
        <v>648</v>
      </c>
      <c r="I7" t="s">
        <v>649</v>
      </c>
      <c r="J7" t="s">
        <v>650</v>
      </c>
      <c r="K7" t="s">
        <v>650</v>
      </c>
      <c r="L7" t="s">
        <v>651</v>
      </c>
      <c r="M7" t="s">
        <v>652</v>
      </c>
      <c r="N7" t="s">
        <v>653</v>
      </c>
      <c r="O7" t="s">
        <v>654</v>
      </c>
      <c r="P7" t="s">
        <v>655</v>
      </c>
      <c r="Q7" t="s">
        <v>656</v>
      </c>
      <c r="R7" t="s">
        <v>657</v>
      </c>
      <c r="S7" t="s">
        <v>658</v>
      </c>
      <c r="T7" t="s">
        <v>659</v>
      </c>
      <c r="U7" t="s">
        <v>660</v>
      </c>
      <c r="V7" t="s">
        <v>682</v>
      </c>
      <c r="W7" t="s">
        <v>683</v>
      </c>
      <c r="X7" t="s">
        <v>684</v>
      </c>
    </row>
    <row r="9" spans="1:24">
      <c r="A9" t="s">
        <v>661</v>
      </c>
      <c r="B9" t="s">
        <v>662</v>
      </c>
      <c r="C9" t="s">
        <v>663</v>
      </c>
    </row>
    <row r="11" spans="1:24">
      <c r="A11" t="s">
        <v>664</v>
      </c>
      <c r="B11" t="s">
        <v>665</v>
      </c>
      <c r="C11" t="s">
        <v>666</v>
      </c>
      <c r="F11" s="1221">
        <v>0</v>
      </c>
      <c r="G11" s="1221">
        <v>0</v>
      </c>
      <c r="H11" s="1221">
        <v>0</v>
      </c>
      <c r="I11" s="1221">
        <v>0</v>
      </c>
      <c r="J11" s="1221">
        <v>0</v>
      </c>
      <c r="K11" s="1221">
        <v>0</v>
      </c>
      <c r="L11" s="1221">
        <v>0</v>
      </c>
      <c r="M11" s="1221">
        <v>0</v>
      </c>
      <c r="N11" s="1221">
        <v>0</v>
      </c>
      <c r="O11" s="1221">
        <v>0</v>
      </c>
      <c r="P11" s="1221">
        <v>0</v>
      </c>
      <c r="Q11" s="1221">
        <v>0</v>
      </c>
      <c r="R11" s="1221">
        <v>0</v>
      </c>
      <c r="S11" s="1221">
        <v>0</v>
      </c>
      <c r="T11" s="1221">
        <v>0</v>
      </c>
      <c r="U11" s="1221">
        <v>0</v>
      </c>
      <c r="V11" s="1221">
        <v>0</v>
      </c>
      <c r="W11" s="1221">
        <v>0</v>
      </c>
      <c r="X11">
        <v>0</v>
      </c>
    </row>
    <row r="13" spans="1:24">
      <c r="A13" t="s">
        <v>664</v>
      </c>
      <c r="B13" t="s">
        <v>665</v>
      </c>
      <c r="F13" s="1221">
        <v>0</v>
      </c>
      <c r="G13" s="1221">
        <v>0</v>
      </c>
      <c r="H13" s="1221">
        <v>0</v>
      </c>
      <c r="I13" s="1221">
        <v>0</v>
      </c>
      <c r="J13" s="1221">
        <v>0</v>
      </c>
      <c r="K13" s="1221">
        <v>0</v>
      </c>
      <c r="L13" s="1221">
        <v>0</v>
      </c>
      <c r="M13" s="1221">
        <v>0</v>
      </c>
      <c r="N13" s="1221">
        <v>0</v>
      </c>
      <c r="O13" s="1221">
        <v>0</v>
      </c>
      <c r="P13" s="1221">
        <v>0</v>
      </c>
      <c r="Q13" s="1221">
        <v>0</v>
      </c>
      <c r="R13" s="1221">
        <v>0</v>
      </c>
      <c r="S13" s="1221">
        <v>0</v>
      </c>
      <c r="T13" s="1221">
        <v>0</v>
      </c>
      <c r="U13" s="1221">
        <v>0</v>
      </c>
      <c r="V13" s="1221">
        <v>0</v>
      </c>
      <c r="W13" s="1221">
        <v>0</v>
      </c>
      <c r="X13">
        <v>0</v>
      </c>
    </row>
    <row r="15" spans="1:24">
      <c r="A15" t="s">
        <v>664</v>
      </c>
      <c r="B15" t="s">
        <v>667</v>
      </c>
      <c r="C15" t="s">
        <v>564</v>
      </c>
      <c r="F15" s="1221">
        <v>-58.588659999999997</v>
      </c>
      <c r="G15" s="1221">
        <v>-58.588659999999997</v>
      </c>
      <c r="H15" s="1221">
        <v>-58.588659999999997</v>
      </c>
      <c r="I15" s="1221">
        <v>-58.588659999999997</v>
      </c>
      <c r="J15" s="1221">
        <v>-58.588659999999997</v>
      </c>
      <c r="K15" s="1221">
        <v>-58.588659999999997</v>
      </c>
      <c r="L15" s="1221">
        <v>-58.588659999999997</v>
      </c>
      <c r="M15" s="1221">
        <v>-58.588659999999997</v>
      </c>
      <c r="N15" s="1221">
        <v>-58.588659999999997</v>
      </c>
      <c r="O15" s="1221">
        <v>-58.491399999999999</v>
      </c>
      <c r="P15" s="1221">
        <v>-34.27966</v>
      </c>
      <c r="Q15" s="1221">
        <v>-34.27966</v>
      </c>
      <c r="R15" s="1221">
        <v>-34.27966</v>
      </c>
      <c r="S15" s="1221">
        <v>-34.27966</v>
      </c>
      <c r="T15" s="1221">
        <v>-34.27966</v>
      </c>
      <c r="U15" s="1221">
        <v>-34.27966</v>
      </c>
      <c r="V15" s="1221">
        <v>-34.27966</v>
      </c>
      <c r="W15" s="1221">
        <v>-34.27966</v>
      </c>
      <c r="X15">
        <v>-34.27966</v>
      </c>
    </row>
    <row r="16" spans="1:24">
      <c r="A16" t="s">
        <v>664</v>
      </c>
      <c r="B16" t="s">
        <v>667</v>
      </c>
      <c r="C16" t="s">
        <v>668</v>
      </c>
      <c r="F16" s="1221">
        <v>-85.825392600000058</v>
      </c>
      <c r="G16" s="1221">
        <v>-56.184779399999975</v>
      </c>
      <c r="H16" s="1221">
        <v>-12.419510499999971</v>
      </c>
      <c r="I16" s="1221">
        <v>-6.4781345000000297</v>
      </c>
      <c r="J16" s="1221">
        <v>-5.1108979999999704</v>
      </c>
      <c r="K16" s="1221">
        <v>-3.8576227000001073</v>
      </c>
      <c r="L16" s="1221">
        <v>-1.4670458999998868</v>
      </c>
      <c r="M16" s="1221">
        <v>-0.37458910000011325</v>
      </c>
      <c r="N16" s="1221">
        <v>-0.3664579999999702</v>
      </c>
      <c r="O16" s="1221">
        <v>-0.33896349999994041</v>
      </c>
      <c r="P16" s="1221">
        <v>-6.4505000000000007E-2</v>
      </c>
      <c r="Q16" s="1221">
        <v>0</v>
      </c>
      <c r="R16" s="1221">
        <v>0</v>
      </c>
      <c r="S16" s="1221">
        <v>0</v>
      </c>
      <c r="T16" s="1221">
        <v>0</v>
      </c>
      <c r="U16" s="1221">
        <v>0</v>
      </c>
      <c r="V16" s="1221">
        <v>-6.1833965000000592</v>
      </c>
      <c r="W16" s="1221">
        <v>0</v>
      </c>
      <c r="X16">
        <v>0</v>
      </c>
    </row>
    <row r="17" spans="1:24">
      <c r="A17" t="s">
        <v>664</v>
      </c>
      <c r="B17" t="s">
        <v>667</v>
      </c>
      <c r="C17" t="s">
        <v>669</v>
      </c>
      <c r="F17" s="1221">
        <v>0</v>
      </c>
      <c r="G17" s="1221">
        <v>0</v>
      </c>
      <c r="H17" s="1221">
        <v>0</v>
      </c>
      <c r="I17" s="1221">
        <v>0</v>
      </c>
      <c r="J17" s="1221">
        <v>0</v>
      </c>
      <c r="K17" s="1221">
        <v>0</v>
      </c>
      <c r="L17" s="1221">
        <v>0</v>
      </c>
      <c r="M17" s="1221">
        <v>0</v>
      </c>
      <c r="N17" s="1221">
        <v>0</v>
      </c>
      <c r="O17" s="1221">
        <v>0</v>
      </c>
      <c r="P17" s="1221">
        <v>0</v>
      </c>
      <c r="Q17" s="1221">
        <v>0</v>
      </c>
      <c r="R17" s="1221">
        <v>0</v>
      </c>
      <c r="S17" s="1221">
        <v>0</v>
      </c>
      <c r="T17" s="1221">
        <v>0</v>
      </c>
      <c r="U17" s="1221">
        <v>0</v>
      </c>
      <c r="V17" s="1221">
        <v>0</v>
      </c>
      <c r="W17" s="1221">
        <v>0</v>
      </c>
      <c r="X17">
        <v>0</v>
      </c>
    </row>
    <row r="18" spans="1:24">
      <c r="A18" t="s">
        <v>664</v>
      </c>
      <c r="B18" t="s">
        <v>667</v>
      </c>
      <c r="C18" t="s">
        <v>666</v>
      </c>
      <c r="F18" s="1221">
        <v>-0.39750000000000002</v>
      </c>
      <c r="G18" s="1221">
        <v>-0.39750000000000002</v>
      </c>
      <c r="H18" s="1221">
        <v>-0.39138000000000001</v>
      </c>
      <c r="I18" s="1221">
        <v>-0.3911</v>
      </c>
      <c r="J18" s="1221">
        <v>-0.3911</v>
      </c>
      <c r="K18" s="1221">
        <v>-0.38857679999999933</v>
      </c>
      <c r="L18" s="1221">
        <v>-0.19245450000000069</v>
      </c>
      <c r="M18" s="1221">
        <v>0</v>
      </c>
      <c r="N18" s="1221">
        <v>0</v>
      </c>
      <c r="O18" s="1221">
        <v>0</v>
      </c>
      <c r="P18" s="1221">
        <v>0</v>
      </c>
      <c r="Q18" s="1221">
        <v>0</v>
      </c>
      <c r="R18" s="1221">
        <v>0</v>
      </c>
      <c r="S18" s="1221">
        <v>0</v>
      </c>
      <c r="T18" s="1221">
        <v>0</v>
      </c>
      <c r="U18" s="1221">
        <v>0</v>
      </c>
      <c r="V18" s="1221">
        <v>0</v>
      </c>
      <c r="W18" s="1221">
        <v>0</v>
      </c>
      <c r="X18">
        <v>0</v>
      </c>
    </row>
    <row r="19" spans="1:24">
      <c r="A19" t="s">
        <v>664</v>
      </c>
      <c r="B19" t="s">
        <v>667</v>
      </c>
      <c r="C19" t="s">
        <v>670</v>
      </c>
      <c r="F19" s="1221">
        <v>-1.9264360000000009</v>
      </c>
      <c r="G19" s="1221">
        <v>0</v>
      </c>
      <c r="H19" s="1221">
        <v>0</v>
      </c>
      <c r="I19" s="1221">
        <v>0</v>
      </c>
      <c r="J19" s="1221">
        <v>0</v>
      </c>
      <c r="K19" s="1221">
        <v>0</v>
      </c>
      <c r="L19" s="1221">
        <v>0</v>
      </c>
      <c r="M19" s="1221">
        <v>0</v>
      </c>
      <c r="N19" s="1221">
        <v>0</v>
      </c>
      <c r="O19" s="1221">
        <v>0</v>
      </c>
      <c r="P19" s="1221">
        <v>0</v>
      </c>
      <c r="Q19" s="1221">
        <v>0</v>
      </c>
      <c r="R19" s="1221">
        <v>0</v>
      </c>
      <c r="S19" s="1221">
        <v>0</v>
      </c>
      <c r="T19" s="1221">
        <v>0</v>
      </c>
      <c r="U19" s="1221">
        <v>0</v>
      </c>
      <c r="V19" s="1221">
        <v>0</v>
      </c>
      <c r="W19" s="1221">
        <v>0</v>
      </c>
      <c r="X19">
        <v>0</v>
      </c>
    </row>
    <row r="20" spans="1:24">
      <c r="A20" t="s">
        <v>664</v>
      </c>
      <c r="B20" t="s">
        <v>667</v>
      </c>
      <c r="C20" t="s">
        <v>671</v>
      </c>
      <c r="F20" s="1221">
        <v>-0.71729950000001119</v>
      </c>
      <c r="G20" s="1221">
        <v>-0.11304599999999627</v>
      </c>
      <c r="H20" s="1221">
        <v>-5.3949999999999998E-2</v>
      </c>
      <c r="I20" s="1221">
        <v>-5.3949999999999998E-2</v>
      </c>
      <c r="J20" s="1221">
        <v>-5.3949999999999998E-2</v>
      </c>
      <c r="K20" s="1221">
        <v>-5.3949999999999998E-2</v>
      </c>
      <c r="L20" s="1221">
        <v>-4.1046999999992548E-2</v>
      </c>
      <c r="M20" s="1221">
        <v>0</v>
      </c>
      <c r="N20" s="1221">
        <v>0</v>
      </c>
      <c r="O20" s="1221">
        <v>0</v>
      </c>
      <c r="P20" s="1221">
        <v>0</v>
      </c>
      <c r="Q20" s="1221">
        <v>0</v>
      </c>
      <c r="R20" s="1221">
        <v>0</v>
      </c>
      <c r="S20" s="1221">
        <v>0</v>
      </c>
      <c r="T20" s="1221">
        <v>0</v>
      </c>
      <c r="U20" s="1221">
        <v>0</v>
      </c>
      <c r="V20" s="1221">
        <v>0</v>
      </c>
      <c r="W20" s="1221">
        <v>0</v>
      </c>
      <c r="X20">
        <v>0</v>
      </c>
    </row>
    <row r="22" spans="1:24">
      <c r="A22" t="s">
        <v>664</v>
      </c>
      <c r="B22" t="s">
        <v>667</v>
      </c>
      <c r="F22" s="1221">
        <v>-147.45528810000002</v>
      </c>
      <c r="G22" s="1221">
        <v>-115.28398539999992</v>
      </c>
      <c r="H22" s="1221">
        <v>-71.453500500000118</v>
      </c>
      <c r="I22" s="1221">
        <v>-65.511844499999881</v>
      </c>
      <c r="J22" s="1221">
        <v>-64.144608000000119</v>
      </c>
      <c r="K22" s="1221">
        <v>-62.88880949999988</v>
      </c>
      <c r="L22" s="1221">
        <v>-60.289207400000095</v>
      </c>
      <c r="M22" s="1221">
        <v>-58.963249099999963</v>
      </c>
      <c r="N22" s="1221">
        <v>-58.95511800000012</v>
      </c>
      <c r="O22" s="1221">
        <v>-58.83036349999994</v>
      </c>
      <c r="P22" s="1221">
        <v>-34.344164999999997</v>
      </c>
      <c r="Q22" s="1221">
        <v>-34.27966</v>
      </c>
      <c r="R22" s="1221">
        <v>-34.27966</v>
      </c>
      <c r="S22" s="1221">
        <v>-34.27966</v>
      </c>
      <c r="T22" s="1221">
        <v>-34.27966</v>
      </c>
      <c r="U22" s="1221">
        <v>-34.279659999999701</v>
      </c>
      <c r="V22" s="1221">
        <v>-40.463056500000356</v>
      </c>
      <c r="W22" s="1221">
        <v>-34.27966</v>
      </c>
      <c r="X22">
        <v>-34.27966</v>
      </c>
    </row>
    <row r="24" spans="1:24">
      <c r="A24" t="s">
        <v>664</v>
      </c>
      <c r="B24" t="s">
        <v>672</v>
      </c>
      <c r="C24" t="s">
        <v>668</v>
      </c>
      <c r="F24" s="1221">
        <v>-0.24597599999999861</v>
      </c>
      <c r="G24" s="1221">
        <v>-0.16258</v>
      </c>
      <c r="H24" s="1221">
        <v>-0.10578</v>
      </c>
      <c r="I24" s="1221">
        <v>0</v>
      </c>
      <c r="J24" s="1221">
        <v>0</v>
      </c>
      <c r="K24" s="1221">
        <v>0</v>
      </c>
      <c r="L24" s="1221">
        <v>0</v>
      </c>
      <c r="M24" s="1221">
        <v>0</v>
      </c>
      <c r="N24" s="1221">
        <v>0</v>
      </c>
      <c r="O24" s="1221">
        <v>0</v>
      </c>
      <c r="P24" s="1221">
        <v>0</v>
      </c>
      <c r="Q24" s="1221">
        <v>0</v>
      </c>
      <c r="R24" s="1221">
        <v>0</v>
      </c>
      <c r="S24" s="1221">
        <v>0</v>
      </c>
      <c r="T24" s="1221">
        <v>0</v>
      </c>
      <c r="U24" s="1221">
        <v>0</v>
      </c>
      <c r="V24" s="1221">
        <v>0</v>
      </c>
      <c r="W24" s="1221">
        <v>0</v>
      </c>
      <c r="X24">
        <v>0</v>
      </c>
    </row>
    <row r="26" spans="1:24">
      <c r="A26" t="s">
        <v>664</v>
      </c>
      <c r="B26" t="s">
        <v>672</v>
      </c>
      <c r="F26" s="1221">
        <v>-0.24597599999999861</v>
      </c>
      <c r="G26" s="1221">
        <v>-0.16258</v>
      </c>
      <c r="H26" s="1221">
        <v>-0.10578</v>
      </c>
      <c r="I26" s="1221">
        <v>0</v>
      </c>
      <c r="J26" s="1221">
        <v>0</v>
      </c>
      <c r="K26" s="1221">
        <v>0</v>
      </c>
      <c r="L26" s="1221">
        <v>0</v>
      </c>
      <c r="M26" s="1221">
        <v>0</v>
      </c>
      <c r="N26" s="1221">
        <v>0</v>
      </c>
      <c r="O26" s="1221">
        <v>0</v>
      </c>
      <c r="P26" s="1221">
        <v>0</v>
      </c>
      <c r="Q26" s="1221">
        <v>0</v>
      </c>
      <c r="R26" s="1221">
        <v>0</v>
      </c>
      <c r="S26" s="1221">
        <v>0</v>
      </c>
      <c r="T26" s="1221">
        <v>0</v>
      </c>
      <c r="U26" s="1221">
        <v>0</v>
      </c>
      <c r="V26" s="1221">
        <v>0</v>
      </c>
      <c r="W26" s="1221">
        <v>0</v>
      </c>
      <c r="X26">
        <v>0</v>
      </c>
    </row>
    <row r="28" spans="1:24">
      <c r="A28" t="s">
        <v>664</v>
      </c>
      <c r="B28" t="s">
        <v>673</v>
      </c>
      <c r="C28" t="s">
        <v>564</v>
      </c>
      <c r="F28" s="1221">
        <v>-679.86433999999997</v>
      </c>
      <c r="G28" s="1221">
        <v>-461.81231450000047</v>
      </c>
      <c r="H28" s="1221">
        <v>-245.48876059999944</v>
      </c>
      <c r="I28" s="1221">
        <v>-244.4115100999999</v>
      </c>
      <c r="J28" s="1221">
        <v>-242.65018000000001</v>
      </c>
      <c r="K28" s="1221">
        <v>-242.33158360000013</v>
      </c>
      <c r="L28" s="1221">
        <v>-242.28031999999999</v>
      </c>
      <c r="M28" s="1221">
        <v>-166.49650439999937</v>
      </c>
      <c r="N28" s="1221">
        <v>-151.70694</v>
      </c>
      <c r="O28" s="1221">
        <v>-151.70166310000062</v>
      </c>
      <c r="P28" s="1221">
        <v>-150.58324999999999</v>
      </c>
      <c r="Q28" s="1221">
        <v>-150.58324999999999</v>
      </c>
      <c r="R28" s="1221">
        <v>-150.58324999999999</v>
      </c>
      <c r="S28" s="1221">
        <v>-150.58324999999999</v>
      </c>
      <c r="T28" s="1221">
        <v>-113.33537080000043</v>
      </c>
      <c r="U28" s="1221">
        <v>-100.98041019999981</v>
      </c>
      <c r="V28" s="1221">
        <v>-99.789289999999994</v>
      </c>
      <c r="W28" s="1221">
        <v>-99.789289999999994</v>
      </c>
      <c r="X28">
        <v>-99.789289999999994</v>
      </c>
    </row>
    <row r="29" spans="1:24">
      <c r="A29" t="s">
        <v>664</v>
      </c>
      <c r="B29" t="s">
        <v>673</v>
      </c>
      <c r="C29" t="s">
        <v>668</v>
      </c>
      <c r="F29" s="1221">
        <v>-11.998969200000017</v>
      </c>
      <c r="G29" s="1221">
        <v>-6.9583407000000026</v>
      </c>
      <c r="H29" s="1221">
        <v>-4.073226299999952</v>
      </c>
      <c r="I29" s="1221">
        <v>-3.6701509000000359</v>
      </c>
      <c r="J29" s="1221">
        <v>-2.786014399999976</v>
      </c>
      <c r="K29" s="1221">
        <v>-2.00151049999997</v>
      </c>
      <c r="L29" s="1221">
        <v>-0.41551510000005365</v>
      </c>
      <c r="M29" s="1221">
        <v>-6.6078399999961263E-2</v>
      </c>
      <c r="N29" s="1221">
        <v>-3.6740000000000002E-2</v>
      </c>
      <c r="O29" s="1221">
        <v>-2.7995200000032784E-2</v>
      </c>
      <c r="P29" s="1221">
        <v>-9.2800000000000001E-3</v>
      </c>
      <c r="Q29" s="1221">
        <v>0</v>
      </c>
      <c r="R29" s="1221">
        <v>0</v>
      </c>
      <c r="S29" s="1221">
        <v>0</v>
      </c>
      <c r="T29" s="1221">
        <v>0</v>
      </c>
      <c r="U29" s="1221">
        <v>0</v>
      </c>
      <c r="V29" s="1221">
        <v>-0.86445249999999996</v>
      </c>
      <c r="W29" s="1221">
        <v>0</v>
      </c>
      <c r="X29">
        <v>0</v>
      </c>
    </row>
    <row r="30" spans="1:24">
      <c r="A30" t="s">
        <v>664</v>
      </c>
      <c r="B30" t="s">
        <v>673</v>
      </c>
      <c r="C30" t="s">
        <v>669</v>
      </c>
      <c r="F30" s="1221">
        <v>0</v>
      </c>
      <c r="G30" s="1221">
        <v>0</v>
      </c>
      <c r="H30" s="1221">
        <v>0</v>
      </c>
      <c r="I30" s="1221">
        <v>0</v>
      </c>
      <c r="J30" s="1221">
        <v>0</v>
      </c>
      <c r="K30" s="1221">
        <v>0</v>
      </c>
      <c r="L30" s="1221">
        <v>0</v>
      </c>
      <c r="M30" s="1221">
        <v>0</v>
      </c>
      <c r="N30" s="1221">
        <v>0</v>
      </c>
      <c r="O30" s="1221">
        <v>0</v>
      </c>
      <c r="P30" s="1221">
        <v>0</v>
      </c>
      <c r="Q30" s="1221">
        <v>0</v>
      </c>
      <c r="R30" s="1221">
        <v>0</v>
      </c>
      <c r="S30" s="1221">
        <v>0</v>
      </c>
      <c r="T30" s="1221">
        <v>0</v>
      </c>
      <c r="U30" s="1221">
        <v>0</v>
      </c>
      <c r="V30" s="1221">
        <v>0</v>
      </c>
      <c r="W30" s="1221">
        <v>0</v>
      </c>
      <c r="X30">
        <v>0</v>
      </c>
    </row>
    <row r="31" spans="1:24">
      <c r="A31" t="s">
        <v>664</v>
      </c>
      <c r="B31" t="s">
        <v>673</v>
      </c>
      <c r="C31" t="s">
        <v>666</v>
      </c>
      <c r="F31" s="1221">
        <v>-7150.3313453000064</v>
      </c>
      <c r="G31" s="1221">
        <v>-7119.1652810999867</v>
      </c>
      <c r="H31" s="1221">
        <v>-7043.687629099998</v>
      </c>
      <c r="I31" s="1221">
        <v>-7018.6739219000056</v>
      </c>
      <c r="J31" s="1221">
        <v>-7011.2917488999938</v>
      </c>
      <c r="K31" s="1221">
        <v>-7006.0476292000012</v>
      </c>
      <c r="L31" s="1221">
        <v>-6995.3648457999989</v>
      </c>
      <c r="M31" s="1221">
        <v>-6978.836207900009</v>
      </c>
      <c r="N31" s="1221">
        <v>-6363.7367512000083</v>
      </c>
      <c r="O31" s="1221">
        <v>-4518.0995541999819</v>
      </c>
      <c r="P31" s="1221">
        <v>-4502.5084999999999</v>
      </c>
      <c r="Q31" s="1221">
        <v>-4499.0402581000135</v>
      </c>
      <c r="R31" s="1221">
        <v>-3805.5044693999862</v>
      </c>
      <c r="S31" s="1221">
        <v>-1204.7464362000085</v>
      </c>
      <c r="T31" s="1221">
        <v>-1061.9214668000031</v>
      </c>
      <c r="U31" s="1221">
        <v>-1004.1384425</v>
      </c>
      <c r="V31" s="1221">
        <v>-1010.5326095999908</v>
      </c>
      <c r="W31" s="1221">
        <v>-995.68791880001072</v>
      </c>
      <c r="X31">
        <v>-980.88842690000536</v>
      </c>
    </row>
    <row r="32" spans="1:24">
      <c r="A32" t="s">
        <v>664</v>
      </c>
      <c r="B32" t="s">
        <v>673</v>
      </c>
      <c r="C32" t="s">
        <v>674</v>
      </c>
      <c r="F32" s="1221">
        <v>0</v>
      </c>
      <c r="G32" s="1221">
        <v>0</v>
      </c>
      <c r="H32" s="1221">
        <v>0</v>
      </c>
      <c r="I32" s="1221">
        <v>0</v>
      </c>
      <c r="J32" s="1221">
        <v>0</v>
      </c>
      <c r="K32" s="1221">
        <v>0</v>
      </c>
      <c r="L32" s="1221">
        <v>0</v>
      </c>
      <c r="M32" s="1221">
        <v>0</v>
      </c>
      <c r="N32" s="1221">
        <v>0</v>
      </c>
      <c r="O32" s="1221">
        <v>0</v>
      </c>
      <c r="P32" s="1221">
        <v>0</v>
      </c>
      <c r="Q32" s="1221">
        <v>0</v>
      </c>
      <c r="R32" s="1221">
        <v>0</v>
      </c>
      <c r="S32" s="1221">
        <v>0</v>
      </c>
      <c r="T32" s="1221">
        <v>0</v>
      </c>
      <c r="U32" s="1221">
        <v>0</v>
      </c>
      <c r="V32" s="1221">
        <v>0</v>
      </c>
      <c r="W32" s="1221">
        <v>0</v>
      </c>
      <c r="X32">
        <v>0</v>
      </c>
    </row>
    <row r="33" spans="1:24">
      <c r="A33" t="s">
        <v>664</v>
      </c>
      <c r="B33" t="s">
        <v>673</v>
      </c>
      <c r="C33" t="s">
        <v>670</v>
      </c>
      <c r="F33" s="1221">
        <v>-2.4717899999999999</v>
      </c>
      <c r="G33" s="1221">
        <v>-2.4717899999999999</v>
      </c>
      <c r="H33" s="1221">
        <v>-2.4717899999999999</v>
      </c>
      <c r="I33" s="1221">
        <v>-2.3959954999999704</v>
      </c>
      <c r="J33" s="1221">
        <v>-2.2132810999999939</v>
      </c>
      <c r="K33" s="1221">
        <v>-2.1150559000000357</v>
      </c>
      <c r="L33" s="1221">
        <v>-1.8873800000000001</v>
      </c>
      <c r="M33" s="1221">
        <v>-1.887265</v>
      </c>
      <c r="N33" s="1221">
        <v>-0.76384299999997018</v>
      </c>
      <c r="O33" s="1221">
        <v>-0.74392000000000003</v>
      </c>
      <c r="P33" s="1221">
        <v>-0.74392000000000003</v>
      </c>
      <c r="Q33" s="1221">
        <v>-0.39592239999994633</v>
      </c>
      <c r="R33" s="1221">
        <v>-0.38846000000000003</v>
      </c>
      <c r="S33" s="1221">
        <v>-0.38846000000000003</v>
      </c>
      <c r="T33" s="1221">
        <v>-0.38846000000000003</v>
      </c>
      <c r="U33" s="1221">
        <v>-0.33190850000008942</v>
      </c>
      <c r="V33" s="1221">
        <v>-0.26980999999999999</v>
      </c>
      <c r="W33" s="1221">
        <v>-0.26980999999999999</v>
      </c>
      <c r="X33">
        <v>-0.26980999999999999</v>
      </c>
    </row>
    <row r="34" spans="1:24">
      <c r="A34" t="s">
        <v>664</v>
      </c>
      <c r="B34" t="s">
        <v>673</v>
      </c>
      <c r="C34" t="s">
        <v>671</v>
      </c>
      <c r="F34" s="1221">
        <v>-1.9264300000000001</v>
      </c>
      <c r="G34" s="1221">
        <v>-1.8926708000000008</v>
      </c>
      <c r="H34" s="1221">
        <v>-1.8325899999999999</v>
      </c>
      <c r="I34" s="1221">
        <v>-1.7377444999999925</v>
      </c>
      <c r="J34" s="1221">
        <v>-9.9919999999999995E-2</v>
      </c>
      <c r="K34" s="1221">
        <v>-8.1475000000000006E-2</v>
      </c>
      <c r="L34" s="1221">
        <v>-5.6616000000014903E-3</v>
      </c>
      <c r="M34" s="1221">
        <v>0</v>
      </c>
      <c r="N34" s="1221">
        <v>0</v>
      </c>
      <c r="O34" s="1221">
        <v>0</v>
      </c>
      <c r="P34" s="1221">
        <v>0</v>
      </c>
      <c r="Q34" s="1221">
        <v>0</v>
      </c>
      <c r="R34" s="1221">
        <v>0</v>
      </c>
      <c r="S34" s="1221">
        <v>0</v>
      </c>
      <c r="T34" s="1221">
        <v>0</v>
      </c>
      <c r="U34" s="1221">
        <v>0</v>
      </c>
      <c r="V34" s="1221">
        <v>0</v>
      </c>
      <c r="W34" s="1221">
        <v>0</v>
      </c>
      <c r="X34">
        <v>0</v>
      </c>
    </row>
    <row r="36" spans="1:24">
      <c r="A36" t="s">
        <v>664</v>
      </c>
      <c r="B36" t="s">
        <v>673</v>
      </c>
      <c r="F36" s="1221">
        <v>-7846.5928745000074</v>
      </c>
      <c r="G36" s="1221">
        <v>-7592.3003971000098</v>
      </c>
      <c r="H36" s="1221">
        <v>-7297.5539959999851</v>
      </c>
      <c r="I36" s="1221">
        <v>-7270.8893229000096</v>
      </c>
      <c r="J36" s="1221">
        <v>-7259.0411444000056</v>
      </c>
      <c r="K36" s="1221">
        <v>-7252.5772542000004</v>
      </c>
      <c r="L36" s="1221">
        <v>-7239.9537225000004</v>
      </c>
      <c r="M36" s="1221">
        <v>-7147.2860556999967</v>
      </c>
      <c r="N36" s="1221">
        <v>-6516.2442742000012</v>
      </c>
      <c r="O36" s="1221">
        <v>-4670.5731324999997</v>
      </c>
      <c r="P36" s="1221">
        <v>-4653.8449499999997</v>
      </c>
      <c r="Q36" s="1221">
        <v>-4650.0194304999923</v>
      </c>
      <c r="R36" s="1221">
        <v>-3956.4761794000055</v>
      </c>
      <c r="S36" s="1221">
        <v>-1355.7181461999894</v>
      </c>
      <c r="T36" s="1221">
        <v>-1175.6452976000214</v>
      </c>
      <c r="U36" s="1221">
        <v>-1105.4507611999893</v>
      </c>
      <c r="V36" s="1221">
        <v>-1111.4561620999909</v>
      </c>
      <c r="W36" s="1221">
        <v>-1095.7470188000107</v>
      </c>
      <c r="X36">
        <v>-1080.9475268999863</v>
      </c>
    </row>
    <row r="38" spans="1:24">
      <c r="A38" t="s">
        <v>664</v>
      </c>
      <c r="B38" t="s">
        <v>613</v>
      </c>
      <c r="C38" t="s">
        <v>564</v>
      </c>
      <c r="F38" s="1221">
        <v>-13.772930000000001</v>
      </c>
      <c r="G38" s="1221">
        <v>-13.772930000000001</v>
      </c>
      <c r="H38" s="1221">
        <v>-13.772930000000001</v>
      </c>
      <c r="I38" s="1221">
        <v>-13.772930000000001</v>
      </c>
      <c r="J38" s="1221">
        <v>-13.772930000000001</v>
      </c>
      <c r="K38" s="1221">
        <v>-13.772930000000001</v>
      </c>
      <c r="L38" s="1221">
        <v>-13.772930000000001</v>
      </c>
      <c r="M38" s="1221">
        <v>-13.772930000000001</v>
      </c>
      <c r="N38" s="1221">
        <v>-13.772930000000001</v>
      </c>
      <c r="O38" s="1221">
        <v>-13.772930000000001</v>
      </c>
      <c r="P38" s="1221">
        <v>-13.772930000000001</v>
      </c>
      <c r="Q38" s="1221">
        <v>-13.772930000000001</v>
      </c>
      <c r="R38" s="1221">
        <v>-13.772930000000001</v>
      </c>
      <c r="S38" s="1221">
        <v>-13.772930000000001</v>
      </c>
      <c r="T38" s="1221">
        <v>-11.791615</v>
      </c>
      <c r="U38" s="1221">
        <v>-11.149050000000001</v>
      </c>
      <c r="V38" s="1221">
        <v>-11.149050000000001</v>
      </c>
      <c r="W38" s="1221">
        <v>-11.149050000000001</v>
      </c>
      <c r="X38">
        <v>-11.149050000000001</v>
      </c>
    </row>
    <row r="39" spans="1:24">
      <c r="A39" t="s">
        <v>664</v>
      </c>
      <c r="B39" t="s">
        <v>613</v>
      </c>
      <c r="C39" t="s">
        <v>668</v>
      </c>
      <c r="F39" s="1221">
        <v>-12.228561900000013</v>
      </c>
      <c r="G39" s="1221">
        <v>-9.719384100000001</v>
      </c>
      <c r="H39" s="1221">
        <v>-5.709513599999994</v>
      </c>
      <c r="I39" s="1221">
        <v>-3.6239342999999971</v>
      </c>
      <c r="J39" s="1221">
        <v>-3.2570808999999614</v>
      </c>
      <c r="K39" s="1221">
        <v>-3.0094604000000658</v>
      </c>
      <c r="L39" s="1221">
        <v>-0.37409099999994039</v>
      </c>
      <c r="M39" s="1221">
        <v>-0.14613499999999999</v>
      </c>
      <c r="N39" s="1221">
        <v>-6.9015500000044708E-2</v>
      </c>
      <c r="O39" s="1221">
        <v>-2.256E-2</v>
      </c>
      <c r="P39" s="1221">
        <v>0</v>
      </c>
      <c r="Q39" s="1221">
        <v>0</v>
      </c>
      <c r="R39" s="1221">
        <v>0</v>
      </c>
      <c r="S39" s="1221">
        <v>0</v>
      </c>
      <c r="T39" s="1221">
        <v>0</v>
      </c>
      <c r="U39" s="1221">
        <v>0</v>
      </c>
      <c r="V39" s="1221">
        <v>0</v>
      </c>
      <c r="W39" s="1221">
        <v>0</v>
      </c>
      <c r="X39">
        <v>0</v>
      </c>
    </row>
    <row r="40" spans="1:24">
      <c r="A40" t="s">
        <v>664</v>
      </c>
      <c r="B40" t="s">
        <v>613</v>
      </c>
      <c r="C40" t="s">
        <v>669</v>
      </c>
      <c r="F40" s="1221">
        <v>0</v>
      </c>
      <c r="G40" s="1221">
        <v>0</v>
      </c>
      <c r="H40" s="1221">
        <v>0</v>
      </c>
      <c r="I40" s="1221">
        <v>0</v>
      </c>
      <c r="J40" s="1221">
        <v>0</v>
      </c>
      <c r="K40" s="1221">
        <v>0</v>
      </c>
      <c r="L40" s="1221">
        <v>0</v>
      </c>
      <c r="M40" s="1221">
        <v>0</v>
      </c>
      <c r="N40" s="1221">
        <v>0</v>
      </c>
      <c r="O40" s="1221">
        <v>0</v>
      </c>
      <c r="P40" s="1221">
        <v>0</v>
      </c>
      <c r="Q40" s="1221">
        <v>0</v>
      </c>
      <c r="R40" s="1221">
        <v>0</v>
      </c>
      <c r="S40" s="1221">
        <v>0</v>
      </c>
      <c r="T40" s="1221">
        <v>0</v>
      </c>
      <c r="U40" s="1221">
        <v>0</v>
      </c>
      <c r="V40" s="1221">
        <v>0</v>
      </c>
      <c r="W40" s="1221">
        <v>0</v>
      </c>
      <c r="X40">
        <v>0</v>
      </c>
    </row>
    <row r="41" spans="1:24">
      <c r="A41" t="s">
        <v>664</v>
      </c>
      <c r="B41" t="s">
        <v>613</v>
      </c>
      <c r="C41" t="s">
        <v>666</v>
      </c>
      <c r="F41" s="1221">
        <v>-89.476558800000106</v>
      </c>
      <c r="G41" s="1221">
        <v>-89.372500799999983</v>
      </c>
      <c r="H41" s="1221">
        <v>-89.35127</v>
      </c>
      <c r="I41" s="1221">
        <v>-89.234175600000029</v>
      </c>
      <c r="J41" s="1221">
        <v>-88.904229999999998</v>
      </c>
      <c r="K41" s="1221">
        <v>-88.373315000000005</v>
      </c>
      <c r="L41" s="1221">
        <v>-87.580709999999996</v>
      </c>
      <c r="M41" s="1221">
        <v>-87.263729999999995</v>
      </c>
      <c r="N41" s="1221">
        <v>-84.321216599999971</v>
      </c>
      <c r="O41" s="1221">
        <v>-70.656149999999997</v>
      </c>
      <c r="P41" s="1221">
        <v>-70.656149999999997</v>
      </c>
      <c r="Q41" s="1221">
        <v>-70.656149999999997</v>
      </c>
      <c r="R41" s="1221">
        <v>-61.684321899999979</v>
      </c>
      <c r="S41" s="1221">
        <v>-26.773148499999941</v>
      </c>
      <c r="T41" s="1221">
        <v>-22.800717899999917</v>
      </c>
      <c r="U41" s="1221">
        <v>-19.126257500000001</v>
      </c>
      <c r="V41" s="1221">
        <v>-15.967359500000178</v>
      </c>
      <c r="W41" s="1221">
        <v>-10.2325</v>
      </c>
      <c r="X41">
        <v>-9.1189603999999171</v>
      </c>
    </row>
    <row r="42" spans="1:24">
      <c r="A42" t="s">
        <v>664</v>
      </c>
      <c r="B42" t="s">
        <v>613</v>
      </c>
      <c r="C42" t="s">
        <v>670</v>
      </c>
      <c r="F42" s="1221">
        <v>-0.38136999999999999</v>
      </c>
      <c r="G42" s="1221">
        <v>-0.38136999999999999</v>
      </c>
      <c r="H42" s="1221">
        <v>-0.38136999999999999</v>
      </c>
      <c r="I42" s="1221">
        <v>-3.546379999999888E-2</v>
      </c>
      <c r="J42" s="1221">
        <v>0</v>
      </c>
      <c r="K42" s="1221">
        <v>0</v>
      </c>
      <c r="L42" s="1221">
        <v>0</v>
      </c>
      <c r="M42" s="1221">
        <v>0</v>
      </c>
      <c r="N42" s="1221">
        <v>0</v>
      </c>
      <c r="O42" s="1221">
        <v>0</v>
      </c>
      <c r="P42" s="1221">
        <v>0</v>
      </c>
      <c r="Q42" s="1221">
        <v>0</v>
      </c>
      <c r="R42" s="1221">
        <v>0</v>
      </c>
      <c r="S42" s="1221">
        <v>0</v>
      </c>
      <c r="T42" s="1221">
        <v>0</v>
      </c>
      <c r="U42" s="1221">
        <v>0</v>
      </c>
      <c r="V42" s="1221">
        <v>0</v>
      </c>
      <c r="W42" s="1221">
        <v>0</v>
      </c>
      <c r="X42">
        <v>0</v>
      </c>
    </row>
    <row r="43" spans="1:24">
      <c r="A43" t="s">
        <v>664</v>
      </c>
      <c r="B43" t="s">
        <v>613</v>
      </c>
      <c r="C43" t="s">
        <v>671</v>
      </c>
      <c r="F43" s="1221">
        <v>0</v>
      </c>
      <c r="G43" s="1221">
        <v>0</v>
      </c>
      <c r="H43" s="1221">
        <v>0</v>
      </c>
      <c r="I43" s="1221">
        <v>0</v>
      </c>
      <c r="J43" s="1221">
        <v>0</v>
      </c>
      <c r="K43" s="1221">
        <v>0</v>
      </c>
      <c r="L43" s="1221">
        <v>0</v>
      </c>
      <c r="M43" s="1221">
        <v>0</v>
      </c>
      <c r="N43" s="1221">
        <v>0</v>
      </c>
      <c r="O43" s="1221">
        <v>0</v>
      </c>
      <c r="P43" s="1221">
        <v>0</v>
      </c>
      <c r="Q43" s="1221">
        <v>0</v>
      </c>
      <c r="R43" s="1221">
        <v>0</v>
      </c>
      <c r="S43" s="1221">
        <v>0</v>
      </c>
      <c r="T43" s="1221">
        <v>0</v>
      </c>
      <c r="U43" s="1221">
        <v>0</v>
      </c>
      <c r="V43" s="1221">
        <v>0</v>
      </c>
      <c r="W43" s="1221">
        <v>0</v>
      </c>
      <c r="X43">
        <v>0</v>
      </c>
    </row>
    <row r="45" spans="1:24">
      <c r="A45" t="s">
        <v>664</v>
      </c>
      <c r="B45" t="s">
        <v>613</v>
      </c>
      <c r="F45" s="1221">
        <v>-115.85942069999993</v>
      </c>
      <c r="G45" s="1221">
        <v>-113.2461849000001</v>
      </c>
      <c r="H45" s="1221">
        <v>-109.21508359999984</v>
      </c>
      <c r="I45" s="1221">
        <v>-106.66650370000005</v>
      </c>
      <c r="J45" s="1221">
        <v>-105.93424090000003</v>
      </c>
      <c r="K45" s="1221">
        <v>-105.15570539999992</v>
      </c>
      <c r="L45" s="1221">
        <v>-101.72773099999993</v>
      </c>
      <c r="M45" s="1221">
        <v>-101.182795</v>
      </c>
      <c r="N45" s="1221">
        <v>-98.163162100000079</v>
      </c>
      <c r="O45" s="1221">
        <v>-84.451639999999998</v>
      </c>
      <c r="P45" s="1221">
        <v>-84.429079999999999</v>
      </c>
      <c r="Q45" s="1221">
        <v>-84.429079999999999</v>
      </c>
      <c r="R45" s="1221">
        <v>-75.457251899999974</v>
      </c>
      <c r="S45" s="1221">
        <v>-40.546078499999943</v>
      </c>
      <c r="T45" s="1221">
        <v>-34.592332900000216</v>
      </c>
      <c r="U45" s="1221">
        <v>-30.2753075</v>
      </c>
      <c r="V45" s="1221">
        <v>-27.116409499999882</v>
      </c>
      <c r="W45" s="1221">
        <v>-21.381550000000001</v>
      </c>
      <c r="X45">
        <v>-20.268010400000215</v>
      </c>
    </row>
    <row r="47" spans="1:24">
      <c r="A47" t="s">
        <v>664</v>
      </c>
      <c r="B47" t="s">
        <v>675</v>
      </c>
      <c r="C47" t="s">
        <v>564</v>
      </c>
      <c r="F47" s="1221">
        <v>-8.9125099999999993</v>
      </c>
      <c r="G47" s="1221">
        <v>-8.9125099999999993</v>
      </c>
      <c r="H47" s="1221">
        <v>-8.9125099999999993</v>
      </c>
      <c r="I47" s="1221">
        <v>-8.9125099999999993</v>
      </c>
      <c r="J47" s="1221">
        <v>-8.9125099999999993</v>
      </c>
      <c r="K47" s="1221">
        <v>-8.9125099999999993</v>
      </c>
      <c r="L47" s="1221">
        <v>-8.9125099999999993</v>
      </c>
      <c r="M47" s="1221">
        <v>-8.9125099999999993</v>
      </c>
      <c r="N47" s="1221">
        <v>-8.9125099999999993</v>
      </c>
      <c r="O47" s="1221">
        <v>-8.9125099999999993</v>
      </c>
      <c r="P47" s="1221">
        <v>-8.9125099999999993</v>
      </c>
      <c r="Q47" s="1221">
        <v>-8.9125099999999993</v>
      </c>
      <c r="R47" s="1221">
        <v>-8.9125099999999993</v>
      </c>
      <c r="S47" s="1221">
        <v>-8.9125099999999993</v>
      </c>
      <c r="T47" s="1221">
        <v>-8.9125099999999993</v>
      </c>
      <c r="U47" s="1221">
        <v>-8.9125099999999993</v>
      </c>
      <c r="V47" s="1221">
        <v>-8.9125099999999993</v>
      </c>
      <c r="W47" s="1221">
        <v>-8.9125099999999993</v>
      </c>
      <c r="X47">
        <v>-8.9125099999999993</v>
      </c>
    </row>
    <row r="48" spans="1:24">
      <c r="A48" t="s">
        <v>664</v>
      </c>
      <c r="B48" t="s">
        <v>675</v>
      </c>
      <c r="C48" t="s">
        <v>668</v>
      </c>
      <c r="F48" s="1221">
        <v>-3.0781230000000073</v>
      </c>
      <c r="G48" s="1221">
        <v>-2.3940558000000007</v>
      </c>
      <c r="H48" s="1221">
        <v>-2.0386199999999999</v>
      </c>
      <c r="I48" s="1221">
        <v>-1.1134433999999984</v>
      </c>
      <c r="J48" s="1221">
        <v>-0.3926</v>
      </c>
      <c r="K48" s="1221">
        <v>-0.25819029999999327</v>
      </c>
      <c r="L48" s="1221">
        <v>-0.10915999999999999</v>
      </c>
      <c r="M48" s="1221">
        <v>-7.2432200000006705E-2</v>
      </c>
      <c r="N48" s="1221">
        <v>0</v>
      </c>
      <c r="O48" s="1221">
        <v>0</v>
      </c>
      <c r="P48" s="1221">
        <v>0</v>
      </c>
      <c r="Q48" s="1221">
        <v>0</v>
      </c>
      <c r="R48" s="1221">
        <v>0</v>
      </c>
      <c r="S48" s="1221">
        <v>0</v>
      </c>
      <c r="T48" s="1221">
        <v>0</v>
      </c>
      <c r="U48" s="1221">
        <v>0</v>
      </c>
      <c r="V48" s="1221">
        <v>0</v>
      </c>
      <c r="W48" s="1221">
        <v>0</v>
      </c>
      <c r="X48">
        <v>0</v>
      </c>
    </row>
    <row r="49" spans="1:24">
      <c r="A49" t="s">
        <v>664</v>
      </c>
      <c r="B49" t="s">
        <v>675</v>
      </c>
      <c r="C49" t="s">
        <v>669</v>
      </c>
      <c r="F49" s="1221">
        <v>0</v>
      </c>
      <c r="G49" s="1221">
        <v>0</v>
      </c>
      <c r="H49" s="1221">
        <v>0</v>
      </c>
      <c r="I49" s="1221">
        <v>0</v>
      </c>
      <c r="J49" s="1221">
        <v>0</v>
      </c>
      <c r="K49" s="1221">
        <v>0</v>
      </c>
      <c r="L49" s="1221">
        <v>0</v>
      </c>
      <c r="M49" s="1221">
        <v>0</v>
      </c>
      <c r="N49" s="1221">
        <v>0</v>
      </c>
      <c r="O49" s="1221">
        <v>0</v>
      </c>
      <c r="P49" s="1221">
        <v>0</v>
      </c>
      <c r="Q49" s="1221">
        <v>0</v>
      </c>
      <c r="R49" s="1221">
        <v>0</v>
      </c>
      <c r="S49" s="1221">
        <v>0</v>
      </c>
      <c r="T49" s="1221">
        <v>0</v>
      </c>
      <c r="U49" s="1221">
        <v>0</v>
      </c>
      <c r="V49" s="1221">
        <v>0</v>
      </c>
      <c r="W49" s="1221">
        <v>0</v>
      </c>
      <c r="X49">
        <v>0</v>
      </c>
    </row>
    <row r="50" spans="1:24">
      <c r="A50" t="s">
        <v>664</v>
      </c>
      <c r="B50" t="s">
        <v>675</v>
      </c>
      <c r="C50" t="s">
        <v>666</v>
      </c>
      <c r="F50" s="1221">
        <v>-78.061459999999997</v>
      </c>
      <c r="G50" s="1221">
        <v>-77.441740499999966</v>
      </c>
      <c r="H50" s="1221">
        <v>-77.204453400000034</v>
      </c>
      <c r="I50" s="1221">
        <v>-77.104569800000036</v>
      </c>
      <c r="J50" s="1221">
        <v>-77.085319999999996</v>
      </c>
      <c r="K50" s="1221">
        <v>-77.085319999999996</v>
      </c>
      <c r="L50" s="1221">
        <v>-77.085319999999996</v>
      </c>
      <c r="M50" s="1221">
        <v>-76.803012499999994</v>
      </c>
      <c r="N50" s="1221">
        <v>-76.447239999999994</v>
      </c>
      <c r="O50" s="1221">
        <v>-75.438249999999996</v>
      </c>
      <c r="P50" s="1221">
        <v>-75.433485799999829</v>
      </c>
      <c r="Q50" s="1221">
        <v>-75.413049999999998</v>
      </c>
      <c r="R50" s="1221">
        <v>-65.735290000000006</v>
      </c>
      <c r="S50" s="1221">
        <v>-27.624960500000117</v>
      </c>
      <c r="T50" s="1221">
        <v>-20.750892700000108</v>
      </c>
      <c r="U50" s="1221">
        <v>-5.6664856999999289</v>
      </c>
      <c r="V50" s="1221">
        <v>-5.1924406000000243</v>
      </c>
      <c r="W50" s="1221">
        <v>-5.0219399999999998</v>
      </c>
      <c r="X50">
        <v>-5.0056900000000004</v>
      </c>
    </row>
    <row r="52" spans="1:24">
      <c r="A52" t="s">
        <v>664</v>
      </c>
      <c r="B52" t="s">
        <v>675</v>
      </c>
      <c r="F52" s="1221">
        <v>-90.052093000000113</v>
      </c>
      <c r="G52" s="1221">
        <v>-88.748306299999953</v>
      </c>
      <c r="H52" s="1221">
        <v>-88.15558340000004</v>
      </c>
      <c r="I52" s="1221">
        <v>-87.130523199999928</v>
      </c>
      <c r="J52" s="1221">
        <v>-86.390429999999995</v>
      </c>
      <c r="K52" s="1221">
        <v>-86.256020300000017</v>
      </c>
      <c r="L52" s="1221">
        <v>-86.106989999999996</v>
      </c>
      <c r="M52" s="1221">
        <v>-85.787954699999986</v>
      </c>
      <c r="N52" s="1221">
        <v>-85.359750000000005</v>
      </c>
      <c r="O52" s="1221">
        <v>-84.350759999999994</v>
      </c>
      <c r="P52" s="1221">
        <v>-84.345995800000125</v>
      </c>
      <c r="Q52" s="1221">
        <v>-84.325559999999996</v>
      </c>
      <c r="R52" s="1221">
        <v>-74.647800000000004</v>
      </c>
      <c r="S52" s="1221">
        <v>-36.53747049999982</v>
      </c>
      <c r="T52" s="1221">
        <v>-29.663402700000109</v>
      </c>
      <c r="U52" s="1221">
        <v>-14.578995699999929</v>
      </c>
      <c r="V52" s="1221">
        <v>-14.104950600000024</v>
      </c>
      <c r="W52" s="1221">
        <v>-13.93445</v>
      </c>
      <c r="X52">
        <v>-13.918200000000001</v>
      </c>
    </row>
    <row r="53" spans="1:24">
      <c r="F53" s="1221"/>
      <c r="G53" s="1221"/>
      <c r="H53" s="1221"/>
      <c r="I53" s="1221"/>
      <c r="J53" s="1221"/>
      <c r="K53" s="1221"/>
      <c r="L53" s="1221"/>
      <c r="M53" s="1221"/>
      <c r="N53" s="1221"/>
      <c r="O53" s="1221"/>
      <c r="P53" s="1221"/>
      <c r="Q53" s="1221"/>
      <c r="R53" s="1221"/>
      <c r="S53" s="1221"/>
      <c r="T53" s="1221"/>
      <c r="U53" s="1221"/>
      <c r="V53" s="1221"/>
      <c r="W53" s="1221"/>
    </row>
    <row r="54" spans="1:24">
      <c r="A54" t="s">
        <v>664</v>
      </c>
      <c r="B54" t="s">
        <v>676</v>
      </c>
      <c r="C54" t="s">
        <v>564</v>
      </c>
      <c r="F54" s="1221">
        <v>-1.02278</v>
      </c>
      <c r="G54" s="1221">
        <v>-1.02278</v>
      </c>
      <c r="H54" s="1221">
        <v>-1.02278</v>
      </c>
      <c r="I54" s="1221">
        <v>-1.02278</v>
      </c>
      <c r="J54" s="1221">
        <v>-1.02278</v>
      </c>
      <c r="K54" s="1221">
        <v>-1.02278</v>
      </c>
      <c r="L54" s="1221">
        <v>-1.02278</v>
      </c>
      <c r="M54" s="1221">
        <v>-1.02278</v>
      </c>
      <c r="N54" s="1221">
        <v>-1.02278</v>
      </c>
      <c r="O54" s="1221">
        <v>-1.02278</v>
      </c>
      <c r="P54" s="1221">
        <v>-1.02278</v>
      </c>
      <c r="Q54" s="1221">
        <v>-1.02278</v>
      </c>
      <c r="R54" s="1221">
        <v>-1.02278</v>
      </c>
      <c r="S54" s="1221">
        <v>-1.02278</v>
      </c>
      <c r="T54" s="1221">
        <v>-1.02278</v>
      </c>
      <c r="U54" s="1221">
        <v>-1.02278</v>
      </c>
      <c r="V54" s="1221">
        <v>-1.02278</v>
      </c>
      <c r="W54" s="1221">
        <v>-1.02278</v>
      </c>
      <c r="X54">
        <v>-1.02278</v>
      </c>
    </row>
    <row r="55" spans="1:24">
      <c r="A55" t="s">
        <v>664</v>
      </c>
      <c r="B55" t="s">
        <v>676</v>
      </c>
      <c r="C55" t="s">
        <v>668</v>
      </c>
      <c r="F55" s="1221">
        <v>-3.0035566999999808</v>
      </c>
      <c r="G55" s="1221">
        <v>-1.8778906000000239</v>
      </c>
      <c r="H55" s="1221">
        <v>-1.1021848999999837</v>
      </c>
      <c r="I55" s="1221">
        <v>-1.0181524000000208</v>
      </c>
      <c r="J55" s="1221">
        <v>-0.89872509999997918</v>
      </c>
      <c r="K55" s="1221">
        <v>-0.81851949999999252</v>
      </c>
      <c r="L55" s="1221">
        <v>-0.57191860000003125</v>
      </c>
      <c r="M55" s="1221">
        <v>0</v>
      </c>
      <c r="N55" s="1221">
        <v>0</v>
      </c>
      <c r="O55" s="1221">
        <v>0</v>
      </c>
      <c r="P55" s="1221">
        <v>0</v>
      </c>
      <c r="Q55" s="1221">
        <v>0</v>
      </c>
      <c r="R55" s="1221">
        <v>0</v>
      </c>
      <c r="S55" s="1221">
        <v>0</v>
      </c>
      <c r="T55" s="1221">
        <v>0</v>
      </c>
      <c r="U55" s="1221">
        <v>0</v>
      </c>
      <c r="V55" s="1221">
        <v>0.12920000000000001</v>
      </c>
      <c r="W55" s="1221">
        <v>0</v>
      </c>
      <c r="X55">
        <v>0</v>
      </c>
    </row>
    <row r="56" spans="1:24">
      <c r="A56" t="s">
        <v>664</v>
      </c>
      <c r="B56" t="s">
        <v>676</v>
      </c>
      <c r="C56" t="s">
        <v>666</v>
      </c>
      <c r="F56" s="1221">
        <v>-0.87329000000000001</v>
      </c>
      <c r="G56" s="1221">
        <v>-0.85147350000000088</v>
      </c>
      <c r="H56" s="1221">
        <v>-0.57194060000000058</v>
      </c>
      <c r="I56" s="1221">
        <v>-0.30112049999999813</v>
      </c>
      <c r="J56" s="1221">
        <v>-0.28181</v>
      </c>
      <c r="K56" s="1221">
        <v>-0.28181</v>
      </c>
      <c r="L56" s="1221">
        <v>-0.28181</v>
      </c>
      <c r="M56" s="1221">
        <v>-0.28181</v>
      </c>
      <c r="N56" s="1221">
        <v>-0.28181</v>
      </c>
      <c r="O56" s="1221">
        <v>-0.28181</v>
      </c>
      <c r="P56" s="1221">
        <v>-0.28181</v>
      </c>
      <c r="Q56" s="1221">
        <v>-0.25170999999999999</v>
      </c>
      <c r="R56" s="1221">
        <v>-0.19680950000000186</v>
      </c>
      <c r="S56" s="1221">
        <v>-0.16525000000000001</v>
      </c>
      <c r="T56" s="1221">
        <v>-0.16525000000000001</v>
      </c>
      <c r="U56" s="1221">
        <v>-0.16525000000000001</v>
      </c>
      <c r="V56" s="1221">
        <v>-0.16525000000000001</v>
      </c>
      <c r="W56" s="1221">
        <v>-0.16525000000000001</v>
      </c>
      <c r="X56">
        <v>-0.16364000000000001</v>
      </c>
    </row>
    <row r="57" spans="1:24">
      <c r="A57" t="s">
        <v>664</v>
      </c>
      <c r="B57" t="s">
        <v>676</v>
      </c>
      <c r="C57" t="s">
        <v>671</v>
      </c>
      <c r="F57" s="1221">
        <v>-2.0499691999999992</v>
      </c>
      <c r="G57" s="1221">
        <v>-2.0165199999999999</v>
      </c>
      <c r="H57" s="1221">
        <v>-2.0165199999999999</v>
      </c>
      <c r="I57" s="1221">
        <v>-0.3730983999999985</v>
      </c>
      <c r="J57" s="1221">
        <v>0</v>
      </c>
      <c r="K57" s="1221">
        <v>0</v>
      </c>
      <c r="L57" s="1221">
        <v>0</v>
      </c>
      <c r="M57" s="1221">
        <v>0</v>
      </c>
      <c r="N57" s="1221">
        <v>0</v>
      </c>
      <c r="O57" s="1221">
        <v>0</v>
      </c>
      <c r="P57" s="1221">
        <v>0</v>
      </c>
      <c r="Q57" s="1221">
        <v>0</v>
      </c>
      <c r="R57" s="1221">
        <v>0</v>
      </c>
      <c r="S57" s="1221">
        <v>0</v>
      </c>
      <c r="T57" s="1221">
        <v>0</v>
      </c>
      <c r="U57" s="1221">
        <v>0</v>
      </c>
      <c r="V57" s="1221">
        <v>0</v>
      </c>
      <c r="W57" s="1221">
        <v>0</v>
      </c>
      <c r="X57">
        <v>0</v>
      </c>
    </row>
    <row r="59" spans="1:24">
      <c r="A59" t="s">
        <v>664</v>
      </c>
      <c r="B59" t="s">
        <v>676</v>
      </c>
      <c r="F59" s="1221">
        <v>-6.9495958999999985</v>
      </c>
      <c r="G59" s="1221">
        <v>-5.7686641000000014</v>
      </c>
      <c r="H59" s="1221">
        <v>-4.7134255000000076</v>
      </c>
      <c r="I59" s="1221">
        <v>-2.7151512999999894</v>
      </c>
      <c r="J59" s="1221">
        <v>-2.2033150999999793</v>
      </c>
      <c r="K59" s="1221">
        <v>-2.1231095000000297</v>
      </c>
      <c r="L59" s="1221">
        <v>-1.8765085999999569</v>
      </c>
      <c r="M59" s="1221">
        <v>-1.3045899999999999</v>
      </c>
      <c r="N59" s="1221">
        <v>-1.3045899999999999</v>
      </c>
      <c r="O59" s="1221">
        <v>-1.3045899999999999</v>
      </c>
      <c r="P59" s="1221">
        <v>-1.3045899999999999</v>
      </c>
      <c r="Q59" s="1221">
        <v>-1.2744899999999999</v>
      </c>
      <c r="R59" s="1221">
        <v>-1.2195895000000299</v>
      </c>
      <c r="S59" s="1221">
        <v>-1.1880299999999999</v>
      </c>
      <c r="T59" s="1221">
        <v>-1.1880299999999999</v>
      </c>
      <c r="U59" s="1221">
        <v>-1.1880299999999999</v>
      </c>
      <c r="V59" s="1221">
        <v>-1.0588299999999999</v>
      </c>
      <c r="W59" s="1221">
        <v>-1.1880299999999999</v>
      </c>
      <c r="X59">
        <v>-1.18642</v>
      </c>
    </row>
    <row r="61" spans="1:24">
      <c r="A61" t="s">
        <v>664</v>
      </c>
      <c r="F61" s="1221">
        <v>-8207.155248199997</v>
      </c>
      <c r="G61" s="1221">
        <v>-7915.5101177999877</v>
      </c>
      <c r="H61" s="1221">
        <v>-7571.197369000015</v>
      </c>
      <c r="I61" s="1221">
        <v>-7532.9133455999945</v>
      </c>
      <c r="J61" s="1221">
        <v>-7517.7137384000016</v>
      </c>
      <c r="K61" s="1221">
        <v>-7509.0008988999934</v>
      </c>
      <c r="L61" s="1221">
        <v>-7489.9541595000073</v>
      </c>
      <c r="M61" s="1221">
        <v>-7394.5246444999884</v>
      </c>
      <c r="N61" s="1221">
        <v>-6760.0268943000028</v>
      </c>
      <c r="O61" s="1221">
        <v>-4899.5104860000038</v>
      </c>
      <c r="P61" s="1221">
        <v>-4858.2687807999991</v>
      </c>
      <c r="Q61" s="1221">
        <v>-4854.3282204999923</v>
      </c>
      <c r="R61" s="1221">
        <v>-4142.0804808000184</v>
      </c>
      <c r="S61" s="1221">
        <v>-1468.2693852000045</v>
      </c>
      <c r="T61" s="1221">
        <v>-1275.368723199997</v>
      </c>
      <c r="U61" s="1221">
        <v>-1185.7727543999863</v>
      </c>
      <c r="V61" s="1221">
        <v>-1194.1994086999894</v>
      </c>
      <c r="W61" s="1221">
        <v>-1166.5307088000106</v>
      </c>
      <c r="X61">
        <v>-1150.5998172999955</v>
      </c>
    </row>
    <row r="67" spans="3:24">
      <c r="D67" s="1222"/>
      <c r="E67" s="1222"/>
      <c r="F67" s="1223" t="s">
        <v>646</v>
      </c>
      <c r="G67" s="1224" t="s">
        <v>647</v>
      </c>
      <c r="H67" s="1224" t="s">
        <v>648</v>
      </c>
      <c r="I67" s="1224" t="s">
        <v>649</v>
      </c>
      <c r="J67" s="1224" t="s">
        <v>650</v>
      </c>
      <c r="K67" s="1224" t="s">
        <v>650</v>
      </c>
      <c r="L67" s="1224" t="s">
        <v>651</v>
      </c>
      <c r="M67" s="1224" t="s">
        <v>652</v>
      </c>
      <c r="N67" s="1224" t="s">
        <v>653</v>
      </c>
      <c r="O67" s="1224" t="s">
        <v>654</v>
      </c>
      <c r="P67" s="1224" t="s">
        <v>655</v>
      </c>
      <c r="Q67" s="1224" t="s">
        <v>656</v>
      </c>
      <c r="R67" s="1224" t="s">
        <v>657</v>
      </c>
      <c r="S67" s="1224" t="s">
        <v>658</v>
      </c>
      <c r="T67" s="1224" t="s">
        <v>659</v>
      </c>
      <c r="U67" s="1224" t="s">
        <v>660</v>
      </c>
      <c r="V67" s="1224" t="s">
        <v>682</v>
      </c>
      <c r="W67" s="1224" t="s">
        <v>683</v>
      </c>
      <c r="X67" s="1224" t="s">
        <v>684</v>
      </c>
    </row>
    <row r="68" spans="3:24">
      <c r="D68" s="1222" t="s">
        <v>665</v>
      </c>
      <c r="E68" s="1222"/>
      <c r="F68" s="1226">
        <f>F13</f>
        <v>0</v>
      </c>
      <c r="G68" s="1226">
        <f t="shared" ref="G68:U68" si="0">G13</f>
        <v>0</v>
      </c>
      <c r="H68" s="1226">
        <f t="shared" si="0"/>
        <v>0</v>
      </c>
      <c r="I68" s="1226">
        <f t="shared" si="0"/>
        <v>0</v>
      </c>
      <c r="J68" s="1226">
        <f t="shared" si="0"/>
        <v>0</v>
      </c>
      <c r="K68" s="1226">
        <f t="shared" si="0"/>
        <v>0</v>
      </c>
      <c r="L68" s="1226">
        <f t="shared" si="0"/>
        <v>0</v>
      </c>
      <c r="M68" s="1226">
        <f t="shared" si="0"/>
        <v>0</v>
      </c>
      <c r="N68" s="1226">
        <f t="shared" si="0"/>
        <v>0</v>
      </c>
      <c r="O68" s="1226">
        <f t="shared" si="0"/>
        <v>0</v>
      </c>
      <c r="P68" s="1226">
        <f t="shared" si="0"/>
        <v>0</v>
      </c>
      <c r="Q68" s="1226">
        <f t="shared" si="0"/>
        <v>0</v>
      </c>
      <c r="R68" s="1226">
        <f t="shared" si="0"/>
        <v>0</v>
      </c>
      <c r="S68" s="1226">
        <f t="shared" si="0"/>
        <v>0</v>
      </c>
      <c r="T68" s="1226">
        <f t="shared" si="0"/>
        <v>0</v>
      </c>
      <c r="U68" s="1226">
        <f t="shared" si="0"/>
        <v>0</v>
      </c>
      <c r="V68" s="1226">
        <v>0</v>
      </c>
      <c r="W68" s="1226">
        <v>0</v>
      </c>
      <c r="X68" s="1226">
        <v>0</v>
      </c>
    </row>
    <row r="69" spans="3:24">
      <c r="D69" s="1222" t="s">
        <v>667</v>
      </c>
      <c r="E69" s="1222"/>
      <c r="F69" s="1226">
        <f>F22</f>
        <v>-147.45528810000002</v>
      </c>
      <c r="G69" s="1226">
        <f t="shared" ref="G69:U69" si="1">G22</f>
        <v>-115.28398539999992</v>
      </c>
      <c r="H69" s="1226">
        <f t="shared" si="1"/>
        <v>-71.453500500000118</v>
      </c>
      <c r="I69" s="1226">
        <f t="shared" si="1"/>
        <v>-65.511844499999881</v>
      </c>
      <c r="J69" s="1226">
        <f t="shared" si="1"/>
        <v>-64.144608000000119</v>
      </c>
      <c r="K69" s="1226">
        <f t="shared" si="1"/>
        <v>-62.88880949999988</v>
      </c>
      <c r="L69" s="1226">
        <f t="shared" si="1"/>
        <v>-60.289207400000095</v>
      </c>
      <c r="M69" s="1226">
        <f t="shared" si="1"/>
        <v>-58.963249099999963</v>
      </c>
      <c r="N69" s="1226">
        <f t="shared" si="1"/>
        <v>-58.95511800000012</v>
      </c>
      <c r="O69" s="1226">
        <f t="shared" si="1"/>
        <v>-58.83036349999994</v>
      </c>
      <c r="P69" s="1226">
        <f t="shared" si="1"/>
        <v>-34.344164999999997</v>
      </c>
      <c r="Q69" s="1226">
        <f t="shared" si="1"/>
        <v>-34.27966</v>
      </c>
      <c r="R69" s="1226">
        <f t="shared" si="1"/>
        <v>-34.27966</v>
      </c>
      <c r="S69" s="1226">
        <f t="shared" si="1"/>
        <v>-34.27966</v>
      </c>
      <c r="T69" s="1226">
        <f t="shared" si="1"/>
        <v>-34.27966</v>
      </c>
      <c r="U69" s="1226">
        <f t="shared" si="1"/>
        <v>-34.279659999999701</v>
      </c>
      <c r="V69" s="1226">
        <v>-40.463056500000356</v>
      </c>
      <c r="W69" s="1226">
        <v>-34.27966</v>
      </c>
      <c r="X69" s="1226">
        <v>-34.27966</v>
      </c>
    </row>
    <row r="70" spans="3:24">
      <c r="D70" s="1222" t="s">
        <v>672</v>
      </c>
      <c r="E70" s="1222"/>
      <c r="F70" s="1226">
        <f>F26</f>
        <v>-0.24597599999999861</v>
      </c>
      <c r="G70" s="1226">
        <f t="shared" ref="G70:U70" si="2">G26</f>
        <v>-0.16258</v>
      </c>
      <c r="H70" s="1226">
        <f t="shared" si="2"/>
        <v>-0.10578</v>
      </c>
      <c r="I70" s="1226">
        <f t="shared" si="2"/>
        <v>0</v>
      </c>
      <c r="J70" s="1226">
        <f t="shared" si="2"/>
        <v>0</v>
      </c>
      <c r="K70" s="1226">
        <f t="shared" si="2"/>
        <v>0</v>
      </c>
      <c r="L70" s="1226">
        <f t="shared" si="2"/>
        <v>0</v>
      </c>
      <c r="M70" s="1226">
        <f t="shared" si="2"/>
        <v>0</v>
      </c>
      <c r="N70" s="1226">
        <f t="shared" si="2"/>
        <v>0</v>
      </c>
      <c r="O70" s="1226">
        <f t="shared" si="2"/>
        <v>0</v>
      </c>
      <c r="P70" s="1226">
        <f t="shared" si="2"/>
        <v>0</v>
      </c>
      <c r="Q70" s="1226">
        <f t="shared" si="2"/>
        <v>0</v>
      </c>
      <c r="R70" s="1226">
        <f t="shared" si="2"/>
        <v>0</v>
      </c>
      <c r="S70" s="1226">
        <f t="shared" si="2"/>
        <v>0</v>
      </c>
      <c r="T70" s="1226">
        <f t="shared" si="2"/>
        <v>0</v>
      </c>
      <c r="U70" s="1226">
        <f t="shared" si="2"/>
        <v>0</v>
      </c>
      <c r="V70" s="1226">
        <v>0</v>
      </c>
      <c r="W70" s="1226">
        <v>0</v>
      </c>
      <c r="X70" s="1226">
        <v>0</v>
      </c>
    </row>
    <row r="71" spans="3:24">
      <c r="D71" s="1222" t="s">
        <v>673</v>
      </c>
      <c r="E71" s="1222"/>
      <c r="F71" s="1226">
        <f>F36</f>
        <v>-7846.5928745000074</v>
      </c>
      <c r="G71" s="1226">
        <f t="shared" ref="G71:U71" si="3">G36</f>
        <v>-7592.3003971000098</v>
      </c>
      <c r="H71" s="1226">
        <f t="shared" si="3"/>
        <v>-7297.5539959999851</v>
      </c>
      <c r="I71" s="1226">
        <f t="shared" si="3"/>
        <v>-7270.8893229000096</v>
      </c>
      <c r="J71" s="1226">
        <f t="shared" si="3"/>
        <v>-7259.0411444000056</v>
      </c>
      <c r="K71" s="1226">
        <f t="shared" si="3"/>
        <v>-7252.5772542000004</v>
      </c>
      <c r="L71" s="1226">
        <f t="shared" si="3"/>
        <v>-7239.9537225000004</v>
      </c>
      <c r="M71" s="1226">
        <f t="shared" si="3"/>
        <v>-7147.2860556999967</v>
      </c>
      <c r="N71" s="1226">
        <f t="shared" si="3"/>
        <v>-6516.2442742000012</v>
      </c>
      <c r="O71" s="1226">
        <f t="shared" si="3"/>
        <v>-4670.5731324999997</v>
      </c>
      <c r="P71" s="1226">
        <f t="shared" si="3"/>
        <v>-4653.8449499999997</v>
      </c>
      <c r="Q71" s="1226">
        <f t="shared" si="3"/>
        <v>-4650.0194304999923</v>
      </c>
      <c r="R71" s="1226">
        <f t="shared" si="3"/>
        <v>-3956.4761794000055</v>
      </c>
      <c r="S71" s="1226">
        <f t="shared" si="3"/>
        <v>-1355.7181461999894</v>
      </c>
      <c r="T71" s="1226">
        <f t="shared" si="3"/>
        <v>-1175.6452976000214</v>
      </c>
      <c r="U71" s="1226">
        <f t="shared" si="3"/>
        <v>-1105.4507611999893</v>
      </c>
      <c r="V71" s="1226">
        <v>-1111.4561620999909</v>
      </c>
      <c r="W71" s="1226">
        <v>-1095.7470188000107</v>
      </c>
      <c r="X71" s="1226">
        <v>-1080.9475268999863</v>
      </c>
    </row>
    <row r="72" spans="3:24">
      <c r="D72" s="1222" t="s">
        <v>613</v>
      </c>
      <c r="E72" s="1222"/>
      <c r="F72" s="1226">
        <f>F45</f>
        <v>-115.85942069999993</v>
      </c>
      <c r="G72" s="1226">
        <f t="shared" ref="G72:U72" si="4">G45</f>
        <v>-113.2461849000001</v>
      </c>
      <c r="H72" s="1226">
        <f t="shared" si="4"/>
        <v>-109.21508359999984</v>
      </c>
      <c r="I72" s="1226">
        <f t="shared" si="4"/>
        <v>-106.66650370000005</v>
      </c>
      <c r="J72" s="1226">
        <f t="shared" si="4"/>
        <v>-105.93424090000003</v>
      </c>
      <c r="K72" s="1226">
        <f t="shared" si="4"/>
        <v>-105.15570539999992</v>
      </c>
      <c r="L72" s="1226">
        <f t="shared" si="4"/>
        <v>-101.72773099999993</v>
      </c>
      <c r="M72" s="1226">
        <f t="shared" si="4"/>
        <v>-101.182795</v>
      </c>
      <c r="N72" s="1226">
        <f t="shared" si="4"/>
        <v>-98.163162100000079</v>
      </c>
      <c r="O72" s="1226">
        <f t="shared" si="4"/>
        <v>-84.451639999999998</v>
      </c>
      <c r="P72" s="1226">
        <f t="shared" si="4"/>
        <v>-84.429079999999999</v>
      </c>
      <c r="Q72" s="1226">
        <f t="shared" si="4"/>
        <v>-84.429079999999999</v>
      </c>
      <c r="R72" s="1226">
        <f t="shared" si="4"/>
        <v>-75.457251899999974</v>
      </c>
      <c r="S72" s="1226">
        <f t="shared" si="4"/>
        <v>-40.546078499999943</v>
      </c>
      <c r="T72" s="1226">
        <f t="shared" si="4"/>
        <v>-34.592332900000216</v>
      </c>
      <c r="U72" s="1226">
        <f t="shared" si="4"/>
        <v>-30.2753075</v>
      </c>
      <c r="V72" s="1226">
        <v>-27.116409499999882</v>
      </c>
      <c r="W72" s="1226">
        <v>-21.381550000000001</v>
      </c>
      <c r="X72" s="1226">
        <v>-20.268010400000215</v>
      </c>
    </row>
    <row r="73" spans="3:24">
      <c r="D73" s="1222" t="s">
        <v>675</v>
      </c>
      <c r="E73" s="1222"/>
      <c r="F73" s="1226">
        <f>F52</f>
        <v>-90.052093000000113</v>
      </c>
      <c r="G73" s="1226">
        <f t="shared" ref="G73:U73" si="5">G52</f>
        <v>-88.748306299999953</v>
      </c>
      <c r="H73" s="1226">
        <f t="shared" si="5"/>
        <v>-88.15558340000004</v>
      </c>
      <c r="I73" s="1226">
        <f t="shared" si="5"/>
        <v>-87.130523199999928</v>
      </c>
      <c r="J73" s="1226">
        <f t="shared" si="5"/>
        <v>-86.390429999999995</v>
      </c>
      <c r="K73" s="1226">
        <f t="shared" si="5"/>
        <v>-86.256020300000017</v>
      </c>
      <c r="L73" s="1226">
        <f t="shared" si="5"/>
        <v>-86.106989999999996</v>
      </c>
      <c r="M73" s="1226">
        <f t="shared" si="5"/>
        <v>-85.787954699999986</v>
      </c>
      <c r="N73" s="1226">
        <f t="shared" si="5"/>
        <v>-85.359750000000005</v>
      </c>
      <c r="O73" s="1226">
        <f t="shared" si="5"/>
        <v>-84.350759999999994</v>
      </c>
      <c r="P73" s="1226">
        <f t="shared" si="5"/>
        <v>-84.345995800000125</v>
      </c>
      <c r="Q73" s="1226">
        <f t="shared" si="5"/>
        <v>-84.325559999999996</v>
      </c>
      <c r="R73" s="1226">
        <f t="shared" si="5"/>
        <v>-74.647800000000004</v>
      </c>
      <c r="S73" s="1226">
        <f t="shared" si="5"/>
        <v>-36.53747049999982</v>
      </c>
      <c r="T73" s="1226">
        <f t="shared" si="5"/>
        <v>-29.663402700000109</v>
      </c>
      <c r="U73" s="1226">
        <f t="shared" si="5"/>
        <v>-14.578995699999929</v>
      </c>
      <c r="V73" s="1226">
        <v>-14.104950600000024</v>
      </c>
      <c r="W73" s="1226">
        <v>-13.93445</v>
      </c>
      <c r="X73" s="1226">
        <v>-13.918200000000001</v>
      </c>
    </row>
    <row r="74" spans="3:24">
      <c r="D74" s="1222" t="s">
        <v>676</v>
      </c>
      <c r="E74" s="1222"/>
      <c r="F74" s="1226">
        <f>F59</f>
        <v>-6.9495958999999985</v>
      </c>
      <c r="G74" s="1226">
        <f t="shared" ref="G74:U74" si="6">G59</f>
        <v>-5.7686641000000014</v>
      </c>
      <c r="H74" s="1226">
        <f t="shared" si="6"/>
        <v>-4.7134255000000076</v>
      </c>
      <c r="I74" s="1226">
        <f t="shared" si="6"/>
        <v>-2.7151512999999894</v>
      </c>
      <c r="J74" s="1226">
        <f t="shared" si="6"/>
        <v>-2.2033150999999793</v>
      </c>
      <c r="K74" s="1226">
        <f t="shared" si="6"/>
        <v>-2.1231095000000297</v>
      </c>
      <c r="L74" s="1226">
        <f t="shared" si="6"/>
        <v>-1.8765085999999569</v>
      </c>
      <c r="M74" s="1226">
        <f t="shared" si="6"/>
        <v>-1.3045899999999999</v>
      </c>
      <c r="N74" s="1226">
        <f t="shared" si="6"/>
        <v>-1.3045899999999999</v>
      </c>
      <c r="O74" s="1226">
        <f t="shared" si="6"/>
        <v>-1.3045899999999999</v>
      </c>
      <c r="P74" s="1226">
        <f t="shared" si="6"/>
        <v>-1.3045899999999999</v>
      </c>
      <c r="Q74" s="1226">
        <f t="shared" si="6"/>
        <v>-1.2744899999999999</v>
      </c>
      <c r="R74" s="1226">
        <f t="shared" si="6"/>
        <v>-1.2195895000000299</v>
      </c>
      <c r="S74" s="1226">
        <f t="shared" si="6"/>
        <v>-1.1880299999999999</v>
      </c>
      <c r="T74" s="1226">
        <f t="shared" si="6"/>
        <v>-1.1880299999999999</v>
      </c>
      <c r="U74" s="1226">
        <f t="shared" si="6"/>
        <v>-1.1880299999999999</v>
      </c>
      <c r="V74" s="1226">
        <v>-1.0588299999999999</v>
      </c>
      <c r="W74" s="1226">
        <v>-1.1880299999999999</v>
      </c>
      <c r="X74" s="1226">
        <v>-1.18642</v>
      </c>
    </row>
    <row r="75" spans="3:24">
      <c r="D75" s="1222"/>
      <c r="E75" s="1222"/>
      <c r="F75" s="1227">
        <f>SUM(F68:F74)</f>
        <v>-8207.1552482000061</v>
      </c>
      <c r="G75" s="1227">
        <f t="shared" ref="G75:U75" si="7">SUM(G68:G74)</f>
        <v>-7915.5101178000095</v>
      </c>
      <c r="H75" s="1227">
        <f t="shared" si="7"/>
        <v>-7571.1973689999859</v>
      </c>
      <c r="I75" s="1227">
        <f t="shared" si="7"/>
        <v>-7532.9133456000091</v>
      </c>
      <c r="J75" s="1227">
        <f t="shared" si="7"/>
        <v>-7517.7137384000062</v>
      </c>
      <c r="K75" s="1227">
        <f t="shared" si="7"/>
        <v>-7509.0008989000007</v>
      </c>
      <c r="L75" s="1227">
        <f t="shared" si="7"/>
        <v>-7489.954159500001</v>
      </c>
      <c r="M75" s="1227">
        <f t="shared" si="7"/>
        <v>-7394.5246444999966</v>
      </c>
      <c r="N75" s="1227">
        <f t="shared" si="7"/>
        <v>-6760.0268943000001</v>
      </c>
      <c r="O75" s="1227">
        <f t="shared" si="7"/>
        <v>-4899.5104860000001</v>
      </c>
      <c r="P75" s="1227">
        <f t="shared" si="7"/>
        <v>-4858.2687808000001</v>
      </c>
      <c r="Q75" s="1227">
        <f t="shared" si="7"/>
        <v>-4854.3282204999923</v>
      </c>
      <c r="R75" s="1227">
        <f t="shared" si="7"/>
        <v>-4142.0804808000057</v>
      </c>
      <c r="S75" s="1227">
        <f t="shared" si="7"/>
        <v>-1468.2693851999893</v>
      </c>
      <c r="T75" s="1227">
        <f t="shared" si="7"/>
        <v>-1275.3687232000216</v>
      </c>
      <c r="U75" s="1227">
        <f t="shared" si="7"/>
        <v>-1185.772754399989</v>
      </c>
      <c r="V75" s="1227">
        <v>-1194.1994086999912</v>
      </c>
      <c r="W75" s="1227">
        <v>-1166.5307088000106</v>
      </c>
      <c r="X75" s="1227">
        <v>-1150.5998172999866</v>
      </c>
    </row>
    <row r="76" spans="3:24">
      <c r="G76" s="1225">
        <f>G75-F75</f>
        <v>291.64513039999656</v>
      </c>
      <c r="H76" s="1225">
        <f t="shared" ref="H76:U76" si="8">H75-G75</f>
        <v>344.31274880002366</v>
      </c>
      <c r="I76" s="1225">
        <f t="shared" si="8"/>
        <v>38.284023399976832</v>
      </c>
      <c r="J76" s="1225">
        <f t="shared" si="8"/>
        <v>15.199607200002902</v>
      </c>
      <c r="K76" s="1225">
        <f t="shared" si="8"/>
        <v>8.7128395000054297</v>
      </c>
      <c r="L76" s="1225">
        <f t="shared" si="8"/>
        <v>19.046739399999751</v>
      </c>
      <c r="M76" s="1225">
        <f t="shared" si="8"/>
        <v>95.429515000004358</v>
      </c>
      <c r="N76" s="1225">
        <f>N75-M75</f>
        <v>634.49775019999652</v>
      </c>
      <c r="O76" s="1225">
        <f t="shared" si="8"/>
        <v>1860.5164083</v>
      </c>
      <c r="P76" s="1225">
        <f t="shared" si="8"/>
        <v>41.241705200000069</v>
      </c>
      <c r="Q76" s="1225">
        <f t="shared" si="8"/>
        <v>3.9405603000077463</v>
      </c>
      <c r="R76" s="1225">
        <f t="shared" si="8"/>
        <v>712.2477396999866</v>
      </c>
      <c r="S76" s="1225">
        <f t="shared" si="8"/>
        <v>2673.8110956000164</v>
      </c>
      <c r="T76" s="1225">
        <f t="shared" si="8"/>
        <v>192.90066199996772</v>
      </c>
      <c r="U76" s="1225">
        <f t="shared" si="8"/>
        <v>89.595968800032551</v>
      </c>
      <c r="V76" s="1225">
        <f t="shared" ref="V76" si="9">V75-U75</f>
        <v>-8.4266543000021557</v>
      </c>
      <c r="W76" s="1225">
        <f t="shared" ref="W76" si="10">W75-V75</f>
        <v>27.668699899980538</v>
      </c>
      <c r="X76" s="1225">
        <f t="shared" ref="X76" si="11">X75-W75</f>
        <v>15.930891500024018</v>
      </c>
    </row>
    <row r="78" spans="3:24">
      <c r="C78" t="s">
        <v>677</v>
      </c>
    </row>
    <row r="80" spans="3:24">
      <c r="D80" t="s">
        <v>360</v>
      </c>
      <c r="G80" s="903"/>
      <c r="H80" s="903">
        <f>G82</f>
        <v>94.454999999999998</v>
      </c>
      <c r="I80" s="903">
        <f t="shared" ref="I80:U80" si="12">H82</f>
        <v>214.125</v>
      </c>
      <c r="J80" s="903">
        <f t="shared" si="12"/>
        <v>300.52999999999997</v>
      </c>
      <c r="K80" s="903">
        <f t="shared" si="12"/>
        <v>328.21</v>
      </c>
      <c r="L80" s="903">
        <f t="shared" si="12"/>
        <v>353.23499999999996</v>
      </c>
      <c r="M80" s="903">
        <f t="shared" si="12"/>
        <v>376.04499999999996</v>
      </c>
      <c r="N80" s="903">
        <f t="shared" si="12"/>
        <v>401.69999999999993</v>
      </c>
      <c r="O80" s="903">
        <f t="shared" si="12"/>
        <v>416.88499999999993</v>
      </c>
      <c r="P80" s="903">
        <f t="shared" si="12"/>
        <v>439.33999999999992</v>
      </c>
      <c r="Q80" s="903">
        <f t="shared" si="12"/>
        <v>457.1699999999999</v>
      </c>
      <c r="R80" s="903">
        <f t="shared" si="12"/>
        <v>472.43499999999989</v>
      </c>
      <c r="S80" s="903">
        <f t="shared" si="12"/>
        <v>493.32499999999987</v>
      </c>
      <c r="T80" s="903">
        <f t="shared" si="12"/>
        <v>511.7399999999999</v>
      </c>
      <c r="U80" s="903">
        <f t="shared" si="12"/>
        <v>524.52999999999986</v>
      </c>
      <c r="V80" s="903">
        <f t="shared" ref="V80:X80" si="13">U82</f>
        <v>542.7349999999999</v>
      </c>
      <c r="W80" s="903">
        <f t="shared" si="13"/>
        <v>563.27499999999986</v>
      </c>
      <c r="X80" s="903">
        <f t="shared" si="13"/>
        <v>586.36999999999989</v>
      </c>
    </row>
    <row r="81" spans="4:24">
      <c r="D81" t="s">
        <v>255</v>
      </c>
      <c r="G81" s="903">
        <f>Debt_Schedule!G89</f>
        <v>94.454999999999998</v>
      </c>
      <c r="H81" s="903">
        <f>Debt_Schedule!H89</f>
        <v>119.67</v>
      </c>
      <c r="I81" s="903">
        <f>Debt_Schedule!I89</f>
        <v>86.405000000000001</v>
      </c>
      <c r="J81" s="903">
        <f>Debt_Schedule!J89</f>
        <v>27.68</v>
      </c>
      <c r="K81" s="903">
        <f>Debt_Schedule!K89</f>
        <v>25.024999999999999</v>
      </c>
      <c r="L81" s="903">
        <f>Debt_Schedule!L89</f>
        <v>22.81</v>
      </c>
      <c r="M81" s="903">
        <f>Debt_Schedule!M89</f>
        <v>25.655000000000001</v>
      </c>
      <c r="N81" s="903">
        <f>Debt_Schedule!N89</f>
        <v>15.185</v>
      </c>
      <c r="O81" s="903">
        <f>Debt_Schedule!O89</f>
        <v>22.454999999999998</v>
      </c>
      <c r="P81" s="903">
        <f>Debt_Schedule!P89</f>
        <v>17.829999999999998</v>
      </c>
      <c r="Q81" s="903">
        <f>Debt_Schedule!Q89</f>
        <v>15.265000000000001</v>
      </c>
      <c r="R81" s="903">
        <f>Debt_Schedule!R89</f>
        <v>20.89</v>
      </c>
      <c r="S81" s="903">
        <f>Debt_Schedule!S89</f>
        <v>18.414999999999999</v>
      </c>
      <c r="T81" s="903">
        <f>Debt_Schedule!T89</f>
        <v>12.79</v>
      </c>
      <c r="U81" s="903">
        <f>Debt_Schedule!U89</f>
        <v>18.204999999999998</v>
      </c>
      <c r="V81" s="903">
        <f>Debt_Schedule!V89</f>
        <v>20.54</v>
      </c>
      <c r="W81" s="903">
        <f>Debt_Schedule!W89</f>
        <v>23.094999999999999</v>
      </c>
      <c r="X81" s="903">
        <f>Debt_Schedule!X89</f>
        <v>16.13</v>
      </c>
    </row>
    <row r="82" spans="4:24">
      <c r="D82" t="s">
        <v>300</v>
      </c>
      <c r="G82" s="903">
        <f>G80+G81</f>
        <v>94.454999999999998</v>
      </c>
      <c r="H82" s="903">
        <f t="shared" ref="H82:U82" si="14">H80+H81</f>
        <v>214.125</v>
      </c>
      <c r="I82" s="903">
        <f t="shared" si="14"/>
        <v>300.52999999999997</v>
      </c>
      <c r="J82" s="903">
        <f t="shared" si="14"/>
        <v>328.21</v>
      </c>
      <c r="K82" s="903">
        <f t="shared" si="14"/>
        <v>353.23499999999996</v>
      </c>
      <c r="L82" s="903">
        <f t="shared" si="14"/>
        <v>376.04499999999996</v>
      </c>
      <c r="M82" s="903">
        <f t="shared" si="14"/>
        <v>401.69999999999993</v>
      </c>
      <c r="N82" s="903">
        <f t="shared" si="14"/>
        <v>416.88499999999993</v>
      </c>
      <c r="O82" s="903">
        <f t="shared" si="14"/>
        <v>439.33999999999992</v>
      </c>
      <c r="P82" s="903">
        <f t="shared" si="14"/>
        <v>457.1699999999999</v>
      </c>
      <c r="Q82" s="903">
        <f t="shared" si="14"/>
        <v>472.43499999999989</v>
      </c>
      <c r="R82" s="903">
        <f t="shared" si="14"/>
        <v>493.32499999999987</v>
      </c>
      <c r="S82" s="903">
        <f t="shared" si="14"/>
        <v>511.7399999999999</v>
      </c>
      <c r="T82" s="903">
        <f t="shared" si="14"/>
        <v>524.52999999999986</v>
      </c>
      <c r="U82" s="903">
        <f t="shared" si="14"/>
        <v>542.7349999999999</v>
      </c>
      <c r="V82" s="903">
        <f t="shared" ref="V82" si="15">V80+V81</f>
        <v>563.27499999999986</v>
      </c>
      <c r="W82" s="903">
        <f t="shared" ref="W82" si="16">W80+W81</f>
        <v>586.36999999999989</v>
      </c>
      <c r="X82" s="903">
        <f t="shared" ref="X82" si="17">X80+X81</f>
        <v>602.49999999999989</v>
      </c>
    </row>
    <row r="83" spans="4:24">
      <c r="G83" s="903"/>
      <c r="H83" s="903"/>
      <c r="I83" s="903"/>
      <c r="J83" s="903"/>
      <c r="K83" s="903"/>
      <c r="L83" s="903"/>
      <c r="M83" s="903"/>
      <c r="N83" s="903"/>
      <c r="O83" s="903"/>
      <c r="P83" s="903"/>
      <c r="Q83" s="903"/>
      <c r="R83" s="903"/>
      <c r="S83" s="903"/>
      <c r="T83" s="903"/>
      <c r="U83" s="903"/>
      <c r="V83" s="903"/>
      <c r="W83" s="903"/>
      <c r="X83" s="903"/>
    </row>
    <row r="84" spans="4:24">
      <c r="D84" t="s">
        <v>678</v>
      </c>
      <c r="E84" s="409">
        <v>0.04</v>
      </c>
      <c r="G84" s="903">
        <f>G82*$E$84</f>
        <v>3.7782</v>
      </c>
      <c r="H84" s="903">
        <f t="shared" ref="H84:U84" si="18">H82*$E$84</f>
        <v>8.5649999999999995</v>
      </c>
      <c r="I84" s="903">
        <f t="shared" si="18"/>
        <v>12.021199999999999</v>
      </c>
      <c r="J84" s="903">
        <f t="shared" si="18"/>
        <v>13.128399999999999</v>
      </c>
      <c r="K84" s="903">
        <f t="shared" si="18"/>
        <v>14.129399999999999</v>
      </c>
      <c r="L84" s="903">
        <f t="shared" si="18"/>
        <v>15.041799999999999</v>
      </c>
      <c r="M84" s="903">
        <f t="shared" si="18"/>
        <v>16.067999999999998</v>
      </c>
      <c r="N84" s="903">
        <f t="shared" si="18"/>
        <v>16.675399999999996</v>
      </c>
      <c r="O84" s="903">
        <f t="shared" si="18"/>
        <v>17.573599999999995</v>
      </c>
      <c r="P84" s="903">
        <f t="shared" si="18"/>
        <v>18.286799999999996</v>
      </c>
      <c r="Q84" s="903">
        <f t="shared" si="18"/>
        <v>18.897399999999998</v>
      </c>
      <c r="R84" s="903">
        <f t="shared" si="18"/>
        <v>19.732999999999997</v>
      </c>
      <c r="S84" s="903">
        <f t="shared" si="18"/>
        <v>20.469599999999996</v>
      </c>
      <c r="T84" s="903">
        <f t="shared" si="18"/>
        <v>20.981199999999994</v>
      </c>
      <c r="U84" s="903">
        <f t="shared" si="18"/>
        <v>21.709399999999995</v>
      </c>
      <c r="V84" s="903">
        <f t="shared" ref="V84:X84" si="19">V82*$E$84</f>
        <v>22.530999999999995</v>
      </c>
      <c r="W84" s="903">
        <f t="shared" si="19"/>
        <v>23.454799999999995</v>
      </c>
      <c r="X84" s="903">
        <f t="shared" si="19"/>
        <v>24.099999999999994</v>
      </c>
    </row>
    <row r="85" spans="4:24">
      <c r="G85" s="903"/>
      <c r="H85" s="903"/>
      <c r="I85" s="903"/>
      <c r="J85" s="903"/>
      <c r="K85" s="903"/>
      <c r="L85" s="903"/>
      <c r="M85" s="903"/>
      <c r="N85" s="903"/>
      <c r="O85" s="903"/>
      <c r="P85" s="903"/>
      <c r="Q85" s="903"/>
      <c r="R85" s="903"/>
      <c r="S85" s="903"/>
      <c r="T85" s="903"/>
      <c r="U85" s="903"/>
      <c r="V85" s="903"/>
      <c r="W85" s="903"/>
      <c r="X85" s="903"/>
    </row>
    <row r="86" spans="4:24">
      <c r="G86" s="903">
        <f>-G75/100</f>
        <v>79.155101178000095</v>
      </c>
      <c r="H86" s="903">
        <f t="shared" ref="H86:U86" si="20">-H75/100</f>
        <v>75.711973689999866</v>
      </c>
      <c r="I86" s="903">
        <f t="shared" si="20"/>
        <v>75.329133456000093</v>
      </c>
      <c r="J86" s="903">
        <f t="shared" si="20"/>
        <v>75.177137384000062</v>
      </c>
      <c r="K86" s="903">
        <f t="shared" si="20"/>
        <v>75.090008989000012</v>
      </c>
      <c r="L86" s="903">
        <f t="shared" si="20"/>
        <v>74.899541595000017</v>
      </c>
      <c r="M86" s="903">
        <f t="shared" si="20"/>
        <v>73.945246444999967</v>
      </c>
      <c r="N86" s="903">
        <f t="shared" si="20"/>
        <v>67.600268943000003</v>
      </c>
      <c r="O86" s="903">
        <f t="shared" si="20"/>
        <v>48.995104859999998</v>
      </c>
      <c r="P86" s="903">
        <f t="shared" si="20"/>
        <v>48.582687808000003</v>
      </c>
      <c r="Q86" s="903">
        <f t="shared" si="20"/>
        <v>48.543282204999926</v>
      </c>
      <c r="R86" s="903">
        <f t="shared" si="20"/>
        <v>41.420804808000057</v>
      </c>
      <c r="S86" s="903">
        <f t="shared" si="20"/>
        <v>14.682693851999893</v>
      </c>
      <c r="T86" s="903">
        <f t="shared" si="20"/>
        <v>12.753687232000216</v>
      </c>
      <c r="U86" s="903">
        <f t="shared" si="20"/>
        <v>11.857727543999891</v>
      </c>
      <c r="V86" s="903">
        <f t="shared" ref="V86:X86" si="21">-V75/100</f>
        <v>11.941994086999912</v>
      </c>
      <c r="W86" s="903">
        <f t="shared" si="21"/>
        <v>11.665307088000107</v>
      </c>
      <c r="X86" s="903">
        <f t="shared" si="21"/>
        <v>11.505998172999867</v>
      </c>
    </row>
    <row r="87" spans="4:24">
      <c r="G87" s="903"/>
      <c r="H87" s="903"/>
      <c r="I87" s="903"/>
      <c r="J87" s="903"/>
      <c r="K87" s="903"/>
      <c r="L87" s="903"/>
      <c r="M87" s="903"/>
      <c r="N87" s="903"/>
      <c r="O87" s="903"/>
      <c r="P87" s="903"/>
      <c r="Q87" s="903"/>
      <c r="R87" s="903"/>
      <c r="S87" s="903"/>
      <c r="T87" s="903"/>
      <c r="U87" s="903"/>
      <c r="V87" s="903"/>
      <c r="W87" s="903"/>
      <c r="X87" s="903"/>
    </row>
    <row r="88" spans="4:24">
      <c r="G88" s="903">
        <f>SUM(G84:G86)</f>
        <v>82.933301178000093</v>
      </c>
      <c r="H88" s="903">
        <f t="shared" ref="H88:U88" si="22">SUM(H84:H86)</f>
        <v>84.276973689999863</v>
      </c>
      <c r="I88" s="903">
        <f t="shared" si="22"/>
        <v>87.350333456000087</v>
      </c>
      <c r="J88" s="903">
        <f t="shared" si="22"/>
        <v>88.305537384000061</v>
      </c>
      <c r="K88" s="903">
        <f t="shared" si="22"/>
        <v>89.219408989000016</v>
      </c>
      <c r="L88" s="903">
        <f t="shared" si="22"/>
        <v>89.941341595000011</v>
      </c>
      <c r="M88" s="903">
        <f t="shared" si="22"/>
        <v>90.013246444999965</v>
      </c>
      <c r="N88" s="903">
        <f t="shared" si="22"/>
        <v>84.275668942999999</v>
      </c>
      <c r="O88" s="903">
        <f t="shared" si="22"/>
        <v>66.568704859999997</v>
      </c>
      <c r="P88" s="903">
        <f t="shared" si="22"/>
        <v>66.869487808000002</v>
      </c>
      <c r="Q88" s="903">
        <f t="shared" si="22"/>
        <v>67.440682204999916</v>
      </c>
      <c r="R88" s="903">
        <f t="shared" si="22"/>
        <v>61.153804808000054</v>
      </c>
      <c r="S88" s="903">
        <f t="shared" si="22"/>
        <v>35.152293851999886</v>
      </c>
      <c r="T88" s="903">
        <f t="shared" si="22"/>
        <v>33.734887232000212</v>
      </c>
      <c r="U88" s="903">
        <f t="shared" si="22"/>
        <v>33.567127543999888</v>
      </c>
      <c r="V88" s="903">
        <f t="shared" ref="V88:X88" si="23">SUM(V84:V86)</f>
        <v>34.472994086999904</v>
      </c>
      <c r="W88" s="903">
        <f t="shared" si="23"/>
        <v>35.120107088000104</v>
      </c>
      <c r="X88" s="903">
        <f t="shared" si="23"/>
        <v>35.605998172999861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B2:I128"/>
  <sheetViews>
    <sheetView showGridLines="0" topLeftCell="A2" workbookViewId="0">
      <pane xSplit="4" ySplit="6" topLeftCell="E8" activePane="bottomRight" state="frozen"/>
      <selection activeCell="A2" sqref="A2"/>
      <selection pane="topRight" activeCell="E2" sqref="E2"/>
      <selection pane="bottomLeft" activeCell="A8" sqref="A8"/>
      <selection pane="bottomRight" activeCell="C18" sqref="C18"/>
    </sheetView>
  </sheetViews>
  <sheetFormatPr defaultRowHeight="14.25" outlineLevelRow="1"/>
  <cols>
    <col min="1" max="1" width="3.7109375" style="458" customWidth="1"/>
    <col min="2" max="2" width="4.5703125" style="458" customWidth="1"/>
    <col min="3" max="3" width="88.140625" style="458" bestFit="1" customWidth="1"/>
    <col min="4" max="4" width="11.5703125" style="458" bestFit="1" customWidth="1"/>
    <col min="5" max="6" width="8.7109375" style="458" bestFit="1" customWidth="1"/>
    <col min="7" max="9" width="7.85546875" style="458" bestFit="1" customWidth="1"/>
    <col min="10" max="16384" width="9.140625" style="458"/>
  </cols>
  <sheetData>
    <row r="2" spans="2:9" ht="15">
      <c r="C2" s="459"/>
      <c r="D2" s="459"/>
      <c r="E2" s="459"/>
      <c r="F2" s="459"/>
      <c r="G2" s="459"/>
      <c r="H2" s="459"/>
      <c r="I2" s="459"/>
    </row>
    <row r="3" spans="2:9" ht="15">
      <c r="C3" s="459"/>
      <c r="D3" s="459"/>
      <c r="E3" s="459"/>
      <c r="F3" s="459"/>
      <c r="G3" s="459"/>
      <c r="H3" s="459"/>
      <c r="I3" s="459"/>
    </row>
    <row r="5" spans="2:9" ht="15">
      <c r="C5" s="459"/>
      <c r="D5" s="459"/>
      <c r="E5" s="459"/>
      <c r="F5" s="459"/>
      <c r="G5" s="459"/>
      <c r="H5" s="459"/>
      <c r="I5" s="459"/>
    </row>
    <row r="6" spans="2:9" ht="15">
      <c r="D6" s="460"/>
      <c r="E6" s="496"/>
      <c r="F6" s="496"/>
      <c r="G6" s="496"/>
      <c r="H6" s="496"/>
      <c r="I6" s="496"/>
    </row>
    <row r="7" spans="2:9" ht="15">
      <c r="B7" s="461"/>
      <c r="C7" s="462"/>
      <c r="D7" s="463"/>
      <c r="E7" s="463"/>
      <c r="F7" s="463"/>
      <c r="G7" s="463"/>
      <c r="H7" s="463"/>
      <c r="I7" s="463"/>
    </row>
    <row r="8" spans="2:9" ht="15">
      <c r="B8" s="464"/>
      <c r="C8" s="465"/>
      <c r="D8" s="466"/>
      <c r="E8" s="466"/>
      <c r="F8" s="466"/>
      <c r="G8" s="466"/>
      <c r="H8" s="466"/>
      <c r="I8" s="466"/>
    </row>
    <row r="9" spans="2:9" ht="15">
      <c r="B9" s="467"/>
      <c r="C9" s="468"/>
      <c r="D9" s="485"/>
      <c r="E9" s="485"/>
      <c r="F9" s="485"/>
      <c r="G9" s="485"/>
      <c r="H9" s="485"/>
      <c r="I9" s="485"/>
    </row>
    <row r="10" spans="2:9" ht="15">
      <c r="B10" s="467"/>
      <c r="C10" s="468"/>
      <c r="D10" s="485"/>
      <c r="E10" s="485"/>
      <c r="F10" s="485"/>
      <c r="G10" s="485"/>
      <c r="H10" s="485"/>
      <c r="I10" s="485"/>
    </row>
    <row r="11" spans="2:9" ht="15">
      <c r="B11" s="467"/>
      <c r="C11" s="468"/>
      <c r="D11" s="485"/>
      <c r="E11" s="485"/>
      <c r="F11" s="485"/>
      <c r="G11" s="485"/>
      <c r="H11" s="485"/>
      <c r="I11" s="485"/>
    </row>
    <row r="12" spans="2:9" ht="15">
      <c r="B12" s="467"/>
      <c r="C12" s="468"/>
      <c r="D12" s="485"/>
      <c r="E12" s="485"/>
      <c r="F12" s="485"/>
      <c r="G12" s="485"/>
      <c r="H12" s="485"/>
      <c r="I12" s="485"/>
    </row>
    <row r="13" spans="2:9" ht="15">
      <c r="B13" s="467"/>
      <c r="C13" s="469"/>
      <c r="D13" s="485"/>
      <c r="E13" s="486"/>
      <c r="F13" s="486"/>
      <c r="G13" s="486"/>
      <c r="H13" s="486"/>
      <c r="I13" s="486"/>
    </row>
    <row r="14" spans="2:9" ht="15">
      <c r="B14" s="467"/>
      <c r="C14" s="470"/>
      <c r="D14" s="485"/>
      <c r="E14" s="485"/>
      <c r="F14" s="485"/>
      <c r="G14" s="485"/>
      <c r="H14" s="485"/>
      <c r="I14" s="485"/>
    </row>
    <row r="15" spans="2:9" ht="15">
      <c r="B15" s="467"/>
      <c r="C15" s="468"/>
      <c r="D15" s="485"/>
      <c r="E15" s="485"/>
      <c r="F15" s="485"/>
      <c r="G15" s="485"/>
      <c r="H15" s="485"/>
      <c r="I15" s="485"/>
    </row>
    <row r="16" spans="2:9" ht="15">
      <c r="B16" s="467"/>
      <c r="C16" s="468"/>
      <c r="D16" s="485"/>
      <c r="E16" s="485"/>
      <c r="F16" s="485"/>
      <c r="G16" s="485"/>
      <c r="H16" s="485"/>
      <c r="I16" s="485"/>
    </row>
    <row r="17" spans="2:9" ht="15">
      <c r="B17" s="467"/>
      <c r="C17" s="468"/>
      <c r="D17" s="487"/>
      <c r="E17" s="487"/>
      <c r="F17" s="487"/>
      <c r="G17" s="487"/>
      <c r="H17" s="487"/>
      <c r="I17" s="487"/>
    </row>
    <row r="18" spans="2:9" ht="15">
      <c r="B18" s="467"/>
      <c r="C18" s="468"/>
      <c r="D18" s="485"/>
      <c r="E18" s="485"/>
      <c r="F18" s="485"/>
      <c r="G18" s="485"/>
      <c r="H18" s="485"/>
      <c r="I18" s="485"/>
    </row>
    <row r="19" spans="2:9" ht="15">
      <c r="B19" s="464"/>
      <c r="C19" s="467"/>
      <c r="D19" s="485"/>
      <c r="E19" s="485"/>
      <c r="F19" s="485"/>
      <c r="G19" s="485"/>
      <c r="H19" s="485"/>
      <c r="I19" s="485"/>
    </row>
    <row r="20" spans="2:9" ht="15">
      <c r="B20" s="464"/>
      <c r="C20" s="467"/>
      <c r="D20" s="485"/>
      <c r="E20" s="485"/>
      <c r="F20" s="485"/>
      <c r="G20" s="485"/>
      <c r="H20" s="485"/>
      <c r="I20" s="485"/>
    </row>
    <row r="21" spans="2:9" ht="15">
      <c r="B21" s="464"/>
      <c r="C21" s="467"/>
      <c r="D21" s="485"/>
      <c r="E21" s="485"/>
      <c r="F21" s="485"/>
      <c r="G21" s="485"/>
      <c r="H21" s="485"/>
      <c r="I21" s="485"/>
    </row>
    <row r="22" spans="2:9" ht="15">
      <c r="B22" s="467"/>
      <c r="C22" s="468"/>
      <c r="D22" s="487"/>
      <c r="E22" s="487"/>
      <c r="F22" s="487"/>
      <c r="G22" s="487"/>
      <c r="H22" s="487"/>
      <c r="I22" s="487"/>
    </row>
    <row r="23" spans="2:9" ht="15">
      <c r="B23" s="464"/>
      <c r="C23" s="465"/>
      <c r="D23" s="485"/>
      <c r="E23" s="485"/>
      <c r="F23" s="485"/>
      <c r="G23" s="485"/>
      <c r="H23" s="485"/>
      <c r="I23" s="485"/>
    </row>
    <row r="24" spans="2:9" ht="15">
      <c r="B24" s="467"/>
      <c r="C24" s="468"/>
      <c r="D24" s="485"/>
      <c r="E24" s="485"/>
      <c r="F24" s="485"/>
      <c r="G24" s="485"/>
      <c r="H24" s="485"/>
      <c r="I24" s="485"/>
    </row>
    <row r="25" spans="2:9" ht="15">
      <c r="B25" s="467"/>
      <c r="C25" s="468"/>
      <c r="D25" s="485"/>
      <c r="E25" s="485"/>
      <c r="F25" s="485"/>
      <c r="G25" s="485"/>
      <c r="H25" s="485"/>
      <c r="I25" s="485"/>
    </row>
    <row r="26" spans="2:9" ht="15">
      <c r="B26" s="467"/>
      <c r="C26" s="467"/>
      <c r="D26" s="485"/>
      <c r="E26" s="485"/>
      <c r="F26" s="485"/>
      <c r="G26" s="485"/>
      <c r="H26" s="485"/>
      <c r="I26" s="485"/>
    </row>
    <row r="27" spans="2:9" ht="15" collapsed="1">
      <c r="B27" s="471"/>
      <c r="C27" s="472"/>
      <c r="D27" s="485"/>
      <c r="E27" s="485"/>
      <c r="F27" s="485"/>
      <c r="G27" s="485"/>
      <c r="H27" s="485"/>
      <c r="I27" s="485"/>
    </row>
    <row r="28" spans="2:9" ht="15" hidden="1" outlineLevel="1">
      <c r="B28" s="471"/>
      <c r="C28" s="472"/>
      <c r="D28" s="485"/>
      <c r="E28" s="485"/>
      <c r="F28" s="485"/>
      <c r="G28" s="485"/>
      <c r="H28" s="485"/>
      <c r="I28" s="485"/>
    </row>
    <row r="29" spans="2:9" ht="15" collapsed="1">
      <c r="B29" s="471"/>
      <c r="C29" s="473"/>
      <c r="D29" s="488"/>
      <c r="E29" s="488"/>
      <c r="F29" s="485"/>
      <c r="G29" s="488"/>
      <c r="H29" s="488"/>
      <c r="I29" s="488"/>
    </row>
    <row r="30" spans="2:9" ht="15">
      <c r="B30" s="471"/>
      <c r="C30" s="472"/>
      <c r="D30" s="485"/>
      <c r="E30" s="485"/>
      <c r="F30" s="485"/>
      <c r="G30" s="485"/>
      <c r="H30" s="485"/>
      <c r="I30" s="485"/>
    </row>
    <row r="31" spans="2:9" ht="15">
      <c r="B31" s="471"/>
      <c r="C31" s="472"/>
      <c r="D31" s="485"/>
      <c r="E31" s="485"/>
      <c r="F31" s="485"/>
      <c r="G31" s="485"/>
      <c r="H31" s="485"/>
      <c r="I31" s="485"/>
    </row>
    <row r="32" spans="2:9" ht="15" hidden="1" outlineLevel="1">
      <c r="B32" s="471"/>
      <c r="C32" s="472"/>
      <c r="D32" s="485"/>
      <c r="E32" s="485"/>
      <c r="F32" s="485"/>
      <c r="G32" s="485"/>
      <c r="H32" s="485"/>
      <c r="I32" s="485"/>
    </row>
    <row r="33" spans="2:9" ht="15" hidden="1" outlineLevel="1">
      <c r="B33" s="471"/>
      <c r="C33" s="472"/>
      <c r="D33" s="485"/>
      <c r="E33" s="485"/>
      <c r="F33" s="485"/>
      <c r="G33" s="485"/>
      <c r="H33" s="485"/>
      <c r="I33" s="485"/>
    </row>
    <row r="34" spans="2:9" ht="15" hidden="1" outlineLevel="1">
      <c r="B34" s="471"/>
      <c r="C34" s="467"/>
      <c r="D34" s="485"/>
      <c r="E34" s="485"/>
      <c r="F34" s="485"/>
      <c r="G34" s="485"/>
      <c r="H34" s="485"/>
      <c r="I34" s="485"/>
    </row>
    <row r="35" spans="2:9" ht="15" outlineLevel="1">
      <c r="B35" s="471"/>
      <c r="C35" s="468"/>
      <c r="D35" s="485"/>
      <c r="E35" s="485"/>
      <c r="F35" s="485"/>
      <c r="G35" s="485"/>
      <c r="H35" s="485"/>
      <c r="I35" s="485"/>
    </row>
    <row r="36" spans="2:9" ht="15" outlineLevel="1">
      <c r="B36" s="471"/>
      <c r="C36" s="468"/>
      <c r="D36" s="485"/>
      <c r="E36" s="485"/>
      <c r="F36" s="485"/>
      <c r="G36" s="485"/>
      <c r="H36" s="485"/>
      <c r="I36" s="485"/>
    </row>
    <row r="37" spans="2:9" ht="15" outlineLevel="1">
      <c r="B37" s="471"/>
      <c r="C37" s="468"/>
      <c r="D37" s="485"/>
      <c r="E37" s="485"/>
      <c r="F37" s="485"/>
      <c r="G37" s="485"/>
      <c r="H37" s="485"/>
      <c r="I37" s="485"/>
    </row>
    <row r="38" spans="2:9" ht="15" outlineLevel="1">
      <c r="B38" s="471"/>
      <c r="C38" s="468"/>
      <c r="D38" s="485"/>
      <c r="E38" s="485"/>
      <c r="F38" s="485"/>
      <c r="G38" s="485"/>
      <c r="H38" s="485"/>
      <c r="I38" s="485"/>
    </row>
    <row r="39" spans="2:9" ht="15">
      <c r="B39" s="471"/>
      <c r="C39" s="472"/>
      <c r="D39" s="485"/>
      <c r="E39" s="485"/>
      <c r="F39" s="485"/>
      <c r="G39" s="485"/>
      <c r="H39" s="485"/>
      <c r="I39" s="485"/>
    </row>
    <row r="40" spans="2:9" ht="15">
      <c r="B40" s="471"/>
      <c r="C40" s="474"/>
      <c r="D40" s="485"/>
      <c r="E40" s="485"/>
      <c r="F40" s="485"/>
      <c r="G40" s="485"/>
      <c r="H40" s="485"/>
      <c r="I40" s="485"/>
    </row>
    <row r="41" spans="2:9" ht="15">
      <c r="B41" s="471"/>
      <c r="C41" s="472"/>
      <c r="D41" s="485"/>
      <c r="E41" s="485"/>
      <c r="F41" s="485"/>
      <c r="G41" s="485"/>
      <c r="H41" s="485"/>
      <c r="I41" s="485"/>
    </row>
    <row r="42" spans="2:9" ht="15">
      <c r="B42" s="471"/>
      <c r="C42" s="472"/>
      <c r="D42" s="485"/>
      <c r="E42" s="485"/>
      <c r="F42" s="485"/>
      <c r="G42" s="485"/>
      <c r="H42" s="485"/>
      <c r="I42" s="485"/>
    </row>
    <row r="43" spans="2:9" ht="15">
      <c r="B43" s="471"/>
      <c r="C43" s="472"/>
      <c r="D43" s="485"/>
      <c r="E43" s="485"/>
      <c r="F43" s="485"/>
      <c r="G43" s="485"/>
      <c r="H43" s="485"/>
      <c r="I43" s="485"/>
    </row>
    <row r="44" spans="2:9" ht="15">
      <c r="B44" s="471"/>
      <c r="C44" s="472"/>
      <c r="D44" s="485"/>
      <c r="E44" s="485"/>
      <c r="F44" s="485"/>
      <c r="G44" s="485"/>
      <c r="H44" s="485"/>
      <c r="I44" s="485"/>
    </row>
    <row r="45" spans="2:9" ht="15">
      <c r="B45" s="471"/>
      <c r="C45" s="472"/>
      <c r="D45" s="485"/>
      <c r="E45" s="485"/>
      <c r="F45" s="485"/>
      <c r="G45" s="485"/>
      <c r="H45" s="485"/>
      <c r="I45" s="485"/>
    </row>
    <row r="46" spans="2:9" ht="15">
      <c r="B46" s="471"/>
      <c r="C46" s="472"/>
      <c r="D46" s="485"/>
      <c r="E46" s="485"/>
      <c r="F46" s="485"/>
      <c r="G46" s="485"/>
      <c r="H46" s="485"/>
      <c r="I46" s="485"/>
    </row>
    <row r="47" spans="2:9" ht="15">
      <c r="B47" s="471"/>
      <c r="C47" s="472"/>
      <c r="D47" s="485"/>
      <c r="E47" s="485"/>
      <c r="F47" s="485"/>
      <c r="G47" s="485"/>
      <c r="H47" s="485"/>
      <c r="I47" s="485"/>
    </row>
    <row r="48" spans="2:9" ht="15">
      <c r="B48" s="471"/>
      <c r="C48" s="472"/>
      <c r="D48" s="485"/>
      <c r="E48" s="485"/>
      <c r="F48" s="485"/>
      <c r="G48" s="485"/>
      <c r="H48" s="485"/>
      <c r="I48" s="485"/>
    </row>
    <row r="49" spans="2:9" ht="15">
      <c r="B49" s="471"/>
      <c r="C49" s="475"/>
      <c r="D49" s="485"/>
      <c r="E49" s="485"/>
      <c r="F49" s="485"/>
      <c r="G49" s="485"/>
      <c r="H49" s="485"/>
      <c r="I49" s="485"/>
    </row>
    <row r="50" spans="2:9" ht="15">
      <c r="B50" s="471"/>
      <c r="C50" s="476"/>
      <c r="D50" s="487"/>
      <c r="E50" s="487"/>
      <c r="F50" s="487"/>
      <c r="G50" s="487"/>
      <c r="H50" s="487"/>
      <c r="I50" s="487"/>
    </row>
    <row r="51" spans="2:9" ht="15">
      <c r="B51" s="464"/>
      <c r="C51" s="468"/>
      <c r="D51" s="485"/>
      <c r="E51" s="485"/>
      <c r="F51" s="485"/>
      <c r="G51" s="485"/>
      <c r="H51" s="485"/>
      <c r="I51" s="485"/>
    </row>
    <row r="52" spans="2:9" ht="15">
      <c r="B52" s="464"/>
      <c r="C52" s="477"/>
      <c r="D52" s="485"/>
      <c r="E52" s="485"/>
      <c r="F52" s="485"/>
      <c r="G52" s="485"/>
      <c r="H52" s="485"/>
      <c r="I52" s="485"/>
    </row>
    <row r="53" spans="2:9" ht="15">
      <c r="B53" s="464"/>
      <c r="C53" s="477"/>
      <c r="D53" s="485"/>
      <c r="E53" s="485"/>
      <c r="F53" s="485"/>
      <c r="G53" s="485"/>
      <c r="H53" s="485"/>
      <c r="I53" s="485"/>
    </row>
    <row r="54" spans="2:9" ht="15">
      <c r="B54" s="464"/>
      <c r="C54" s="477"/>
      <c r="D54" s="485"/>
      <c r="E54" s="485"/>
      <c r="F54" s="485"/>
      <c r="G54" s="485"/>
      <c r="H54" s="485"/>
      <c r="I54" s="485"/>
    </row>
    <row r="55" spans="2:9" ht="15">
      <c r="B55" s="464"/>
      <c r="C55" s="477"/>
      <c r="D55" s="485"/>
      <c r="E55" s="485"/>
      <c r="F55" s="485"/>
      <c r="G55" s="485"/>
      <c r="H55" s="485"/>
      <c r="I55" s="485"/>
    </row>
    <row r="56" spans="2:9" ht="15">
      <c r="B56" s="464"/>
      <c r="C56" s="477"/>
      <c r="D56" s="485"/>
      <c r="E56" s="485"/>
      <c r="F56" s="485"/>
      <c r="G56" s="485"/>
      <c r="H56" s="485"/>
      <c r="I56" s="485"/>
    </row>
    <row r="57" spans="2:9" ht="15">
      <c r="B57" s="464"/>
      <c r="C57" s="477"/>
      <c r="D57" s="485"/>
      <c r="E57" s="485"/>
      <c r="F57" s="485"/>
      <c r="G57" s="485"/>
      <c r="H57" s="485"/>
      <c r="I57" s="485"/>
    </row>
    <row r="58" spans="2:9" ht="15">
      <c r="B58" s="464"/>
      <c r="C58" s="468"/>
      <c r="D58" s="487"/>
      <c r="E58" s="487"/>
      <c r="F58" s="487"/>
      <c r="G58" s="487"/>
      <c r="H58" s="487"/>
      <c r="I58" s="487"/>
    </row>
    <row r="59" spans="2:9">
      <c r="B59" s="468"/>
      <c r="C59" s="468"/>
      <c r="D59" s="489"/>
      <c r="E59" s="489"/>
      <c r="F59" s="489"/>
      <c r="G59" s="489"/>
      <c r="H59" s="489"/>
      <c r="I59" s="489"/>
    </row>
    <row r="60" spans="2:9" ht="15">
      <c r="B60" s="461"/>
      <c r="C60" s="463"/>
      <c r="D60" s="490"/>
      <c r="E60" s="490"/>
      <c r="F60" s="490"/>
      <c r="G60" s="490"/>
      <c r="H60" s="490"/>
      <c r="I60" s="490"/>
    </row>
    <row r="61" spans="2:9">
      <c r="B61" s="478"/>
      <c r="C61" s="468"/>
      <c r="D61" s="491"/>
      <c r="E61" s="491"/>
      <c r="F61" s="491"/>
      <c r="G61" s="491"/>
      <c r="H61" s="491"/>
      <c r="I61" s="491"/>
    </row>
    <row r="62" spans="2:9">
      <c r="B62" s="468"/>
      <c r="C62" s="468"/>
      <c r="D62" s="491"/>
      <c r="E62" s="491"/>
      <c r="F62" s="491"/>
      <c r="G62" s="491"/>
      <c r="H62" s="491"/>
      <c r="I62" s="491"/>
    </row>
    <row r="63" spans="2:9" ht="15">
      <c r="B63" s="461"/>
      <c r="C63" s="479"/>
      <c r="D63" s="492"/>
      <c r="E63" s="492"/>
      <c r="F63" s="492"/>
      <c r="G63" s="492"/>
      <c r="H63" s="492"/>
      <c r="I63" s="492"/>
    </row>
    <row r="64" spans="2:9">
      <c r="D64" s="493"/>
      <c r="E64" s="493"/>
      <c r="F64" s="493"/>
      <c r="G64" s="493"/>
      <c r="H64" s="493"/>
      <c r="I64" s="493"/>
    </row>
    <row r="65" spans="2:9">
      <c r="D65" s="493"/>
      <c r="E65" s="493"/>
      <c r="F65" s="493"/>
      <c r="G65" s="493"/>
      <c r="H65" s="493"/>
      <c r="I65" s="493"/>
    </row>
    <row r="66" spans="2:9">
      <c r="B66" s="478"/>
      <c r="C66" s="1233"/>
      <c r="D66" s="494"/>
      <c r="E66" s="494"/>
      <c r="F66" s="494"/>
      <c r="G66" s="494"/>
      <c r="H66" s="494"/>
      <c r="I66" s="494"/>
    </row>
    <row r="67" spans="2:9" ht="15">
      <c r="B67" s="468"/>
      <c r="C67" s="1234"/>
      <c r="D67" s="495"/>
      <c r="E67" s="495"/>
      <c r="F67" s="495"/>
      <c r="G67" s="495"/>
      <c r="H67" s="495"/>
      <c r="I67" s="495"/>
    </row>
    <row r="68" spans="2:9">
      <c r="B68" s="480"/>
      <c r="C68" s="480"/>
      <c r="D68" s="481"/>
      <c r="E68" s="481"/>
      <c r="F68" s="481"/>
      <c r="G68" s="481"/>
      <c r="H68" s="481"/>
      <c r="I68" s="481"/>
    </row>
    <row r="78" spans="2:9" collapsed="1"/>
    <row r="79" spans="2:9" ht="15" hidden="1" customHeight="1" outlineLevel="1">
      <c r="B79" s="478"/>
      <c r="C79" s="478"/>
      <c r="D79" s="478"/>
      <c r="E79" s="478"/>
      <c r="F79" s="478"/>
      <c r="G79" s="478"/>
      <c r="H79" s="478"/>
      <c r="I79" s="478"/>
    </row>
    <row r="80" spans="2:9" ht="15" hidden="1" customHeight="1" outlineLevel="1">
      <c r="B80" s="468"/>
      <c r="C80" s="468"/>
      <c r="D80" s="468"/>
      <c r="E80" s="468"/>
      <c r="F80" s="468"/>
      <c r="G80" s="468"/>
      <c r="H80" s="468"/>
      <c r="I80" s="468"/>
    </row>
    <row r="81" spans="2:9" ht="14.25" hidden="1" customHeight="1" outlineLevel="1">
      <c r="B81" s="468"/>
      <c r="C81" s="468"/>
      <c r="D81" s="468"/>
      <c r="E81" s="468"/>
      <c r="F81" s="468"/>
      <c r="G81" s="468"/>
      <c r="H81" s="468"/>
      <c r="I81" s="468"/>
    </row>
    <row r="82" spans="2:9" ht="14.25" hidden="1" customHeight="1" outlineLevel="1">
      <c r="B82" s="468"/>
      <c r="C82" s="468"/>
      <c r="D82" s="468"/>
      <c r="E82" s="468"/>
      <c r="F82" s="468"/>
      <c r="G82" s="468"/>
      <c r="H82" s="468"/>
      <c r="I82" s="468"/>
    </row>
    <row r="83" spans="2:9" ht="14.25" hidden="1" customHeight="1" outlineLevel="1">
      <c r="B83" s="468"/>
      <c r="C83" s="468"/>
      <c r="D83" s="468"/>
      <c r="E83" s="468"/>
      <c r="F83" s="468"/>
      <c r="G83" s="468"/>
      <c r="H83" s="468"/>
      <c r="I83" s="468"/>
    </row>
    <row r="84" spans="2:9" ht="15" hidden="1" customHeight="1" outlineLevel="1">
      <c r="B84" s="468"/>
      <c r="C84" s="468"/>
      <c r="D84" s="468"/>
      <c r="E84" s="468"/>
      <c r="F84" s="468"/>
      <c r="G84" s="468"/>
      <c r="H84" s="468"/>
      <c r="I84" s="468"/>
    </row>
    <row r="85" spans="2:9" ht="14.25" hidden="1" customHeight="1" outlineLevel="1">
      <c r="B85" s="468"/>
      <c r="C85" s="468"/>
      <c r="D85" s="468"/>
      <c r="E85" s="468"/>
      <c r="F85" s="468"/>
      <c r="G85" s="468"/>
      <c r="H85" s="468"/>
      <c r="I85" s="468"/>
    </row>
    <row r="86" spans="2:9" ht="15" hidden="1" outlineLevel="1">
      <c r="B86" s="468"/>
      <c r="C86" s="463"/>
      <c r="D86" s="463"/>
      <c r="E86" s="463"/>
      <c r="F86" s="463"/>
      <c r="G86" s="463"/>
      <c r="H86" s="463"/>
      <c r="I86" s="463"/>
    </row>
    <row r="87" spans="2:9" ht="15" hidden="1" outlineLevel="1">
      <c r="B87" s="480"/>
      <c r="C87" s="463"/>
      <c r="D87" s="463"/>
      <c r="E87" s="463"/>
      <c r="F87" s="463"/>
      <c r="G87" s="463"/>
      <c r="H87" s="463"/>
      <c r="I87" s="463"/>
    </row>
    <row r="88" spans="2:9" collapsed="1"/>
    <row r="122" spans="2:9" ht="35.25" customHeight="1">
      <c r="B122" s="1235"/>
      <c r="C122" s="1235"/>
      <c r="D122" s="1235"/>
    </row>
    <row r="127" spans="2:9" ht="15" customHeight="1">
      <c r="B127" s="482"/>
      <c r="C127" s="1236"/>
      <c r="D127" s="483"/>
      <c r="E127" s="483"/>
      <c r="F127" s="483"/>
      <c r="G127" s="483"/>
      <c r="H127" s="483"/>
      <c r="I127" s="483"/>
    </row>
    <row r="128" spans="2:9" ht="15">
      <c r="B128" s="484"/>
      <c r="C128" s="1236"/>
      <c r="D128" s="483"/>
      <c r="E128" s="483"/>
      <c r="F128" s="483"/>
      <c r="G128" s="483"/>
      <c r="H128" s="483"/>
      <c r="I128" s="483"/>
    </row>
  </sheetData>
  <mergeCells count="3">
    <mergeCell ref="C66:C67"/>
    <mergeCell ref="B122:D122"/>
    <mergeCell ref="C127:C128"/>
  </mergeCells>
  <printOptions horizontalCentered="1" verticalCentered="1"/>
  <pageMargins left="0.35433070866141736" right="0.31496062992125984" top="0.31496062992125984" bottom="0.35433070866141736"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H54"/>
  <sheetViews>
    <sheetView topLeftCell="B1" zoomScale="130" zoomScaleNormal="130" workbookViewId="0">
      <pane xSplit="2" ySplit="3" topLeftCell="AO4" activePane="bottomRight" state="frozen"/>
      <selection activeCell="B1" sqref="B1"/>
      <selection pane="topRight" activeCell="D1" sqref="D1"/>
      <selection pane="bottomLeft" activeCell="B4" sqref="B4"/>
      <selection pane="bottomRight" activeCell="AP12" sqref="AP12"/>
    </sheetView>
  </sheetViews>
  <sheetFormatPr defaultRowHeight="15"/>
  <cols>
    <col min="1" max="1" width="5.85546875" customWidth="1"/>
    <col min="2" max="2" width="3.85546875" customWidth="1"/>
    <col min="3" max="3" width="17.7109375" bestFit="1" customWidth="1"/>
    <col min="4" max="15" width="8.85546875" bestFit="1" customWidth="1"/>
    <col min="16" max="16" width="16.28515625" bestFit="1" customWidth="1"/>
    <col min="17" max="28" width="12" bestFit="1" customWidth="1"/>
    <col min="29" max="29" width="9.85546875" style="345" bestFit="1" customWidth="1"/>
    <col min="30" max="41" width="8.85546875" bestFit="1" customWidth="1"/>
    <col min="42" max="42" width="9.85546875" bestFit="1" customWidth="1"/>
    <col min="43" max="54" width="8.85546875" bestFit="1" customWidth="1"/>
    <col min="55" max="55" width="9.85546875" bestFit="1" customWidth="1"/>
    <col min="56" max="67" width="8.85546875" bestFit="1" customWidth="1"/>
    <col min="68" max="68" width="9.85546875" bestFit="1" customWidth="1"/>
    <col min="69" max="80" width="8.7109375" bestFit="1" customWidth="1"/>
    <col min="81" max="81" width="9.7109375" bestFit="1" customWidth="1"/>
    <col min="82" max="82" width="12.42578125" bestFit="1" customWidth="1"/>
  </cols>
  <sheetData>
    <row r="2" spans="1:86" s="410" customFormat="1" ht="12.75">
      <c r="D2" s="410">
        <v>1</v>
      </c>
      <c r="E2" s="410">
        <f>D2+1</f>
        <v>2</v>
      </c>
      <c r="F2" s="410">
        <f t="shared" ref="F2:O2" si="0">E2+1</f>
        <v>3</v>
      </c>
      <c r="G2" s="410">
        <f t="shared" si="0"/>
        <v>4</v>
      </c>
      <c r="H2" s="410">
        <f t="shared" si="0"/>
        <v>5</v>
      </c>
      <c r="I2" s="410">
        <f t="shared" si="0"/>
        <v>6</v>
      </c>
      <c r="J2" s="410">
        <f t="shared" si="0"/>
        <v>7</v>
      </c>
      <c r="K2" s="410">
        <f t="shared" si="0"/>
        <v>8</v>
      </c>
      <c r="L2" s="410">
        <f t="shared" si="0"/>
        <v>9</v>
      </c>
      <c r="M2" s="410">
        <f t="shared" si="0"/>
        <v>10</v>
      </c>
      <c r="N2" s="410">
        <f t="shared" si="0"/>
        <v>11</v>
      </c>
      <c r="O2" s="410">
        <f t="shared" si="0"/>
        <v>12</v>
      </c>
      <c r="Q2" s="410">
        <v>1</v>
      </c>
      <c r="R2" s="410">
        <f>+Q2+1</f>
        <v>2</v>
      </c>
      <c r="S2" s="410">
        <f t="shared" ref="S2:AB2" si="1">+R2+1</f>
        <v>3</v>
      </c>
      <c r="T2" s="410">
        <f t="shared" si="1"/>
        <v>4</v>
      </c>
      <c r="U2" s="410">
        <f t="shared" si="1"/>
        <v>5</v>
      </c>
      <c r="V2" s="410">
        <f t="shared" si="1"/>
        <v>6</v>
      </c>
      <c r="W2" s="410">
        <f t="shared" si="1"/>
        <v>7</v>
      </c>
      <c r="X2" s="410">
        <f t="shared" si="1"/>
        <v>8</v>
      </c>
      <c r="Y2" s="410">
        <f t="shared" si="1"/>
        <v>9</v>
      </c>
      <c r="Z2" s="410">
        <f t="shared" si="1"/>
        <v>10</v>
      </c>
      <c r="AA2" s="410">
        <f t="shared" si="1"/>
        <v>11</v>
      </c>
      <c r="AB2" s="410">
        <f t="shared" si="1"/>
        <v>12</v>
      </c>
      <c r="AD2" s="410">
        <v>1</v>
      </c>
      <c r="AE2" s="410">
        <f>AD2+1</f>
        <v>2</v>
      </c>
      <c r="AF2" s="410">
        <f t="shared" ref="AF2:AO2" si="2">AE2+1</f>
        <v>3</v>
      </c>
      <c r="AG2" s="410">
        <f t="shared" si="2"/>
        <v>4</v>
      </c>
      <c r="AH2" s="410">
        <f t="shared" si="2"/>
        <v>5</v>
      </c>
      <c r="AI2" s="410">
        <f t="shared" si="2"/>
        <v>6</v>
      </c>
      <c r="AJ2" s="410">
        <f t="shared" si="2"/>
        <v>7</v>
      </c>
      <c r="AK2" s="410">
        <f>AJ2+1</f>
        <v>8</v>
      </c>
      <c r="AL2" s="410">
        <f t="shared" si="2"/>
        <v>9</v>
      </c>
      <c r="AM2" s="410">
        <f t="shared" si="2"/>
        <v>10</v>
      </c>
      <c r="AN2" s="410">
        <f t="shared" si="2"/>
        <v>11</v>
      </c>
      <c r="AO2" s="410">
        <f t="shared" si="2"/>
        <v>12</v>
      </c>
      <c r="AQ2" s="410">
        <v>1</v>
      </c>
      <c r="AR2" s="410">
        <f>AQ2+1</f>
        <v>2</v>
      </c>
      <c r="AS2" s="410">
        <f t="shared" ref="AS2:BB2" si="3">AR2+1</f>
        <v>3</v>
      </c>
      <c r="AT2" s="410">
        <f t="shared" si="3"/>
        <v>4</v>
      </c>
      <c r="AU2" s="410">
        <f t="shared" si="3"/>
        <v>5</v>
      </c>
      <c r="AV2" s="410">
        <f t="shared" si="3"/>
        <v>6</v>
      </c>
      <c r="AW2" s="410">
        <f t="shared" si="3"/>
        <v>7</v>
      </c>
      <c r="AX2" s="410">
        <f t="shared" si="3"/>
        <v>8</v>
      </c>
      <c r="AY2" s="410">
        <f t="shared" si="3"/>
        <v>9</v>
      </c>
      <c r="AZ2" s="410">
        <f t="shared" si="3"/>
        <v>10</v>
      </c>
      <c r="BA2" s="410">
        <f t="shared" si="3"/>
        <v>11</v>
      </c>
      <c r="BB2" s="410">
        <f t="shared" si="3"/>
        <v>12</v>
      </c>
      <c r="BP2" s="958"/>
      <c r="CC2" s="958"/>
      <c r="CD2" s="410" t="s">
        <v>447</v>
      </c>
    </row>
    <row r="3" spans="1:86" s="411" customFormat="1" ht="25.5">
      <c r="D3" s="412"/>
      <c r="E3" s="412"/>
      <c r="F3" s="412"/>
      <c r="G3" s="412"/>
      <c r="H3" s="412"/>
      <c r="I3" s="412"/>
      <c r="J3" s="412"/>
      <c r="K3" s="412"/>
      <c r="L3" s="412"/>
      <c r="M3" s="412"/>
      <c r="N3" s="412"/>
      <c r="O3" s="412"/>
      <c r="P3" s="413"/>
      <c r="Q3" s="412"/>
      <c r="R3" s="412"/>
      <c r="S3" s="412"/>
      <c r="T3" s="412"/>
      <c r="U3" s="412"/>
      <c r="V3" s="412"/>
      <c r="W3" s="412"/>
      <c r="X3" s="412"/>
      <c r="Y3" s="412"/>
      <c r="Z3" s="412"/>
      <c r="AA3" s="412"/>
      <c r="AB3" s="412"/>
      <c r="AC3" s="414"/>
      <c r="AD3" s="412"/>
      <c r="AE3" s="412"/>
      <c r="AF3" s="412"/>
      <c r="AG3" s="412"/>
      <c r="AH3" s="412"/>
      <c r="AI3" s="412"/>
      <c r="AJ3" s="412"/>
      <c r="AK3" s="412"/>
      <c r="AL3" s="412"/>
      <c r="AM3" s="412"/>
      <c r="AN3" s="412"/>
      <c r="AO3" s="412"/>
      <c r="AP3" s="414"/>
      <c r="AQ3" s="412">
        <v>44652</v>
      </c>
      <c r="AR3" s="412">
        <v>44682</v>
      </c>
      <c r="AS3" s="412">
        <v>44713</v>
      </c>
      <c r="AT3" s="412">
        <v>44743</v>
      </c>
      <c r="AU3" s="412">
        <v>44774</v>
      </c>
      <c r="AV3" s="412">
        <v>44805</v>
      </c>
      <c r="AW3" s="412">
        <v>44835</v>
      </c>
      <c r="AX3" s="412">
        <v>44866</v>
      </c>
      <c r="AY3" s="412">
        <v>44896</v>
      </c>
      <c r="AZ3" s="412">
        <v>44927</v>
      </c>
      <c r="BA3" s="412">
        <v>44958</v>
      </c>
      <c r="BB3" s="412">
        <v>44986</v>
      </c>
      <c r="BC3" s="414" t="s">
        <v>448</v>
      </c>
      <c r="BD3" s="412">
        <v>45017</v>
      </c>
      <c r="BE3" s="412">
        <v>45047</v>
      </c>
      <c r="BF3" s="412">
        <v>45078</v>
      </c>
      <c r="BG3" s="412">
        <v>45108</v>
      </c>
      <c r="BH3" s="412">
        <v>45139</v>
      </c>
      <c r="BI3" s="412">
        <v>45170</v>
      </c>
      <c r="BJ3" s="412">
        <v>45200</v>
      </c>
      <c r="BK3" s="412">
        <v>45231</v>
      </c>
      <c r="BL3" s="412">
        <v>45261</v>
      </c>
      <c r="BM3" s="412">
        <v>45292</v>
      </c>
      <c r="BN3" s="412">
        <v>45323</v>
      </c>
      <c r="BO3" s="412">
        <v>45352</v>
      </c>
      <c r="BP3" s="414" t="s">
        <v>477</v>
      </c>
      <c r="BQ3" s="412">
        <v>45383</v>
      </c>
      <c r="BR3" s="412">
        <v>45413</v>
      </c>
      <c r="BS3" s="412">
        <v>45444</v>
      </c>
      <c r="BT3" s="412">
        <v>45474</v>
      </c>
      <c r="BU3" s="412">
        <v>45505</v>
      </c>
      <c r="BV3" s="412">
        <v>45536</v>
      </c>
      <c r="BW3" s="412">
        <v>45566</v>
      </c>
      <c r="BX3" s="412">
        <v>45597</v>
      </c>
      <c r="BY3" s="412">
        <v>45627</v>
      </c>
      <c r="BZ3" s="412">
        <v>45658</v>
      </c>
      <c r="CA3" s="412">
        <v>45689</v>
      </c>
      <c r="CB3" s="412">
        <v>45717</v>
      </c>
      <c r="CC3" s="414" t="s">
        <v>620</v>
      </c>
      <c r="CD3" s="411" t="s">
        <v>621</v>
      </c>
    </row>
    <row r="4" spans="1:86" s="411" customFormat="1" ht="12.75">
      <c r="C4" s="415" t="s">
        <v>449</v>
      </c>
      <c r="D4" s="412"/>
      <c r="E4" s="412"/>
      <c r="F4" s="412"/>
      <c r="G4" s="412"/>
      <c r="H4" s="412"/>
      <c r="I4" s="412"/>
      <c r="J4" s="412"/>
      <c r="K4" s="412"/>
      <c r="L4" s="412"/>
      <c r="M4" s="412"/>
      <c r="N4" s="412"/>
      <c r="O4" s="412"/>
      <c r="P4" s="410"/>
      <c r="Q4" s="416"/>
      <c r="R4" s="416"/>
      <c r="S4" s="416"/>
      <c r="T4" s="416"/>
      <c r="U4" s="416"/>
      <c r="V4" s="416"/>
      <c r="W4" s="416"/>
      <c r="AI4" s="417"/>
      <c r="AJ4" s="417"/>
    </row>
    <row r="5" spans="1:86" s="418" customFormat="1" ht="12.75">
      <c r="C5" s="418" t="s">
        <v>14</v>
      </c>
      <c r="D5" s="419"/>
      <c r="E5" s="419"/>
      <c r="F5" s="419"/>
      <c r="G5" s="419"/>
      <c r="H5" s="419"/>
      <c r="I5" s="419"/>
      <c r="J5" s="419"/>
      <c r="K5" s="420"/>
      <c r="L5" s="420"/>
      <c r="M5" s="420"/>
      <c r="N5" s="420"/>
      <c r="O5" s="420"/>
      <c r="P5" s="421"/>
      <c r="Q5" s="419"/>
      <c r="R5" s="419"/>
      <c r="S5" s="419"/>
      <c r="T5" s="419"/>
      <c r="U5" s="419"/>
      <c r="V5" s="419"/>
      <c r="W5" s="419"/>
      <c r="X5" s="419"/>
      <c r="Y5" s="419"/>
      <c r="Z5" s="419"/>
      <c r="AA5" s="419"/>
      <c r="AB5" s="419"/>
      <c r="AC5" s="428"/>
      <c r="AD5" s="419"/>
      <c r="AE5" s="419"/>
      <c r="AF5" s="419"/>
      <c r="AG5" s="419"/>
      <c r="AH5" s="419"/>
      <c r="AI5" s="1068"/>
      <c r="AJ5" s="1068"/>
      <c r="AK5" s="419"/>
      <c r="AL5" s="419"/>
      <c r="AM5" s="433"/>
      <c r="AN5" s="433"/>
      <c r="AO5" s="433"/>
      <c r="AP5" s="428"/>
      <c r="AQ5" s="419">
        <v>29.61</v>
      </c>
      <c r="AR5" s="420">
        <v>31</v>
      </c>
      <c r="AS5" s="420">
        <v>30</v>
      </c>
      <c r="AT5" s="420">
        <v>31</v>
      </c>
      <c r="AU5" s="420">
        <v>18</v>
      </c>
      <c r="AV5" s="420">
        <v>30</v>
      </c>
      <c r="AW5" s="420">
        <v>5</v>
      </c>
      <c r="AX5" s="420">
        <v>30</v>
      </c>
      <c r="AY5" s="420">
        <v>31</v>
      </c>
      <c r="AZ5" s="420">
        <v>5</v>
      </c>
      <c r="BA5" s="420">
        <v>28</v>
      </c>
      <c r="BB5" s="420">
        <v>31</v>
      </c>
      <c r="BC5" s="422">
        <f>SUM(AQ5:BB5)</f>
        <v>299.61</v>
      </c>
      <c r="BD5" s="420">
        <v>30</v>
      </c>
      <c r="BE5" s="420">
        <v>5</v>
      </c>
      <c r="BF5" s="420">
        <v>30</v>
      </c>
      <c r="BG5" s="420">
        <v>31</v>
      </c>
      <c r="BH5" s="420">
        <v>5</v>
      </c>
      <c r="BI5" s="420">
        <v>30</v>
      </c>
      <c r="BJ5" s="420">
        <v>31</v>
      </c>
      <c r="BK5" s="420">
        <v>30</v>
      </c>
      <c r="BL5" s="420">
        <v>17</v>
      </c>
      <c r="BM5" s="420">
        <v>31</v>
      </c>
      <c r="BN5" s="420">
        <v>29</v>
      </c>
      <c r="BO5" s="420">
        <v>31</v>
      </c>
      <c r="BP5" s="422">
        <f>SUM(BD5:BO5)</f>
        <v>300</v>
      </c>
      <c r="BQ5" s="420">
        <v>25</v>
      </c>
      <c r="BR5" s="420">
        <v>20</v>
      </c>
      <c r="BS5" s="420">
        <v>11</v>
      </c>
      <c r="BT5" s="420">
        <v>31</v>
      </c>
      <c r="BU5" s="420">
        <v>31</v>
      </c>
      <c r="BV5" s="420">
        <v>30</v>
      </c>
      <c r="BW5" s="420">
        <v>31</v>
      </c>
      <c r="BX5" s="420">
        <v>25</v>
      </c>
      <c r="BY5" s="420">
        <v>31</v>
      </c>
      <c r="BZ5" s="420">
        <v>31</v>
      </c>
      <c r="CA5" s="420">
        <v>28</v>
      </c>
      <c r="CB5" s="420">
        <v>31</v>
      </c>
      <c r="CC5" s="422">
        <f>SUM(BQ5:CB5)</f>
        <v>325</v>
      </c>
      <c r="CD5" s="420">
        <v>330</v>
      </c>
      <c r="CE5" s="420"/>
      <c r="CF5" s="420"/>
      <c r="CG5" s="420"/>
      <c r="CH5" s="420"/>
    </row>
    <row r="6" spans="1:86" s="418" customFormat="1" ht="12.75">
      <c r="C6" s="418" t="s">
        <v>11</v>
      </c>
      <c r="D6" s="419"/>
      <c r="E6" s="419"/>
      <c r="F6" s="419"/>
      <c r="G6" s="419"/>
      <c r="H6" s="419"/>
      <c r="I6" s="419"/>
      <c r="J6" s="419"/>
      <c r="K6" s="420"/>
      <c r="L6" s="420"/>
      <c r="M6" s="420"/>
      <c r="N6" s="420"/>
      <c r="O6" s="420"/>
      <c r="P6" s="420"/>
      <c r="Q6" s="419"/>
      <c r="R6" s="419"/>
      <c r="S6" s="419"/>
      <c r="T6" s="419"/>
      <c r="U6" s="419"/>
      <c r="V6" s="419"/>
      <c r="W6" s="419"/>
      <c r="X6" s="419"/>
      <c r="Y6" s="419"/>
      <c r="Z6" s="419"/>
      <c r="AA6" s="419"/>
      <c r="AB6" s="419"/>
      <c r="AC6" s="428"/>
      <c r="AD6" s="419"/>
      <c r="AE6" s="419"/>
      <c r="AF6" s="419"/>
      <c r="AG6" s="419"/>
      <c r="AH6" s="419"/>
      <c r="AI6" s="419"/>
      <c r="AJ6" s="419"/>
      <c r="AK6" s="419"/>
      <c r="AL6" s="419"/>
      <c r="AM6" s="419"/>
      <c r="AN6" s="419"/>
      <c r="AO6" s="419"/>
      <c r="AP6" s="428"/>
      <c r="AQ6" s="419">
        <f>AQ7/AQ5</f>
        <v>2208.7808172914556</v>
      </c>
      <c r="AR6" s="423">
        <v>2200</v>
      </c>
      <c r="AS6" s="423">
        <v>2200</v>
      </c>
      <c r="AT6" s="423">
        <v>2200</v>
      </c>
      <c r="AU6" s="423">
        <v>2200</v>
      </c>
      <c r="AV6" s="423">
        <v>2200</v>
      </c>
      <c r="AW6" s="423">
        <v>2200</v>
      </c>
      <c r="AX6" s="423">
        <v>2200</v>
      </c>
      <c r="AY6" s="423">
        <v>2200</v>
      </c>
      <c r="AZ6" s="423">
        <v>2200</v>
      </c>
      <c r="BA6" s="423">
        <v>2200</v>
      </c>
      <c r="BB6" s="423">
        <v>2200</v>
      </c>
      <c r="BC6" s="422"/>
      <c r="BD6" s="423">
        <v>2200</v>
      </c>
      <c r="BE6" s="423">
        <v>2200</v>
      </c>
      <c r="BF6" s="423">
        <v>2200</v>
      </c>
      <c r="BG6" s="423">
        <v>2200</v>
      </c>
      <c r="BH6" s="423">
        <v>2200</v>
      </c>
      <c r="BI6" s="423">
        <v>2200</v>
      </c>
      <c r="BJ6" s="423">
        <v>2200</v>
      </c>
      <c r="BK6" s="423">
        <v>2200</v>
      </c>
      <c r="BL6" s="423">
        <v>2200</v>
      </c>
      <c r="BM6" s="423">
        <v>2200</v>
      </c>
      <c r="BN6" s="423">
        <v>2200</v>
      </c>
      <c r="BO6" s="423">
        <v>2200</v>
      </c>
      <c r="BP6" s="422"/>
      <c r="BQ6" s="423">
        <v>2200</v>
      </c>
      <c r="BR6" s="423">
        <v>2200</v>
      </c>
      <c r="BS6" s="423">
        <v>2200</v>
      </c>
      <c r="BT6" s="423">
        <v>2200</v>
      </c>
      <c r="BU6" s="423">
        <v>2200</v>
      </c>
      <c r="BV6" s="423">
        <v>2200</v>
      </c>
      <c r="BW6" s="423">
        <v>2200</v>
      </c>
      <c r="BX6" s="423">
        <v>2200</v>
      </c>
      <c r="BY6" s="423">
        <v>2200</v>
      </c>
      <c r="BZ6" s="423">
        <v>2200</v>
      </c>
      <c r="CA6" s="423">
        <v>2200</v>
      </c>
      <c r="CB6" s="423">
        <v>2200</v>
      </c>
      <c r="CC6" s="422"/>
      <c r="CD6" s="420">
        <v>2325</v>
      </c>
      <c r="CE6" s="420"/>
      <c r="CF6" s="420"/>
      <c r="CG6" s="420"/>
      <c r="CH6" s="420"/>
    </row>
    <row r="7" spans="1:86" s="418" customFormat="1" ht="12.75">
      <c r="C7" s="418" t="s">
        <v>8</v>
      </c>
      <c r="D7" s="419"/>
      <c r="E7" s="419"/>
      <c r="F7" s="419"/>
      <c r="G7" s="419"/>
      <c r="H7" s="419"/>
      <c r="I7" s="419"/>
      <c r="J7" s="419"/>
      <c r="K7" s="420"/>
      <c r="L7" s="420"/>
      <c r="M7" s="420"/>
      <c r="N7" s="420"/>
      <c r="O7" s="420"/>
      <c r="P7" s="421"/>
      <c r="Q7" s="419"/>
      <c r="R7" s="419"/>
      <c r="S7" s="419"/>
      <c r="T7" s="419"/>
      <c r="U7" s="419"/>
      <c r="V7" s="419"/>
      <c r="W7" s="419"/>
      <c r="X7" s="419"/>
      <c r="Y7" s="419"/>
      <c r="Z7" s="419"/>
      <c r="AA7" s="419"/>
      <c r="AB7" s="419"/>
      <c r="AC7" s="428"/>
      <c r="AD7" s="419"/>
      <c r="AE7" s="419"/>
      <c r="AF7" s="419"/>
      <c r="AG7" s="419"/>
      <c r="AH7" s="419"/>
      <c r="AI7" s="419"/>
      <c r="AJ7" s="419"/>
      <c r="AK7" s="419"/>
      <c r="AL7" s="419"/>
      <c r="AM7" s="433"/>
      <c r="AN7" s="433"/>
      <c r="AO7" s="433"/>
      <c r="AP7" s="428"/>
      <c r="AQ7" s="419">
        <v>65402</v>
      </c>
      <c r="AR7" s="420">
        <f t="shared" ref="AR7:BB7" si="4">AR5*AR6</f>
        <v>68200</v>
      </c>
      <c r="AS7" s="420">
        <f t="shared" si="4"/>
        <v>66000</v>
      </c>
      <c r="AT7" s="420">
        <f t="shared" si="4"/>
        <v>68200</v>
      </c>
      <c r="AU7" s="420">
        <f t="shared" si="4"/>
        <v>39600</v>
      </c>
      <c r="AV7" s="420">
        <f t="shared" si="4"/>
        <v>66000</v>
      </c>
      <c r="AW7" s="420">
        <f t="shared" si="4"/>
        <v>11000</v>
      </c>
      <c r="AX7" s="420">
        <f t="shared" si="4"/>
        <v>66000</v>
      </c>
      <c r="AY7" s="420">
        <f t="shared" si="4"/>
        <v>68200</v>
      </c>
      <c r="AZ7" s="420">
        <f t="shared" si="4"/>
        <v>11000</v>
      </c>
      <c r="BA7" s="420">
        <f t="shared" si="4"/>
        <v>61600</v>
      </c>
      <c r="BB7" s="420">
        <f t="shared" si="4"/>
        <v>68200</v>
      </c>
      <c r="BC7" s="422">
        <f>SUM(AQ7:BB7)</f>
        <v>659402</v>
      </c>
      <c r="BD7" s="420">
        <f>BD5*BD6</f>
        <v>66000</v>
      </c>
      <c r="BE7" s="420">
        <f t="shared" ref="BE7:BO7" si="5">BE5*BE6</f>
        <v>11000</v>
      </c>
      <c r="BF7" s="420">
        <f t="shared" si="5"/>
        <v>66000</v>
      </c>
      <c r="BG7" s="420">
        <f t="shared" si="5"/>
        <v>68200</v>
      </c>
      <c r="BH7" s="420">
        <f t="shared" si="5"/>
        <v>11000</v>
      </c>
      <c r="BI7" s="420">
        <f t="shared" si="5"/>
        <v>66000</v>
      </c>
      <c r="BJ7" s="420">
        <f t="shared" si="5"/>
        <v>68200</v>
      </c>
      <c r="BK7" s="420">
        <f t="shared" si="5"/>
        <v>66000</v>
      </c>
      <c r="BL7" s="420">
        <f t="shared" si="5"/>
        <v>37400</v>
      </c>
      <c r="BM7" s="420">
        <f t="shared" si="5"/>
        <v>68200</v>
      </c>
      <c r="BN7" s="420">
        <f t="shared" si="5"/>
        <v>63800</v>
      </c>
      <c r="BO7" s="420">
        <f t="shared" si="5"/>
        <v>68200</v>
      </c>
      <c r="BP7" s="422">
        <f>SUM(BD7:BO7)</f>
        <v>660000</v>
      </c>
      <c r="BQ7" s="420">
        <f t="shared" ref="BQ7:BS7" si="6">BQ5*BQ6</f>
        <v>55000</v>
      </c>
      <c r="BR7" s="420">
        <f t="shared" si="6"/>
        <v>44000</v>
      </c>
      <c r="BS7" s="420">
        <f t="shared" si="6"/>
        <v>24200</v>
      </c>
      <c r="BT7" s="420">
        <f t="shared" ref="BT7:CB7" si="7">BT5*BT6</f>
        <v>68200</v>
      </c>
      <c r="BU7" s="420">
        <f t="shared" si="7"/>
        <v>68200</v>
      </c>
      <c r="BV7" s="420">
        <f t="shared" si="7"/>
        <v>66000</v>
      </c>
      <c r="BW7" s="420">
        <f t="shared" si="7"/>
        <v>68200</v>
      </c>
      <c r="BX7" s="420">
        <f t="shared" si="7"/>
        <v>55000</v>
      </c>
      <c r="BY7" s="420">
        <f t="shared" si="7"/>
        <v>68200</v>
      </c>
      <c r="BZ7" s="420">
        <f t="shared" si="7"/>
        <v>68200</v>
      </c>
      <c r="CA7" s="420">
        <f t="shared" si="7"/>
        <v>61600</v>
      </c>
      <c r="CB7" s="420">
        <f t="shared" si="7"/>
        <v>68200</v>
      </c>
      <c r="CC7" s="422">
        <f>SUM(BQ7:CB7)</f>
        <v>715000</v>
      </c>
      <c r="CD7" s="420">
        <f>CD5*CD6</f>
        <v>767250</v>
      </c>
      <c r="CE7" s="420"/>
      <c r="CF7" s="420"/>
      <c r="CG7" s="420"/>
      <c r="CH7" s="420"/>
    </row>
    <row r="8" spans="1:86" s="1078" customFormat="1" ht="12.75">
      <c r="A8" s="424"/>
      <c r="B8" s="424"/>
      <c r="C8" s="425" t="s">
        <v>450</v>
      </c>
      <c r="D8" s="424"/>
      <c r="E8" s="424"/>
      <c r="F8" s="424"/>
      <c r="G8" s="424"/>
      <c r="H8" s="424"/>
      <c r="I8" s="424"/>
      <c r="J8" s="424"/>
      <c r="K8" s="424"/>
      <c r="L8" s="424"/>
      <c r="M8" s="424"/>
      <c r="N8" s="426"/>
      <c r="O8" s="424"/>
      <c r="P8" s="419"/>
      <c r="Q8" s="427"/>
      <c r="R8" s="427"/>
      <c r="S8" s="427"/>
      <c r="T8" s="427"/>
      <c r="U8" s="427"/>
      <c r="V8" s="427"/>
      <c r="W8" s="427"/>
      <c r="X8" s="427"/>
      <c r="Y8" s="427"/>
      <c r="Z8" s="427"/>
      <c r="AA8" s="427"/>
      <c r="AB8" s="427"/>
      <c r="AC8" s="428"/>
      <c r="AD8" s="424"/>
      <c r="AE8" s="424"/>
      <c r="AF8" s="424"/>
      <c r="AG8" s="424"/>
      <c r="AH8" s="424"/>
      <c r="AI8" s="424"/>
      <c r="AJ8" s="424"/>
      <c r="AK8" s="424"/>
      <c r="AL8" s="424"/>
      <c r="AM8" s="424"/>
      <c r="AN8" s="424"/>
      <c r="AO8" s="424"/>
      <c r="AP8" s="428"/>
      <c r="AQ8" s="424">
        <v>5.7861591160265071</v>
      </c>
      <c r="AR8" s="1078">
        <v>5.85</v>
      </c>
      <c r="AS8" s="1078">
        <v>5.85</v>
      </c>
      <c r="AT8" s="1078">
        <v>5.85</v>
      </c>
      <c r="AU8" s="1078">
        <f>(AU7*5.85+20000)/AU7</f>
        <v>6.3550505050505048</v>
      </c>
      <c r="AV8" s="1078">
        <v>5.85</v>
      </c>
      <c r="AW8" s="1078">
        <f t="shared" ref="AW8:AZ8" si="8">(AW7*5.85+20000)/AW7</f>
        <v>7.668181818181818</v>
      </c>
      <c r="AX8" s="1078">
        <v>5.85</v>
      </c>
      <c r="AY8" s="1078">
        <v>5.85</v>
      </c>
      <c r="AZ8" s="1078">
        <f t="shared" si="8"/>
        <v>7.668181818181818</v>
      </c>
      <c r="BA8" s="1078">
        <v>5.85</v>
      </c>
      <c r="BB8" s="1078">
        <v>5.85</v>
      </c>
      <c r="BC8" s="1077"/>
      <c r="BD8" s="1078">
        <v>5.85</v>
      </c>
      <c r="BE8" s="1078">
        <f t="shared" ref="BE8" si="9">(BE7*5.85+20000)/BE7</f>
        <v>7.668181818181818</v>
      </c>
      <c r="BF8" s="1078">
        <v>5.85</v>
      </c>
      <c r="BG8" s="1078">
        <v>5.85</v>
      </c>
      <c r="BH8" s="1078">
        <f>(BH7*5.85+20000)/BH7</f>
        <v>7.668181818181818</v>
      </c>
      <c r="BI8" s="1078">
        <v>5.85</v>
      </c>
      <c r="BJ8" s="1078">
        <v>5.85</v>
      </c>
      <c r="BK8" s="1078">
        <v>5.85</v>
      </c>
      <c r="BL8" s="1078">
        <f t="shared" ref="BL8" si="10">(BL7*5.85+20000)/BL7</f>
        <v>6.3847593582887701</v>
      </c>
      <c r="BM8" s="1078">
        <v>5.85</v>
      </c>
      <c r="BN8" s="1078">
        <v>5.85</v>
      </c>
      <c r="BO8" s="1078">
        <v>5.85</v>
      </c>
      <c r="BP8" s="1077"/>
      <c r="BQ8" s="1078">
        <f t="shared" ref="BQ8" si="11">(BQ7*5.85+20000)/BQ7</f>
        <v>6.2136363636363638</v>
      </c>
      <c r="BR8" s="1078">
        <f>(BR7*5.85+10000)/BR7</f>
        <v>6.0772727272727272</v>
      </c>
      <c r="BS8" s="1078">
        <f>(BS7*5.41+20000)/BS7</f>
        <v>6.2364462809917356</v>
      </c>
      <c r="BT8" s="1078">
        <v>5.41</v>
      </c>
      <c r="BU8" s="1078">
        <v>5.41</v>
      </c>
      <c r="BV8" s="1078">
        <v>5.41</v>
      </c>
      <c r="BW8" s="1078">
        <v>5.41</v>
      </c>
      <c r="BX8" s="1078">
        <f>(BX7*5.41+20000)/BX7</f>
        <v>5.7736363636363635</v>
      </c>
      <c r="BY8" s="1078">
        <v>5.41</v>
      </c>
      <c r="BZ8" s="1078">
        <v>5.41</v>
      </c>
      <c r="CA8" s="1078">
        <v>5.41</v>
      </c>
      <c r="CB8" s="1078">
        <v>5.41</v>
      </c>
      <c r="CC8" s="1077"/>
      <c r="CD8" s="1076">
        <f>5.41</f>
        <v>5.41</v>
      </c>
      <c r="CE8" s="1075"/>
      <c r="CF8" s="1075"/>
      <c r="CG8" s="1075"/>
      <c r="CH8" s="1075"/>
    </row>
    <row r="9" spans="1:86" s="418" customFormat="1" ht="12.75">
      <c r="C9" s="418" t="s">
        <v>451</v>
      </c>
      <c r="D9" s="420"/>
      <c r="E9" s="420"/>
      <c r="F9" s="420"/>
      <c r="G9" s="420"/>
      <c r="H9" s="420"/>
      <c r="I9" s="420"/>
      <c r="J9" s="420"/>
      <c r="K9" s="420"/>
      <c r="L9" s="420"/>
      <c r="M9" s="420"/>
      <c r="N9" s="420"/>
      <c r="O9" s="420"/>
      <c r="P9" s="421"/>
      <c r="Q9" s="419"/>
      <c r="R9" s="419"/>
      <c r="S9" s="419"/>
      <c r="T9" s="419"/>
      <c r="U9" s="419"/>
      <c r="V9" s="419"/>
      <c r="W9" s="419"/>
      <c r="X9" s="419"/>
      <c r="Y9" s="419"/>
      <c r="Z9" s="419"/>
      <c r="AA9" s="419"/>
      <c r="AB9" s="419"/>
      <c r="AC9" s="428"/>
      <c r="AD9" s="419"/>
      <c r="AE9" s="419"/>
      <c r="AF9" s="419"/>
      <c r="AG9" s="419"/>
      <c r="AH9" s="419"/>
      <c r="AI9" s="419"/>
      <c r="AJ9" s="419"/>
      <c r="AK9" s="419"/>
      <c r="AL9" s="419"/>
      <c r="AM9" s="433"/>
      <c r="AN9" s="433"/>
      <c r="AO9" s="433"/>
      <c r="AP9" s="428"/>
      <c r="AQ9" s="420">
        <f t="shared" ref="AQ9:BB9" si="12">AQ7*AQ8</f>
        <v>378426.37850636564</v>
      </c>
      <c r="AR9" s="420">
        <f t="shared" si="12"/>
        <v>398970</v>
      </c>
      <c r="AS9" s="420">
        <f t="shared" si="12"/>
        <v>386100</v>
      </c>
      <c r="AT9" s="420">
        <f t="shared" si="12"/>
        <v>398970</v>
      </c>
      <c r="AU9" s="420">
        <f t="shared" si="12"/>
        <v>251660</v>
      </c>
      <c r="AV9" s="420">
        <f t="shared" si="12"/>
        <v>386100</v>
      </c>
      <c r="AW9" s="420">
        <f t="shared" si="12"/>
        <v>84350</v>
      </c>
      <c r="AX9" s="420">
        <f t="shared" si="12"/>
        <v>386100</v>
      </c>
      <c r="AY9" s="420">
        <f t="shared" si="12"/>
        <v>398970</v>
      </c>
      <c r="AZ9" s="420">
        <f t="shared" si="12"/>
        <v>84350</v>
      </c>
      <c r="BA9" s="420">
        <f t="shared" si="12"/>
        <v>360360</v>
      </c>
      <c r="BB9" s="420">
        <f t="shared" si="12"/>
        <v>398970</v>
      </c>
      <c r="BC9" s="422">
        <f>SUM(AQ9:BB9)</f>
        <v>3913326.3785063657</v>
      </c>
      <c r="BD9" s="420">
        <f t="shared" ref="BD9:BO9" si="13">BD7*BD8</f>
        <v>386100</v>
      </c>
      <c r="BE9" s="420">
        <f t="shared" si="13"/>
        <v>84350</v>
      </c>
      <c r="BF9" s="420">
        <f t="shared" si="13"/>
        <v>386100</v>
      </c>
      <c r="BG9" s="420">
        <f t="shared" si="13"/>
        <v>398970</v>
      </c>
      <c r="BH9" s="420">
        <f t="shared" si="13"/>
        <v>84350</v>
      </c>
      <c r="BI9" s="420">
        <f t="shared" si="13"/>
        <v>386100</v>
      </c>
      <c r="BJ9" s="420">
        <f t="shared" si="13"/>
        <v>398970</v>
      </c>
      <c r="BK9" s="420">
        <f t="shared" si="13"/>
        <v>386100</v>
      </c>
      <c r="BL9" s="420">
        <f t="shared" si="13"/>
        <v>238790</v>
      </c>
      <c r="BM9" s="420">
        <f t="shared" si="13"/>
        <v>398970</v>
      </c>
      <c r="BN9" s="420">
        <f t="shared" si="13"/>
        <v>373230</v>
      </c>
      <c r="BO9" s="420">
        <f t="shared" si="13"/>
        <v>398970</v>
      </c>
      <c r="BP9" s="422">
        <f>SUM(BD9:BO9)</f>
        <v>3921000</v>
      </c>
      <c r="BQ9" s="420">
        <f t="shared" ref="BQ9:BS9" si="14">BQ7*BQ8</f>
        <v>341750</v>
      </c>
      <c r="BR9" s="420">
        <f t="shared" si="14"/>
        <v>267400</v>
      </c>
      <c r="BS9" s="420">
        <f t="shared" si="14"/>
        <v>150922</v>
      </c>
      <c r="BT9" s="420">
        <f t="shared" ref="BT9:CB9" si="15">BT7*BT8</f>
        <v>368962</v>
      </c>
      <c r="BU9" s="420">
        <f t="shared" si="15"/>
        <v>368962</v>
      </c>
      <c r="BV9" s="420">
        <f t="shared" si="15"/>
        <v>357060</v>
      </c>
      <c r="BW9" s="420">
        <f t="shared" si="15"/>
        <v>368962</v>
      </c>
      <c r="BX9" s="420">
        <f t="shared" si="15"/>
        <v>317550</v>
      </c>
      <c r="BY9" s="420">
        <f t="shared" si="15"/>
        <v>368962</v>
      </c>
      <c r="BZ9" s="420">
        <f t="shared" si="15"/>
        <v>368962</v>
      </c>
      <c r="CA9" s="420">
        <f t="shared" si="15"/>
        <v>333256</v>
      </c>
      <c r="CB9" s="420">
        <f t="shared" si="15"/>
        <v>368962</v>
      </c>
      <c r="CC9" s="422">
        <f>SUM(BQ9:CB9)</f>
        <v>3981710</v>
      </c>
      <c r="CD9" s="1064">
        <f>CD7*CD8</f>
        <v>4150822.5</v>
      </c>
      <c r="CE9" s="420"/>
      <c r="CF9" s="420"/>
      <c r="CG9" s="420"/>
      <c r="CH9" s="420"/>
    </row>
    <row r="10" spans="1:86" s="418" customFormat="1" ht="12.75">
      <c r="A10" s="429"/>
      <c r="B10" s="429"/>
      <c r="C10" s="430" t="s">
        <v>452</v>
      </c>
      <c r="D10" s="429"/>
      <c r="E10" s="429"/>
      <c r="F10" s="429"/>
      <c r="G10" s="429"/>
      <c r="H10" s="429"/>
      <c r="I10" s="429"/>
      <c r="J10" s="429"/>
      <c r="K10" s="429"/>
      <c r="L10" s="429"/>
      <c r="M10" s="429"/>
      <c r="N10" s="429"/>
      <c r="O10" s="429"/>
      <c r="P10" s="431"/>
      <c r="Q10" s="424"/>
      <c r="R10" s="419"/>
      <c r="S10" s="419"/>
      <c r="T10" s="419"/>
      <c r="U10" s="419"/>
      <c r="V10" s="419"/>
      <c r="W10" s="419"/>
      <c r="X10" s="419"/>
      <c r="Y10" s="419"/>
      <c r="Z10" s="419"/>
      <c r="AA10" s="419"/>
      <c r="AB10" s="419"/>
      <c r="AC10" s="1069"/>
      <c r="AD10" s="424"/>
      <c r="AE10" s="419"/>
      <c r="AF10" s="419"/>
      <c r="AG10" s="419"/>
      <c r="AH10" s="419"/>
      <c r="AI10" s="419"/>
      <c r="AJ10" s="419"/>
      <c r="AK10" s="419"/>
      <c r="AL10" s="419"/>
      <c r="AM10" s="433"/>
      <c r="AN10" s="433"/>
      <c r="AO10" s="433"/>
      <c r="AP10" s="1069"/>
      <c r="AQ10" s="432"/>
      <c r="AR10" s="432"/>
      <c r="AS10" s="432"/>
      <c r="AT10" s="432"/>
      <c r="AU10" s="432"/>
      <c r="AV10" s="432"/>
      <c r="AW10" s="432"/>
      <c r="AX10" s="432"/>
      <c r="AY10" s="432"/>
      <c r="AZ10" s="432"/>
      <c r="BA10" s="432"/>
      <c r="BB10" s="420"/>
      <c r="BC10" s="1063">
        <f>BC9/BC7</f>
        <v>5.9346595529075827</v>
      </c>
      <c r="BD10" s="432"/>
      <c r="BE10" s="432"/>
      <c r="BF10" s="432"/>
      <c r="BG10" s="432"/>
      <c r="BH10" s="432"/>
      <c r="BI10" s="432"/>
      <c r="BJ10" s="432"/>
      <c r="BK10" s="432"/>
      <c r="BL10" s="432"/>
      <c r="BM10" s="432"/>
      <c r="BN10" s="432"/>
      <c r="BO10" s="420"/>
      <c r="BP10" s="431">
        <f>BP9/BP7</f>
        <v>5.9409090909090905</v>
      </c>
      <c r="BQ10" s="432"/>
      <c r="BR10" s="432"/>
      <c r="BS10" s="432"/>
      <c r="BT10" s="432"/>
      <c r="BU10" s="432"/>
      <c r="BV10" s="432"/>
      <c r="BW10" s="432"/>
      <c r="BX10" s="432"/>
      <c r="BY10" s="432"/>
      <c r="BZ10" s="432"/>
      <c r="CA10" s="432"/>
      <c r="CB10" s="432"/>
      <c r="CC10" s="431">
        <f>CC9/CC7</f>
        <v>5.5688251748251751</v>
      </c>
      <c r="CD10" s="431"/>
      <c r="CE10" s="420"/>
      <c r="CF10" s="420"/>
      <c r="CG10" s="420"/>
      <c r="CH10" s="420"/>
    </row>
    <row r="11" spans="1:86" s="418" customFormat="1" ht="12.75">
      <c r="D11" s="420"/>
      <c r="E11" s="420"/>
      <c r="F11" s="420"/>
      <c r="G11" s="420"/>
      <c r="H11" s="420"/>
      <c r="I11" s="420"/>
      <c r="J11" s="420"/>
      <c r="K11" s="420"/>
      <c r="L11" s="420"/>
      <c r="M11" s="420"/>
      <c r="N11" s="420"/>
      <c r="O11" s="420"/>
      <c r="P11" s="421"/>
      <c r="Q11" s="419"/>
      <c r="R11" s="419"/>
      <c r="S11" s="419"/>
      <c r="T11" s="419"/>
      <c r="U11" s="419"/>
      <c r="V11" s="419"/>
      <c r="W11" s="419"/>
      <c r="X11" s="419"/>
      <c r="Y11" s="419"/>
      <c r="Z11" s="419"/>
      <c r="AA11" s="419"/>
      <c r="AB11" s="419"/>
      <c r="AC11" s="428"/>
      <c r="AD11" s="419"/>
      <c r="AE11" s="419"/>
      <c r="AF11" s="419"/>
      <c r="AG11" s="419"/>
      <c r="AH11" s="419"/>
      <c r="AI11" s="419"/>
      <c r="AJ11" s="419"/>
      <c r="AK11" s="419"/>
      <c r="AL11" s="419"/>
      <c r="AM11" s="433"/>
      <c r="AN11" s="433"/>
      <c r="AO11" s="433"/>
      <c r="AP11" s="428"/>
      <c r="AQ11" s="420"/>
      <c r="AR11" s="420"/>
      <c r="AS11" s="420"/>
      <c r="AT11" s="420"/>
      <c r="AU11" s="420"/>
      <c r="AV11" s="420"/>
      <c r="AW11" s="420"/>
      <c r="AX11" s="420"/>
      <c r="AY11" s="420"/>
      <c r="AZ11" s="420"/>
      <c r="BA11" s="420"/>
      <c r="BB11" s="420"/>
      <c r="BC11" s="422"/>
      <c r="BD11" s="420"/>
      <c r="BE11" s="420"/>
      <c r="BF11" s="420"/>
      <c r="BG11" s="420"/>
      <c r="BH11" s="420"/>
      <c r="BI11" s="420"/>
      <c r="BJ11" s="420"/>
      <c r="BK11" s="420"/>
      <c r="BL11" s="420"/>
      <c r="BM11" s="420"/>
      <c r="BN11" s="420"/>
      <c r="BO11" s="420"/>
      <c r="BP11" s="422"/>
      <c r="BQ11" s="420"/>
      <c r="BR11" s="420"/>
      <c r="BS11" s="420"/>
      <c r="BT11" s="420"/>
      <c r="BU11" s="420"/>
      <c r="BV11" s="420"/>
      <c r="BW11" s="420"/>
      <c r="BX11" s="420"/>
      <c r="BY11" s="420"/>
      <c r="BZ11" s="420"/>
      <c r="CA11" s="420"/>
      <c r="CB11" s="420"/>
      <c r="CC11" s="422"/>
      <c r="CD11" s="420"/>
      <c r="CE11" s="420"/>
      <c r="CF11" s="420"/>
      <c r="CG11" s="420"/>
      <c r="CH11" s="420"/>
    </row>
    <row r="12" spans="1:86" s="418" customFormat="1" ht="12.75">
      <c r="D12" s="420"/>
      <c r="E12" s="420"/>
      <c r="F12" s="420"/>
      <c r="G12" s="420"/>
      <c r="H12" s="420"/>
      <c r="I12" s="420"/>
      <c r="J12" s="420"/>
      <c r="K12" s="420"/>
      <c r="L12" s="420"/>
      <c r="M12" s="420"/>
      <c r="N12" s="420"/>
      <c r="O12" s="420"/>
      <c r="P12" s="420"/>
      <c r="Q12" s="419"/>
      <c r="R12" s="419"/>
      <c r="S12" s="419"/>
      <c r="T12" s="419"/>
      <c r="U12" s="419"/>
      <c r="V12" s="419"/>
      <c r="W12" s="419"/>
      <c r="X12" s="419"/>
      <c r="Y12" s="419"/>
      <c r="Z12" s="419"/>
      <c r="AA12" s="419"/>
      <c r="AB12" s="419"/>
      <c r="AC12" s="428"/>
      <c r="AD12" s="419"/>
      <c r="AE12" s="419"/>
      <c r="AF12" s="419"/>
      <c r="AG12" s="419"/>
      <c r="AH12" s="419"/>
      <c r="AI12" s="419"/>
      <c r="AJ12" s="419"/>
      <c r="AK12" s="419"/>
      <c r="AL12" s="419"/>
      <c r="AM12" s="433"/>
      <c r="AN12" s="433"/>
      <c r="AO12" s="433"/>
      <c r="AP12" s="428"/>
      <c r="AQ12" s="420"/>
      <c r="AR12" s="420"/>
      <c r="AS12" s="420"/>
      <c r="AT12" s="420"/>
      <c r="AU12" s="420"/>
      <c r="AV12" s="420"/>
      <c r="AW12" s="420"/>
      <c r="AX12" s="420"/>
      <c r="AY12" s="420"/>
      <c r="AZ12" s="420"/>
      <c r="BA12" s="420"/>
      <c r="BB12" s="420"/>
      <c r="BC12" s="422"/>
      <c r="BD12" s="420"/>
      <c r="BE12" s="420"/>
      <c r="BF12" s="420"/>
      <c r="BG12" s="420"/>
      <c r="BH12" s="420"/>
      <c r="BI12" s="420"/>
      <c r="BJ12" s="420"/>
      <c r="BK12" s="420"/>
      <c r="BL12" s="420"/>
      <c r="BM12" s="420"/>
      <c r="BN12" s="420"/>
      <c r="BO12" s="420"/>
      <c r="BP12" s="422"/>
      <c r="BQ12" s="420"/>
      <c r="BR12" s="420"/>
      <c r="BS12" s="420"/>
      <c r="BT12" s="420"/>
      <c r="BU12" s="420"/>
      <c r="BV12" s="420"/>
      <c r="BW12" s="420"/>
      <c r="BX12" s="420"/>
      <c r="BY12" s="420"/>
      <c r="BZ12" s="420"/>
      <c r="CA12" s="420"/>
      <c r="CB12" s="420"/>
      <c r="CC12" s="422"/>
      <c r="CD12" s="420"/>
      <c r="CE12" s="420"/>
      <c r="CF12" s="420"/>
      <c r="CG12" s="420"/>
      <c r="CH12" s="420"/>
    </row>
    <row r="13" spans="1:86" s="418" customFormat="1" ht="12.75">
      <c r="C13" s="415" t="s">
        <v>453</v>
      </c>
      <c r="D13" s="422"/>
      <c r="E13" s="422"/>
      <c r="F13" s="422"/>
      <c r="G13" s="422"/>
      <c r="H13" s="422"/>
      <c r="I13" s="422"/>
      <c r="J13" s="422"/>
      <c r="K13" s="422"/>
      <c r="L13" s="422"/>
      <c r="M13" s="422"/>
      <c r="N13" s="422"/>
      <c r="O13" s="422"/>
      <c r="P13" s="421"/>
      <c r="Q13" s="428"/>
      <c r="R13" s="419"/>
      <c r="S13" s="419"/>
      <c r="T13" s="419"/>
      <c r="U13" s="419"/>
      <c r="V13" s="419"/>
      <c r="W13" s="419"/>
      <c r="X13" s="419"/>
      <c r="Y13" s="419"/>
      <c r="Z13" s="419"/>
      <c r="AA13" s="419"/>
      <c r="AB13" s="419"/>
      <c r="AC13" s="428"/>
      <c r="AD13" s="428"/>
      <c r="AE13" s="419"/>
      <c r="AF13" s="419"/>
      <c r="AG13" s="419"/>
      <c r="AH13" s="419"/>
      <c r="AI13" s="419"/>
      <c r="AJ13" s="419"/>
      <c r="AK13" s="419"/>
      <c r="AL13" s="419"/>
      <c r="AM13" s="433"/>
      <c r="AN13" s="433"/>
      <c r="AO13" s="433"/>
      <c r="AP13" s="428"/>
      <c r="AQ13" s="420"/>
      <c r="AR13" s="420"/>
      <c r="AS13" s="420"/>
      <c r="AT13" s="420"/>
      <c r="AU13" s="420"/>
      <c r="AV13" s="420"/>
      <c r="AW13" s="420"/>
      <c r="AX13" s="420"/>
      <c r="AY13" s="420"/>
      <c r="AZ13" s="420"/>
      <c r="BA13" s="420"/>
      <c r="BB13" s="420"/>
      <c r="BC13" s="422"/>
      <c r="BD13" s="420"/>
      <c r="BE13" s="420"/>
      <c r="BF13" s="420"/>
      <c r="BG13" s="420"/>
      <c r="BH13" s="420"/>
      <c r="BI13" s="420"/>
      <c r="BJ13" s="420"/>
      <c r="BK13" s="420"/>
      <c r="BL13" s="420"/>
      <c r="BM13" s="420"/>
      <c r="BN13" s="420"/>
      <c r="BO13" s="420"/>
      <c r="BP13" s="422"/>
      <c r="BQ13" s="420"/>
      <c r="BR13" s="420"/>
      <c r="BS13" s="420"/>
      <c r="BT13" s="420"/>
      <c r="BU13" s="420"/>
      <c r="BV13" s="420"/>
      <c r="BW13" s="420"/>
      <c r="BX13" s="420"/>
      <c r="BY13" s="420"/>
      <c r="BZ13" s="420"/>
      <c r="CA13" s="420"/>
      <c r="CB13" s="420"/>
      <c r="CC13" s="422"/>
      <c r="CD13" s="420"/>
      <c r="CE13" s="420"/>
      <c r="CF13" s="420"/>
      <c r="CG13" s="420"/>
      <c r="CH13" s="420"/>
    </row>
    <row r="14" spans="1:86" s="418" customFormat="1" ht="12.75">
      <c r="C14" s="418" t="s">
        <v>14</v>
      </c>
      <c r="D14" s="420"/>
      <c r="E14" s="420"/>
      <c r="F14" s="420"/>
      <c r="G14" s="420"/>
      <c r="H14" s="420"/>
      <c r="I14" s="420"/>
      <c r="J14" s="419"/>
      <c r="K14" s="419"/>
      <c r="L14" s="419"/>
      <c r="M14" s="419"/>
      <c r="N14" s="419"/>
      <c r="O14" s="419"/>
      <c r="P14" s="421"/>
      <c r="Q14" s="433"/>
      <c r="R14" s="433"/>
      <c r="S14" s="433"/>
      <c r="T14" s="433"/>
      <c r="U14" s="433"/>
      <c r="V14" s="433"/>
      <c r="W14" s="419"/>
      <c r="X14" s="419"/>
      <c r="Y14" s="419"/>
      <c r="Z14" s="419"/>
      <c r="AA14" s="419"/>
      <c r="AB14" s="419"/>
      <c r="AC14" s="428"/>
      <c r="AD14" s="419"/>
      <c r="AE14" s="419"/>
      <c r="AF14" s="419"/>
      <c r="AG14" s="419"/>
      <c r="AH14" s="419"/>
      <c r="AI14" s="1068"/>
      <c r="AJ14" s="1068"/>
      <c r="AK14" s="419"/>
      <c r="AL14" s="419"/>
      <c r="AM14" s="433"/>
      <c r="AN14" s="433"/>
      <c r="AO14" s="433"/>
      <c r="AP14" s="428"/>
      <c r="AQ14" s="419">
        <v>16.53</v>
      </c>
      <c r="AR14" s="420">
        <v>30</v>
      </c>
      <c r="AS14" s="420">
        <v>30</v>
      </c>
      <c r="AT14" s="420">
        <v>20</v>
      </c>
      <c r="AU14" s="420">
        <v>31</v>
      </c>
      <c r="AV14" s="420">
        <v>30</v>
      </c>
      <c r="AW14" s="420">
        <v>31</v>
      </c>
      <c r="AX14" s="420">
        <v>5</v>
      </c>
      <c r="AY14" s="420">
        <v>31</v>
      </c>
      <c r="AZ14" s="420">
        <v>31</v>
      </c>
      <c r="BA14" s="420">
        <v>13</v>
      </c>
      <c r="BB14" s="420">
        <v>31</v>
      </c>
      <c r="BC14" s="422">
        <f>SUM(AQ14:BB14)</f>
        <v>299.52999999999997</v>
      </c>
      <c r="BD14" s="420">
        <v>5</v>
      </c>
      <c r="BE14" s="420">
        <v>31</v>
      </c>
      <c r="BF14" s="420">
        <v>30</v>
      </c>
      <c r="BG14" s="420">
        <v>16</v>
      </c>
      <c r="BH14" s="420">
        <v>31</v>
      </c>
      <c r="BI14" s="420">
        <v>30</v>
      </c>
      <c r="BJ14" s="420">
        <v>31</v>
      </c>
      <c r="BK14" s="420">
        <v>15</v>
      </c>
      <c r="BL14" s="420">
        <v>31</v>
      </c>
      <c r="BM14" s="420">
        <v>31</v>
      </c>
      <c r="BN14" s="420">
        <v>18</v>
      </c>
      <c r="BO14" s="420">
        <v>31</v>
      </c>
      <c r="BP14" s="422">
        <f>SUM(BD14:BO14)</f>
        <v>300</v>
      </c>
      <c r="BQ14" s="420">
        <v>21</v>
      </c>
      <c r="BR14" s="420">
        <v>10</v>
      </c>
      <c r="BS14" s="420">
        <v>31</v>
      </c>
      <c r="BT14" s="420">
        <v>31</v>
      </c>
      <c r="BU14" s="420">
        <v>31</v>
      </c>
      <c r="BV14" s="420">
        <v>30</v>
      </c>
      <c r="BW14" s="420">
        <v>31</v>
      </c>
      <c r="BX14" s="420">
        <v>30</v>
      </c>
      <c r="BY14" s="420">
        <v>31</v>
      </c>
      <c r="BZ14" s="420">
        <v>31</v>
      </c>
      <c r="CA14" s="420">
        <v>23</v>
      </c>
      <c r="CB14" s="420">
        <v>31</v>
      </c>
      <c r="CC14" s="422">
        <f>SUM(BQ14:CB14)</f>
        <v>331</v>
      </c>
      <c r="CD14" s="420">
        <v>330</v>
      </c>
      <c r="CE14" s="420"/>
      <c r="CF14" s="420"/>
      <c r="CG14" s="420"/>
      <c r="CH14" s="420"/>
    </row>
    <row r="15" spans="1:86" s="418" customFormat="1" ht="12.75">
      <c r="C15" s="418" t="s">
        <v>11</v>
      </c>
      <c r="D15" s="420"/>
      <c r="E15" s="420"/>
      <c r="F15" s="420"/>
      <c r="G15" s="420"/>
      <c r="H15" s="420"/>
      <c r="I15" s="420"/>
      <c r="J15" s="419"/>
      <c r="K15" s="419"/>
      <c r="L15" s="419"/>
      <c r="M15" s="419"/>
      <c r="N15" s="419"/>
      <c r="O15" s="419"/>
      <c r="P15" s="420"/>
      <c r="Q15" s="433"/>
      <c r="R15" s="433"/>
      <c r="S15" s="433"/>
      <c r="T15" s="433"/>
      <c r="U15" s="433"/>
      <c r="V15" s="433"/>
      <c r="W15" s="419"/>
      <c r="X15" s="419"/>
      <c r="Y15" s="419"/>
      <c r="Z15" s="419"/>
      <c r="AA15" s="419"/>
      <c r="AB15" s="419"/>
      <c r="AC15" s="428"/>
      <c r="AD15" s="419"/>
      <c r="AE15" s="419"/>
      <c r="AF15" s="419"/>
      <c r="AG15" s="419"/>
      <c r="AH15" s="419"/>
      <c r="AI15" s="419"/>
      <c r="AJ15" s="419"/>
      <c r="AK15" s="419"/>
      <c r="AL15" s="419"/>
      <c r="AM15" s="419"/>
      <c r="AN15" s="419"/>
      <c r="AO15" s="419"/>
      <c r="AP15" s="428"/>
      <c r="AQ15" s="419">
        <f t="shared" ref="AE15:AQ15" si="16">IFERROR(AQ16/AQ14,0)</f>
        <v>1615.6684815486992</v>
      </c>
      <c r="AR15" s="423">
        <v>2200</v>
      </c>
      <c r="AS15" s="423">
        <v>2200</v>
      </c>
      <c r="AT15" s="423">
        <v>2200</v>
      </c>
      <c r="AU15" s="423">
        <v>2200</v>
      </c>
      <c r="AV15" s="423">
        <v>2200</v>
      </c>
      <c r="AW15" s="423">
        <v>2200</v>
      </c>
      <c r="AX15" s="423">
        <v>2200</v>
      </c>
      <c r="AY15" s="423">
        <v>2200</v>
      </c>
      <c r="AZ15" s="423">
        <v>2200</v>
      </c>
      <c r="BA15" s="423">
        <v>2200</v>
      </c>
      <c r="BB15" s="423">
        <v>2200</v>
      </c>
      <c r="BC15" s="422"/>
      <c r="BD15" s="423">
        <v>2200</v>
      </c>
      <c r="BE15" s="423">
        <v>2200</v>
      </c>
      <c r="BF15" s="423">
        <v>2200</v>
      </c>
      <c r="BG15" s="423">
        <v>2200</v>
      </c>
      <c r="BH15" s="423">
        <v>2200</v>
      </c>
      <c r="BI15" s="423">
        <v>2200</v>
      </c>
      <c r="BJ15" s="423">
        <v>2200</v>
      </c>
      <c r="BK15" s="423">
        <v>2200</v>
      </c>
      <c r="BL15" s="423">
        <v>2200</v>
      </c>
      <c r="BM15" s="423">
        <v>2200</v>
      </c>
      <c r="BN15" s="423">
        <v>2200</v>
      </c>
      <c r="BO15" s="423">
        <v>2200</v>
      </c>
      <c r="BP15" s="422"/>
      <c r="BQ15" s="423">
        <v>2200</v>
      </c>
      <c r="BR15" s="423">
        <v>2200</v>
      </c>
      <c r="BS15" s="423">
        <v>2200</v>
      </c>
      <c r="BT15" s="423">
        <v>2200</v>
      </c>
      <c r="BU15" s="423">
        <v>2200</v>
      </c>
      <c r="BV15" s="423">
        <v>2200</v>
      </c>
      <c r="BW15" s="423">
        <v>2200</v>
      </c>
      <c r="BX15" s="423">
        <v>2200</v>
      </c>
      <c r="BY15" s="423">
        <v>2200</v>
      </c>
      <c r="BZ15" s="423">
        <v>2200</v>
      </c>
      <c r="CA15" s="423">
        <v>2200</v>
      </c>
      <c r="CB15" s="423">
        <v>2200</v>
      </c>
      <c r="CC15" s="422"/>
      <c r="CD15" s="420">
        <v>2281</v>
      </c>
      <c r="CE15" s="420"/>
      <c r="CF15" s="420"/>
      <c r="CG15" s="420"/>
      <c r="CH15" s="420"/>
    </row>
    <row r="16" spans="1:86" s="418" customFormat="1" ht="12.75">
      <c r="C16" s="418" t="s">
        <v>8</v>
      </c>
      <c r="D16" s="420"/>
      <c r="E16" s="420"/>
      <c r="F16" s="420"/>
      <c r="G16" s="420"/>
      <c r="H16" s="420"/>
      <c r="I16" s="420"/>
      <c r="J16" s="419"/>
      <c r="K16" s="419"/>
      <c r="L16" s="419"/>
      <c r="M16" s="419"/>
      <c r="N16" s="419"/>
      <c r="O16" s="419"/>
      <c r="P16" s="421"/>
      <c r="Q16" s="433"/>
      <c r="R16" s="433"/>
      <c r="S16" s="433"/>
      <c r="T16" s="433"/>
      <c r="U16" s="433"/>
      <c r="V16" s="433"/>
      <c r="W16" s="419"/>
      <c r="X16" s="419"/>
      <c r="Y16" s="419"/>
      <c r="Z16" s="419"/>
      <c r="AA16" s="419"/>
      <c r="AB16" s="419"/>
      <c r="AC16" s="428"/>
      <c r="AD16" s="419"/>
      <c r="AE16" s="419"/>
      <c r="AF16" s="419"/>
      <c r="AG16" s="419"/>
      <c r="AH16" s="419"/>
      <c r="AI16" s="419"/>
      <c r="AJ16" s="419"/>
      <c r="AK16" s="419"/>
      <c r="AL16" s="419"/>
      <c r="AM16" s="433"/>
      <c r="AN16" s="433"/>
      <c r="AO16" s="433"/>
      <c r="AP16" s="428"/>
      <c r="AQ16" s="419">
        <v>26707</v>
      </c>
      <c r="AR16" s="420">
        <f t="shared" ref="AR16:BB16" si="17">AR14*AR15</f>
        <v>66000</v>
      </c>
      <c r="AS16" s="420">
        <f t="shared" si="17"/>
        <v>66000</v>
      </c>
      <c r="AT16" s="420">
        <f t="shared" si="17"/>
        <v>44000</v>
      </c>
      <c r="AU16" s="420">
        <f t="shared" si="17"/>
        <v>68200</v>
      </c>
      <c r="AV16" s="420">
        <f t="shared" si="17"/>
        <v>66000</v>
      </c>
      <c r="AW16" s="420">
        <f t="shared" si="17"/>
        <v>68200</v>
      </c>
      <c r="AX16" s="420">
        <f t="shared" si="17"/>
        <v>11000</v>
      </c>
      <c r="AY16" s="420">
        <f t="shared" si="17"/>
        <v>68200</v>
      </c>
      <c r="AZ16" s="420">
        <f t="shared" si="17"/>
        <v>68200</v>
      </c>
      <c r="BA16" s="420">
        <f t="shared" si="17"/>
        <v>28600</v>
      </c>
      <c r="BB16" s="420">
        <f t="shared" si="17"/>
        <v>68200</v>
      </c>
      <c r="BC16" s="422">
        <f>SUM(AQ16:BB16)</f>
        <v>649307</v>
      </c>
      <c r="BD16" s="420">
        <f>BD14*BD15</f>
        <v>11000</v>
      </c>
      <c r="BE16" s="420">
        <f t="shared" ref="BE16:BO16" si="18">BE14*BE15</f>
        <v>68200</v>
      </c>
      <c r="BF16" s="420">
        <f t="shared" si="18"/>
        <v>66000</v>
      </c>
      <c r="BG16" s="420">
        <f t="shared" si="18"/>
        <v>35200</v>
      </c>
      <c r="BH16" s="420">
        <f t="shared" si="18"/>
        <v>68200</v>
      </c>
      <c r="BI16" s="420">
        <f t="shared" si="18"/>
        <v>66000</v>
      </c>
      <c r="BJ16" s="420">
        <f t="shared" si="18"/>
        <v>68200</v>
      </c>
      <c r="BK16" s="420">
        <f t="shared" si="18"/>
        <v>33000</v>
      </c>
      <c r="BL16" s="420">
        <f t="shared" si="18"/>
        <v>68200</v>
      </c>
      <c r="BM16" s="420">
        <f t="shared" si="18"/>
        <v>68200</v>
      </c>
      <c r="BN16" s="420">
        <f t="shared" si="18"/>
        <v>39600</v>
      </c>
      <c r="BO16" s="420">
        <f t="shared" si="18"/>
        <v>68200</v>
      </c>
      <c r="BP16" s="422">
        <f>SUM(BD16:BO16)</f>
        <v>660000</v>
      </c>
      <c r="BQ16" s="420">
        <f t="shared" ref="BQ16:BS16" si="19">BQ14*BQ15</f>
        <v>46200</v>
      </c>
      <c r="BR16" s="420">
        <f t="shared" si="19"/>
        <v>22000</v>
      </c>
      <c r="BS16" s="420">
        <f t="shared" si="19"/>
        <v>68200</v>
      </c>
      <c r="BT16" s="420">
        <f t="shared" ref="BT16:CB16" si="20">BT14*BT15</f>
        <v>68200</v>
      </c>
      <c r="BU16" s="420">
        <f t="shared" si="20"/>
        <v>68200</v>
      </c>
      <c r="BV16" s="420">
        <f t="shared" si="20"/>
        <v>66000</v>
      </c>
      <c r="BW16" s="420">
        <f t="shared" si="20"/>
        <v>68200</v>
      </c>
      <c r="BX16" s="420">
        <f t="shared" si="20"/>
        <v>66000</v>
      </c>
      <c r="BY16" s="420">
        <f t="shared" si="20"/>
        <v>68200</v>
      </c>
      <c r="BZ16" s="420">
        <f t="shared" si="20"/>
        <v>68200</v>
      </c>
      <c r="CA16" s="420">
        <f t="shared" si="20"/>
        <v>50600</v>
      </c>
      <c r="CB16" s="420">
        <f t="shared" si="20"/>
        <v>68200</v>
      </c>
      <c r="CC16" s="422">
        <f>SUM(BQ16:CB16)</f>
        <v>728200</v>
      </c>
      <c r="CD16" s="1230">
        <f>CD14*CD15</f>
        <v>752730</v>
      </c>
      <c r="CE16" s="420"/>
      <c r="CF16" s="420"/>
      <c r="CG16" s="420"/>
      <c r="CH16" s="420"/>
    </row>
    <row r="17" spans="1:86" s="1074" customFormat="1" ht="12.75">
      <c r="A17" s="424"/>
      <c r="B17" s="424"/>
      <c r="C17" s="425" t="s">
        <v>450</v>
      </c>
      <c r="D17" s="424"/>
      <c r="E17" s="424"/>
      <c r="F17" s="424"/>
      <c r="G17" s="424"/>
      <c r="H17" s="424"/>
      <c r="I17" s="424"/>
      <c r="J17" s="424"/>
      <c r="K17" s="424"/>
      <c r="L17" s="424"/>
      <c r="M17" s="424"/>
      <c r="N17" s="424"/>
      <c r="O17" s="424"/>
      <c r="P17" s="424"/>
      <c r="Q17" s="434"/>
      <c r="R17" s="434"/>
      <c r="S17" s="434"/>
      <c r="T17" s="426"/>
      <c r="U17" s="426"/>
      <c r="V17" s="426"/>
      <c r="W17" s="424"/>
      <c r="X17" s="424"/>
      <c r="Y17" s="424"/>
      <c r="Z17" s="424"/>
      <c r="AA17" s="424"/>
      <c r="AB17" s="424"/>
      <c r="AC17" s="428"/>
      <c r="AD17" s="424"/>
      <c r="AE17" s="424"/>
      <c r="AF17" s="424"/>
      <c r="AG17" s="424"/>
      <c r="AH17" s="424"/>
      <c r="AI17" s="424"/>
      <c r="AJ17" s="424"/>
      <c r="AK17" s="424"/>
      <c r="AL17" s="424"/>
      <c r="AM17" s="426"/>
      <c r="AN17" s="426"/>
      <c r="AO17" s="426"/>
      <c r="AP17" s="428"/>
      <c r="AQ17" s="424">
        <v>7.6101833873386378</v>
      </c>
      <c r="AR17" s="1078">
        <f t="shared" ref="AR17" si="21">AR8</f>
        <v>5.85</v>
      </c>
      <c r="AS17" s="1078">
        <v>5.85</v>
      </c>
      <c r="AT17" s="1078">
        <f t="shared" ref="AT17:BA17" si="22">(AT16*5.85+20000)/AT16</f>
        <v>6.3045454545454547</v>
      </c>
      <c r="AU17" s="1078">
        <v>5.85</v>
      </c>
      <c r="AV17" s="1078">
        <v>5.85</v>
      </c>
      <c r="AW17" s="1078">
        <v>5.85</v>
      </c>
      <c r="AX17" s="1078">
        <f t="shared" si="22"/>
        <v>7.668181818181818</v>
      </c>
      <c r="AY17" s="1078">
        <v>5.85</v>
      </c>
      <c r="AZ17" s="1078">
        <v>5.85</v>
      </c>
      <c r="BA17" s="1078">
        <f t="shared" si="22"/>
        <v>6.5493006993006997</v>
      </c>
      <c r="BB17" s="1078">
        <v>5.85</v>
      </c>
      <c r="BC17" s="1077"/>
      <c r="BD17" s="1078">
        <f>(BD16*5.85+20000)/BD16</f>
        <v>7.668181818181818</v>
      </c>
      <c r="BE17" s="1078">
        <v>5.85</v>
      </c>
      <c r="BF17" s="1078">
        <v>5.85</v>
      </c>
      <c r="BG17" s="1078">
        <f t="shared" ref="BG17:BN17" si="23">(BG16*5.85+20000)/BG16</f>
        <v>6.418181818181818</v>
      </c>
      <c r="BH17" s="1078">
        <v>5.85</v>
      </c>
      <c r="BI17" s="1078">
        <v>5.85</v>
      </c>
      <c r="BJ17" s="1078">
        <v>5.85</v>
      </c>
      <c r="BK17" s="1078">
        <f t="shared" si="23"/>
        <v>6.4560606060606061</v>
      </c>
      <c r="BL17" s="1078">
        <v>5.85</v>
      </c>
      <c r="BM17" s="1078">
        <v>5.85</v>
      </c>
      <c r="BN17" s="1078">
        <f t="shared" si="23"/>
        <v>6.3550505050505048</v>
      </c>
      <c r="BO17" s="1078">
        <v>5.85</v>
      </c>
      <c r="BP17" s="1077"/>
      <c r="BQ17" s="1078">
        <f>(BQ16*5.85+10000)/BQ16</f>
        <v>6.0664502164502165</v>
      </c>
      <c r="BR17" s="1078">
        <f>(BR16*5.41+20000)/BR16</f>
        <v>6.3190909090909093</v>
      </c>
      <c r="BS17" s="1078">
        <v>5.41</v>
      </c>
      <c r="BT17" s="1078">
        <v>5.41</v>
      </c>
      <c r="BU17" s="1078">
        <v>5.41</v>
      </c>
      <c r="BV17" s="1078">
        <v>5.41</v>
      </c>
      <c r="BW17" s="1078">
        <v>5.41</v>
      </c>
      <c r="BX17" s="1078">
        <v>5.41</v>
      </c>
      <c r="BY17" s="1078">
        <v>5.41</v>
      </c>
      <c r="BZ17" s="1078">
        <v>5.41</v>
      </c>
      <c r="CA17" s="1078">
        <f>(CA16*5.41+20000)/CA16</f>
        <v>5.8052569169960471</v>
      </c>
      <c r="CB17" s="1078">
        <v>5.41</v>
      </c>
      <c r="CC17" s="1077"/>
      <c r="CD17" s="1076">
        <f>5.41</f>
        <v>5.41</v>
      </c>
      <c r="CE17" s="1075"/>
      <c r="CF17" s="1075"/>
      <c r="CG17" s="1075"/>
      <c r="CH17" s="1075"/>
    </row>
    <row r="18" spans="1:86" s="418" customFormat="1" ht="12.75">
      <c r="C18" s="418" t="s">
        <v>451</v>
      </c>
      <c r="D18" s="420"/>
      <c r="E18" s="420"/>
      <c r="F18" s="420"/>
      <c r="G18" s="420"/>
      <c r="H18" s="420"/>
      <c r="I18" s="420"/>
      <c r="J18" s="420"/>
      <c r="K18" s="420"/>
      <c r="L18" s="420"/>
      <c r="M18" s="420"/>
      <c r="N18" s="420"/>
      <c r="O18" s="420"/>
      <c r="P18" s="421"/>
      <c r="Q18" s="433"/>
      <c r="R18" s="433"/>
      <c r="S18" s="433"/>
      <c r="T18" s="419"/>
      <c r="U18" s="419"/>
      <c r="V18" s="419"/>
      <c r="W18" s="419"/>
      <c r="X18" s="419"/>
      <c r="Y18" s="419"/>
      <c r="Z18" s="419"/>
      <c r="AA18" s="419"/>
      <c r="AB18" s="419"/>
      <c r="AC18" s="428"/>
      <c r="AD18" s="419"/>
      <c r="AE18" s="419"/>
      <c r="AF18" s="419"/>
      <c r="AG18" s="419"/>
      <c r="AH18" s="419"/>
      <c r="AI18" s="419"/>
      <c r="AJ18" s="419"/>
      <c r="AK18" s="419"/>
      <c r="AL18" s="419"/>
      <c r="AM18" s="433"/>
      <c r="AN18" s="433"/>
      <c r="AO18" s="433"/>
      <c r="AP18" s="428"/>
      <c r="AQ18" s="420">
        <f t="shared" ref="AQ18:BB18" si="24">AQ16*AQ17</f>
        <v>203245.16772565301</v>
      </c>
      <c r="AR18" s="420">
        <f t="shared" si="24"/>
        <v>386100</v>
      </c>
      <c r="AS18" s="420">
        <f t="shared" si="24"/>
        <v>386100</v>
      </c>
      <c r="AT18" s="420">
        <f t="shared" si="24"/>
        <v>277400</v>
      </c>
      <c r="AU18" s="420">
        <f t="shared" si="24"/>
        <v>398970</v>
      </c>
      <c r="AV18" s="420">
        <f t="shared" si="24"/>
        <v>386100</v>
      </c>
      <c r="AW18" s="420">
        <f t="shared" si="24"/>
        <v>398970</v>
      </c>
      <c r="AX18" s="420">
        <f t="shared" si="24"/>
        <v>84350</v>
      </c>
      <c r="AY18" s="420">
        <f t="shared" si="24"/>
        <v>398970</v>
      </c>
      <c r="AZ18" s="420">
        <f t="shared" si="24"/>
        <v>398970</v>
      </c>
      <c r="BA18" s="420">
        <f t="shared" si="24"/>
        <v>187310</v>
      </c>
      <c r="BB18" s="420">
        <f t="shared" si="24"/>
        <v>398970</v>
      </c>
      <c r="BC18" s="422">
        <f>SUM(AQ18:BB18)</f>
        <v>3905455.1677256529</v>
      </c>
      <c r="BD18" s="420">
        <f t="shared" ref="BD18:BO18" si="25">BD16*BD17</f>
        <v>84350</v>
      </c>
      <c r="BE18" s="420">
        <f t="shared" si="25"/>
        <v>398970</v>
      </c>
      <c r="BF18" s="420">
        <f t="shared" si="25"/>
        <v>386100</v>
      </c>
      <c r="BG18" s="420">
        <f t="shared" si="25"/>
        <v>225920</v>
      </c>
      <c r="BH18" s="420">
        <f t="shared" si="25"/>
        <v>398970</v>
      </c>
      <c r="BI18" s="420">
        <f t="shared" si="25"/>
        <v>386100</v>
      </c>
      <c r="BJ18" s="420">
        <f t="shared" si="25"/>
        <v>398970</v>
      </c>
      <c r="BK18" s="420">
        <f t="shared" si="25"/>
        <v>213050</v>
      </c>
      <c r="BL18" s="420">
        <f t="shared" si="25"/>
        <v>398970</v>
      </c>
      <c r="BM18" s="420">
        <f t="shared" si="25"/>
        <v>398970</v>
      </c>
      <c r="BN18" s="420">
        <f t="shared" si="25"/>
        <v>251660</v>
      </c>
      <c r="BO18" s="420">
        <f t="shared" si="25"/>
        <v>398970</v>
      </c>
      <c r="BP18" s="422">
        <f>SUM(BD18:BO18)</f>
        <v>3941000</v>
      </c>
      <c r="BQ18" s="420">
        <f t="shared" ref="BQ18:BS18" si="26">BQ16*BQ17</f>
        <v>280270</v>
      </c>
      <c r="BR18" s="420">
        <f t="shared" si="26"/>
        <v>139020</v>
      </c>
      <c r="BS18" s="420">
        <f t="shared" si="26"/>
        <v>368962</v>
      </c>
      <c r="BT18" s="420">
        <f t="shared" ref="BT18:CB18" si="27">BT16*BT17</f>
        <v>368962</v>
      </c>
      <c r="BU18" s="420">
        <f t="shared" si="27"/>
        <v>368962</v>
      </c>
      <c r="BV18" s="420">
        <f t="shared" si="27"/>
        <v>357060</v>
      </c>
      <c r="BW18" s="420">
        <f t="shared" si="27"/>
        <v>368962</v>
      </c>
      <c r="BX18" s="420">
        <f t="shared" si="27"/>
        <v>357060</v>
      </c>
      <c r="BY18" s="420">
        <f t="shared" si="27"/>
        <v>368962</v>
      </c>
      <c r="BZ18" s="420">
        <f t="shared" si="27"/>
        <v>368962</v>
      </c>
      <c r="CA18" s="420">
        <f t="shared" si="27"/>
        <v>293746</v>
      </c>
      <c r="CB18" s="420">
        <f t="shared" si="27"/>
        <v>368962</v>
      </c>
      <c r="CC18" s="422">
        <f>SUM(BQ18:CB18)</f>
        <v>4009890</v>
      </c>
      <c r="CD18" s="422">
        <f>CD16*CD17</f>
        <v>4072269.3000000003</v>
      </c>
      <c r="CE18" s="420"/>
      <c r="CF18" s="420"/>
      <c r="CG18" s="420"/>
      <c r="CH18" s="420"/>
    </row>
    <row r="19" spans="1:86" s="418" customFormat="1" ht="12.75">
      <c r="C19" s="411" t="s">
        <v>454</v>
      </c>
      <c r="D19" s="420"/>
      <c r="E19" s="420"/>
      <c r="F19" s="420"/>
      <c r="G19" s="420"/>
      <c r="H19" s="420"/>
      <c r="I19" s="420"/>
      <c r="J19" s="429"/>
      <c r="K19" s="429"/>
      <c r="L19" s="429"/>
      <c r="M19" s="429"/>
      <c r="N19" s="429"/>
      <c r="O19" s="429"/>
      <c r="P19" s="430"/>
      <c r="Q19" s="419"/>
      <c r="R19" s="419"/>
      <c r="S19" s="419"/>
      <c r="T19" s="419"/>
      <c r="U19" s="419"/>
      <c r="V19" s="419"/>
      <c r="W19" s="419"/>
      <c r="X19" s="419"/>
      <c r="Y19" s="419"/>
      <c r="Z19" s="419"/>
      <c r="AA19" s="419"/>
      <c r="AB19" s="419"/>
      <c r="AC19" s="1069"/>
      <c r="AD19" s="419"/>
      <c r="AE19" s="419"/>
      <c r="AF19" s="419"/>
      <c r="AG19" s="419"/>
      <c r="AH19" s="419"/>
      <c r="AI19" s="419"/>
      <c r="AJ19" s="419"/>
      <c r="AK19" s="419"/>
      <c r="AL19" s="419"/>
      <c r="AM19" s="433"/>
      <c r="AN19" s="433"/>
      <c r="AO19" s="433"/>
      <c r="AP19" s="1069"/>
      <c r="AQ19" s="431"/>
      <c r="AR19" s="431"/>
      <c r="AS19" s="431"/>
      <c r="AT19" s="431"/>
      <c r="AU19" s="431"/>
      <c r="AV19" s="431"/>
      <c r="AW19" s="431"/>
      <c r="AX19" s="431"/>
      <c r="AY19" s="431"/>
      <c r="AZ19" s="431"/>
      <c r="BA19" s="431"/>
      <c r="BB19" s="420"/>
      <c r="BC19" s="431">
        <f>BC18/BC16</f>
        <v>6.0148052735079904</v>
      </c>
      <c r="BD19" s="431"/>
      <c r="BE19" s="431"/>
      <c r="BF19" s="431"/>
      <c r="BG19" s="431"/>
      <c r="BH19" s="431"/>
      <c r="BI19" s="431"/>
      <c r="BJ19" s="431"/>
      <c r="BK19" s="431"/>
      <c r="BL19" s="431"/>
      <c r="BM19" s="431"/>
      <c r="BN19" s="431"/>
      <c r="BO19" s="420"/>
      <c r="BP19" s="431">
        <f>BP18/BP16</f>
        <v>5.9712121212121216</v>
      </c>
      <c r="BQ19" s="431"/>
      <c r="BR19" s="431"/>
      <c r="BS19" s="431"/>
      <c r="BT19" s="431"/>
      <c r="BU19" s="431"/>
      <c r="BV19" s="431"/>
      <c r="BW19" s="431"/>
      <c r="BX19" s="431"/>
      <c r="BY19" s="431"/>
      <c r="BZ19" s="431"/>
      <c r="CA19" s="431"/>
      <c r="CB19" s="431"/>
      <c r="CC19" s="431">
        <f>CC18/CC16</f>
        <v>5.5065778632243889</v>
      </c>
      <c r="CD19" s="431"/>
      <c r="CE19" s="420"/>
      <c r="CF19" s="420"/>
      <c r="CG19" s="420"/>
      <c r="CH19" s="420"/>
    </row>
    <row r="20" spans="1:86" s="418" customFormat="1" ht="12.75">
      <c r="C20" s="411" t="s">
        <v>455</v>
      </c>
      <c r="D20" s="420"/>
      <c r="E20" s="420"/>
      <c r="F20" s="420"/>
      <c r="G20" s="420"/>
      <c r="H20" s="420"/>
      <c r="I20" s="420"/>
      <c r="J20" s="420"/>
      <c r="K20" s="420"/>
      <c r="L20" s="420"/>
      <c r="M20" s="420"/>
      <c r="N20" s="420"/>
      <c r="O20" s="420"/>
      <c r="P20" s="435"/>
      <c r="Q20" s="419"/>
      <c r="R20" s="419"/>
      <c r="S20" s="419"/>
      <c r="T20" s="419"/>
      <c r="U20" s="419"/>
      <c r="V20" s="419"/>
      <c r="W20" s="419"/>
      <c r="X20" s="419"/>
      <c r="Y20" s="419"/>
      <c r="Z20" s="419"/>
      <c r="AA20" s="419"/>
      <c r="AB20" s="419"/>
      <c r="AC20" s="436"/>
      <c r="AD20" s="424"/>
      <c r="AE20" s="424"/>
      <c r="AF20" s="424"/>
      <c r="AG20" s="424"/>
      <c r="AH20" s="424"/>
      <c r="AI20" s="424"/>
      <c r="AJ20" s="424"/>
      <c r="AK20" s="424"/>
      <c r="AL20" s="424"/>
      <c r="AM20" s="424"/>
      <c r="AN20" s="424"/>
      <c r="AO20" s="424"/>
      <c r="AP20" s="1231"/>
      <c r="AQ20" s="420"/>
      <c r="AR20" s="420"/>
      <c r="AS20" s="420"/>
      <c r="AT20" s="420"/>
      <c r="AU20" s="420"/>
      <c r="AV20" s="420"/>
      <c r="AW20" s="420"/>
      <c r="AX20" s="420"/>
      <c r="AY20" s="420"/>
      <c r="AZ20" s="420"/>
      <c r="BA20" s="420"/>
      <c r="BB20" s="420"/>
      <c r="BC20" s="1064">
        <f>SUM(BC9,BC18)/SUM(BC7,BC16)</f>
        <v>5.9744233028366267</v>
      </c>
      <c r="BD20" s="420"/>
      <c r="BE20" s="420"/>
      <c r="BF20" s="420"/>
      <c r="BG20" s="420"/>
      <c r="BH20" s="420"/>
      <c r="BI20" s="420"/>
      <c r="BJ20" s="420"/>
      <c r="BK20" s="420"/>
      <c r="BL20" s="420"/>
      <c r="BM20" s="420"/>
      <c r="BN20" s="420"/>
      <c r="BO20" s="420"/>
      <c r="BP20" s="1064">
        <f>SUM(BP9,BP18)/SUM(BP7,BP16)</f>
        <v>5.9560606060606061</v>
      </c>
      <c r="BQ20" s="420"/>
      <c r="BR20" s="420"/>
      <c r="BS20" s="420"/>
      <c r="BT20" s="420"/>
      <c r="BU20" s="420"/>
      <c r="BV20" s="420"/>
      <c r="BW20" s="420"/>
      <c r="BX20" s="420"/>
      <c r="BY20" s="420"/>
      <c r="BZ20" s="420"/>
      <c r="CA20" s="420"/>
      <c r="CB20" s="420"/>
      <c r="CC20" s="1064">
        <f>SUM(CC9,CC18)/SUM(CC7,CC16)</f>
        <v>5.5374168514412414</v>
      </c>
      <c r="CD20" s="1064">
        <f>SUM(CD9,CD18)/SUM(CD7,CD16)</f>
        <v>5.41</v>
      </c>
      <c r="CE20" s="420"/>
      <c r="CF20" s="420"/>
      <c r="CG20" s="420"/>
      <c r="CH20" s="420"/>
    </row>
    <row r="21" spans="1:86" s="418" customFormat="1" ht="12.75">
      <c r="C21" s="411" t="s">
        <v>456</v>
      </c>
      <c r="D21" s="422"/>
      <c r="E21" s="422"/>
      <c r="F21" s="422"/>
      <c r="G21" s="422"/>
      <c r="H21" s="422"/>
      <c r="I21" s="422"/>
      <c r="J21" s="422"/>
      <c r="K21" s="422"/>
      <c r="L21" s="422"/>
      <c r="M21" s="422"/>
      <c r="N21" s="422"/>
      <c r="O21" s="422"/>
      <c r="P21" s="422"/>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2">
        <f t="shared" ref="AQ21:CD21" si="28">AQ7+AQ16</f>
        <v>92109</v>
      </c>
      <c r="AR21" s="422">
        <f t="shared" si="28"/>
        <v>134200</v>
      </c>
      <c r="AS21" s="422">
        <f t="shared" si="28"/>
        <v>132000</v>
      </c>
      <c r="AT21" s="422">
        <f t="shared" si="28"/>
        <v>112200</v>
      </c>
      <c r="AU21" s="422">
        <f t="shared" si="28"/>
        <v>107800</v>
      </c>
      <c r="AV21" s="422">
        <f t="shared" si="28"/>
        <v>132000</v>
      </c>
      <c r="AW21" s="422">
        <f t="shared" si="28"/>
        <v>79200</v>
      </c>
      <c r="AX21" s="422">
        <f t="shared" si="28"/>
        <v>77000</v>
      </c>
      <c r="AY21" s="422">
        <f t="shared" si="28"/>
        <v>136400</v>
      </c>
      <c r="AZ21" s="422">
        <f t="shared" si="28"/>
        <v>79200</v>
      </c>
      <c r="BA21" s="422">
        <f t="shared" si="28"/>
        <v>90200</v>
      </c>
      <c r="BB21" s="422">
        <f t="shared" si="28"/>
        <v>136400</v>
      </c>
      <c r="BC21" s="422">
        <f t="shared" si="28"/>
        <v>1308709</v>
      </c>
      <c r="BD21" s="422">
        <f t="shared" ref="BD21:BO21" si="29">BD7+BD16</f>
        <v>77000</v>
      </c>
      <c r="BE21" s="422">
        <f t="shared" si="29"/>
        <v>79200</v>
      </c>
      <c r="BF21" s="422">
        <f t="shared" si="29"/>
        <v>132000</v>
      </c>
      <c r="BG21" s="422">
        <f t="shared" si="29"/>
        <v>103400</v>
      </c>
      <c r="BH21" s="422">
        <f t="shared" si="29"/>
        <v>79200</v>
      </c>
      <c r="BI21" s="422">
        <f t="shared" si="29"/>
        <v>132000</v>
      </c>
      <c r="BJ21" s="422">
        <f t="shared" si="29"/>
        <v>136400</v>
      </c>
      <c r="BK21" s="422">
        <f t="shared" si="29"/>
        <v>99000</v>
      </c>
      <c r="BL21" s="422">
        <f t="shared" si="29"/>
        <v>105600</v>
      </c>
      <c r="BM21" s="422">
        <f t="shared" si="29"/>
        <v>136400</v>
      </c>
      <c r="BN21" s="422">
        <f t="shared" si="29"/>
        <v>103400</v>
      </c>
      <c r="BO21" s="422">
        <f t="shared" si="29"/>
        <v>136400</v>
      </c>
      <c r="BP21" s="422">
        <f t="shared" ref="BP21:BS21" si="30">BP7+BP16</f>
        <v>1320000</v>
      </c>
      <c r="BQ21" s="422">
        <f t="shared" si="30"/>
        <v>101200</v>
      </c>
      <c r="BR21" s="422">
        <f t="shared" si="30"/>
        <v>66000</v>
      </c>
      <c r="BS21" s="422">
        <f t="shared" si="30"/>
        <v>92400</v>
      </c>
      <c r="BT21" s="422">
        <f t="shared" ref="BT21:CC21" si="31">BT7+BT16</f>
        <v>136400</v>
      </c>
      <c r="BU21" s="422">
        <f t="shared" si="31"/>
        <v>136400</v>
      </c>
      <c r="BV21" s="422">
        <f t="shared" si="31"/>
        <v>132000</v>
      </c>
      <c r="BW21" s="422">
        <f t="shared" si="31"/>
        <v>136400</v>
      </c>
      <c r="BX21" s="422">
        <f t="shared" si="31"/>
        <v>121000</v>
      </c>
      <c r="BY21" s="422">
        <f t="shared" si="31"/>
        <v>136400</v>
      </c>
      <c r="BZ21" s="422">
        <f t="shared" si="31"/>
        <v>136400</v>
      </c>
      <c r="CA21" s="422">
        <f t="shared" si="31"/>
        <v>112200</v>
      </c>
      <c r="CB21" s="422">
        <f t="shared" si="31"/>
        <v>136400</v>
      </c>
      <c r="CC21" s="422">
        <f t="shared" si="31"/>
        <v>1443200</v>
      </c>
      <c r="CD21" s="422">
        <f t="shared" si="28"/>
        <v>1519980</v>
      </c>
      <c r="CE21" s="420"/>
      <c r="CF21" s="420"/>
      <c r="CG21" s="420"/>
      <c r="CH21" s="420"/>
    </row>
    <row r="22" spans="1:86" s="418" customFormat="1" ht="12.75">
      <c r="Q22" s="437">
        <f>Q21</f>
        <v>0</v>
      </c>
      <c r="R22" s="437">
        <f>Q22+R21</f>
        <v>0</v>
      </c>
      <c r="S22" s="437">
        <f>R22+S21</f>
        <v>0</v>
      </c>
      <c r="T22" s="437">
        <f>S22+T21</f>
        <v>0</v>
      </c>
      <c r="U22" s="438">
        <f>T22+U21</f>
        <v>0</v>
      </c>
      <c r="V22" s="437">
        <f>U22+V21</f>
        <v>0</v>
      </c>
      <c r="W22" s="437">
        <f t="shared" ref="W22:AB22" si="32">V22+W21</f>
        <v>0</v>
      </c>
      <c r="X22" s="437">
        <f t="shared" si="32"/>
        <v>0</v>
      </c>
      <c r="Y22" s="437">
        <f t="shared" si="32"/>
        <v>0</v>
      </c>
      <c r="Z22" s="437">
        <f t="shared" si="32"/>
        <v>0</v>
      </c>
      <c r="AA22" s="437">
        <f t="shared" si="32"/>
        <v>0</v>
      </c>
      <c r="AB22" s="438">
        <f t="shared" si="32"/>
        <v>0</v>
      </c>
      <c r="AC22" s="1070"/>
      <c r="AD22" s="425"/>
      <c r="AE22" s="425"/>
      <c r="AF22" s="425"/>
      <c r="AG22" s="425"/>
      <c r="AH22" s="425"/>
      <c r="AI22" s="425"/>
      <c r="AJ22" s="425"/>
      <c r="AK22" s="425"/>
      <c r="AL22" s="425"/>
      <c r="AM22" s="425"/>
      <c r="AN22" s="425"/>
      <c r="AO22" s="425"/>
      <c r="AP22" s="425"/>
    </row>
    <row r="23" spans="1:86">
      <c r="P23" s="439" t="e">
        <f>SUM(P18,P9)/SUM(P16,P7)</f>
        <v>#DIV/0!</v>
      </c>
      <c r="Q23" s="1071"/>
      <c r="R23" s="1071"/>
      <c r="S23" s="1071" t="e">
        <f>SUM(Q9:S9,Q18:S18)/SUM(Q7:S7,Q16:S16)</f>
        <v>#DIV/0!</v>
      </c>
      <c r="T23" s="1071"/>
      <c r="U23" s="1071"/>
      <c r="V23" s="1071" t="e">
        <f>SUM(Q9:V9,Q18:V18)/SUM(Q7:V7,Q16:V16)</f>
        <v>#DIV/0!</v>
      </c>
      <c r="W23" s="1071"/>
      <c r="X23" s="1071"/>
      <c r="Y23" s="1071" t="e">
        <f>SUM(W9:Y9,W18:Y18)/SUM(W7:Y7,W16:Y16)</f>
        <v>#DIV/0!</v>
      </c>
      <c r="Z23" s="1071"/>
      <c r="AA23" s="1071"/>
      <c r="AB23" s="1071" t="e">
        <f>SUM(W9:AB9,W18:AB18)/SUM(W7:AB7,W16:AB16)</f>
        <v>#DIV/0!</v>
      </c>
      <c r="AC23" s="1072">
        <f>2300+2250</f>
        <v>4550</v>
      </c>
      <c r="AD23" s="1071"/>
      <c r="AE23" s="1071"/>
      <c r="AF23" s="1071"/>
      <c r="AG23" s="1071"/>
      <c r="AH23" s="1071"/>
      <c r="AI23" s="1071"/>
      <c r="AJ23" s="1071"/>
      <c r="AK23" s="1071"/>
      <c r="AL23" s="1071"/>
      <c r="AM23" s="1071"/>
      <c r="AN23" s="1071"/>
      <c r="AO23" s="1071"/>
      <c r="AP23" s="1073"/>
      <c r="BC23" s="440">
        <f>BC20-5.5</f>
        <v>0.4744233028366267</v>
      </c>
      <c r="BD23" t="s">
        <v>623</v>
      </c>
      <c r="BP23" s="442">
        <f>BP20-5.5</f>
        <v>0.45606060606060606</v>
      </c>
      <c r="CC23" s="442">
        <f>CC20-5.5</f>
        <v>3.7416851441241405E-2</v>
      </c>
      <c r="CD23" s="442">
        <f>CD20-5.5</f>
        <v>-8.9999999999999858E-2</v>
      </c>
    </row>
    <row r="24" spans="1:86" s="903" customFormat="1">
      <c r="AC24" s="1066"/>
      <c r="BC24" s="903">
        <f>BC23*Assumptions!C23</f>
        <v>2236.5561079579215</v>
      </c>
      <c r="BP24" s="903">
        <f>BP23*Assumptions!C23</f>
        <v>2149.9895304153956</v>
      </c>
      <c r="CC24" s="903">
        <f>CC23*Assumptions!C23</f>
        <v>176.39286926064108</v>
      </c>
      <c r="CD24" s="903">
        <f>CD23*Assumptions!C23*(1-Assumptions!C16)</f>
        <v>-318.21273614619844</v>
      </c>
    </row>
    <row r="25" spans="1:86" s="442" customFormat="1">
      <c r="AC25" s="1065"/>
      <c r="BC25" s="903">
        <f>BC21*BC24/10^7</f>
        <v>292.70011074895035</v>
      </c>
      <c r="BD25" s="442" t="s">
        <v>622</v>
      </c>
      <c r="BP25" s="903">
        <f>BP21*BP24/10^7</f>
        <v>283.79861801483219</v>
      </c>
      <c r="CC25" s="442">
        <f>CC21*CC24/10^7</f>
        <v>25.457018891695721</v>
      </c>
      <c r="CD25" s="442">
        <f>CD21*CD24/10^7</f>
        <v>-48.367699468749869</v>
      </c>
    </row>
    <row r="26" spans="1:86">
      <c r="Z26" s="441"/>
      <c r="AC26" s="345">
        <f>6.16-5.85</f>
        <v>0.3100000000000005</v>
      </c>
    </row>
    <row r="27" spans="1:86">
      <c r="Z27" s="440"/>
      <c r="AC27" s="345">
        <f>AC26*2400</f>
        <v>744.00000000000114</v>
      </c>
      <c r="AJ27" s="441"/>
      <c r="AK27" s="441"/>
      <c r="AR27" s="442"/>
      <c r="AS27" s="442"/>
    </row>
    <row r="28" spans="1:86">
      <c r="Z28" s="440"/>
      <c r="AC28" s="345">
        <f>AC27*5.45</f>
        <v>4054.8000000000065</v>
      </c>
      <c r="AJ28" s="441"/>
      <c r="AK28" s="441"/>
      <c r="AR28" s="442"/>
      <c r="AS28" s="442"/>
    </row>
    <row r="29" spans="1:86" s="375" customFormat="1" ht="12.75">
      <c r="C29" s="444"/>
      <c r="J29" s="443"/>
      <c r="K29" s="443"/>
      <c r="L29" s="443"/>
      <c r="M29" s="1237"/>
      <c r="N29" s="1237"/>
      <c r="O29" s="1237"/>
      <c r="AC29" s="444"/>
      <c r="AG29" s="1238"/>
      <c r="AH29" s="1238"/>
      <c r="AI29" s="1238"/>
      <c r="AJ29" s="1239"/>
      <c r="AK29" s="1239"/>
      <c r="AL29" s="1239"/>
    </row>
    <row r="31" spans="1:86">
      <c r="E31" s="445"/>
      <c r="AC31" s="446"/>
    </row>
    <row r="32" spans="1:86">
      <c r="C32" s="345"/>
      <c r="E32" s="409"/>
      <c r="Q32" s="441"/>
      <c r="R32" s="441"/>
      <c r="S32" s="441"/>
      <c r="T32" s="441"/>
      <c r="U32" s="441"/>
      <c r="V32" s="441"/>
      <c r="W32" s="441"/>
      <c r="X32" s="441"/>
      <c r="Y32" s="441"/>
      <c r="Z32" s="441"/>
      <c r="AA32" s="441"/>
      <c r="AB32" s="441"/>
      <c r="AC32" s="446"/>
    </row>
    <row r="33" spans="3:45">
      <c r="C33" s="345"/>
      <c r="Q33" s="439"/>
      <c r="R33" s="439"/>
      <c r="S33" s="439"/>
      <c r="T33" s="439"/>
      <c r="U33" s="439"/>
      <c r="V33" s="439"/>
      <c r="W33" s="439"/>
      <c r="X33" s="439"/>
      <c r="Y33" s="439"/>
      <c r="Z33" s="439"/>
      <c r="AA33" s="439"/>
      <c r="AB33" s="439"/>
      <c r="AC33" s="447"/>
    </row>
    <row r="34" spans="3:45">
      <c r="Q34" s="441"/>
      <c r="R34" s="441"/>
      <c r="S34" s="441"/>
      <c r="T34" s="441"/>
      <c r="U34" s="441"/>
      <c r="V34" s="441"/>
      <c r="W34" s="441"/>
      <c r="X34" s="441"/>
      <c r="Y34" s="441"/>
      <c r="Z34" s="441"/>
      <c r="AA34" s="441"/>
      <c r="AB34" s="441"/>
      <c r="AC34" s="446"/>
    </row>
    <row r="35" spans="3:45">
      <c r="C35" s="345"/>
      <c r="Q35" s="448"/>
      <c r="R35" s="448"/>
      <c r="S35" s="448"/>
      <c r="T35" s="448"/>
      <c r="U35" s="448"/>
      <c r="V35" s="448"/>
      <c r="W35" s="448"/>
      <c r="X35" s="448"/>
      <c r="Y35" s="448"/>
      <c r="Z35" s="448"/>
      <c r="AA35" s="448"/>
      <c r="AB35" s="448"/>
      <c r="AC35" s="446"/>
    </row>
    <row r="36" spans="3:45">
      <c r="C36" s="345"/>
      <c r="Q36" s="440"/>
      <c r="R36" s="440"/>
      <c r="S36" s="440"/>
      <c r="T36" s="440"/>
      <c r="U36" s="440"/>
      <c r="V36" s="440"/>
      <c r="W36" s="440"/>
      <c r="X36" s="440"/>
      <c r="Y36" s="440"/>
      <c r="Z36" s="449"/>
      <c r="AA36" s="449"/>
      <c r="AB36" s="449"/>
      <c r="AC36" s="446"/>
      <c r="AD36" s="448"/>
      <c r="AQ36" s="442"/>
      <c r="AR36" s="442"/>
      <c r="AS36" s="442"/>
    </row>
    <row r="37" spans="3:45">
      <c r="C37" s="345"/>
      <c r="Q37" s="440"/>
      <c r="R37" s="440"/>
      <c r="S37" s="440"/>
      <c r="T37" s="440"/>
      <c r="U37" s="440"/>
      <c r="V37" s="440"/>
      <c r="W37" s="449"/>
      <c r="X37" s="449"/>
      <c r="Y37" s="449"/>
      <c r="Z37" s="449"/>
      <c r="AA37" s="449"/>
      <c r="AB37" s="449"/>
      <c r="AC37" s="446"/>
      <c r="AD37" s="448"/>
    </row>
    <row r="38" spans="3:45">
      <c r="AC38" s="446"/>
    </row>
    <row r="39" spans="3:45">
      <c r="C39" s="345"/>
      <c r="Y39" s="440"/>
      <c r="Z39" s="440"/>
      <c r="AA39" s="440"/>
      <c r="AB39" s="440"/>
      <c r="AC39" s="446"/>
    </row>
    <row r="40" spans="3:45">
      <c r="C40" s="345"/>
      <c r="W40" s="440"/>
      <c r="X40" s="440"/>
      <c r="Y40" s="440"/>
      <c r="Z40" s="440"/>
      <c r="AA40" s="440"/>
      <c r="AB40" s="440"/>
      <c r="AC40" s="446"/>
    </row>
    <row r="41" spans="3:45">
      <c r="AC41" s="446"/>
    </row>
    <row r="42" spans="3:45">
      <c r="Q42" s="408"/>
      <c r="R42" s="408"/>
      <c r="S42" s="408"/>
      <c r="T42" s="408"/>
      <c r="U42" s="408"/>
      <c r="V42" s="408"/>
      <c r="W42" s="408"/>
      <c r="X42" s="408"/>
      <c r="Y42" s="408"/>
      <c r="Z42" s="408"/>
      <c r="AA42" s="408"/>
      <c r="AB42" s="408"/>
      <c r="AC42" s="446"/>
    </row>
    <row r="43" spans="3:45">
      <c r="Q43" s="441"/>
      <c r="R43" s="441"/>
      <c r="S43" s="441"/>
      <c r="T43" s="441"/>
      <c r="U43" s="441"/>
      <c r="V43" s="441"/>
      <c r="W43" s="441"/>
      <c r="X43" s="441"/>
      <c r="Y43" s="441"/>
      <c r="Z43" s="441"/>
      <c r="AA43" s="441"/>
      <c r="AB43" s="441"/>
      <c r="AC43" s="446"/>
    </row>
    <row r="44" spans="3:45">
      <c r="Q44" s="440"/>
      <c r="R44" s="440"/>
      <c r="S44" s="440"/>
      <c r="T44" s="440"/>
      <c r="U44" s="440"/>
      <c r="V44" s="440"/>
      <c r="W44" s="440"/>
      <c r="X44" s="440"/>
      <c r="Y44" s="440"/>
      <c r="Z44" s="440"/>
      <c r="AA44" s="440"/>
      <c r="AB44" s="440"/>
      <c r="AC44" s="446"/>
      <c r="AD44" s="440"/>
    </row>
    <row r="46" spans="3:45">
      <c r="P46" t="s">
        <v>457</v>
      </c>
      <c r="Q46">
        <v>15463.248314484128</v>
      </c>
      <c r="R46">
        <v>15463.248314484128</v>
      </c>
      <c r="S46">
        <v>15463.248314484128</v>
      </c>
      <c r="T46">
        <v>15463.248314484128</v>
      </c>
      <c r="U46">
        <v>15463.248314484128</v>
      </c>
      <c r="V46">
        <v>15463.248314484128</v>
      </c>
      <c r="W46">
        <v>14966.628373015874</v>
      </c>
      <c r="X46">
        <v>14966.628373015874</v>
      </c>
      <c r="Y46">
        <v>14966.628373015874</v>
      </c>
      <c r="Z46">
        <v>14966.628373015874</v>
      </c>
      <c r="AA46">
        <v>14966.628373015874</v>
      </c>
      <c r="AB46">
        <v>14966.628373015874</v>
      </c>
      <c r="AC46" s="448"/>
    </row>
    <row r="47" spans="3:45">
      <c r="P47" t="s">
        <v>32</v>
      </c>
      <c r="Q47" s="408">
        <v>65.742180000000005</v>
      </c>
      <c r="R47" s="408">
        <f>Q47</f>
        <v>65.742180000000005</v>
      </c>
      <c r="S47" s="408">
        <f t="shared" ref="S47:AB47" si="33">R47</f>
        <v>65.742180000000005</v>
      </c>
      <c r="T47" s="408">
        <f t="shared" si="33"/>
        <v>65.742180000000005</v>
      </c>
      <c r="U47" s="408">
        <f t="shared" si="33"/>
        <v>65.742180000000005</v>
      </c>
      <c r="V47" s="408">
        <f t="shared" si="33"/>
        <v>65.742180000000005</v>
      </c>
      <c r="W47" s="408">
        <f t="shared" si="33"/>
        <v>65.742180000000005</v>
      </c>
      <c r="X47" s="408">
        <f t="shared" si="33"/>
        <v>65.742180000000005</v>
      </c>
      <c r="Y47" s="408">
        <f t="shared" si="33"/>
        <v>65.742180000000005</v>
      </c>
      <c r="Z47" s="408">
        <f t="shared" si="33"/>
        <v>65.742180000000005</v>
      </c>
      <c r="AA47" s="408">
        <f t="shared" si="33"/>
        <v>65.742180000000005</v>
      </c>
      <c r="AB47" s="408">
        <f t="shared" si="33"/>
        <v>65.742180000000005</v>
      </c>
    </row>
    <row r="48" spans="3:45">
      <c r="P48" t="s">
        <v>458</v>
      </c>
      <c r="Q48" s="408">
        <v>384</v>
      </c>
      <c r="R48" s="408">
        <f t="shared" ref="R48:AB50" si="34">Q48</f>
        <v>384</v>
      </c>
      <c r="S48" s="408">
        <f t="shared" si="34"/>
        <v>384</v>
      </c>
      <c r="T48" s="408">
        <f t="shared" si="34"/>
        <v>384</v>
      </c>
      <c r="U48" s="408">
        <f t="shared" si="34"/>
        <v>384</v>
      </c>
      <c r="V48" s="408">
        <f t="shared" si="34"/>
        <v>384</v>
      </c>
      <c r="W48" s="408">
        <f t="shared" si="34"/>
        <v>384</v>
      </c>
      <c r="X48" s="408">
        <f t="shared" si="34"/>
        <v>384</v>
      </c>
      <c r="Y48" s="408">
        <f t="shared" si="34"/>
        <v>384</v>
      </c>
      <c r="Z48" s="408">
        <f t="shared" si="34"/>
        <v>384</v>
      </c>
      <c r="AA48" s="408">
        <f t="shared" si="34"/>
        <v>384</v>
      </c>
      <c r="AB48" s="408">
        <f t="shared" si="34"/>
        <v>384</v>
      </c>
    </row>
    <row r="49" spans="16:32">
      <c r="P49" t="s">
        <v>43</v>
      </c>
      <c r="Q49" s="408">
        <v>1345</v>
      </c>
      <c r="R49" s="408">
        <f t="shared" si="34"/>
        <v>1345</v>
      </c>
      <c r="S49" s="408">
        <f t="shared" si="34"/>
        <v>1345</v>
      </c>
      <c r="T49" s="408">
        <f t="shared" si="34"/>
        <v>1345</v>
      </c>
      <c r="U49" s="408">
        <f t="shared" si="34"/>
        <v>1345</v>
      </c>
      <c r="V49" s="408">
        <f t="shared" si="34"/>
        <v>1345</v>
      </c>
      <c r="W49" s="408">
        <f t="shared" si="34"/>
        <v>1345</v>
      </c>
      <c r="X49" s="408">
        <f t="shared" si="34"/>
        <v>1345</v>
      </c>
      <c r="Y49" s="408">
        <f t="shared" si="34"/>
        <v>1345</v>
      </c>
      <c r="Z49" s="408">
        <f t="shared" si="34"/>
        <v>1345</v>
      </c>
      <c r="AA49" s="408">
        <f t="shared" si="34"/>
        <v>1345</v>
      </c>
      <c r="AB49" s="408">
        <f t="shared" si="34"/>
        <v>1345</v>
      </c>
      <c r="AC49" s="446"/>
      <c r="AD49" s="450"/>
      <c r="AE49" s="450"/>
    </row>
    <row r="50" spans="16:32">
      <c r="P50" t="s">
        <v>459</v>
      </c>
      <c r="Q50" s="408">
        <v>3446</v>
      </c>
      <c r="R50" s="408">
        <f t="shared" si="34"/>
        <v>3446</v>
      </c>
      <c r="S50" s="408">
        <f t="shared" si="34"/>
        <v>3446</v>
      </c>
      <c r="T50" s="408">
        <f t="shared" si="34"/>
        <v>3446</v>
      </c>
      <c r="U50" s="408">
        <f t="shared" si="34"/>
        <v>3446</v>
      </c>
      <c r="V50" s="408">
        <f t="shared" si="34"/>
        <v>3446</v>
      </c>
      <c r="W50" s="408">
        <f t="shared" si="34"/>
        <v>3446</v>
      </c>
      <c r="X50" s="408">
        <f t="shared" si="34"/>
        <v>3446</v>
      </c>
      <c r="Y50" s="408">
        <f t="shared" si="34"/>
        <v>3446</v>
      </c>
      <c r="Z50" s="408">
        <f t="shared" si="34"/>
        <v>3446</v>
      </c>
      <c r="AA50" s="408">
        <f t="shared" si="34"/>
        <v>3446</v>
      </c>
      <c r="AB50" s="408">
        <f t="shared" si="34"/>
        <v>3446</v>
      </c>
      <c r="AC50" s="446"/>
      <c r="AD50" s="450"/>
      <c r="AE50" s="450"/>
      <c r="AF50" s="440"/>
    </row>
    <row r="51" spans="16:32">
      <c r="Q51">
        <f>SUM(Q46:Q50)</f>
        <v>20703.990494484126</v>
      </c>
      <c r="R51">
        <f t="shared" ref="R51:AB51" si="35">SUM(R46:R50)</f>
        <v>20703.990494484126</v>
      </c>
      <c r="S51">
        <f t="shared" si="35"/>
        <v>20703.990494484126</v>
      </c>
      <c r="T51">
        <f t="shared" si="35"/>
        <v>20703.990494484126</v>
      </c>
      <c r="U51">
        <f t="shared" si="35"/>
        <v>20703.990494484126</v>
      </c>
      <c r="V51">
        <f t="shared" si="35"/>
        <v>20703.990494484126</v>
      </c>
      <c r="W51">
        <f t="shared" si="35"/>
        <v>20207.370553015873</v>
      </c>
      <c r="X51">
        <f t="shared" si="35"/>
        <v>20207.370553015873</v>
      </c>
      <c r="Y51">
        <f t="shared" si="35"/>
        <v>20207.370553015873</v>
      </c>
      <c r="Z51">
        <f t="shared" si="35"/>
        <v>20207.370553015873</v>
      </c>
      <c r="AA51">
        <f t="shared" si="35"/>
        <v>20207.370553015873</v>
      </c>
      <c r="AB51">
        <f t="shared" si="35"/>
        <v>20207.370553015873</v>
      </c>
      <c r="AC51" s="446"/>
      <c r="AD51" s="450"/>
      <c r="AE51" s="450"/>
      <c r="AF51" s="440"/>
    </row>
    <row r="52" spans="16:32">
      <c r="P52" t="s">
        <v>460</v>
      </c>
      <c r="Q52" s="408">
        <v>4973.7777777777783</v>
      </c>
      <c r="R52" s="408">
        <f>Q52</f>
        <v>4973.7777777777783</v>
      </c>
      <c r="S52" s="408">
        <f t="shared" ref="S52:AB52" si="36">R52</f>
        <v>4973.7777777777783</v>
      </c>
      <c r="T52" s="408">
        <f t="shared" si="36"/>
        <v>4973.7777777777783</v>
      </c>
      <c r="U52" s="408">
        <f t="shared" si="36"/>
        <v>4973.7777777777783</v>
      </c>
      <c r="V52" s="408">
        <f t="shared" si="36"/>
        <v>4973.7777777777783</v>
      </c>
      <c r="W52" s="408">
        <f t="shared" si="36"/>
        <v>4973.7777777777783</v>
      </c>
      <c r="X52" s="408">
        <f t="shared" si="36"/>
        <v>4973.7777777777783</v>
      </c>
      <c r="Y52" s="408">
        <f t="shared" si="36"/>
        <v>4973.7777777777783</v>
      </c>
      <c r="Z52" s="408">
        <f t="shared" si="36"/>
        <v>4973.7777777777783</v>
      </c>
      <c r="AA52" s="408">
        <f t="shared" si="36"/>
        <v>4973.7777777777783</v>
      </c>
      <c r="AB52" s="408">
        <f t="shared" si="36"/>
        <v>4973.7777777777783</v>
      </c>
      <c r="AC52" s="450"/>
      <c r="AD52" s="450"/>
      <c r="AE52" s="450"/>
    </row>
    <row r="53" spans="16:32">
      <c r="P53" t="s">
        <v>3</v>
      </c>
      <c r="Q53" s="408">
        <f>Q51-Q52</f>
        <v>15730.212716706348</v>
      </c>
      <c r="R53" s="408">
        <f t="shared" ref="R53:AB53" si="37">R51-R52</f>
        <v>15730.212716706348</v>
      </c>
      <c r="S53" s="408">
        <f t="shared" si="37"/>
        <v>15730.212716706348</v>
      </c>
      <c r="T53" s="408">
        <f t="shared" si="37"/>
        <v>15730.212716706348</v>
      </c>
      <c r="U53" s="408">
        <f t="shared" si="37"/>
        <v>15730.212716706348</v>
      </c>
      <c r="V53" s="408">
        <f t="shared" si="37"/>
        <v>15730.212716706348</v>
      </c>
      <c r="W53" s="408">
        <f t="shared" si="37"/>
        <v>15233.592775238096</v>
      </c>
      <c r="X53" s="408">
        <f t="shared" si="37"/>
        <v>15233.592775238096</v>
      </c>
      <c r="Y53" s="408">
        <f t="shared" si="37"/>
        <v>15233.592775238096</v>
      </c>
      <c r="Z53" s="408">
        <f t="shared" si="37"/>
        <v>15233.592775238096</v>
      </c>
      <c r="AA53" s="408">
        <f t="shared" si="37"/>
        <v>15233.592775238096</v>
      </c>
      <c r="AB53" s="408">
        <f t="shared" si="37"/>
        <v>15233.592775238096</v>
      </c>
      <c r="AC53" s="446"/>
      <c r="AD53" s="450"/>
      <c r="AE53" s="450"/>
    </row>
    <row r="54" spans="16:32">
      <c r="P54" t="s">
        <v>461</v>
      </c>
      <c r="Q54" s="440">
        <f>Q53*Q21/10^7</f>
        <v>0</v>
      </c>
      <c r="R54" s="440">
        <f t="shared" ref="R54:AB54" si="38">R53*R21/10^7</f>
        <v>0</v>
      </c>
      <c r="S54" s="440">
        <f t="shared" si="38"/>
        <v>0</v>
      </c>
      <c r="T54" s="440">
        <f t="shared" si="38"/>
        <v>0</v>
      </c>
      <c r="U54" s="440">
        <f t="shared" si="38"/>
        <v>0</v>
      </c>
      <c r="V54" s="440">
        <f t="shared" si="38"/>
        <v>0</v>
      </c>
      <c r="W54" s="440">
        <f t="shared" si="38"/>
        <v>0</v>
      </c>
      <c r="X54" s="440">
        <f t="shared" si="38"/>
        <v>0</v>
      </c>
      <c r="Y54" s="440">
        <f t="shared" si="38"/>
        <v>0</v>
      </c>
      <c r="Z54" s="440">
        <f t="shared" si="38"/>
        <v>0</v>
      </c>
      <c r="AA54" s="440">
        <f t="shared" si="38"/>
        <v>0</v>
      </c>
      <c r="AB54" s="440">
        <f t="shared" si="38"/>
        <v>0</v>
      </c>
    </row>
  </sheetData>
  <mergeCells count="3">
    <mergeCell ref="M29:O29"/>
    <mergeCell ref="AG29:AI29"/>
    <mergeCell ref="AJ29:AL29"/>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84"/>
  <sheetViews>
    <sheetView showGridLines="0" tabSelected="1" zoomScale="91" zoomScaleNormal="91" workbookViewId="0">
      <selection activeCell="A2" sqref="A2"/>
    </sheetView>
  </sheetViews>
  <sheetFormatPr defaultColWidth="0" defaultRowHeight="12.75" zeroHeight="1"/>
  <cols>
    <col min="1" max="1" width="9.140625" style="7" customWidth="1"/>
    <col min="2" max="2" width="44.5703125" style="19" customWidth="1"/>
    <col min="3" max="3" width="10.7109375" style="7" customWidth="1"/>
    <col min="4" max="4" width="20.42578125" style="10" customWidth="1"/>
    <col min="5" max="5" width="30.7109375" style="7" customWidth="1"/>
    <col min="6" max="18" width="9.85546875" style="7" customWidth="1"/>
    <col min="19" max="20" width="10.42578125" style="7" bestFit="1" customWidth="1"/>
    <col min="21" max="28" width="9.140625" style="7" customWidth="1"/>
    <col min="29" max="16384" width="9.140625" style="7" hidden="1"/>
  </cols>
  <sheetData>
    <row r="1" spans="1:26"/>
    <row r="2" spans="1:26"/>
    <row r="3" spans="1:26">
      <c r="B3" s="1240" t="s">
        <v>0</v>
      </c>
      <c r="C3" s="1240"/>
    </row>
    <row r="4" spans="1:26">
      <c r="A4" s="7">
        <f>242*(1000/45)</f>
        <v>5377.7777777777774</v>
      </c>
      <c r="B4" s="19" t="s">
        <v>4</v>
      </c>
      <c r="C4" s="12">
        <v>5377.7777777777783</v>
      </c>
      <c r="D4" s="10" t="s">
        <v>5</v>
      </c>
      <c r="G4" s="54"/>
      <c r="H4" s="8"/>
      <c r="I4" s="8"/>
    </row>
    <row r="5" spans="1:26">
      <c r="B5" s="19" t="s">
        <v>6</v>
      </c>
      <c r="C5" s="12">
        <v>404</v>
      </c>
      <c r="D5" s="10" t="s">
        <v>5</v>
      </c>
      <c r="G5" s="382"/>
      <c r="H5" s="382"/>
      <c r="I5" s="382"/>
      <c r="J5" s="382"/>
    </row>
    <row r="6" spans="1:26">
      <c r="B6" s="19" t="s">
        <v>2</v>
      </c>
      <c r="C6" s="13">
        <v>0.05</v>
      </c>
      <c r="D6" s="10" t="s">
        <v>7</v>
      </c>
    </row>
    <row r="7" spans="1:26"/>
    <row r="8" spans="1:26">
      <c r="B8" s="19" t="s">
        <v>12</v>
      </c>
      <c r="C8" s="12">
        <v>3620</v>
      </c>
      <c r="D8" s="10" t="s">
        <v>11</v>
      </c>
      <c r="J8" s="6"/>
    </row>
    <row r="9" spans="1:26">
      <c r="B9" s="19" t="s">
        <v>13</v>
      </c>
      <c r="C9" s="12">
        <v>340</v>
      </c>
      <c r="D9" s="10" t="s">
        <v>14</v>
      </c>
      <c r="F9" s="4">
        <f>'P&amp;L'!D3</f>
        <v>43921</v>
      </c>
      <c r="G9" s="4">
        <f>'P&amp;L'!E3</f>
        <v>44286</v>
      </c>
      <c r="H9" s="4">
        <f>'P&amp;L'!F3</f>
        <v>44651</v>
      </c>
      <c r="I9" s="4">
        <f>'P&amp;L'!G3</f>
        <v>45016</v>
      </c>
      <c r="J9" s="4">
        <f>'P&amp;L'!H3</f>
        <v>45382</v>
      </c>
      <c r="K9" s="4">
        <f>'P&amp;L'!I3</f>
        <v>45747</v>
      </c>
      <c r="L9" s="4">
        <f>'P&amp;L'!J3</f>
        <v>46112</v>
      </c>
      <c r="M9" s="4">
        <f>'P&amp;L'!K3</f>
        <v>46477</v>
      </c>
      <c r="N9" s="4">
        <f>'P&amp;L'!L3</f>
        <v>46843</v>
      </c>
      <c r="O9" s="4">
        <f>'P&amp;L'!M3</f>
        <v>47208</v>
      </c>
      <c r="P9" s="4">
        <f>'P&amp;L'!N3</f>
        <v>47573</v>
      </c>
      <c r="Q9" s="4">
        <f>'P&amp;L'!O3</f>
        <v>47938</v>
      </c>
      <c r="R9" s="4">
        <f>'P&amp;L'!P3</f>
        <v>48304</v>
      </c>
      <c r="S9" s="4">
        <f>'P&amp;L'!Q3</f>
        <v>48669</v>
      </c>
      <c r="T9" s="4">
        <f>'P&amp;L'!R3</f>
        <v>49034</v>
      </c>
      <c r="U9" s="4">
        <f>'P&amp;L'!S3</f>
        <v>49399</v>
      </c>
      <c r="V9" s="4">
        <f>'P&amp;L'!T3</f>
        <v>49765</v>
      </c>
      <c r="W9" s="4">
        <f>'P&amp;L'!U3</f>
        <v>50130</v>
      </c>
      <c r="X9" s="4">
        <f>'P&amp;L'!V3</f>
        <v>50495</v>
      </c>
      <c r="Y9" s="4">
        <f>'P&amp;L'!W3</f>
        <v>50860</v>
      </c>
      <c r="Z9" s="4">
        <f>'P&amp;L'!X3</f>
        <v>51226</v>
      </c>
    </row>
    <row r="10" spans="1:26">
      <c r="B10" s="19" t="s">
        <v>15</v>
      </c>
      <c r="C10" s="7">
        <f>C8*C9</f>
        <v>1230800</v>
      </c>
      <c r="D10" s="10" t="s">
        <v>16</v>
      </c>
      <c r="E10" s="11" t="s">
        <v>9</v>
      </c>
      <c r="F10" s="18">
        <v>689754</v>
      </c>
      <c r="G10" s="18">
        <v>743404</v>
      </c>
      <c r="H10" s="18">
        <v>914176</v>
      </c>
      <c r="I10" s="7">
        <f>'PROD SCH'!BC21</f>
        <v>1308709</v>
      </c>
      <c r="J10" s="7">
        <f>'PROD SCH'!BP21</f>
        <v>1320000</v>
      </c>
      <c r="K10" s="7">
        <f>'PROD SCH'!CC21</f>
        <v>1443200</v>
      </c>
      <c r="L10" s="7">
        <f>'PROD SCH'!CD21</f>
        <v>1519980</v>
      </c>
      <c r="M10" s="7">
        <f>L10</f>
        <v>1519980</v>
      </c>
      <c r="N10" s="7">
        <f t="shared" ref="N10:Z10" si="0">M10</f>
        <v>1519980</v>
      </c>
      <c r="O10" s="7">
        <f t="shared" si="0"/>
        <v>1519980</v>
      </c>
      <c r="P10" s="7">
        <f t="shared" si="0"/>
        <v>1519980</v>
      </c>
      <c r="Q10" s="7">
        <f t="shared" si="0"/>
        <v>1519980</v>
      </c>
      <c r="R10" s="7">
        <f t="shared" si="0"/>
        <v>1519980</v>
      </c>
      <c r="S10" s="7">
        <f t="shared" si="0"/>
        <v>1519980</v>
      </c>
      <c r="T10" s="7">
        <f t="shared" si="0"/>
        <v>1519980</v>
      </c>
      <c r="U10" s="7">
        <f t="shared" si="0"/>
        <v>1519980</v>
      </c>
      <c r="V10" s="7">
        <f t="shared" si="0"/>
        <v>1519980</v>
      </c>
      <c r="W10" s="7">
        <f t="shared" si="0"/>
        <v>1519980</v>
      </c>
      <c r="X10" s="7">
        <f t="shared" si="0"/>
        <v>1519980</v>
      </c>
      <c r="Y10" s="7">
        <f t="shared" si="0"/>
        <v>1519980</v>
      </c>
      <c r="Z10" s="7">
        <f t="shared" si="0"/>
        <v>1519980</v>
      </c>
    </row>
    <row r="11" spans="1:26">
      <c r="B11" s="19" t="s">
        <v>17</v>
      </c>
      <c r="C11" s="12">
        <f>2*597300</f>
        <v>1194600</v>
      </c>
      <c r="D11" s="10" t="s">
        <v>16</v>
      </c>
      <c r="E11" s="11" t="s">
        <v>36</v>
      </c>
      <c r="F11" s="17">
        <v>6.1572516578519307</v>
      </c>
      <c r="G11" s="17">
        <v>6.0253912500469653</v>
      </c>
      <c r="H11" s="17">
        <v>6.181816283336377</v>
      </c>
      <c r="I11" s="17">
        <f>'PROD SCH'!BC20</f>
        <v>5.9744233028366267</v>
      </c>
      <c r="J11" s="5">
        <f>'PROD SCH'!BP20</f>
        <v>5.9560606060606061</v>
      </c>
      <c r="K11" s="5">
        <f>'PROD SCH'!CC20</f>
        <v>5.5374168514412414</v>
      </c>
      <c r="L11" s="5">
        <f>'PROD SCH'!CD20</f>
        <v>5.41</v>
      </c>
      <c r="M11" s="5">
        <f t="shared" ref="M11:S11" si="1">L11</f>
        <v>5.41</v>
      </c>
      <c r="N11" s="5">
        <f t="shared" si="1"/>
        <v>5.41</v>
      </c>
      <c r="O11" s="5">
        <f t="shared" si="1"/>
        <v>5.41</v>
      </c>
      <c r="P11" s="5">
        <f t="shared" si="1"/>
        <v>5.41</v>
      </c>
      <c r="Q11" s="5">
        <f t="shared" si="1"/>
        <v>5.41</v>
      </c>
      <c r="R11" s="5">
        <f t="shared" si="1"/>
        <v>5.41</v>
      </c>
      <c r="S11" s="5">
        <f t="shared" si="1"/>
        <v>5.41</v>
      </c>
      <c r="T11" s="5">
        <f>S11</f>
        <v>5.41</v>
      </c>
      <c r="U11" s="5">
        <f t="shared" ref="U11:Z11" si="2">T11</f>
        <v>5.41</v>
      </c>
      <c r="V11" s="5">
        <f t="shared" si="2"/>
        <v>5.41</v>
      </c>
      <c r="W11" s="5">
        <f t="shared" si="2"/>
        <v>5.41</v>
      </c>
      <c r="X11" s="5">
        <f t="shared" si="2"/>
        <v>5.41</v>
      </c>
      <c r="Y11" s="5">
        <f t="shared" si="2"/>
        <v>5.41</v>
      </c>
      <c r="Z11" s="5">
        <f t="shared" si="2"/>
        <v>5.41</v>
      </c>
    </row>
    <row r="12" spans="1:26">
      <c r="B12" s="20"/>
      <c r="C12" s="17"/>
      <c r="D12" s="16"/>
      <c r="E12" s="11" t="s">
        <v>37</v>
      </c>
      <c r="F12" s="5">
        <v>5.6825000000000001</v>
      </c>
      <c r="G12" s="1067">
        <v>5.5</v>
      </c>
      <c r="H12" s="1067">
        <v>5.5</v>
      </c>
      <c r="I12" s="5">
        <f t="shared" ref="I12:S12" si="3">H12</f>
        <v>5.5</v>
      </c>
      <c r="J12" s="5">
        <f t="shared" si="3"/>
        <v>5.5</v>
      </c>
      <c r="K12" s="5">
        <f t="shared" si="3"/>
        <v>5.5</v>
      </c>
      <c r="L12" s="5">
        <f t="shared" si="3"/>
        <v>5.5</v>
      </c>
      <c r="M12" s="5">
        <f t="shared" si="3"/>
        <v>5.5</v>
      </c>
      <c r="N12" s="5">
        <f t="shared" si="3"/>
        <v>5.5</v>
      </c>
      <c r="O12" s="5">
        <f t="shared" si="3"/>
        <v>5.5</v>
      </c>
      <c r="P12" s="5">
        <f t="shared" si="3"/>
        <v>5.5</v>
      </c>
      <c r="Q12" s="5">
        <f t="shared" si="3"/>
        <v>5.5</v>
      </c>
      <c r="R12" s="5">
        <f t="shared" si="3"/>
        <v>5.5</v>
      </c>
      <c r="S12" s="5">
        <f t="shared" si="3"/>
        <v>5.5</v>
      </c>
      <c r="T12" s="5">
        <f>S12</f>
        <v>5.5</v>
      </c>
      <c r="U12" s="5">
        <f t="shared" ref="U12:Z12" si="4">T12</f>
        <v>5.5</v>
      </c>
      <c r="V12" s="5">
        <f t="shared" si="4"/>
        <v>5.5</v>
      </c>
      <c r="W12" s="5">
        <f t="shared" si="4"/>
        <v>5.5</v>
      </c>
      <c r="X12" s="5">
        <f t="shared" si="4"/>
        <v>5.5</v>
      </c>
      <c r="Y12" s="5">
        <f t="shared" si="4"/>
        <v>5.5</v>
      </c>
      <c r="Z12" s="5">
        <f t="shared" si="4"/>
        <v>5.5</v>
      </c>
    </row>
    <row r="13" spans="1:26"/>
    <row r="14" spans="1:26">
      <c r="B14" s="1240" t="s">
        <v>19</v>
      </c>
      <c r="C14" s="1240"/>
    </row>
    <row r="15" spans="1:26">
      <c r="B15" s="19" t="s">
        <v>20</v>
      </c>
      <c r="C15" s="14">
        <f>F170*1</f>
        <v>14.270200780129841</v>
      </c>
      <c r="D15" s="10" t="s">
        <v>21</v>
      </c>
    </row>
    <row r="16" spans="1:26">
      <c r="B16" s="19" t="s">
        <v>22</v>
      </c>
      <c r="C16" s="13">
        <v>0.25</v>
      </c>
      <c r="E16" s="5"/>
      <c r="F16" s="5"/>
      <c r="G16" s="5"/>
      <c r="H16" s="5"/>
    </row>
    <row r="17" spans="2:8">
      <c r="B17" s="19" t="s">
        <v>23</v>
      </c>
      <c r="C17" s="15">
        <v>0.252</v>
      </c>
      <c r="E17" s="5"/>
    </row>
    <row r="18" spans="2:8">
      <c r="B18" s="19" t="s">
        <v>26</v>
      </c>
      <c r="C18" s="15">
        <f>75*1</f>
        <v>75</v>
      </c>
      <c r="D18" s="10" t="s">
        <v>27</v>
      </c>
    </row>
    <row r="19" spans="2:8" s="18" customFormat="1">
      <c r="B19" s="20"/>
      <c r="C19" s="17"/>
      <c r="D19" s="16"/>
    </row>
    <row r="20" spans="2:8" s="18" customFormat="1">
      <c r="B20" s="20" t="s">
        <v>342</v>
      </c>
      <c r="C20" s="12">
        <v>777.27581415544932</v>
      </c>
      <c r="D20" s="10" t="s">
        <v>30</v>
      </c>
      <c r="F20" s="17"/>
      <c r="G20" s="17"/>
      <c r="H20" s="17"/>
    </row>
    <row r="21" spans="2:8" s="18" customFormat="1">
      <c r="B21" s="20"/>
      <c r="C21" s="17"/>
      <c r="D21" s="16"/>
    </row>
    <row r="22" spans="2:8" s="18" customFormat="1">
      <c r="B22" s="21" t="s">
        <v>28</v>
      </c>
      <c r="C22" s="17"/>
      <c r="D22" s="16"/>
    </row>
    <row r="23" spans="2:8">
      <c r="B23" s="19" t="s">
        <v>24</v>
      </c>
      <c r="C23" s="12">
        <f>C15*C18*1.11/C17</f>
        <v>4714.2627577214653</v>
      </c>
      <c r="D23" s="10" t="s">
        <v>25</v>
      </c>
    </row>
    <row r="24" spans="2:8">
      <c r="B24" s="19" t="s">
        <v>31</v>
      </c>
      <c r="C24" s="12">
        <v>338</v>
      </c>
      <c r="D24" s="10" t="s">
        <v>30</v>
      </c>
    </row>
    <row r="25" spans="2:8">
      <c r="B25" s="19" t="s">
        <v>341</v>
      </c>
      <c r="C25" s="12">
        <v>894.33270318021198</v>
      </c>
      <c r="D25" s="10" t="s">
        <v>30</v>
      </c>
    </row>
    <row r="26" spans="2:8">
      <c r="B26" s="19" t="s">
        <v>44</v>
      </c>
      <c r="C26" s="12">
        <v>1345</v>
      </c>
      <c r="D26" s="10" t="s">
        <v>30</v>
      </c>
    </row>
    <row r="27" spans="2:8">
      <c r="B27" s="19" t="s">
        <v>39</v>
      </c>
      <c r="C27" s="12">
        <v>3446</v>
      </c>
      <c r="D27" s="10" t="s">
        <v>30</v>
      </c>
    </row>
    <row r="28" spans="2:8">
      <c r="B28" s="19" t="s">
        <v>38</v>
      </c>
      <c r="C28" s="12">
        <f>1285+350</f>
        <v>1635</v>
      </c>
      <c r="D28" s="10" t="s">
        <v>30</v>
      </c>
    </row>
    <row r="29" spans="2:8">
      <c r="C29" s="12"/>
      <c r="D29" s="10" t="s">
        <v>30</v>
      </c>
    </row>
    <row r="30" spans="2:8">
      <c r="B30" s="1228"/>
      <c r="C30" s="1229"/>
    </row>
    <row r="31" spans="2:8">
      <c r="B31" s="1228"/>
      <c r="C31" s="1229"/>
    </row>
    <row r="32" spans="2:8">
      <c r="B32" s="19" t="s">
        <v>685</v>
      </c>
      <c r="C32" s="7">
        <f>0.36*12</f>
        <v>4.32</v>
      </c>
    </row>
    <row r="33" spans="2:8">
      <c r="B33" s="19" t="s">
        <v>34</v>
      </c>
      <c r="C33" s="12">
        <v>57.35</v>
      </c>
      <c r="D33" s="10" t="s">
        <v>30</v>
      </c>
    </row>
    <row r="34" spans="2:8">
      <c r="B34" s="19" t="s">
        <v>33</v>
      </c>
      <c r="C34" s="12">
        <f>1345+160</f>
        <v>1505</v>
      </c>
      <c r="D34" s="10" t="s">
        <v>30</v>
      </c>
    </row>
    <row r="35" spans="2:8">
      <c r="B35" s="19" t="s">
        <v>626</v>
      </c>
      <c r="C35" s="9">
        <v>7.4999999999999997E-2</v>
      </c>
    </row>
    <row r="36" spans="2:8">
      <c r="C36" s="9"/>
    </row>
    <row r="37" spans="2:8">
      <c r="B37" s="1240" t="s">
        <v>131</v>
      </c>
      <c r="C37" s="1240"/>
    </row>
    <row r="38" spans="2:8">
      <c r="B38" s="56" t="s">
        <v>139</v>
      </c>
      <c r="C38" s="12">
        <v>21</v>
      </c>
      <c r="D38" s="10" t="s">
        <v>14</v>
      </c>
    </row>
    <row r="39" spans="2:8">
      <c r="B39" s="56" t="s">
        <v>138</v>
      </c>
      <c r="C39" s="12">
        <v>10</v>
      </c>
      <c r="D39" s="10" t="s">
        <v>18</v>
      </c>
    </row>
    <row r="40" spans="2:8">
      <c r="B40" s="56" t="s">
        <v>129</v>
      </c>
    </row>
    <row r="41" spans="2:8">
      <c r="B41" s="57" t="s">
        <v>132</v>
      </c>
      <c r="C41" s="12">
        <v>15</v>
      </c>
      <c r="D41" s="10" t="s">
        <v>14</v>
      </c>
      <c r="E41" s="11"/>
    </row>
    <row r="42" spans="2:8">
      <c r="B42" s="57" t="s">
        <v>133</v>
      </c>
      <c r="C42" s="12">
        <f>100*1+60*0</f>
        <v>100</v>
      </c>
      <c r="D42" s="10" t="s">
        <v>14</v>
      </c>
      <c r="E42" s="18"/>
      <c r="F42" s="18"/>
      <c r="G42" s="18"/>
    </row>
    <row r="43" spans="2:8">
      <c r="B43" s="56" t="s">
        <v>130</v>
      </c>
      <c r="E43" s="18"/>
      <c r="F43" s="18"/>
      <c r="G43" s="18"/>
    </row>
    <row r="44" spans="2:8">
      <c r="B44" s="57" t="s">
        <v>313</v>
      </c>
      <c r="C44" s="12">
        <v>45</v>
      </c>
      <c r="E44" s="18"/>
      <c r="F44" s="18"/>
      <c r="G44" s="18"/>
    </row>
    <row r="45" spans="2:8">
      <c r="B45" s="57" t="s">
        <v>312</v>
      </c>
      <c r="C45" s="12">
        <v>15</v>
      </c>
      <c r="D45" s="10" t="s">
        <v>14</v>
      </c>
      <c r="E45" s="18"/>
      <c r="F45" s="18"/>
      <c r="G45" s="18"/>
      <c r="H45" s="200"/>
    </row>
    <row r="46" spans="2:8">
      <c r="B46" s="57" t="s">
        <v>134</v>
      </c>
      <c r="C46" s="12">
        <v>30</v>
      </c>
      <c r="D46" s="10" t="s">
        <v>14</v>
      </c>
      <c r="E46" s="18"/>
      <c r="F46" s="18"/>
      <c r="G46" s="18"/>
    </row>
    <row r="47" spans="2:8">
      <c r="E47" s="18"/>
      <c r="F47" s="18"/>
      <c r="G47" s="18"/>
    </row>
    <row r="48" spans="2:8">
      <c r="B48" s="19" t="s">
        <v>135</v>
      </c>
      <c r="C48" s="278">
        <v>48</v>
      </c>
      <c r="D48" s="10" t="s">
        <v>14</v>
      </c>
      <c r="E48" s="18"/>
      <c r="F48" s="18"/>
      <c r="G48" s="18"/>
    </row>
    <row r="49" spans="2:7">
      <c r="B49" s="19" t="s">
        <v>136</v>
      </c>
      <c r="C49" s="146">
        <f>61%*1+45%*0</f>
        <v>0.61</v>
      </c>
      <c r="F49" s="17"/>
      <c r="G49" s="18"/>
    </row>
    <row r="50" spans="2:7">
      <c r="B50" s="19" t="s">
        <v>43</v>
      </c>
      <c r="C50" s="12">
        <v>21</v>
      </c>
      <c r="D50" s="10" t="s">
        <v>18</v>
      </c>
      <c r="F50" s="18"/>
      <c r="G50" s="18"/>
    </row>
    <row r="51" spans="2:7">
      <c r="E51" s="18"/>
      <c r="F51" s="18"/>
      <c r="G51" s="18"/>
    </row>
    <row r="52" spans="2:7">
      <c r="B52" s="21" t="s">
        <v>271</v>
      </c>
      <c r="E52" s="18"/>
      <c r="F52" s="18"/>
      <c r="G52" s="18"/>
    </row>
    <row r="53" spans="2:7">
      <c r="B53" s="19" t="s">
        <v>129</v>
      </c>
      <c r="C53" s="146">
        <v>0.1</v>
      </c>
      <c r="E53" s="151"/>
      <c r="F53" s="18"/>
      <c r="G53" s="18"/>
    </row>
    <row r="54" spans="2:7">
      <c r="B54" s="19" t="s">
        <v>128</v>
      </c>
      <c r="C54" s="146">
        <v>0.1</v>
      </c>
      <c r="E54" s="151"/>
      <c r="F54" s="18"/>
      <c r="G54" s="18"/>
    </row>
    <row r="55" spans="2:7">
      <c r="C55" s="158"/>
      <c r="E55" s="18"/>
      <c r="F55" s="18"/>
      <c r="G55" s="18"/>
    </row>
    <row r="56" spans="2:7" s="18" customFormat="1">
      <c r="B56" s="159" t="s">
        <v>305</v>
      </c>
      <c r="C56" s="158"/>
      <c r="D56" s="16"/>
    </row>
    <row r="57" spans="2:7">
      <c r="B57" s="19" t="s">
        <v>157</v>
      </c>
      <c r="C57" s="149">
        <v>0.05</v>
      </c>
    </row>
    <row r="58" spans="2:7">
      <c r="B58" s="19" t="s">
        <v>272</v>
      </c>
      <c r="C58" s="13">
        <v>0.17</v>
      </c>
    </row>
    <row r="59" spans="2:7">
      <c r="B59" s="19" t="s">
        <v>273</v>
      </c>
      <c r="C59" s="55">
        <f>C58</f>
        <v>0.17</v>
      </c>
    </row>
    <row r="60" spans="2:7">
      <c r="B60" s="19" t="s">
        <v>274</v>
      </c>
      <c r="C60" s="55">
        <f>C59</f>
        <v>0.17</v>
      </c>
    </row>
    <row r="61" spans="2:7">
      <c r="B61" s="19" t="s">
        <v>275</v>
      </c>
      <c r="C61" s="13">
        <v>0.14000000000000001</v>
      </c>
    </row>
    <row r="62" spans="2:7">
      <c r="B62" s="19" t="s">
        <v>351</v>
      </c>
      <c r="C62" s="13">
        <v>1E-3</v>
      </c>
    </row>
    <row r="63" spans="2:7">
      <c r="B63" s="19" t="s">
        <v>126</v>
      </c>
      <c r="C63" s="13">
        <v>0.1</v>
      </c>
    </row>
    <row r="64" spans="2:7" ht="12" customHeight="1">
      <c r="B64" s="19" t="s">
        <v>296</v>
      </c>
      <c r="C64" s="13">
        <v>0.08</v>
      </c>
    </row>
    <row r="65" spans="2:26" ht="12" customHeight="1">
      <c r="B65" s="19" t="s">
        <v>306</v>
      </c>
      <c r="C65" s="222">
        <v>1</v>
      </c>
      <c r="D65" s="10" t="s">
        <v>307</v>
      </c>
    </row>
    <row r="66" spans="2:26"/>
    <row r="67" spans="2:26">
      <c r="B67" s="1240" t="s">
        <v>47</v>
      </c>
      <c r="C67" s="1240"/>
    </row>
    <row r="68" spans="2:26">
      <c r="B68" s="21" t="s">
        <v>10</v>
      </c>
    </row>
    <row r="69" spans="2:26">
      <c r="B69" s="19" t="s">
        <v>48</v>
      </c>
      <c r="C69" s="12">
        <v>1440</v>
      </c>
      <c r="D69" s="10" t="s">
        <v>53</v>
      </c>
    </row>
    <row r="70" spans="2:26">
      <c r="B70" s="19" t="s">
        <v>49</v>
      </c>
      <c r="C70" s="12">
        <v>450</v>
      </c>
      <c r="D70" s="10" t="s">
        <v>53</v>
      </c>
    </row>
    <row r="71" spans="2:26">
      <c r="B71" s="19" t="s">
        <v>50</v>
      </c>
      <c r="C71" s="12">
        <v>48</v>
      </c>
      <c r="D71" s="10" t="s">
        <v>53</v>
      </c>
    </row>
    <row r="72" spans="2:26">
      <c r="B72" s="19" t="s">
        <v>51</v>
      </c>
      <c r="C72" s="12">
        <v>311</v>
      </c>
      <c r="D72" s="10" t="s">
        <v>53</v>
      </c>
    </row>
    <row r="73" spans="2:26">
      <c r="B73" s="19" t="s">
        <v>52</v>
      </c>
      <c r="C73" s="12">
        <v>8237</v>
      </c>
      <c r="D73" s="10" t="s">
        <v>54</v>
      </c>
    </row>
    <row r="74" spans="2:26">
      <c r="F74" s="8"/>
      <c r="G74" s="8"/>
      <c r="H74" s="8"/>
      <c r="I74" s="8"/>
      <c r="J74" s="8"/>
      <c r="K74" s="8"/>
      <c r="L74" s="8"/>
      <c r="M74" s="8"/>
      <c r="N74" s="8"/>
    </row>
    <row r="75" spans="2:26">
      <c r="B75" s="21" t="s">
        <v>55</v>
      </c>
      <c r="E75" s="11" t="s">
        <v>8</v>
      </c>
      <c r="F75" s="4">
        <f t="shared" ref="F75:Z75" si="5">F9</f>
        <v>43921</v>
      </c>
      <c r="G75" s="4">
        <f t="shared" si="5"/>
        <v>44286</v>
      </c>
      <c r="H75" s="4">
        <f t="shared" si="5"/>
        <v>44651</v>
      </c>
      <c r="I75" s="4">
        <f t="shared" si="5"/>
        <v>45016</v>
      </c>
      <c r="J75" s="4">
        <f t="shared" si="5"/>
        <v>45382</v>
      </c>
      <c r="K75" s="4">
        <f t="shared" si="5"/>
        <v>45747</v>
      </c>
      <c r="L75" s="4">
        <f t="shared" si="5"/>
        <v>46112</v>
      </c>
      <c r="M75" s="4">
        <f t="shared" si="5"/>
        <v>46477</v>
      </c>
      <c r="N75" s="4">
        <f t="shared" si="5"/>
        <v>46843</v>
      </c>
      <c r="O75" s="4">
        <f t="shared" si="5"/>
        <v>47208</v>
      </c>
      <c r="P75" s="4">
        <f t="shared" si="5"/>
        <v>47573</v>
      </c>
      <c r="Q75" s="4">
        <f t="shared" si="5"/>
        <v>47938</v>
      </c>
      <c r="R75" s="4">
        <f t="shared" si="5"/>
        <v>48304</v>
      </c>
      <c r="S75" s="4">
        <f t="shared" si="5"/>
        <v>48669</v>
      </c>
      <c r="T75" s="4">
        <f t="shared" si="5"/>
        <v>49034</v>
      </c>
      <c r="U75" s="4">
        <f t="shared" si="5"/>
        <v>49399</v>
      </c>
      <c r="V75" s="4">
        <f t="shared" si="5"/>
        <v>49765</v>
      </c>
      <c r="W75" s="4">
        <f t="shared" si="5"/>
        <v>50130</v>
      </c>
      <c r="X75" s="4">
        <f t="shared" si="5"/>
        <v>50495</v>
      </c>
      <c r="Y75" s="4">
        <f t="shared" si="5"/>
        <v>50860</v>
      </c>
      <c r="Z75" s="4">
        <f t="shared" si="5"/>
        <v>51226</v>
      </c>
    </row>
    <row r="76" spans="2:26">
      <c r="B76" s="19" t="s">
        <v>48</v>
      </c>
      <c r="C76" s="147">
        <v>10.4</v>
      </c>
      <c r="D76" s="10" t="s">
        <v>57</v>
      </c>
      <c r="E76" s="10" t="s">
        <v>60</v>
      </c>
      <c r="F76" s="290">
        <v>236.37029999999996</v>
      </c>
      <c r="G76" s="290">
        <v>0</v>
      </c>
      <c r="H76" s="290">
        <f>157.683322808218*0</f>
        <v>0</v>
      </c>
      <c r="I76" s="290">
        <v>162.27704317808249</v>
      </c>
      <c r="J76" s="290">
        <v>194.73245181369899</v>
      </c>
      <c r="K76" s="290">
        <v>227.18786044931548</v>
      </c>
      <c r="L76" s="290">
        <v>259.643269084932</v>
      </c>
      <c r="M76" s="290">
        <v>292.09867772054849</v>
      </c>
      <c r="N76" s="290">
        <v>324.55408635616499</v>
      </c>
      <c r="O76" s="7">
        <v>324.55408635616499</v>
      </c>
      <c r="P76" s="7">
        <v>324.55408635616499</v>
      </c>
      <c r="Q76" s="7">
        <v>324.55408635616499</v>
      </c>
      <c r="R76" s="7">
        <v>324.55408635616499</v>
      </c>
      <c r="S76" s="7">
        <v>324.55408635616499</v>
      </c>
      <c r="T76" s="7">
        <v>324.55408635616499</v>
      </c>
      <c r="U76" s="7">
        <v>324.55408635616499</v>
      </c>
      <c r="V76" s="7">
        <v>324.55408635616499</v>
      </c>
      <c r="W76" s="7">
        <v>324.55408635616499</v>
      </c>
      <c r="X76" s="7">
        <v>324.55408635616499</v>
      </c>
      <c r="Y76" s="7">
        <v>324.55408635616499</v>
      </c>
      <c r="Z76" s="7">
        <v>324.55408635616499</v>
      </c>
    </row>
    <row r="77" spans="2:26">
      <c r="B77" s="19" t="s">
        <v>56</v>
      </c>
      <c r="C77" s="147">
        <v>4</v>
      </c>
      <c r="D77" s="10" t="s">
        <v>57</v>
      </c>
      <c r="E77" s="10" t="s">
        <v>61</v>
      </c>
      <c r="F77" s="290">
        <v>49.388999999999996</v>
      </c>
      <c r="G77" s="290">
        <v>0</v>
      </c>
      <c r="H77" s="290">
        <f>32.947547260274*0</f>
        <v>0</v>
      </c>
      <c r="I77" s="290">
        <v>33.907393972602748</v>
      </c>
      <c r="J77" s="290">
        <v>40.688872767123293</v>
      </c>
      <c r="K77" s="290">
        <v>47.470351561643845</v>
      </c>
      <c r="L77" s="290">
        <v>54.251830356164398</v>
      </c>
      <c r="M77" s="290">
        <v>61.03330915068495</v>
      </c>
      <c r="N77" s="290">
        <v>67.814787945205495</v>
      </c>
      <c r="O77" s="7">
        <v>67.814787945205495</v>
      </c>
      <c r="P77" s="7">
        <v>67.814787945205495</v>
      </c>
      <c r="Q77" s="7">
        <v>67.814787945205495</v>
      </c>
      <c r="R77" s="7">
        <v>67.814787945205495</v>
      </c>
      <c r="S77" s="7">
        <v>67.814787945205495</v>
      </c>
      <c r="T77" s="7">
        <v>67.814787945205495</v>
      </c>
      <c r="U77" s="7">
        <v>67.814787945205495</v>
      </c>
      <c r="V77" s="7">
        <v>67.814787945205495</v>
      </c>
      <c r="W77" s="7">
        <v>67.814787945205495</v>
      </c>
      <c r="X77" s="7">
        <v>67.814787945205495</v>
      </c>
      <c r="Y77" s="7">
        <v>67.814787945205495</v>
      </c>
      <c r="Z77" s="7">
        <v>67.814787945205495</v>
      </c>
    </row>
    <row r="78" spans="2:26">
      <c r="B78" s="19" t="s">
        <v>49</v>
      </c>
      <c r="C78" s="147">
        <v>10.3</v>
      </c>
      <c r="D78" s="10" t="s">
        <v>57</v>
      </c>
      <c r="E78" s="10" t="s">
        <v>62</v>
      </c>
      <c r="F78" s="290">
        <v>72.719999999999985</v>
      </c>
      <c r="G78" s="290">
        <v>0</v>
      </c>
      <c r="H78" s="290">
        <f>48.5117260273973*0</f>
        <v>0</v>
      </c>
      <c r="I78" s="290">
        <v>49.924997260273997</v>
      </c>
      <c r="J78" s="290">
        <v>59.909996712328791</v>
      </c>
      <c r="K78" s="290">
        <v>69.894996164383585</v>
      </c>
      <c r="L78" s="290">
        <v>79.879995616438407</v>
      </c>
      <c r="M78" s="290">
        <v>89.864995068493201</v>
      </c>
      <c r="N78" s="290">
        <v>99.849994520547995</v>
      </c>
      <c r="O78" s="7">
        <v>99.849994520547995</v>
      </c>
      <c r="P78" s="7">
        <v>99.849994520547995</v>
      </c>
      <c r="Q78" s="7">
        <v>99.849994520547995</v>
      </c>
      <c r="R78" s="7">
        <v>99.849994520547995</v>
      </c>
      <c r="S78" s="7">
        <v>99.849994520547995</v>
      </c>
      <c r="T78" s="7">
        <v>99.849994520547995</v>
      </c>
      <c r="U78" s="7">
        <v>99.849994520547995</v>
      </c>
      <c r="V78" s="7">
        <v>99.849994520547995</v>
      </c>
      <c r="W78" s="7">
        <v>99.849994520547995</v>
      </c>
      <c r="X78" s="7">
        <v>99.849994520547995</v>
      </c>
      <c r="Y78" s="7">
        <v>99.849994520547995</v>
      </c>
      <c r="Z78" s="7">
        <v>99.849994520547995</v>
      </c>
    </row>
    <row r="79" spans="2:26">
      <c r="B79" s="19" t="s">
        <v>50</v>
      </c>
      <c r="C79" s="147">
        <v>105</v>
      </c>
      <c r="D79" s="10" t="s">
        <v>57</v>
      </c>
      <c r="E79" s="10" t="s">
        <v>63</v>
      </c>
      <c r="F79" s="290">
        <v>7.847699999999997</v>
      </c>
      <c r="G79" s="290">
        <v>0</v>
      </c>
      <c r="H79" s="290">
        <f>5.23522376712328*0</f>
        <v>0</v>
      </c>
      <c r="I79" s="290">
        <v>5.0130195068493002</v>
      </c>
      <c r="J79" s="290">
        <v>6.0156234082191604</v>
      </c>
      <c r="K79" s="290">
        <v>7.0182273095890197</v>
      </c>
      <c r="L79" s="290">
        <v>8.02083121095888</v>
      </c>
      <c r="M79" s="290">
        <v>9.0234351123287411</v>
      </c>
      <c r="N79" s="290">
        <v>10.0260390136986</v>
      </c>
      <c r="O79" s="7">
        <v>10.0260390136986</v>
      </c>
      <c r="P79" s="7">
        <v>10.0260390136986</v>
      </c>
      <c r="Q79" s="7">
        <v>10.0260390136986</v>
      </c>
      <c r="R79" s="7">
        <v>10.0260390136986</v>
      </c>
      <c r="S79" s="7">
        <v>10.0260390136986</v>
      </c>
      <c r="T79" s="7">
        <v>10.0260390136986</v>
      </c>
      <c r="U79" s="7">
        <v>10.0260390136986</v>
      </c>
      <c r="V79" s="7">
        <v>10.0260390136986</v>
      </c>
      <c r="W79" s="7">
        <v>10.0260390136986</v>
      </c>
      <c r="X79" s="7">
        <v>10.0260390136986</v>
      </c>
      <c r="Y79" s="7">
        <v>10.0260390136986</v>
      </c>
      <c r="Z79" s="7">
        <v>10.0260390136986</v>
      </c>
    </row>
    <row r="80" spans="2:26">
      <c r="B80" s="19" t="s">
        <v>51</v>
      </c>
      <c r="C80" s="147">
        <v>7.5</v>
      </c>
      <c r="D80" s="10" t="s">
        <v>57</v>
      </c>
      <c r="E80" s="10" t="s">
        <v>64</v>
      </c>
      <c r="F80" s="290">
        <v>47.570234239403405</v>
      </c>
      <c r="G80" s="290">
        <v>0</v>
      </c>
      <c r="H80" s="290">
        <f>31.2051981352651*0</f>
        <v>0</v>
      </c>
      <c r="I80" s="290">
        <v>29.880722186043251</v>
      </c>
      <c r="J80" s="290">
        <v>35.856866623251896</v>
      </c>
      <c r="K80" s="290">
        <v>41.833011060460549</v>
      </c>
      <c r="L80" s="290">
        <v>47.809155497669202</v>
      </c>
      <c r="M80" s="290">
        <v>53.785299934877855</v>
      </c>
      <c r="N80" s="290">
        <v>59.761444372086501</v>
      </c>
      <c r="O80" s="7">
        <v>59.761444372086501</v>
      </c>
      <c r="P80" s="7">
        <v>59.761444372086501</v>
      </c>
      <c r="Q80" s="7">
        <v>59.761444372086501</v>
      </c>
      <c r="R80" s="7">
        <v>59.761444372086501</v>
      </c>
      <c r="S80" s="7">
        <v>59.761444372086501</v>
      </c>
      <c r="T80" s="7">
        <v>59.761444372086501</v>
      </c>
      <c r="U80" s="7">
        <v>59.761444372086501</v>
      </c>
      <c r="V80" s="7">
        <v>59.761444372086501</v>
      </c>
      <c r="W80" s="7">
        <v>59.761444372086501</v>
      </c>
      <c r="X80" s="7">
        <v>59.761444372086501</v>
      </c>
      <c r="Y80" s="7">
        <v>59.761444372086501</v>
      </c>
      <c r="Z80" s="7">
        <v>59.761444372086501</v>
      </c>
    </row>
    <row r="81" spans="2:26">
      <c r="B81" s="19" t="s">
        <v>52</v>
      </c>
      <c r="C81" s="147">
        <v>95</v>
      </c>
      <c r="D81" s="10" t="s">
        <v>58</v>
      </c>
      <c r="E81" s="10" t="s">
        <v>46</v>
      </c>
      <c r="F81" s="290">
        <v>378.15460273972604</v>
      </c>
      <c r="G81" s="290">
        <v>0</v>
      </c>
      <c r="H81" s="290">
        <f>262.437891780822*0</f>
        <v>0</v>
      </c>
      <c r="I81" s="290">
        <v>279.47559452054747</v>
      </c>
      <c r="J81" s="290">
        <v>335.37071342465697</v>
      </c>
      <c r="K81" s="290">
        <v>391.26583232876646</v>
      </c>
      <c r="L81" s="290">
        <v>447.16095123287596</v>
      </c>
      <c r="M81" s="290">
        <v>503.05607013698545</v>
      </c>
      <c r="N81" s="290">
        <v>558.95118904109495</v>
      </c>
      <c r="O81" s="7">
        <v>558.95118904109495</v>
      </c>
      <c r="P81" s="7">
        <v>558.95118904109495</v>
      </c>
      <c r="Q81" s="7">
        <v>558.95118904109495</v>
      </c>
      <c r="R81" s="7">
        <v>558.95118904109495</v>
      </c>
      <c r="S81" s="7">
        <v>558.95118904109495</v>
      </c>
      <c r="T81" s="7">
        <v>558.95118904109495</v>
      </c>
      <c r="U81" s="7">
        <v>558.95118904109495</v>
      </c>
      <c r="V81" s="7">
        <v>558.95118904109495</v>
      </c>
      <c r="W81" s="7">
        <v>558.95118904109495</v>
      </c>
      <c r="X81" s="7">
        <v>558.95118904109495</v>
      </c>
      <c r="Y81" s="7">
        <v>558.95118904109495</v>
      </c>
      <c r="Z81" s="7">
        <v>558.95118904109495</v>
      </c>
    </row>
    <row r="82" spans="2:26"/>
    <row r="83" spans="2:26">
      <c r="B83" s="21" t="s">
        <v>73</v>
      </c>
      <c r="E83" s="11"/>
    </row>
    <row r="84" spans="2:26">
      <c r="B84" s="19" t="s">
        <v>48</v>
      </c>
      <c r="C84" s="147">
        <v>3.9119267355382497</v>
      </c>
      <c r="D84" s="10" t="s">
        <v>57</v>
      </c>
      <c r="E84" s="8"/>
    </row>
    <row r="85" spans="2:26">
      <c r="B85" s="19" t="s">
        <v>56</v>
      </c>
      <c r="C85" s="147">
        <v>1.8049758862487</v>
      </c>
      <c r="D85" s="10" t="s">
        <v>57</v>
      </c>
      <c r="E85" s="8"/>
    </row>
    <row r="86" spans="2:26">
      <c r="B86" s="19" t="s">
        <v>49</v>
      </c>
      <c r="C86" s="147">
        <v>3.8867472711672009</v>
      </c>
      <c r="D86" s="10" t="s">
        <v>57</v>
      </c>
      <c r="E86" s="8"/>
    </row>
    <row r="87" spans="2:26">
      <c r="B87" s="19" t="s">
        <v>50</v>
      </c>
      <c r="C87" s="147">
        <v>50.888500167014996</v>
      </c>
      <c r="D87" s="10" t="s">
        <v>57</v>
      </c>
      <c r="E87" s="8"/>
    </row>
    <row r="88" spans="2:26">
      <c r="B88" s="19" t="s">
        <v>51</v>
      </c>
      <c r="C88" s="147">
        <v>5.9418225306539068</v>
      </c>
      <c r="D88" s="10" t="s">
        <v>57</v>
      </c>
      <c r="E88" s="8"/>
    </row>
    <row r="89" spans="2:26">
      <c r="B89" s="19" t="s">
        <v>52</v>
      </c>
      <c r="C89" s="147">
        <v>78.6394817416395</v>
      </c>
      <c r="D89" s="10" t="s">
        <v>58</v>
      </c>
      <c r="E89" s="8"/>
    </row>
    <row r="90" spans="2:26"/>
    <row r="91" spans="2:26">
      <c r="B91" s="21" t="s">
        <v>65</v>
      </c>
    </row>
    <row r="92" spans="2:26">
      <c r="B92" s="19" t="s">
        <v>48</v>
      </c>
      <c r="C92" s="148">
        <v>0.13</v>
      </c>
    </row>
    <row r="93" spans="2:26">
      <c r="B93" s="19" t="s">
        <v>56</v>
      </c>
      <c r="C93" s="148">
        <v>0</v>
      </c>
    </row>
    <row r="94" spans="2:26">
      <c r="B94" s="19" t="s">
        <v>49</v>
      </c>
      <c r="C94" s="148">
        <v>0.13</v>
      </c>
    </row>
    <row r="95" spans="2:26">
      <c r="B95" s="19" t="s">
        <v>50</v>
      </c>
      <c r="C95" s="148">
        <v>0.19500000000000001</v>
      </c>
    </row>
    <row r="96" spans="2:26">
      <c r="B96" s="19" t="s">
        <v>51</v>
      </c>
      <c r="C96" s="148">
        <v>0.13</v>
      </c>
    </row>
    <row r="97" spans="2:4">
      <c r="B97" s="19" t="s">
        <v>52</v>
      </c>
      <c r="C97" s="148">
        <v>0</v>
      </c>
    </row>
    <row r="98" spans="2:4"/>
    <row r="99" spans="2:4">
      <c r="B99" s="19" t="s">
        <v>67</v>
      </c>
      <c r="C99" s="149">
        <v>0.12429999999999999</v>
      </c>
      <c r="D99" s="10" t="s">
        <v>68</v>
      </c>
    </row>
    <row r="100" spans="2:4">
      <c r="B100" s="19" t="s">
        <v>71</v>
      </c>
      <c r="C100" s="149">
        <v>0.84399999999999997</v>
      </c>
      <c r="D100" s="10" t="s">
        <v>72</v>
      </c>
    </row>
    <row r="101" spans="2:4">
      <c r="B101" s="1" t="s">
        <v>75</v>
      </c>
      <c r="C101" s="149">
        <v>0.01</v>
      </c>
      <c r="D101" s="10" t="s">
        <v>77</v>
      </c>
    </row>
    <row r="102" spans="2:4">
      <c r="B102" s="1" t="s">
        <v>76</v>
      </c>
      <c r="C102" s="149">
        <v>0.05</v>
      </c>
      <c r="D102" s="10" t="s">
        <v>77</v>
      </c>
    </row>
    <row r="103" spans="2:4"/>
    <row r="104" spans="2:4">
      <c r="B104" s="21" t="s">
        <v>74</v>
      </c>
    </row>
    <row r="105" spans="2:4">
      <c r="B105" s="19" t="s">
        <v>48</v>
      </c>
      <c r="C105" s="14">
        <v>0.21</v>
      </c>
      <c r="D105" s="10" t="s">
        <v>57</v>
      </c>
    </row>
    <row r="106" spans="2:4">
      <c r="B106" s="19" t="s">
        <v>56</v>
      </c>
      <c r="C106" s="14">
        <v>0.21</v>
      </c>
      <c r="D106" s="10" t="s">
        <v>57</v>
      </c>
    </row>
    <row r="107" spans="2:4">
      <c r="B107" s="19" t="s">
        <v>49</v>
      </c>
      <c r="C107" s="14">
        <v>0.21</v>
      </c>
      <c r="D107" s="10" t="s">
        <v>57</v>
      </c>
    </row>
    <row r="108" spans="2:4">
      <c r="B108" s="19" t="s">
        <v>50</v>
      </c>
      <c r="C108" s="14">
        <v>0.21</v>
      </c>
      <c r="D108" s="10" t="s">
        <v>57</v>
      </c>
    </row>
    <row r="109" spans="2:4">
      <c r="B109" s="19" t="s">
        <v>51</v>
      </c>
      <c r="C109" s="14">
        <v>0.21</v>
      </c>
      <c r="D109" s="10" t="s">
        <v>57</v>
      </c>
    </row>
    <row r="110" spans="2:4">
      <c r="B110" s="19" t="s">
        <v>52</v>
      </c>
      <c r="C110" s="14">
        <v>5.93</v>
      </c>
      <c r="D110" s="10" t="s">
        <v>58</v>
      </c>
    </row>
    <row r="111" spans="2:4"/>
    <row r="112" spans="2:4">
      <c r="B112" s="1240" t="s">
        <v>345</v>
      </c>
      <c r="C112" s="1240"/>
    </row>
    <row r="113" spans="2:4">
      <c r="B113" s="1" t="s">
        <v>141</v>
      </c>
      <c r="C113" s="150">
        <v>15</v>
      </c>
      <c r="D113" s="10" t="s">
        <v>14</v>
      </c>
    </row>
    <row r="114" spans="2:4">
      <c r="B114" s="1" t="s">
        <v>142</v>
      </c>
      <c r="C114" s="150">
        <v>45</v>
      </c>
      <c r="D114" s="10" t="s">
        <v>14</v>
      </c>
    </row>
    <row r="115" spans="2:4">
      <c r="B115" s="1" t="s">
        <v>143</v>
      </c>
      <c r="C115" s="150">
        <v>240</v>
      </c>
      <c r="D115" s="10" t="s">
        <v>14</v>
      </c>
    </row>
    <row r="116" spans="2:4">
      <c r="B116" s="1" t="s">
        <v>144</v>
      </c>
      <c r="C116" s="150">
        <v>30</v>
      </c>
      <c r="D116" s="10" t="s">
        <v>14</v>
      </c>
    </row>
    <row r="117" spans="2:4">
      <c r="B117" s="19" t="s">
        <v>152</v>
      </c>
      <c r="C117" s="282">
        <v>0.05</v>
      </c>
      <c r="D117" s="10" t="s">
        <v>154</v>
      </c>
    </row>
    <row r="118" spans="2:4" hidden="1">
      <c r="B118" s="19" t="s">
        <v>294</v>
      </c>
      <c r="C118" s="291">
        <f>3*0</f>
        <v>0</v>
      </c>
      <c r="D118" s="10" t="s">
        <v>18</v>
      </c>
    </row>
    <row r="119" spans="2:4"/>
    <row r="120" spans="2:4">
      <c r="B120" s="1240" t="s">
        <v>377</v>
      </c>
      <c r="C120" s="1240"/>
    </row>
    <row r="121" spans="2:4">
      <c r="B121" s="1" t="s">
        <v>346</v>
      </c>
      <c r="C121" s="150">
        <v>120</v>
      </c>
      <c r="D121" s="10" t="s">
        <v>14</v>
      </c>
    </row>
    <row r="122" spans="2:4">
      <c r="B122" s="1" t="s">
        <v>144</v>
      </c>
      <c r="C122" s="150">
        <v>120</v>
      </c>
      <c r="D122" s="10" t="s">
        <v>14</v>
      </c>
    </row>
    <row r="123" spans="2:4">
      <c r="B123" s="19" t="s">
        <v>146</v>
      </c>
      <c r="C123" s="150">
        <v>60</v>
      </c>
      <c r="D123" s="10" t="s">
        <v>14</v>
      </c>
    </row>
    <row r="124" spans="2:4"/>
    <row r="125" spans="2:4">
      <c r="B125" s="1241" t="s">
        <v>117</v>
      </c>
      <c r="C125" s="1241"/>
    </row>
    <row r="126" spans="2:4">
      <c r="B126" s="46" t="s">
        <v>108</v>
      </c>
      <c r="C126" s="47">
        <f>30%*(1+12%)*(1+3%+1%)</f>
        <v>0.34944000000000003</v>
      </c>
    </row>
    <row r="127" spans="2:4">
      <c r="B127" s="46" t="s">
        <v>115</v>
      </c>
      <c r="C127" s="47">
        <f>15%*(1+10%)*(1+3%+1%)</f>
        <v>0.1716</v>
      </c>
    </row>
    <row r="128" spans="2:4">
      <c r="B128" s="46" t="s">
        <v>352</v>
      </c>
      <c r="C128" s="47">
        <f>15%*(1.12)*(1.03)*0</f>
        <v>0</v>
      </c>
    </row>
    <row r="129" spans="1:6">
      <c r="B129" s="46" t="s">
        <v>314</v>
      </c>
      <c r="C129" s="201">
        <v>51591</v>
      </c>
    </row>
    <row r="130" spans="1:6">
      <c r="B130" s="46" t="s">
        <v>108</v>
      </c>
      <c r="C130" s="47">
        <f>22%*(1+10%)*(1+3%+1%)</f>
        <v>0.25168000000000001</v>
      </c>
    </row>
    <row r="131" spans="1:6">
      <c r="B131" s="46" t="s">
        <v>115</v>
      </c>
      <c r="C131" s="47">
        <f>15%*(1+10%)*(1+3%+1%)</f>
        <v>0.1716</v>
      </c>
    </row>
    <row r="132" spans="1:6"/>
    <row r="133" spans="1:6">
      <c r="B133" s="1241" t="s">
        <v>119</v>
      </c>
      <c r="C133" s="1241"/>
    </row>
    <row r="134" spans="1:6" s="18" customFormat="1">
      <c r="A134" s="18">
        <f>1662*C134</f>
        <v>0</v>
      </c>
      <c r="B134" s="19" t="s">
        <v>276</v>
      </c>
      <c r="C134" s="275">
        <v>0</v>
      </c>
      <c r="D134" s="16"/>
    </row>
    <row r="135" spans="1:6">
      <c r="B135" s="19" t="s">
        <v>116</v>
      </c>
      <c r="C135" s="12">
        <f>350*0</f>
        <v>0</v>
      </c>
      <c r="D135" s="10" t="s">
        <v>18</v>
      </c>
    </row>
    <row r="136" spans="1:6">
      <c r="B136" s="19" t="s">
        <v>118</v>
      </c>
      <c r="C136" s="18">
        <f>C138*$C$134-C135</f>
        <v>0</v>
      </c>
      <c r="D136" s="10" t="s">
        <v>18</v>
      </c>
    </row>
    <row r="137" spans="1:6">
      <c r="C137" s="18"/>
    </row>
    <row r="138" spans="1:6">
      <c r="A138" s="7">
        <f>2071-467</f>
        <v>1604</v>
      </c>
      <c r="B138" s="19" t="s">
        <v>387</v>
      </c>
      <c r="C138" s="12">
        <f>SUM('Lender-wise Break-up'!F12,'Lender-wise Break-up'!H12,'Lender-wise Break-up'!K12)</f>
        <v>1668.8400000000001</v>
      </c>
      <c r="D138" s="10" t="s">
        <v>18</v>
      </c>
    </row>
    <row r="139" spans="1:6">
      <c r="B139" s="19" t="s">
        <v>382</v>
      </c>
      <c r="C139" s="278">
        <f>SUM('Lender-wise Break-up'!G12,'Lender-wise Break-up'!I12)</f>
        <v>401.77199999999999</v>
      </c>
      <c r="D139" s="10" t="s">
        <v>18</v>
      </c>
      <c r="E139" s="453" t="s">
        <v>466</v>
      </c>
    </row>
    <row r="140" spans="1:6">
      <c r="B140" s="19" t="s">
        <v>384</v>
      </c>
      <c r="C140" s="12">
        <f>SUM(Fin_Statements!H26,Fin_Statements!H36,Fin_Statements!H40)-C138</f>
        <v>158.17000000000007</v>
      </c>
      <c r="E140" s="7" t="s">
        <v>464</v>
      </c>
    </row>
    <row r="141" spans="1:6">
      <c r="B141" s="19" t="s">
        <v>392</v>
      </c>
      <c r="C141" s="18">
        <f>C139-C140</f>
        <v>243.60199999999992</v>
      </c>
      <c r="E141" s="7" t="s">
        <v>465</v>
      </c>
      <c r="F141" s="7">
        <f>(F140-F139)*4/3</f>
        <v>0</v>
      </c>
    </row>
    <row r="142" spans="1:6">
      <c r="C142" s="18"/>
      <c r="E142" s="7" t="s">
        <v>463</v>
      </c>
      <c r="F142" s="7">
        <f>F139+F141</f>
        <v>0</v>
      </c>
    </row>
    <row r="143" spans="1:6">
      <c r="B143" s="19" t="s">
        <v>385</v>
      </c>
      <c r="C143" s="148">
        <v>0</v>
      </c>
    </row>
    <row r="144" spans="1:6">
      <c r="B144" s="19" t="s">
        <v>386</v>
      </c>
      <c r="C144" s="297">
        <f>7.82574257425743%*0</f>
        <v>0</v>
      </c>
      <c r="E144" s="49"/>
    </row>
    <row r="145" spans="2:17">
      <c r="B145" s="19" t="s">
        <v>383</v>
      </c>
      <c r="C145" s="12">
        <f>$C$138*(1-$C$134)+$C$143*C139</f>
        <v>1668.8400000000001</v>
      </c>
      <c r="D145" s="10" t="s">
        <v>18</v>
      </c>
    </row>
    <row r="146" spans="2:17" s="18" customFormat="1">
      <c r="B146" s="20"/>
      <c r="D146" s="16"/>
    </row>
    <row r="147" spans="2:17">
      <c r="B147" s="19" t="s">
        <v>282</v>
      </c>
      <c r="C147" s="12">
        <v>1022</v>
      </c>
      <c r="D147" s="10" t="s">
        <v>18</v>
      </c>
      <c r="E147" s="8"/>
    </row>
    <row r="148" spans="2:17">
      <c r="B148" s="19" t="s">
        <v>444</v>
      </c>
      <c r="C148" s="278">
        <f>Shareholding!J37*0</f>
        <v>0</v>
      </c>
      <c r="D148" s="10" t="s">
        <v>18</v>
      </c>
    </row>
    <row r="149" spans="2:17">
      <c r="B149" s="19" t="s">
        <v>445</v>
      </c>
      <c r="C149" s="12">
        <f>280*0-C148</f>
        <v>0</v>
      </c>
      <c r="D149" s="10" t="s">
        <v>18</v>
      </c>
    </row>
    <row r="150" spans="2:17">
      <c r="B150" s="19" t="s">
        <v>283</v>
      </c>
      <c r="C150" s="148">
        <v>0.08</v>
      </c>
      <c r="G150" s="7">
        <f>IF(C156=1,C155-C138*(1-C134),0)-C139*(1-C143-C144)</f>
        <v>-401.77199999999999</v>
      </c>
    </row>
    <row r="151" spans="2:17">
      <c r="B151" s="452" t="s">
        <v>462</v>
      </c>
      <c r="C151" s="453">
        <f>100*0+300*0</f>
        <v>0</v>
      </c>
      <c r="D151" s="10" t="s">
        <v>18</v>
      </c>
      <c r="E151" s="7" t="s">
        <v>293</v>
      </c>
      <c r="G151" s="7">
        <v>-9.7799999999999994</v>
      </c>
      <c r="H151" s="7">
        <f>-15.785*0</f>
        <v>0</v>
      </c>
      <c r="I151" s="7">
        <f>(-45.725*0-24)*0</f>
        <v>0</v>
      </c>
      <c r="J151" s="7">
        <f>(-57.5385-21.7)*0</f>
        <v>0</v>
      </c>
      <c r="K151" s="7">
        <f>-29.9155*0</f>
        <v>0</v>
      </c>
      <c r="L151" s="7">
        <f>-38.432*0</f>
        <v>0</v>
      </c>
    </row>
    <row r="152" spans="2:17">
      <c r="B152" s="19" t="s">
        <v>126</v>
      </c>
      <c r="C152" s="12">
        <f>120.1*0</f>
        <v>0</v>
      </c>
      <c r="D152" s="10" t="s">
        <v>18</v>
      </c>
      <c r="F152" s="4">
        <f>Fin_Statements!I2</f>
        <v>43921</v>
      </c>
      <c r="G152" s="4">
        <f>Fin_Statements!J2</f>
        <v>44286</v>
      </c>
      <c r="H152" s="4">
        <f>Fin_Statements!K2</f>
        <v>44651</v>
      </c>
      <c r="I152" s="4">
        <f>Fin_Statements!L2</f>
        <v>45016</v>
      </c>
      <c r="J152" s="4">
        <f>Fin_Statements!M2</f>
        <v>45382</v>
      </c>
      <c r="K152" s="4">
        <f>Fin_Statements!N2</f>
        <v>45747</v>
      </c>
      <c r="L152" s="4">
        <f>Fin_Statements!O2</f>
        <v>46112</v>
      </c>
    </row>
    <row r="153" spans="2:17">
      <c r="E153" s="7" t="s">
        <v>234</v>
      </c>
      <c r="G153" s="7">
        <f>IF($C$157=1,(128-24)-G151,0)</f>
        <v>0</v>
      </c>
      <c r="H153" s="7">
        <f>IF($C$157=1,-H151,0)++IF(C156=1,C155-C138*(1-C134),0)-C139*(1-C143-C144)</f>
        <v>-401.77199999999999</v>
      </c>
      <c r="I153" s="7">
        <f>IF($C$157=1,-I151,0)</f>
        <v>0</v>
      </c>
      <c r="J153" s="7">
        <f>IF($C$157=1,-J151,0)</f>
        <v>0</v>
      </c>
      <c r="K153" s="7">
        <f>IF($C$157=1,-K151,0)</f>
        <v>0</v>
      </c>
      <c r="L153" s="7">
        <f>IF($C$157=1,-L151,0)</f>
        <v>0</v>
      </c>
    </row>
    <row r="154" spans="2:17">
      <c r="B154" s="19" t="s">
        <v>361</v>
      </c>
      <c r="C154" s="278">
        <v>20</v>
      </c>
      <c r="D154" s="10" t="s">
        <v>18</v>
      </c>
    </row>
    <row r="155" spans="2:17">
      <c r="B155" s="452" t="s">
        <v>264</v>
      </c>
      <c r="C155" s="453">
        <f>97.9*0+100*0</f>
        <v>0</v>
      </c>
      <c r="D155" s="10" t="s">
        <v>18</v>
      </c>
    </row>
    <row r="156" spans="2:17">
      <c r="B156" s="19" t="s">
        <v>265</v>
      </c>
      <c r="C156" s="12">
        <v>0</v>
      </c>
    </row>
    <row r="157" spans="2:17">
      <c r="B157" s="19" t="s">
        <v>267</v>
      </c>
      <c r="C157" s="12">
        <v>0</v>
      </c>
    </row>
    <row r="158" spans="2:17">
      <c r="G158" s="6"/>
    </row>
    <row r="159" spans="2:17">
      <c r="B159" s="19" t="s">
        <v>324</v>
      </c>
      <c r="C159" s="149">
        <v>0.01</v>
      </c>
    </row>
    <row r="160" spans="2:17">
      <c r="C160" s="55"/>
      <c r="F160" s="7" t="s">
        <v>468</v>
      </c>
      <c r="G160" s="7" t="s">
        <v>469</v>
      </c>
      <c r="H160" s="7" t="s">
        <v>470</v>
      </c>
      <c r="I160" s="7" t="s">
        <v>471</v>
      </c>
      <c r="J160" s="7" t="s">
        <v>472</v>
      </c>
      <c r="K160" s="7" t="s">
        <v>609</v>
      </c>
      <c r="L160" s="7" t="s">
        <v>614</v>
      </c>
      <c r="M160" s="7" t="s">
        <v>615</v>
      </c>
      <c r="N160" s="7" t="s">
        <v>616</v>
      </c>
      <c r="O160" s="7" t="s">
        <v>617</v>
      </c>
      <c r="P160" s="7" t="s">
        <v>618</v>
      </c>
      <c r="Q160" s="7" t="s">
        <v>619</v>
      </c>
    </row>
    <row r="164" spans="2:17" hidden="1">
      <c r="B164" s="19" t="s">
        <v>396</v>
      </c>
      <c r="C164" s="7">
        <v>0</v>
      </c>
    </row>
    <row r="166" spans="2:17">
      <c r="E166" s="7" t="s">
        <v>474</v>
      </c>
      <c r="F166" s="7">
        <v>450.85</v>
      </c>
      <c r="G166" s="7">
        <v>502.66</v>
      </c>
      <c r="H166" s="7">
        <v>558.65</v>
      </c>
      <c r="I166" s="7">
        <v>604.26</v>
      </c>
      <c r="J166" s="7">
        <v>530</v>
      </c>
      <c r="K166" s="7">
        <v>340.82</v>
      </c>
      <c r="L166" s="7">
        <v>353.28</v>
      </c>
      <c r="M166" s="7">
        <v>314.08999999999997</v>
      </c>
      <c r="N166" s="7">
        <v>309.89</v>
      </c>
      <c r="O166" s="7">
        <v>311.02999999999997</v>
      </c>
      <c r="P166" s="7">
        <v>302.54000000000002</v>
      </c>
      <c r="Q166" s="7">
        <v>304.33999999999997</v>
      </c>
    </row>
    <row r="167" spans="2:17">
      <c r="E167" s="7" t="s">
        <v>467</v>
      </c>
      <c r="F167" s="7">
        <v>718.33</v>
      </c>
      <c r="G167" s="7">
        <v>766.57</v>
      </c>
      <c r="H167" s="7">
        <v>796.19</v>
      </c>
      <c r="I167" s="7">
        <v>849.95</v>
      </c>
      <c r="J167" s="7">
        <v>899.67</v>
      </c>
      <c r="K167" s="7">
        <v>956.64</v>
      </c>
      <c r="L167" s="7">
        <v>1101.3032699188477</v>
      </c>
      <c r="M167" s="7">
        <v>1108.2327751762862</v>
      </c>
      <c r="N167" s="7">
        <v>1132.5813816972313</v>
      </c>
      <c r="O167" s="7">
        <v>1421.6673754635685</v>
      </c>
      <c r="P167" s="7">
        <v>1461.7779348630472</v>
      </c>
      <c r="Q167" s="7">
        <v>1459.0255556363186</v>
      </c>
    </row>
    <row r="168" spans="2:17">
      <c r="B168" s="21" t="s">
        <v>600</v>
      </c>
      <c r="E168" s="7" t="s">
        <v>473</v>
      </c>
      <c r="F168" s="7">
        <v>74</v>
      </c>
      <c r="G168" s="7">
        <f>F168</f>
        <v>74</v>
      </c>
      <c r="H168" s="7">
        <f>G168</f>
        <v>74</v>
      </c>
      <c r="I168" s="7">
        <f>H168</f>
        <v>74</v>
      </c>
      <c r="J168" s="7">
        <f>I168</f>
        <v>74</v>
      </c>
      <c r="K168" s="7">
        <f>J168</f>
        <v>74</v>
      </c>
      <c r="L168" s="7">
        <f t="shared" ref="L168:Q168" si="6">K168</f>
        <v>74</v>
      </c>
      <c r="M168" s="7">
        <f t="shared" si="6"/>
        <v>74</v>
      </c>
      <c r="N168" s="7">
        <f t="shared" si="6"/>
        <v>74</v>
      </c>
      <c r="O168" s="7">
        <f t="shared" si="6"/>
        <v>74</v>
      </c>
      <c r="P168" s="7">
        <f t="shared" si="6"/>
        <v>74</v>
      </c>
      <c r="Q168" s="7">
        <f t="shared" si="6"/>
        <v>74</v>
      </c>
    </row>
    <row r="169" spans="2:17">
      <c r="B169" s="19" t="s">
        <v>601</v>
      </c>
      <c r="E169" s="7" t="s">
        <v>21</v>
      </c>
      <c r="F169" s="5">
        <f t="shared" ref="F169:Q169" si="7">F167/F168</f>
        <v>9.7071621621621631</v>
      </c>
      <c r="G169" s="5">
        <f t="shared" si="7"/>
        <v>10.359054054054054</v>
      </c>
      <c r="H169" s="5">
        <f t="shared" si="7"/>
        <v>10.759324324324325</v>
      </c>
      <c r="I169" s="5">
        <f t="shared" si="7"/>
        <v>11.485810810810811</v>
      </c>
      <c r="J169" s="5">
        <f t="shared" si="7"/>
        <v>12.157702702702702</v>
      </c>
      <c r="K169" s="5">
        <f t="shared" si="7"/>
        <v>12.927567567567568</v>
      </c>
      <c r="L169" s="5">
        <f t="shared" si="7"/>
        <v>14.882476620524969</v>
      </c>
      <c r="M169" s="5">
        <f t="shared" si="7"/>
        <v>14.976118583463327</v>
      </c>
      <c r="N169" s="5">
        <f t="shared" si="7"/>
        <v>15.305153806719343</v>
      </c>
      <c r="O169" s="5">
        <f t="shared" si="7"/>
        <v>19.211721290048224</v>
      </c>
      <c r="P169" s="5">
        <f t="shared" si="7"/>
        <v>19.753755876527666</v>
      </c>
      <c r="Q169" s="5">
        <f t="shared" si="7"/>
        <v>19.716561562652952</v>
      </c>
    </row>
    <row r="170" spans="2:17">
      <c r="B170" s="19" t="s">
        <v>602</v>
      </c>
      <c r="C170" s="8">
        <v>0.05</v>
      </c>
      <c r="E170" s="7" t="s">
        <v>475</v>
      </c>
      <c r="F170" s="5">
        <f>AVERAGE(F169:Q169)</f>
        <v>14.270200780129841</v>
      </c>
    </row>
    <row r="171" spans="2:17">
      <c r="B171" s="19" t="s">
        <v>603</v>
      </c>
      <c r="C171" s="8">
        <v>5.0000000000000001E-3</v>
      </c>
    </row>
    <row r="172" spans="2:17">
      <c r="B172" s="19" t="s">
        <v>604</v>
      </c>
      <c r="C172" s="8">
        <v>0.05</v>
      </c>
      <c r="E172" s="7" t="s">
        <v>476</v>
      </c>
      <c r="F172" s="8">
        <f t="shared" ref="F172:Q172" si="8">F166/F167</f>
        <v>0.62763632313839046</v>
      </c>
      <c r="G172" s="8">
        <f t="shared" si="8"/>
        <v>0.6557261567762892</v>
      </c>
      <c r="H172" s="8">
        <f t="shared" si="8"/>
        <v>0.70165412778356917</v>
      </c>
      <c r="I172" s="8">
        <f t="shared" si="8"/>
        <v>0.71093593740808281</v>
      </c>
      <c r="J172" s="8">
        <f t="shared" si="8"/>
        <v>0.58910489401669508</v>
      </c>
      <c r="K172" s="8">
        <f t="shared" si="8"/>
        <v>0.35626777053018899</v>
      </c>
      <c r="L172" s="8">
        <f t="shared" si="8"/>
        <v>0.32078357492394649</v>
      </c>
      <c r="M172" s="8">
        <f t="shared" si="8"/>
        <v>0.28341518770732782</v>
      </c>
      <c r="N172" s="8">
        <f t="shared" si="8"/>
        <v>0.27361389212986525</v>
      </c>
      <c r="O172" s="8">
        <f t="shared" si="8"/>
        <v>0.21877831999808059</v>
      </c>
      <c r="P172" s="8">
        <f t="shared" si="8"/>
        <v>0.20696714103044983</v>
      </c>
      <c r="Q172" s="8">
        <f t="shared" si="8"/>
        <v>0.20859127437782915</v>
      </c>
    </row>
    <row r="173" spans="2:17">
      <c r="B173" s="19" t="s">
        <v>605</v>
      </c>
      <c r="C173" s="8">
        <v>0</v>
      </c>
    </row>
    <row r="174" spans="2:17">
      <c r="F174" s="7">
        <f>F170*74/0.252*1.11</f>
        <v>4651.4059209518455</v>
      </c>
    </row>
    <row r="175" spans="2:17"/>
    <row r="176" spans="2:17"/>
    <row r="177" spans="2:2"/>
    <row r="178" spans="2:2"/>
    <row r="179" spans="2:2">
      <c r="B179" s="21"/>
    </row>
    <row r="180" spans="2:2"/>
    <row r="181" spans="2:2"/>
    <row r="182" spans="2:2"/>
    <row r="183" spans="2:2"/>
    <row r="184" spans="2:2"/>
    <row r="185" spans="2:2"/>
    <row r="186" spans="2:2"/>
    <row r="187" spans="2:2"/>
    <row r="188" spans="2:2"/>
    <row r="189" spans="2:2"/>
    <row r="190" spans="2:2"/>
    <row r="191" spans="2:2"/>
    <row r="192" spans="2: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sheetData>
  <mergeCells count="8">
    <mergeCell ref="B3:C3"/>
    <mergeCell ref="B14:C14"/>
    <mergeCell ref="B67:C67"/>
    <mergeCell ref="B125:C125"/>
    <mergeCell ref="B133:C133"/>
    <mergeCell ref="B37:C37"/>
    <mergeCell ref="B112:C112"/>
    <mergeCell ref="B120:C120"/>
  </mergeCells>
  <phoneticPr fontId="147" type="noConversion"/>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72"/>
  <sheetViews>
    <sheetView showGridLines="0" topLeftCell="A85" zoomScale="140" zoomScaleNormal="140" workbookViewId="0">
      <pane xSplit="2" topLeftCell="F1" activePane="topRight" state="frozen"/>
      <selection pane="topRight" activeCell="G89" sqref="G89"/>
    </sheetView>
  </sheetViews>
  <sheetFormatPr defaultColWidth="0" defaultRowHeight="12.75" zeroHeight="1"/>
  <cols>
    <col min="1" max="1" width="9.140625" style="3" customWidth="1"/>
    <col min="2" max="2" width="34.28515625" style="1" customWidth="1"/>
    <col min="3" max="3" width="13" style="3" customWidth="1"/>
    <col min="4" max="5" width="7" style="7" bestFit="1" customWidth="1"/>
    <col min="6" max="6" width="6.7109375" style="278" bestFit="1" customWidth="1"/>
    <col min="7" max="7" width="6.7109375" style="226" bestFit="1" customWidth="1"/>
    <col min="8" max="18" width="6.7109375" style="7" bestFit="1" customWidth="1"/>
    <col min="19" max="24" width="6.7109375" style="62" bestFit="1" customWidth="1"/>
    <col min="25" max="27" width="9.140625" style="22" customWidth="1"/>
    <col min="28" max="16384" width="9.140625" style="22" hidden="1"/>
  </cols>
  <sheetData>
    <row r="1" spans="1:27" s="1" customFormat="1">
      <c r="A1" s="3"/>
      <c r="B1" s="2" t="s">
        <v>35</v>
      </c>
      <c r="C1" s="59"/>
      <c r="D1" s="3"/>
      <c r="E1" s="7"/>
      <c r="F1" s="1010"/>
      <c r="G1" s="1054"/>
      <c r="H1" s="3"/>
      <c r="I1" s="3"/>
      <c r="J1" s="3"/>
      <c r="K1" s="3"/>
      <c r="L1" s="3"/>
      <c r="M1" s="3"/>
      <c r="N1" s="3"/>
      <c r="O1" s="3"/>
      <c r="P1" s="3"/>
      <c r="Q1" s="3"/>
      <c r="R1" s="3"/>
      <c r="S1" s="134"/>
      <c r="T1" s="134"/>
      <c r="U1" s="134"/>
      <c r="V1" s="134"/>
      <c r="W1" s="134"/>
      <c r="X1" s="134"/>
    </row>
    <row r="2" spans="1:27" s="1" customFormat="1">
      <c r="A2" s="3"/>
      <c r="C2" s="3"/>
      <c r="D2" s="3"/>
      <c r="E2" s="3"/>
      <c r="F2" s="1010"/>
      <c r="G2" s="1054"/>
      <c r="H2" s="3"/>
      <c r="I2" s="3"/>
      <c r="J2" s="3"/>
      <c r="K2" s="3"/>
      <c r="L2" s="3"/>
      <c r="M2" s="3"/>
      <c r="N2" s="3"/>
      <c r="O2" s="3"/>
      <c r="P2" s="3"/>
      <c r="Q2" s="3"/>
      <c r="R2" s="3"/>
      <c r="S2" s="134"/>
      <c r="T2" s="134"/>
      <c r="U2" s="134"/>
      <c r="V2" s="134"/>
      <c r="W2" s="134"/>
      <c r="X2" s="134"/>
    </row>
    <row r="3" spans="1:27" s="1" customFormat="1" ht="13.5" thickBot="1">
      <c r="A3" s="3"/>
      <c r="B3" s="23" t="s">
        <v>40</v>
      </c>
      <c r="C3" s="137"/>
      <c r="D3" s="4">
        <v>43921</v>
      </c>
      <c r="E3" s="4">
        <f>EOMONTH(D3,12)</f>
        <v>44286</v>
      </c>
      <c r="F3" s="1011">
        <f t="shared" ref="F3:Q3" si="0">EOMONTH(E3,12)</f>
        <v>44651</v>
      </c>
      <c r="G3" s="1055">
        <f t="shared" si="0"/>
        <v>45016</v>
      </c>
      <c r="H3" s="4">
        <f t="shared" si="0"/>
        <v>45382</v>
      </c>
      <c r="I3" s="4">
        <f t="shared" si="0"/>
        <v>45747</v>
      </c>
      <c r="J3" s="4">
        <f t="shared" si="0"/>
        <v>46112</v>
      </c>
      <c r="K3" s="4">
        <f t="shared" si="0"/>
        <v>46477</v>
      </c>
      <c r="L3" s="4">
        <f t="shared" si="0"/>
        <v>46843</v>
      </c>
      <c r="M3" s="4">
        <f t="shared" si="0"/>
        <v>47208</v>
      </c>
      <c r="N3" s="4">
        <f t="shared" si="0"/>
        <v>47573</v>
      </c>
      <c r="O3" s="4">
        <f t="shared" si="0"/>
        <v>47938</v>
      </c>
      <c r="P3" s="4">
        <f t="shared" si="0"/>
        <v>48304</v>
      </c>
      <c r="Q3" s="4">
        <f t="shared" si="0"/>
        <v>48669</v>
      </c>
      <c r="R3" s="4">
        <f t="shared" ref="R3:X3" si="1">EOMONTH(Q3,12)</f>
        <v>49034</v>
      </c>
      <c r="S3" s="61">
        <f t="shared" si="1"/>
        <v>49399</v>
      </c>
      <c r="T3" s="61">
        <f t="shared" si="1"/>
        <v>49765</v>
      </c>
      <c r="U3" s="61">
        <f t="shared" si="1"/>
        <v>50130</v>
      </c>
      <c r="V3" s="61">
        <f t="shared" si="1"/>
        <v>50495</v>
      </c>
      <c r="W3" s="61">
        <f t="shared" si="1"/>
        <v>50860</v>
      </c>
      <c r="X3" s="61">
        <f t="shared" si="1"/>
        <v>51226</v>
      </c>
    </row>
    <row r="4" spans="1:27">
      <c r="B4" s="71" t="s">
        <v>1</v>
      </c>
      <c r="C4" s="138"/>
      <c r="D4" s="72"/>
      <c r="E4" s="72"/>
      <c r="F4" s="1012"/>
      <c r="G4" s="1056">
        <f>(Assumptions!$C$4-Assumptions!$C$5)*Assumptions!I10/10^7</f>
        <v>650.92277417777791</v>
      </c>
      <c r="H4" s="72">
        <f>(Assumptions!$C$4-Assumptions!$C$5)*Assumptions!J10/10^7</f>
        <v>656.5386666666667</v>
      </c>
      <c r="I4" s="72">
        <f>(Assumptions!$C$4-Assumptions!$C$5)*Assumptions!K10/10^7</f>
        <v>717.81560888888896</v>
      </c>
      <c r="J4" s="72">
        <f>(Assumptions!$C$4-Assumptions!$C$5)*Assumptions!L10/10^7</f>
        <v>756.00427466666667</v>
      </c>
      <c r="K4" s="72">
        <f>(Assumptions!$C$4-Assumptions!$C$5)*Assumptions!M10/10^7</f>
        <v>756.00427466666667</v>
      </c>
      <c r="L4" s="72">
        <f>(Assumptions!$C$4-Assumptions!$C$5)*Assumptions!N10/10^7</f>
        <v>756.00427466666667</v>
      </c>
      <c r="M4" s="72">
        <f>(Assumptions!$C$4-Assumptions!$C$5)*Assumptions!O10/10^7</f>
        <v>756.00427466666667</v>
      </c>
      <c r="N4" s="72">
        <f>(Assumptions!$C$4-Assumptions!$C$5)*Assumptions!P10/10^7</f>
        <v>756.00427466666667</v>
      </c>
      <c r="O4" s="72">
        <f>(Assumptions!$C$4-Assumptions!$C$5)*Assumptions!Q10/10^7</f>
        <v>756.00427466666667</v>
      </c>
      <c r="P4" s="72">
        <f>(Assumptions!$C$4-Assumptions!$C$5)*Assumptions!R10/10^7</f>
        <v>756.00427466666667</v>
      </c>
      <c r="Q4" s="72">
        <f>(Assumptions!$C$4-Assumptions!$C$5)*Assumptions!S10/10^7</f>
        <v>756.00427466666667</v>
      </c>
      <c r="R4" s="72">
        <f>(Assumptions!$C$4-Assumptions!$C$5)*Assumptions!T10/10^7</f>
        <v>756.00427466666667</v>
      </c>
      <c r="S4" s="62">
        <f>(Assumptions!$C$4-Assumptions!$C$5)*Assumptions!U10/10^7</f>
        <v>756.00427466666667</v>
      </c>
      <c r="T4" s="62">
        <f>(Assumptions!$C$4-Assumptions!$C$5)*Assumptions!V10/10^7</f>
        <v>756.00427466666667</v>
      </c>
      <c r="U4" s="62">
        <f>(Assumptions!$C$4-Assumptions!$C$5)*Assumptions!W10/10^7</f>
        <v>756.00427466666667</v>
      </c>
      <c r="V4" s="62">
        <f>(Assumptions!$C$4-Assumptions!$C$5)*Assumptions!X10/10^7</f>
        <v>756.00427466666667</v>
      </c>
      <c r="W4" s="62">
        <f>(Assumptions!$C$4-Assumptions!$C$5)*Assumptions!Y10/10^7</f>
        <v>756.00427466666667</v>
      </c>
      <c r="X4" s="62">
        <f>(Assumptions!$C$4-Assumptions!$C$5)*Assumptions!Z10/10^7</f>
        <v>756.00427466666667</v>
      </c>
    </row>
    <row r="5" spans="1:27">
      <c r="B5" s="60" t="s">
        <v>2</v>
      </c>
      <c r="C5" s="134"/>
      <c r="D5" s="62"/>
      <c r="E5" s="62"/>
      <c r="F5" s="1013"/>
      <c r="G5" s="1039">
        <f>Assumptions!I10*Assumptions!$C$6*Assumptions!$C$4/10^7</f>
        <v>35.189730888888896</v>
      </c>
      <c r="H5" s="62">
        <f>Assumptions!J10*Assumptions!$C$6*Assumptions!$C$4/10^7</f>
        <v>35.493333333333339</v>
      </c>
      <c r="I5" s="62">
        <f>Assumptions!K10*Assumptions!$C$6*Assumptions!$C$4/10^7</f>
        <v>38.806044444444446</v>
      </c>
      <c r="J5" s="62">
        <f>Assumptions!L10*Assumptions!$C$6*Assumptions!$C$4/10^7</f>
        <v>40.87057333333334</v>
      </c>
      <c r="K5" s="62">
        <f>Assumptions!M10*Assumptions!$C$6*Assumptions!$C$4/10^7</f>
        <v>40.87057333333334</v>
      </c>
      <c r="L5" s="62">
        <f>Assumptions!N10*Assumptions!$C$6*Assumptions!$C$4/10^7</f>
        <v>40.87057333333334</v>
      </c>
      <c r="M5" s="62">
        <f>Assumptions!O10*Assumptions!$C$6*Assumptions!$C$4/10^7</f>
        <v>40.87057333333334</v>
      </c>
      <c r="N5" s="62">
        <f>Assumptions!P10*Assumptions!$C$6*Assumptions!$C$4/10^7</f>
        <v>40.87057333333334</v>
      </c>
      <c r="O5" s="62">
        <f>Assumptions!Q10*Assumptions!$C$6*Assumptions!$C$4/10^7</f>
        <v>40.87057333333334</v>
      </c>
      <c r="P5" s="62">
        <f>Assumptions!R10*Assumptions!$C$6*Assumptions!$C$4/10^7</f>
        <v>40.87057333333334</v>
      </c>
      <c r="Q5" s="62">
        <f>Assumptions!S10*Assumptions!$C$6*Assumptions!$C$4/10^7</f>
        <v>40.87057333333334</v>
      </c>
      <c r="R5" s="62">
        <f>Assumptions!T10*Assumptions!$C$6*Assumptions!$C$4/10^7</f>
        <v>40.87057333333334</v>
      </c>
      <c r="S5" s="62">
        <f>Assumptions!U10*Assumptions!$C$6*Assumptions!$C$4/10^7</f>
        <v>40.87057333333334</v>
      </c>
      <c r="T5" s="62">
        <f>Assumptions!V10*Assumptions!$C$6*Assumptions!$C$4/10^7</f>
        <v>40.87057333333334</v>
      </c>
      <c r="U5" s="62">
        <f>Assumptions!W10*Assumptions!$C$6*Assumptions!$C$4/10^7</f>
        <v>40.87057333333334</v>
      </c>
      <c r="V5" s="62">
        <f>Assumptions!X10*Assumptions!$C$6*Assumptions!$C$4/10^7</f>
        <v>40.87057333333334</v>
      </c>
      <c r="W5" s="62">
        <f>Assumptions!Y10*Assumptions!$C$6*Assumptions!$C$4/10^7</f>
        <v>40.87057333333334</v>
      </c>
      <c r="X5" s="62">
        <f>Assumptions!Z10*Assumptions!$C$6*Assumptions!$C$4/10^7</f>
        <v>40.87057333333334</v>
      </c>
    </row>
    <row r="6" spans="1:27">
      <c r="B6" s="60" t="s">
        <v>3</v>
      </c>
      <c r="C6" s="134"/>
      <c r="D6" s="62"/>
      <c r="E6" s="62"/>
      <c r="F6" s="1013"/>
      <c r="G6" s="1039">
        <f>((MIN(Assumptions!I11,Assumptions!I12)*Assumptions!$C$23+SUM(Assumptions!$C$20,Assumptions!$C$24,Assumptions!$C$26))*Assumptions!I10+MIN(Assumptions!I10,Assumptions!$C$11)*(Assumptions!$C$27+IF(G3&gt;=Assumptions!$C$31,Assumptions!$C$29,IF(G3&lt;Assumptions!$C$30,0,Assumptions!$C$29/2)))+MAX(Assumptions!I10-Assumptions!$C$11,0)*Assumptions!$C$28-Assumptions!I10*(Assumptions!$C$4-Assumptions!$C$5))/10^7</f>
        <v>3494.6506720361749</v>
      </c>
      <c r="H6" s="62">
        <f>((MIN(Assumptions!J11,Assumptions!J12)*Assumptions!$C$23+SUM(Assumptions!$C$20,Assumptions!$C$24,Assumptions!$C$26))*Assumptions!J10+MIN(Assumptions!J10,Assumptions!$C$11)*(Assumptions!$C$27+IF(H3&gt;=Assumptions!$C$31,Assumptions!$C$29,IF(H3&lt;Assumptions!$C$30,0,Assumptions!$C$29/2)))+MAX(Assumptions!J10-Assumptions!$C$11,0)*Assumptions!$C$28-Assumptions!J10*(Assumptions!$C$4-Assumptions!$C$5))/10^7</f>
        <v>3522.934562907637</v>
      </c>
      <c r="I6" s="62">
        <f>((MIN(Assumptions!K11,Assumptions!K12)*Assumptions!$C$23+SUM(Assumptions!$C$20,Assumptions!$C$24,Assumptions!$C$26))*Assumptions!K10+MIN(Assumptions!K10,Assumptions!$C$11)*(Assumptions!$C$27+IF(I3&gt;=Assumptions!$C$31,Assumptions!$C$29,IF(I3&lt;Assumptions!$C$30,0,Assumptions!$C$29/2)))+MAX(Assumptions!K10-Assumptions!$C$11,0)*Assumptions!$C$28-Assumptions!K10*(Assumptions!$C$4-Assumptions!$C$5))/10^7</f>
        <v>3831.549863179016</v>
      </c>
      <c r="J6" s="62">
        <f>((MIN(Assumptions!L11,Assumptions!L12)*Assumptions!$C$23+SUM(Assumptions!$C$20,Assumptions!$C$24,Assumptions!$C$26))*Assumptions!L10+MIN(Assumptions!L10,Assumptions!$C$11)*(Assumptions!$C$27+IF(J3&gt;=Assumptions!$C$31,Assumptions!$C$29,IF(J3&lt;Assumptions!$C$30,0,Assumptions!$C$29/2)))+MAX(Assumptions!L10-Assumptions!$C$11,0)*Assumptions!$C$28-Assumptions!L10*(Assumptions!$C$4-Assumptions!$C$5))/10^7</f>
        <v>3959.39306113981</v>
      </c>
      <c r="K6" s="62">
        <f>((MIN(Assumptions!M11,Assumptions!M12)*Assumptions!$C$23+SUM(Assumptions!$C$20,Assumptions!$C$24,Assumptions!$C$26))*Assumptions!M10+MIN(Assumptions!M10,Assumptions!$C$11)*(Assumptions!$C$27+IF(K3&gt;=Assumptions!$C$31,Assumptions!$C$29,IF(K3&lt;Assumptions!$C$30,0,Assumptions!$C$29/2)))+MAX(Assumptions!M10-Assumptions!$C$11,0)*Assumptions!$C$28-Assumptions!M10*(Assumptions!$C$4-Assumptions!$C$5))/10^7</f>
        <v>3959.39306113981</v>
      </c>
      <c r="L6" s="62">
        <f>((MIN(Assumptions!N11,Assumptions!N12)*Assumptions!$C$23+SUM(Assumptions!$C$20,Assumptions!$C$24,Assumptions!$C$26))*Assumptions!N10+MIN(Assumptions!N10,Assumptions!$C$11)*(Assumptions!$C$27+IF(L3&gt;=Assumptions!$C$31,Assumptions!$C$29,IF(L3&lt;Assumptions!$C$30,0,Assumptions!$C$29/2)))+MAX(Assumptions!N10-Assumptions!$C$11,0)*Assumptions!$C$28-Assumptions!N10*(Assumptions!$C$4-Assumptions!$C$5))/10^7</f>
        <v>3959.39306113981</v>
      </c>
      <c r="M6" s="62">
        <f>((MIN(Assumptions!O11,Assumptions!O12)*Assumptions!$C$23+SUM(Assumptions!$C$20,Assumptions!$C$24,Assumptions!$C$26))*Assumptions!O10+MIN(Assumptions!O10,Assumptions!$C$11)*(Assumptions!$C$27+IF(M3&gt;=Assumptions!$C$31,Assumptions!$C$29,IF(M3&lt;Assumptions!$C$30,0,Assumptions!$C$29/2)))+MAX(Assumptions!O10-Assumptions!$C$11,0)*Assumptions!$C$28-Assumptions!O10*(Assumptions!$C$4-Assumptions!$C$5))/10^7</f>
        <v>3959.39306113981</v>
      </c>
      <c r="N6" s="62">
        <f>((MIN(Assumptions!P11,Assumptions!P12)*Assumptions!$C$23+SUM(Assumptions!$C$20,Assumptions!$C$24,Assumptions!$C$26))*Assumptions!P10+MIN(Assumptions!P10,Assumptions!$C$11)*(Assumptions!$C$27+IF(N3&gt;=Assumptions!$C$31,Assumptions!$C$29,IF(N3&lt;Assumptions!$C$30,0,Assumptions!$C$29/2)))+MAX(Assumptions!P10-Assumptions!$C$11,0)*Assumptions!$C$28-Assumptions!P10*(Assumptions!$C$4-Assumptions!$C$5))/10^7</f>
        <v>3959.39306113981</v>
      </c>
      <c r="O6" s="62">
        <f>((MIN(Assumptions!Q11,Assumptions!Q12)*Assumptions!$C$23+SUM(Assumptions!$C$20,Assumptions!$C$24,Assumptions!$C$26))*Assumptions!Q10+MIN(Assumptions!Q10,Assumptions!$C$11)*(Assumptions!$C$27+IF(O3&gt;=Assumptions!$C$31,Assumptions!$C$29,IF(O3&lt;Assumptions!$C$30,0,Assumptions!$C$29/2)))+MAX(Assumptions!Q10-Assumptions!$C$11,0)*Assumptions!$C$28-Assumptions!Q10*(Assumptions!$C$4-Assumptions!$C$5))/10^7</f>
        <v>3959.39306113981</v>
      </c>
      <c r="P6" s="62">
        <f>((MIN(Assumptions!R11,Assumptions!R12)*Assumptions!$C$23+SUM(Assumptions!$C$20,Assumptions!$C$24,Assumptions!$C$26))*Assumptions!R10+MIN(Assumptions!R10,Assumptions!$C$11)*(Assumptions!$C$27+IF(P3&gt;=Assumptions!$C$31,Assumptions!$C$29,IF(P3&lt;Assumptions!$C$30,0,Assumptions!$C$29/2)))+MAX(Assumptions!R10-Assumptions!$C$11,0)*Assumptions!$C$28-Assumptions!R10*(Assumptions!$C$4-Assumptions!$C$5))/10^7</f>
        <v>3959.39306113981</v>
      </c>
      <c r="Q6" s="62">
        <f>((MIN(Assumptions!S11,Assumptions!S12)*Assumptions!$C$23+SUM(Assumptions!$C$20,Assumptions!$C$24,Assumptions!$C$26))*Assumptions!S10+MIN(Assumptions!S10,Assumptions!$C$11)*(Assumptions!$C$27+IF(Q3&gt;=Assumptions!$C$31,Assumptions!$C$29,IF(Q3&lt;Assumptions!$C$30,0,Assumptions!$C$29/2)))+MAX(Assumptions!S10-Assumptions!$C$11,0)*Assumptions!$C$28-Assumptions!S10*(Assumptions!$C$4-Assumptions!$C$5))/10^7</f>
        <v>3959.39306113981</v>
      </c>
      <c r="R6" s="62">
        <f>((MIN(Assumptions!T11,Assumptions!T12)*Assumptions!$C$23+SUM(Assumptions!$C$20,Assumptions!$C$24,Assumptions!$C$26))*Assumptions!T10+MIN(Assumptions!T10,Assumptions!$C$11)*(Assumptions!$C$27+IF(R3&gt;=Assumptions!$C$31,Assumptions!$C$29,IF(R3&lt;Assumptions!$C$30,0,Assumptions!$C$29/2)))+MAX(Assumptions!T10-Assumptions!$C$11,0)*Assumptions!$C$28-Assumptions!T10*(Assumptions!$C$4-Assumptions!$C$5))/10^7</f>
        <v>3959.39306113981</v>
      </c>
      <c r="S6" s="62">
        <f>((MIN(Assumptions!U11,Assumptions!U12)*Assumptions!$C$23+SUM(Assumptions!$C$20,Assumptions!$C$24,Assumptions!$C$26))*Assumptions!U10+MIN(Assumptions!U10,Assumptions!$C$11)*(Assumptions!$C$27+IF(S3&gt;=Assumptions!$C$31,Assumptions!$C$29,IF(S3&lt;Assumptions!$C$30,0,Assumptions!$C$29/2)))+MAX(Assumptions!U10-Assumptions!$C$11,0)*Assumptions!$C$28-Assumptions!U10*(Assumptions!$C$4-Assumptions!$C$5))/10^7</f>
        <v>3959.39306113981</v>
      </c>
      <c r="T6" s="62">
        <f>((MIN(Assumptions!V11,Assumptions!V12)*Assumptions!$C$23+SUM(Assumptions!$C$20,Assumptions!$C$24,Assumptions!$C$26))*Assumptions!V10+MIN(Assumptions!V10,Assumptions!$C$11)*(Assumptions!$C$27+IF(T3&gt;=Assumptions!$C$31,Assumptions!$C$29,IF(T3&lt;Assumptions!$C$30,0,Assumptions!$C$29/2)))+MAX(Assumptions!V10-Assumptions!$C$11,0)*Assumptions!$C$28-Assumptions!V10*(Assumptions!$C$4-Assumptions!$C$5))/10^7</f>
        <v>3959.39306113981</v>
      </c>
      <c r="U6" s="62">
        <f>((MIN(Assumptions!W11,Assumptions!W12)*Assumptions!$C$23+SUM(Assumptions!$C$20,Assumptions!$C$24,Assumptions!$C$26))*Assumptions!W10+MIN(Assumptions!W10,Assumptions!$C$11)*(Assumptions!$C$27+IF(U3&gt;=Assumptions!$C$31,Assumptions!$C$29,IF(U3&lt;Assumptions!$C$30,0,Assumptions!$C$29/2)))+MAX(Assumptions!W10-Assumptions!$C$11,0)*Assumptions!$C$28-Assumptions!W10*(Assumptions!$C$4-Assumptions!$C$5))/10^7</f>
        <v>3959.39306113981</v>
      </c>
      <c r="V6" s="62">
        <f>((MIN(Assumptions!X11,Assumptions!X12)*Assumptions!$C$23+SUM(Assumptions!$C$20,Assumptions!$C$24,Assumptions!$C$26))*Assumptions!X10+MIN(Assumptions!X10,Assumptions!$C$11)*(Assumptions!$C$27+IF(V3&gt;=Assumptions!$C$31,Assumptions!$C$29,IF(V3&lt;Assumptions!$C$30,0,Assumptions!$C$29/2)))+MAX(Assumptions!X10-Assumptions!$C$11,0)*Assumptions!$C$28-Assumptions!X10*(Assumptions!$C$4-Assumptions!$C$5))/10^7</f>
        <v>3959.39306113981</v>
      </c>
      <c r="W6" s="62">
        <f>((MIN(Assumptions!Y11,Assumptions!Y12)*Assumptions!$C$23+SUM(Assumptions!$C$20,Assumptions!$C$24,Assumptions!$C$26))*Assumptions!Y10+MIN(Assumptions!Y10,Assumptions!$C$11)*(Assumptions!$C$27+IF(W3&gt;=Assumptions!$C$31,Assumptions!$C$29,IF(W3&lt;Assumptions!$C$30,0,Assumptions!$C$29/2)))+MAX(Assumptions!Y10-Assumptions!$C$11,0)*Assumptions!$C$28-Assumptions!Y10*(Assumptions!$C$4-Assumptions!$C$5))/10^7</f>
        <v>3959.39306113981</v>
      </c>
      <c r="X6" s="62">
        <f>((MIN(Assumptions!Z11,Assumptions!Z12)*Assumptions!$C$23+SUM(Assumptions!$C$20,Assumptions!$C$24,Assumptions!$C$26))*Assumptions!Z10+MIN(Assumptions!Z10,Assumptions!$C$11)*(Assumptions!$C$27+IF(X3&gt;=Assumptions!$C$31,Assumptions!$C$29,IF(X3&lt;Assumptions!$C$30,0,Assumptions!$C$29/2)))+MAX(Assumptions!Z10-Assumptions!$C$11,0)*Assumptions!$C$28-Assumptions!Z10*(Assumptions!$C$4-Assumptions!$C$5))/10^7</f>
        <v>3959.39306113981</v>
      </c>
    </row>
    <row r="7" spans="1:27">
      <c r="B7" s="60" t="s">
        <v>480</v>
      </c>
      <c r="C7" s="134"/>
      <c r="D7" s="81"/>
      <c r="E7" s="81"/>
      <c r="F7" s="1013"/>
      <c r="G7" s="1039">
        <f>IF(Assumptions!I11&gt;Assumptions!I12,0,Assumptions!$C$23*Assumptions!I10*(Assumptions!I11-Assumptions!I12)/10^7)</f>
        <v>0</v>
      </c>
      <c r="H7" s="81">
        <f>IF(Assumptions!J11&gt;Assumptions!J12,0,Assumptions!$C$23*Assumptions!J10*(Assumptions!J11-Assumptions!J12)/10^7)</f>
        <v>0</v>
      </c>
      <c r="I7" s="81">
        <f>IF(Assumptions!K11&gt;Assumptions!K12,0,Assumptions!$C$23*Assumptions!K10*(Assumptions!K11-Assumptions!K12)/10^7)</f>
        <v>0</v>
      </c>
      <c r="J7" s="81">
        <f>Assumptions!$C$23*Assumptions!L10*(Assumptions!L11-Assumptions!L12)/10^7/(1+Assumptions!$C$16)</f>
        <v>-51.59221276666652</v>
      </c>
      <c r="K7" s="81">
        <f>Assumptions!$C$23*Assumptions!M10*(Assumptions!M11-Assumptions!M12)/10^7/(1+Assumptions!$C$16)</f>
        <v>-51.59221276666652</v>
      </c>
      <c r="L7" s="81">
        <f>Assumptions!$C$23*Assumptions!N10*(Assumptions!N11-Assumptions!N12)/10^7/(1+Assumptions!$C$16)</f>
        <v>-51.59221276666652</v>
      </c>
      <c r="M7" s="81">
        <f>Assumptions!$C$23*Assumptions!O10*(Assumptions!O11-Assumptions!O12)/10^7/(1+Assumptions!$C$16)</f>
        <v>-51.59221276666652</v>
      </c>
      <c r="N7" s="81">
        <f>Assumptions!$C$23*Assumptions!P10*(Assumptions!P11-Assumptions!P12)/10^7/(1+Assumptions!$C$16)</f>
        <v>-51.59221276666652</v>
      </c>
      <c r="O7" s="81">
        <f>Assumptions!$C$23*Assumptions!Q10*(Assumptions!Q11-Assumptions!Q12)/10^7/(1+Assumptions!$C$16)</f>
        <v>-51.59221276666652</v>
      </c>
      <c r="P7" s="81">
        <f>Assumptions!$C$23*Assumptions!R10*(Assumptions!R11-Assumptions!R12)/10^7/(1+Assumptions!$C$16)</f>
        <v>-51.59221276666652</v>
      </c>
      <c r="Q7" s="81">
        <f>Assumptions!$C$23*Assumptions!S10*(Assumptions!S11-Assumptions!S12)/10^7/(1+Assumptions!$C$16)</f>
        <v>-51.59221276666652</v>
      </c>
      <c r="R7" s="81">
        <f>Assumptions!$C$23*Assumptions!T10*(Assumptions!T11-Assumptions!T12)/10^7/(1+Assumptions!$C$16)</f>
        <v>-51.59221276666652</v>
      </c>
      <c r="S7" s="81">
        <f>Assumptions!$C$23*Assumptions!U10*(Assumptions!U11-Assumptions!U12)/10^7/(1+Assumptions!$C$16)</f>
        <v>-51.59221276666652</v>
      </c>
      <c r="T7" s="81">
        <f>Assumptions!$C$23*Assumptions!V10*(Assumptions!V11-Assumptions!V12)/10^7/(1+Assumptions!$C$16)</f>
        <v>-51.59221276666652</v>
      </c>
      <c r="U7" s="81">
        <f>Assumptions!$C$23*Assumptions!W10*(Assumptions!W11-Assumptions!W12)/10^7/(1+Assumptions!$C$16)</f>
        <v>-51.59221276666652</v>
      </c>
      <c r="V7" s="81">
        <f>Assumptions!$C$23*Assumptions!X10*(Assumptions!X11-Assumptions!X12)/10^7/(1+Assumptions!$C$16)</f>
        <v>-51.59221276666652</v>
      </c>
      <c r="W7" s="81">
        <f>Assumptions!$C$23*Assumptions!Y10*(Assumptions!Y11-Assumptions!Y12)/10^7/(1+Assumptions!$C$16)</f>
        <v>-51.59221276666652</v>
      </c>
      <c r="X7" s="81">
        <f>Assumptions!$C$23*Assumptions!Z10*(Assumptions!Z11-Assumptions!Z12)/10^7/(1+Assumptions!$C$16)</f>
        <v>-51.59221276666652</v>
      </c>
    </row>
    <row r="8" spans="1:27">
      <c r="A8" s="7"/>
      <c r="B8" s="64" t="s">
        <v>69</v>
      </c>
      <c r="C8" s="139"/>
      <c r="D8" s="65"/>
      <c r="E8" s="65"/>
      <c r="F8" s="1014"/>
      <c r="G8" s="227">
        <f t="shared" ref="G8:R8" si="2">SUM(G4:G6)-G7</f>
        <v>4180.7631771028418</v>
      </c>
      <c r="H8" s="65">
        <f t="shared" si="2"/>
        <v>4214.9665629076371</v>
      </c>
      <c r="I8" s="65">
        <f t="shared" si="2"/>
        <v>4588.1715165123496</v>
      </c>
      <c r="J8" s="65">
        <f t="shared" si="2"/>
        <v>4807.8601219064767</v>
      </c>
      <c r="K8" s="65">
        <f t="shared" si="2"/>
        <v>4807.8601219064767</v>
      </c>
      <c r="L8" s="65">
        <f t="shared" si="2"/>
        <v>4807.8601219064767</v>
      </c>
      <c r="M8" s="65">
        <f t="shared" si="2"/>
        <v>4807.8601219064767</v>
      </c>
      <c r="N8" s="65">
        <f t="shared" si="2"/>
        <v>4807.8601219064767</v>
      </c>
      <c r="O8" s="65">
        <f t="shared" si="2"/>
        <v>4807.8601219064767</v>
      </c>
      <c r="P8" s="65">
        <f t="shared" si="2"/>
        <v>4807.8601219064767</v>
      </c>
      <c r="Q8" s="65">
        <f t="shared" si="2"/>
        <v>4807.8601219064767</v>
      </c>
      <c r="R8" s="65">
        <f t="shared" si="2"/>
        <v>4807.8601219064767</v>
      </c>
      <c r="S8" s="65">
        <f t="shared" ref="S8:X8" si="3">SUM(S4:S6)-S7</f>
        <v>4807.8601219064767</v>
      </c>
      <c r="T8" s="65">
        <f t="shared" si="3"/>
        <v>4807.8601219064767</v>
      </c>
      <c r="U8" s="65">
        <f t="shared" si="3"/>
        <v>4807.8601219064767</v>
      </c>
      <c r="V8" s="65">
        <f t="shared" si="3"/>
        <v>4807.8601219064767</v>
      </c>
      <c r="W8" s="65">
        <f t="shared" si="3"/>
        <v>4807.8601219064767</v>
      </c>
      <c r="X8" s="65">
        <f t="shared" si="3"/>
        <v>4807.8601219064767</v>
      </c>
      <c r="Y8" s="26"/>
      <c r="Z8" s="26"/>
      <c r="AA8" s="26"/>
    </row>
    <row r="9" spans="1:27">
      <c r="B9" s="60"/>
      <c r="C9" s="134"/>
      <c r="D9" s="62"/>
      <c r="E9" s="62"/>
      <c r="F9" s="1013"/>
      <c r="G9" s="1039"/>
      <c r="H9" s="62"/>
      <c r="I9" s="62"/>
      <c r="J9" s="62"/>
      <c r="K9" s="62"/>
      <c r="L9" s="62"/>
      <c r="M9" s="62"/>
      <c r="N9" s="62"/>
      <c r="O9" s="62"/>
      <c r="P9" s="62"/>
      <c r="Q9" s="62"/>
      <c r="R9" s="62"/>
    </row>
    <row r="10" spans="1:27">
      <c r="B10" s="64" t="s">
        <v>79</v>
      </c>
      <c r="C10" s="139"/>
      <c r="D10" s="62"/>
      <c r="E10" s="62"/>
      <c r="F10" s="1013"/>
      <c r="G10" s="1039"/>
      <c r="H10" s="62"/>
      <c r="I10" s="62"/>
      <c r="J10" s="62"/>
      <c r="K10" s="62"/>
      <c r="L10" s="62"/>
      <c r="M10" s="62"/>
      <c r="N10" s="62"/>
      <c r="O10" s="62"/>
      <c r="P10" s="62"/>
      <c r="Q10" s="62"/>
      <c r="R10" s="62"/>
    </row>
    <row r="11" spans="1:27">
      <c r="B11" s="60" t="s">
        <v>29</v>
      </c>
      <c r="C11" s="134"/>
      <c r="D11" s="62"/>
      <c r="E11" s="62"/>
      <c r="F11" s="1013"/>
      <c r="G11" s="1039">
        <f>Assumptions!$C$23*Assumptions!I11*Assumptions!I10/10^7</f>
        <v>3685.9790654161461</v>
      </c>
      <c r="H11" s="62">
        <f>Assumptions!$C$23*Assumptions!J11*Assumptions!J10/10^7</f>
        <v>3706.3533801206163</v>
      </c>
      <c r="I11" s="62">
        <f>Assumptions!$C$23*Assumptions!K11*Assumptions!K10/10^7</f>
        <v>3767.4502254606859</v>
      </c>
      <c r="J11" s="62">
        <f>Assumptions!$C$23*Assumptions!L11*Assumptions!L10/10^7</f>
        <v>3876.5815426064764</v>
      </c>
      <c r="K11" s="62">
        <f>Assumptions!$C$23*Assumptions!M11*Assumptions!M10/10^7</f>
        <v>3876.5815426064764</v>
      </c>
      <c r="L11" s="62">
        <f>Assumptions!$C$23*Assumptions!N11*Assumptions!N10/10^7</f>
        <v>3876.5815426064764</v>
      </c>
      <c r="M11" s="62">
        <f>Assumptions!$C$23*Assumptions!O11*Assumptions!O10/10^7</f>
        <v>3876.5815426064764</v>
      </c>
      <c r="N11" s="62">
        <f>Assumptions!$C$23*Assumptions!P11*Assumptions!P10/10^7</f>
        <v>3876.5815426064764</v>
      </c>
      <c r="O11" s="62">
        <f>Assumptions!$C$23*Assumptions!Q11*Assumptions!Q10/10^7</f>
        <v>3876.5815426064764</v>
      </c>
      <c r="P11" s="62">
        <f>Assumptions!$C$23*Assumptions!R11*Assumptions!R10/10^7</f>
        <v>3876.5815426064764</v>
      </c>
      <c r="Q11" s="62">
        <f>Assumptions!$C$23*Assumptions!S11*Assumptions!S10/10^7</f>
        <v>3876.5815426064764</v>
      </c>
      <c r="R11" s="62">
        <f>Assumptions!$C$23*Assumptions!T11*Assumptions!T10/10^7</f>
        <v>3876.5815426064764</v>
      </c>
      <c r="S11" s="62">
        <f>Assumptions!$C$23*Assumptions!U11*Assumptions!U10/10^7</f>
        <v>3876.5815426064764</v>
      </c>
      <c r="T11" s="62">
        <f>Assumptions!$C$23*Assumptions!V11*Assumptions!V10/10^7</f>
        <v>3876.5815426064764</v>
      </c>
      <c r="U11" s="62">
        <f>Assumptions!$C$23*Assumptions!W11*Assumptions!W10/10^7</f>
        <v>3876.5815426064764</v>
      </c>
      <c r="V11" s="62">
        <f>Assumptions!$C$23*Assumptions!X11*Assumptions!X10/10^7</f>
        <v>3876.5815426064764</v>
      </c>
      <c r="W11" s="62">
        <f>Assumptions!$C$23*Assumptions!Y11*Assumptions!Y10/10^7</f>
        <v>3876.5815426064764</v>
      </c>
      <c r="X11" s="62">
        <f>Assumptions!$C$23*Assumptions!Z11*Assumptions!Z10/10^7</f>
        <v>3876.5815426064764</v>
      </c>
    </row>
    <row r="12" spans="1:27">
      <c r="B12" s="60" t="s">
        <v>41</v>
      </c>
      <c r="C12" s="134"/>
      <c r="D12" s="62"/>
      <c r="E12" s="62"/>
      <c r="F12" s="1013"/>
      <c r="G12" s="1039">
        <f>Assumptions!$C$24*Assumptions!I10/10^7</f>
        <v>44.234364200000002</v>
      </c>
      <c r="H12" s="62">
        <f>Assumptions!$C$24*Assumptions!J10/10^7</f>
        <v>44.616</v>
      </c>
      <c r="I12" s="62">
        <f>Assumptions!$C$24*Assumptions!K10/10^7</f>
        <v>48.780160000000002</v>
      </c>
      <c r="J12" s="62">
        <f>Assumptions!$C$24*Assumptions!L10/10^7</f>
        <v>51.375323999999999</v>
      </c>
      <c r="K12" s="62">
        <f>Assumptions!$C$24*Assumptions!M10/10^7</f>
        <v>51.375323999999999</v>
      </c>
      <c r="L12" s="62">
        <f>Assumptions!$C$24*Assumptions!N10/10^7</f>
        <v>51.375323999999999</v>
      </c>
      <c r="M12" s="62">
        <f>Assumptions!$C$24*Assumptions!O10/10^7</f>
        <v>51.375323999999999</v>
      </c>
      <c r="N12" s="62">
        <f>Assumptions!$C$24*Assumptions!P10/10^7</f>
        <v>51.375323999999999</v>
      </c>
      <c r="O12" s="62">
        <f>Assumptions!$C$24*Assumptions!Q10/10^7</f>
        <v>51.375323999999999</v>
      </c>
      <c r="P12" s="62">
        <f>Assumptions!$C$24*Assumptions!R10/10^7</f>
        <v>51.375323999999999</v>
      </c>
      <c r="Q12" s="62">
        <f>Assumptions!$C$24*Assumptions!S10/10^7</f>
        <v>51.375323999999999</v>
      </c>
      <c r="R12" s="62">
        <f>Assumptions!$C$24*Assumptions!T10/10^7</f>
        <v>51.375323999999999</v>
      </c>
      <c r="S12" s="62">
        <f>Assumptions!$C$24*Assumptions!U10/10^7</f>
        <v>51.375323999999999</v>
      </c>
      <c r="T12" s="62">
        <f>Assumptions!$C$24*Assumptions!V10/10^7</f>
        <v>51.375323999999999</v>
      </c>
      <c r="U12" s="62">
        <f>Assumptions!$C$24*Assumptions!W10/10^7</f>
        <v>51.375323999999999</v>
      </c>
      <c r="V12" s="62">
        <f>Assumptions!$C$24*Assumptions!X10/10^7</f>
        <v>51.375323999999999</v>
      </c>
      <c r="W12" s="62">
        <f>Assumptions!$C$24*Assumptions!Y10/10^7</f>
        <v>51.375323999999999</v>
      </c>
      <c r="X12" s="62">
        <f>Assumptions!$C$24*Assumptions!Z10/10^7</f>
        <v>51.375323999999999</v>
      </c>
    </row>
    <row r="13" spans="1:27">
      <c r="B13" s="60" t="s">
        <v>32</v>
      </c>
      <c r="C13" s="134"/>
      <c r="D13" s="62"/>
      <c r="E13" s="62"/>
      <c r="F13" s="1013"/>
      <c r="G13" s="1039">
        <f>Assumptions!$C$25*Assumptions!I10/10^7</f>
        <v>117.0421257646272</v>
      </c>
      <c r="H13" s="62">
        <f>Assumptions!$C$25*Assumptions!J10/10^7</f>
        <v>118.05191681978798</v>
      </c>
      <c r="I13" s="62">
        <f>Assumptions!$C$25*Assumptions!K10/10^7</f>
        <v>129.0700957229682</v>
      </c>
      <c r="J13" s="62">
        <f>Assumptions!$C$25*Assumptions!L10/10^7</f>
        <v>135.93678221798586</v>
      </c>
      <c r="K13" s="62">
        <f>Assumptions!$C$25*Assumptions!M10/10^7</f>
        <v>135.93678221798586</v>
      </c>
      <c r="L13" s="62">
        <f>Assumptions!$C$25*Assumptions!N10/10^7</f>
        <v>135.93678221798586</v>
      </c>
      <c r="M13" s="62">
        <f>Assumptions!$C$25*Assumptions!O10/10^7</f>
        <v>135.93678221798586</v>
      </c>
      <c r="N13" s="62">
        <f>Assumptions!$C$25*Assumptions!P10/10^7</f>
        <v>135.93678221798586</v>
      </c>
      <c r="O13" s="62">
        <f>Assumptions!$C$25*Assumptions!Q10/10^7</f>
        <v>135.93678221798586</v>
      </c>
      <c r="P13" s="62">
        <f>Assumptions!$C$25*Assumptions!R10/10^7</f>
        <v>135.93678221798586</v>
      </c>
      <c r="Q13" s="62">
        <f>Assumptions!$C$25*Assumptions!S10/10^7</f>
        <v>135.93678221798586</v>
      </c>
      <c r="R13" s="62">
        <f>Assumptions!$C$25*Assumptions!T10/10^7</f>
        <v>135.93678221798586</v>
      </c>
      <c r="S13" s="62">
        <f>Assumptions!$C$25*Assumptions!U10/10^7</f>
        <v>135.93678221798586</v>
      </c>
      <c r="T13" s="62">
        <f>Assumptions!$C$25*Assumptions!V10/10^7</f>
        <v>135.93678221798586</v>
      </c>
      <c r="U13" s="62">
        <f>Assumptions!$C$25*Assumptions!W10/10^7</f>
        <v>135.93678221798586</v>
      </c>
      <c r="V13" s="62">
        <f>Assumptions!$C$25*Assumptions!X10/10^7</f>
        <v>135.93678221798586</v>
      </c>
      <c r="W13" s="62">
        <f>Assumptions!$C$25*Assumptions!Y10/10^7</f>
        <v>135.93678221798586</v>
      </c>
      <c r="X13" s="62">
        <f>Assumptions!$C$25*Assumptions!Z10/10^7</f>
        <v>135.93678221798586</v>
      </c>
    </row>
    <row r="14" spans="1:27">
      <c r="B14" s="60" t="s">
        <v>42</v>
      </c>
      <c r="C14" s="134"/>
      <c r="D14" s="62"/>
      <c r="E14" s="62"/>
      <c r="F14" s="1013"/>
      <c r="G14" s="1039">
        <f>Assumptions!$C$33*Assumptions!I10/10^7</f>
        <v>7.5054461150000007</v>
      </c>
      <c r="H14" s="62">
        <f>Assumptions!$C$33*Assumptions!J10/10^7</f>
        <v>7.5701999999999998</v>
      </c>
      <c r="I14" s="62">
        <f>Assumptions!$C$33*Assumptions!K10/10^7</f>
        <v>8.2767520000000001</v>
      </c>
      <c r="J14" s="62">
        <f>Assumptions!$C$33*Assumptions!L10/10^7</f>
        <v>8.7170853000000008</v>
      </c>
      <c r="K14" s="62">
        <f>Assumptions!$C$33*Assumptions!M10/10^7</f>
        <v>8.7170853000000008</v>
      </c>
      <c r="L14" s="62">
        <f>Assumptions!$C$33*Assumptions!N10/10^7</f>
        <v>8.7170853000000008</v>
      </c>
      <c r="M14" s="62">
        <f>Assumptions!$C$33*Assumptions!O10/10^7</f>
        <v>8.7170853000000008</v>
      </c>
      <c r="N14" s="62">
        <f>Assumptions!$C$33*Assumptions!P10/10^7</f>
        <v>8.7170853000000008</v>
      </c>
      <c r="O14" s="62">
        <f>Assumptions!$C$33*Assumptions!Q10/10^7</f>
        <v>8.7170853000000008</v>
      </c>
      <c r="P14" s="62">
        <f>Assumptions!$C$33*Assumptions!R10/10^7</f>
        <v>8.7170853000000008</v>
      </c>
      <c r="Q14" s="62">
        <f>Assumptions!$C$33*Assumptions!S10/10^7</f>
        <v>8.7170853000000008</v>
      </c>
      <c r="R14" s="62">
        <f>Assumptions!$C$33*Assumptions!T10/10^7</f>
        <v>8.7170853000000008</v>
      </c>
      <c r="S14" s="62">
        <f>Assumptions!$C$33*Assumptions!U10/10^7</f>
        <v>8.7170853000000008</v>
      </c>
      <c r="T14" s="62">
        <f>Assumptions!$C$33*Assumptions!V10/10^7</f>
        <v>8.7170853000000008</v>
      </c>
      <c r="U14" s="62">
        <f>Assumptions!$C$33*Assumptions!W10/10^7</f>
        <v>8.7170853000000008</v>
      </c>
      <c r="V14" s="62">
        <f>Assumptions!$C$33*Assumptions!X10/10^7</f>
        <v>8.7170853000000008</v>
      </c>
      <c r="W14" s="62">
        <f>Assumptions!$C$33*Assumptions!Y10/10^7</f>
        <v>8.7170853000000008</v>
      </c>
      <c r="X14" s="62">
        <f>Assumptions!$C$33*Assumptions!Z10/10^7</f>
        <v>8.7170853000000008</v>
      </c>
    </row>
    <row r="15" spans="1:27">
      <c r="B15" s="60" t="s">
        <v>43</v>
      </c>
      <c r="C15" s="134"/>
      <c r="D15" s="62"/>
      <c r="E15" s="62"/>
      <c r="F15" s="1013"/>
      <c r="G15" s="1039">
        <f>Assumptions!$C$34*Assumptions!I10/10^7</f>
        <v>196.96070449999999</v>
      </c>
      <c r="H15" s="62">
        <f>Assumptions!$C$34*Assumptions!J10/10^7</f>
        <v>198.66</v>
      </c>
      <c r="I15" s="62">
        <f>Assumptions!$C$34*Assumptions!K10/10^7</f>
        <v>217.20160000000001</v>
      </c>
      <c r="J15" s="62">
        <f>Assumptions!$C$34*Assumptions!L10/10^7</f>
        <v>228.75699</v>
      </c>
      <c r="K15" s="62">
        <f>Assumptions!$C$34*Assumptions!M10/10^7</f>
        <v>228.75699</v>
      </c>
      <c r="L15" s="62">
        <f>Assumptions!$C$34*Assumptions!N10/10^7</f>
        <v>228.75699</v>
      </c>
      <c r="M15" s="62">
        <f>Assumptions!$C$34*Assumptions!O10/10^7</f>
        <v>228.75699</v>
      </c>
      <c r="N15" s="62">
        <f>Assumptions!$C$34*Assumptions!P10/10^7</f>
        <v>228.75699</v>
      </c>
      <c r="O15" s="62">
        <f>Assumptions!$C$34*Assumptions!Q10/10^7</f>
        <v>228.75699</v>
      </c>
      <c r="P15" s="62">
        <f>Assumptions!$C$34*Assumptions!R10/10^7</f>
        <v>228.75699</v>
      </c>
      <c r="Q15" s="62">
        <f>Assumptions!$C$34*Assumptions!S10/10^7</f>
        <v>228.75699</v>
      </c>
      <c r="R15" s="62">
        <f>Assumptions!$C$34*Assumptions!T10/10^7</f>
        <v>228.75699</v>
      </c>
      <c r="S15" s="62">
        <f>Assumptions!$C$34*Assumptions!U10/10^7</f>
        <v>228.75699</v>
      </c>
      <c r="T15" s="62">
        <f>Assumptions!$C$34*Assumptions!V10/10^7</f>
        <v>228.75699</v>
      </c>
      <c r="U15" s="62">
        <f>Assumptions!$C$34*Assumptions!W10/10^7</f>
        <v>228.75699</v>
      </c>
      <c r="V15" s="62">
        <f>Assumptions!$C$34*Assumptions!X10/10^7</f>
        <v>228.75699</v>
      </c>
      <c r="W15" s="62">
        <f>Assumptions!$C$34*Assumptions!Y10/10^7</f>
        <v>228.75699</v>
      </c>
      <c r="X15" s="62">
        <f>Assumptions!$C$34*Assumptions!Z10/10^7</f>
        <v>228.75699</v>
      </c>
    </row>
    <row r="16" spans="1:27">
      <c r="B16" s="64" t="s">
        <v>82</v>
      </c>
      <c r="C16" s="139"/>
      <c r="D16" s="65"/>
      <c r="E16" s="65"/>
      <c r="F16" s="1014"/>
      <c r="G16" s="227">
        <f t="shared" ref="G16:R16" si="4">SUM(G11:G15)</f>
        <v>4051.7217059957729</v>
      </c>
      <c r="H16" s="65">
        <f t="shared" si="4"/>
        <v>4075.2514969404042</v>
      </c>
      <c r="I16" s="65">
        <f t="shared" si="4"/>
        <v>4170.7788331836546</v>
      </c>
      <c r="J16" s="65">
        <f t="shared" si="4"/>
        <v>4301.3677241244623</v>
      </c>
      <c r="K16" s="65">
        <f t="shared" si="4"/>
        <v>4301.3677241244623</v>
      </c>
      <c r="L16" s="65">
        <f t="shared" si="4"/>
        <v>4301.3677241244623</v>
      </c>
      <c r="M16" s="65">
        <f t="shared" si="4"/>
        <v>4301.3677241244623</v>
      </c>
      <c r="N16" s="65">
        <f t="shared" si="4"/>
        <v>4301.3677241244623</v>
      </c>
      <c r="O16" s="65">
        <f t="shared" si="4"/>
        <v>4301.3677241244623</v>
      </c>
      <c r="P16" s="65">
        <f t="shared" si="4"/>
        <v>4301.3677241244623</v>
      </c>
      <c r="Q16" s="65">
        <f t="shared" si="4"/>
        <v>4301.3677241244623</v>
      </c>
      <c r="R16" s="65">
        <f t="shared" si="4"/>
        <v>4301.3677241244623</v>
      </c>
      <c r="S16" s="65">
        <f t="shared" ref="S16:X16" si="5">SUM(S11:S15)</f>
        <v>4301.3677241244623</v>
      </c>
      <c r="T16" s="65">
        <f t="shared" si="5"/>
        <v>4301.3677241244623</v>
      </c>
      <c r="U16" s="65">
        <f t="shared" si="5"/>
        <v>4301.3677241244623</v>
      </c>
      <c r="V16" s="65">
        <f t="shared" si="5"/>
        <v>4301.3677241244623</v>
      </c>
      <c r="W16" s="65">
        <f t="shared" si="5"/>
        <v>4301.3677241244623</v>
      </c>
      <c r="X16" s="65">
        <f t="shared" si="5"/>
        <v>4301.3677241244623</v>
      </c>
    </row>
    <row r="17" spans="1:24">
      <c r="B17" s="64"/>
      <c r="C17" s="139"/>
      <c r="D17" s="62"/>
      <c r="E17" s="62"/>
      <c r="F17" s="1013"/>
      <c r="G17" s="1039"/>
      <c r="H17" s="62"/>
      <c r="I17" s="62"/>
      <c r="J17" s="62"/>
      <c r="K17" s="62"/>
      <c r="L17" s="62"/>
      <c r="M17" s="62"/>
      <c r="N17" s="62"/>
      <c r="O17" s="62"/>
      <c r="P17" s="62"/>
      <c r="Q17" s="62"/>
      <c r="R17" s="62"/>
    </row>
    <row r="18" spans="1:24">
      <c r="A18" s="7"/>
      <c r="B18" s="64" t="s">
        <v>78</v>
      </c>
      <c r="C18" s="139"/>
      <c r="D18" s="65"/>
      <c r="E18" s="65"/>
      <c r="F18" s="1014"/>
      <c r="G18" s="227">
        <f t="shared" ref="G18:R18" si="6">G8-G16</f>
        <v>129.0414711070689</v>
      </c>
      <c r="H18" s="65">
        <f t="shared" si="6"/>
        <v>139.71506596723293</v>
      </c>
      <c r="I18" s="65">
        <f t="shared" si="6"/>
        <v>417.39268332869506</v>
      </c>
      <c r="J18" s="65">
        <f t="shared" si="6"/>
        <v>506.49239778201445</v>
      </c>
      <c r="K18" s="65">
        <f t="shared" si="6"/>
        <v>506.49239778201445</v>
      </c>
      <c r="L18" s="65">
        <f t="shared" si="6"/>
        <v>506.49239778201445</v>
      </c>
      <c r="M18" s="65">
        <f t="shared" si="6"/>
        <v>506.49239778201445</v>
      </c>
      <c r="N18" s="65">
        <f t="shared" si="6"/>
        <v>506.49239778201445</v>
      </c>
      <c r="O18" s="65">
        <f t="shared" si="6"/>
        <v>506.49239778201445</v>
      </c>
      <c r="P18" s="65">
        <f t="shared" si="6"/>
        <v>506.49239778201445</v>
      </c>
      <c r="Q18" s="65">
        <f t="shared" si="6"/>
        <v>506.49239778201445</v>
      </c>
      <c r="R18" s="65">
        <f t="shared" si="6"/>
        <v>506.49239778201445</v>
      </c>
      <c r="S18" s="65">
        <f t="shared" ref="S18:X18" si="7">S8-S16</f>
        <v>506.49239778201445</v>
      </c>
      <c r="T18" s="65">
        <f t="shared" si="7"/>
        <v>506.49239778201445</v>
      </c>
      <c r="U18" s="65">
        <f t="shared" si="7"/>
        <v>506.49239778201445</v>
      </c>
      <c r="V18" s="65">
        <f t="shared" si="7"/>
        <v>506.49239778201445</v>
      </c>
      <c r="W18" s="65">
        <f t="shared" si="7"/>
        <v>506.49239778201445</v>
      </c>
      <c r="X18" s="65">
        <f t="shared" si="7"/>
        <v>506.49239778201445</v>
      </c>
    </row>
    <row r="19" spans="1:24">
      <c r="A19" s="7"/>
      <c r="B19" s="60"/>
      <c r="C19" s="134"/>
      <c r="D19" s="74"/>
      <c r="E19" s="74"/>
      <c r="F19" s="1015"/>
      <c r="G19" s="1057"/>
      <c r="H19" s="74"/>
      <c r="I19" s="62"/>
      <c r="J19" s="62"/>
      <c r="K19" s="62"/>
      <c r="L19" s="62"/>
      <c r="M19" s="62"/>
      <c r="N19" s="62"/>
      <c r="O19" s="62"/>
      <c r="P19" s="62"/>
      <c r="Q19" s="62"/>
      <c r="R19" s="62"/>
    </row>
    <row r="20" spans="1:24">
      <c r="A20" s="7"/>
      <c r="B20" s="64" t="s">
        <v>140</v>
      </c>
      <c r="C20" s="139"/>
      <c r="D20" s="62"/>
      <c r="E20" s="62"/>
      <c r="F20" s="1013"/>
      <c r="G20" s="1039"/>
      <c r="H20" s="62"/>
      <c r="I20" s="62"/>
      <c r="J20" s="62"/>
      <c r="K20" s="62"/>
      <c r="L20" s="62"/>
      <c r="M20" s="62"/>
      <c r="N20" s="62"/>
      <c r="O20" s="62"/>
      <c r="P20" s="62"/>
      <c r="Q20" s="62"/>
      <c r="R20" s="62"/>
    </row>
    <row r="21" spans="1:24">
      <c r="B21" s="75" t="s">
        <v>128</v>
      </c>
      <c r="C21" s="140"/>
      <c r="D21" s="62"/>
      <c r="E21" s="62"/>
      <c r="F21" s="1013"/>
      <c r="G21" s="1039">
        <f>Assumptions!$C$38/365*SUM(G4:G5)+Assumptions!$C$39</f>
        <v>49.474966044931513</v>
      </c>
      <c r="H21" s="62">
        <f>Assumptions!$C$38/365*SUM(H4:H5)+Assumptions!$C$39</f>
        <v>49.815539726027396</v>
      </c>
      <c r="I21" s="62">
        <f>Assumptions!$C$38/365*SUM(I4:I5)+Assumptions!$C$39</f>
        <v>53.531656767123287</v>
      </c>
      <c r="J21" s="62">
        <f>Assumptions!$C$38/365*SUM(J4:J5)+Assumptions!$C$39</f>
        <v>55.847593994520551</v>
      </c>
      <c r="K21" s="62">
        <f>Assumptions!$C$38/365*SUM(K4:K5)+Assumptions!$C$39</f>
        <v>55.847593994520551</v>
      </c>
      <c r="L21" s="62">
        <f>Assumptions!$C$38/365*SUM(L4:L5)+Assumptions!$C$39</f>
        <v>55.847593994520551</v>
      </c>
      <c r="M21" s="62">
        <f>Assumptions!$C$38/365*SUM(M4:M5)+Assumptions!$C$39</f>
        <v>55.847593994520551</v>
      </c>
      <c r="N21" s="62">
        <f>Assumptions!$C$38/365*SUM(N4:N5)+Assumptions!$C$39</f>
        <v>55.847593994520551</v>
      </c>
      <c r="O21" s="62">
        <f>Assumptions!$C$38/365*SUM(O4:O5)+Assumptions!$C$39</f>
        <v>55.847593994520551</v>
      </c>
      <c r="P21" s="62">
        <f>Assumptions!$C$38/365*SUM(P4:P5)+Assumptions!$C$39</f>
        <v>55.847593994520551</v>
      </c>
      <c r="Q21" s="62">
        <f>Assumptions!$C$38/365*SUM(Q4:Q5)+Assumptions!$C$39</f>
        <v>55.847593994520551</v>
      </c>
      <c r="R21" s="62">
        <f>Assumptions!$C$38/365*SUM(R4:R5)+Assumptions!$C$39</f>
        <v>55.847593994520551</v>
      </c>
      <c r="S21" s="62">
        <f>Assumptions!$C$38/365*SUM(S4:S5)+Assumptions!$C$39</f>
        <v>55.847593994520551</v>
      </c>
      <c r="T21" s="62">
        <f>Assumptions!$C$38/365*SUM(T4:T5)+Assumptions!$C$39</f>
        <v>55.847593994520551</v>
      </c>
      <c r="U21" s="62">
        <f>Assumptions!$C$38/365*SUM(U4:U5)+Assumptions!$C$39</f>
        <v>55.847593994520551</v>
      </c>
      <c r="V21" s="62">
        <f>Assumptions!$C$38/365*SUM(V4:V5)+Assumptions!$C$39</f>
        <v>55.847593994520551</v>
      </c>
      <c r="W21" s="62">
        <f>Assumptions!$C$38/365*SUM(W4:W5)+Assumptions!$C$39</f>
        <v>55.847593994520551</v>
      </c>
      <c r="X21" s="62">
        <f>Assumptions!$C$38/365*SUM(X4:X5)+Assumptions!$C$39</f>
        <v>55.847593994520551</v>
      </c>
    </row>
    <row r="22" spans="1:24">
      <c r="B22" s="75" t="s">
        <v>238</v>
      </c>
      <c r="C22" s="140"/>
      <c r="D22" s="62"/>
      <c r="E22" s="62"/>
      <c r="F22" s="1013"/>
      <c r="G22" s="1039">
        <f>(Assumptions!$C$41*SUM(G4:G5))/365</f>
        <v>28.196404317808224</v>
      </c>
      <c r="H22" s="62">
        <f>(Assumptions!$C$41*SUM(H4:H5))/365</f>
        <v>28.439671232876716</v>
      </c>
      <c r="I22" s="62">
        <f>(Assumptions!$C$41*SUM(I4:I5))/365</f>
        <v>31.094040547945205</v>
      </c>
      <c r="J22" s="62">
        <f>(Assumptions!$C$41*SUM(J4:J5))/365</f>
        <v>32.748281424657534</v>
      </c>
      <c r="K22" s="62">
        <f>(Assumptions!$C$41*SUM(K4:K5))/365</f>
        <v>32.748281424657534</v>
      </c>
      <c r="L22" s="62">
        <f>(Assumptions!$C$41*SUM(L4:L5))/365</f>
        <v>32.748281424657534</v>
      </c>
      <c r="M22" s="62">
        <f>(Assumptions!$C$41*SUM(M4:M5))/365</f>
        <v>32.748281424657534</v>
      </c>
      <c r="N22" s="62">
        <f>(Assumptions!$C$41*SUM(N4:N5))/365</f>
        <v>32.748281424657534</v>
      </c>
      <c r="O22" s="62">
        <f>(Assumptions!$C$41*SUM(O4:O5))/365</f>
        <v>32.748281424657534</v>
      </c>
      <c r="P22" s="62">
        <f>(Assumptions!$C$41*SUM(P4:P5))/365</f>
        <v>32.748281424657534</v>
      </c>
      <c r="Q22" s="62">
        <f>(Assumptions!$C$41*SUM(Q4:Q5))/365</f>
        <v>32.748281424657534</v>
      </c>
      <c r="R22" s="62">
        <f>(Assumptions!$C$41*SUM(R4:R5))/365</f>
        <v>32.748281424657534</v>
      </c>
      <c r="S22" s="62">
        <f>(Assumptions!$C$41*SUM(S4:S5))/365</f>
        <v>32.748281424657534</v>
      </c>
      <c r="T22" s="62">
        <f>(Assumptions!$C$41*SUM(T4:T5))/365</f>
        <v>32.748281424657534</v>
      </c>
      <c r="U22" s="62">
        <f>(Assumptions!$C$41*SUM(U4:U5))/365</f>
        <v>32.748281424657534</v>
      </c>
      <c r="V22" s="62">
        <f>(Assumptions!$C$41*SUM(V4:V5))/365</f>
        <v>32.748281424657534</v>
      </c>
      <c r="W22" s="62">
        <f>(Assumptions!$C$41*SUM(W4:W5))/365</f>
        <v>32.748281424657534</v>
      </c>
      <c r="X22" s="62">
        <f>(Assumptions!$C$41*SUM(X4:X5))/365</f>
        <v>32.748281424657534</v>
      </c>
    </row>
    <row r="23" spans="1:24">
      <c r="B23" s="75" t="s">
        <v>446</v>
      </c>
      <c r="C23" s="140"/>
      <c r="D23" s="81"/>
      <c r="E23" s="81"/>
      <c r="F23" s="1013"/>
      <c r="G23" s="1039">
        <f>(Assumptions!$C$42*(G6-G7))/365</f>
        <v>957.43854028388353</v>
      </c>
      <c r="H23" s="81">
        <f>(Assumptions!$C$42*(H6-H7))/365</f>
        <v>965.18755148154435</v>
      </c>
      <c r="I23" s="81">
        <f>(Assumptions!$C$42*(I6-I7))/365</f>
        <v>1049.7396885421961</v>
      </c>
      <c r="J23" s="81">
        <f>(Assumptions!$C$42*(J6-J7))/365</f>
        <v>1098.9000750428702</v>
      </c>
      <c r="K23" s="81">
        <f>(Assumptions!$C$42*(K6-K7))/365</f>
        <v>1098.9000750428702</v>
      </c>
      <c r="L23" s="81">
        <f>(Assumptions!$C$42*(L6-L7))/365</f>
        <v>1098.9000750428702</v>
      </c>
      <c r="M23" s="81">
        <f>(Assumptions!$C$42*(M6-M7))/365</f>
        <v>1098.9000750428702</v>
      </c>
      <c r="N23" s="81">
        <f>(Assumptions!$C$42*(N6-N7))/365</f>
        <v>1098.9000750428702</v>
      </c>
      <c r="O23" s="81">
        <f>(Assumptions!$C$42*(O6-O7))/365</f>
        <v>1098.9000750428702</v>
      </c>
      <c r="P23" s="81">
        <f>(Assumptions!$C$42*(P6-P7))/365</f>
        <v>1098.9000750428702</v>
      </c>
      <c r="Q23" s="81">
        <f>(Assumptions!$C$42*(Q6-Q7))/365</f>
        <v>1098.9000750428702</v>
      </c>
      <c r="R23" s="81">
        <f>(Assumptions!$C$42*(R6-R7))/365</f>
        <v>1098.9000750428702</v>
      </c>
      <c r="S23" s="81">
        <f>(Assumptions!$C$42*(S6-S7))/365</f>
        <v>1098.9000750428702</v>
      </c>
      <c r="T23" s="81">
        <f>(Assumptions!$C$42*(T6-T7))/365</f>
        <v>1098.9000750428702</v>
      </c>
      <c r="U23" s="81">
        <f>(Assumptions!$C$42*(U6-U7))/365</f>
        <v>1098.9000750428702</v>
      </c>
      <c r="V23" s="81">
        <f>(Assumptions!$C$42*(V6-V7))/365</f>
        <v>1098.9000750428702</v>
      </c>
      <c r="W23" s="81">
        <f>(Assumptions!$C$42*(W6-W7))/365</f>
        <v>1098.9000750428702</v>
      </c>
      <c r="X23" s="81">
        <f>(Assumptions!$C$42*(X6-X7))/365</f>
        <v>1098.9000750428702</v>
      </c>
    </row>
    <row r="24" spans="1:24">
      <c r="B24" s="75" t="s">
        <v>130</v>
      </c>
      <c r="C24" s="140"/>
      <c r="D24" s="81"/>
      <c r="E24" s="81"/>
      <c r="F24" s="1013"/>
      <c r="G24" s="1039">
        <f>(Assumptions!$C$45*G11*Assumptions!$C$49+Assumptions!$C$44*G11*(1-Assumptions!$C$49)+Assumptions!$C$46*SUM('P&amp;L'!G12:G15))/365</f>
        <v>299.69293223013676</v>
      </c>
      <c r="H24" s="81">
        <f>(Assumptions!$C$45*H11*Assumptions!$C$49+Assumptions!$C$44*H11*(1-Assumptions!$C$49)+Assumptions!$C$46*SUM('P&amp;L'!H12:H15))/365</f>
        <v>301.44268151729887</v>
      </c>
      <c r="I24" s="81">
        <f>(Assumptions!$C$45*I11*Assumptions!$C$49+Assumptions!$C$44*I11*(1-Assumptions!$C$49)+Assumptions!$C$46*SUM('P&amp;L'!I12:I15))/365</f>
        <v>308.74186096298462</v>
      </c>
      <c r="J24" s="81">
        <f>(Assumptions!$C$45*J11*Assumptions!$C$49+Assumptions!$C$44*J11*(1-Assumptions!$C$49)+Assumptions!$C$46*SUM('P&amp;L'!J12:J15))/365</f>
        <v>318.48852776200681</v>
      </c>
      <c r="K24" s="81">
        <f>(Assumptions!$C$45*K11*Assumptions!$C$49+Assumptions!$C$44*K11*(1-Assumptions!$C$49)+Assumptions!$C$46*SUM('P&amp;L'!K12:K15))/365</f>
        <v>318.48852776200681</v>
      </c>
      <c r="L24" s="81">
        <f>(Assumptions!$C$45*L11*Assumptions!$C$49+Assumptions!$C$44*L11*(1-Assumptions!$C$49)+Assumptions!$C$46*SUM('P&amp;L'!L12:L15))/365</f>
        <v>318.48852776200681</v>
      </c>
      <c r="M24" s="81">
        <f>(Assumptions!$C$45*M11*Assumptions!$C$49+Assumptions!$C$44*M11*(1-Assumptions!$C$49)+Assumptions!$C$46*SUM('P&amp;L'!M12:M15))/365</f>
        <v>318.48852776200681</v>
      </c>
      <c r="N24" s="81">
        <f>(Assumptions!$C$45*N11*Assumptions!$C$49+Assumptions!$C$44*N11*(1-Assumptions!$C$49)+Assumptions!$C$46*SUM('P&amp;L'!N12:N15))/365</f>
        <v>318.48852776200681</v>
      </c>
      <c r="O24" s="81">
        <f>(Assumptions!$C$45*O11*Assumptions!$C$49+Assumptions!$C$44*O11*(1-Assumptions!$C$49)+Assumptions!$C$46*SUM('P&amp;L'!O12:O15))/365</f>
        <v>318.48852776200681</v>
      </c>
      <c r="P24" s="81">
        <f>(Assumptions!$C$45*P11*Assumptions!$C$49+Assumptions!$C$44*P11*(1-Assumptions!$C$49)+Assumptions!$C$46*SUM('P&amp;L'!P12:P15))/365</f>
        <v>318.48852776200681</v>
      </c>
      <c r="Q24" s="81">
        <f>(Assumptions!$C$45*Q11*Assumptions!$C$49+Assumptions!$C$44*Q11*(1-Assumptions!$C$49)+Assumptions!$C$46*SUM('P&amp;L'!Q12:Q15))/365</f>
        <v>318.48852776200681</v>
      </c>
      <c r="R24" s="81">
        <f>(Assumptions!$C$45*R11*Assumptions!$C$49+Assumptions!$C$44*R11*(1-Assumptions!$C$49)+Assumptions!$C$46*SUM('P&amp;L'!R12:R15))/365</f>
        <v>318.48852776200681</v>
      </c>
      <c r="S24" s="81">
        <f>(Assumptions!$C$45*S11*Assumptions!$C$49+Assumptions!$C$44*S11*(1-Assumptions!$C$49)+Assumptions!$C$46*SUM('P&amp;L'!S12:S15))/365</f>
        <v>318.48852776200681</v>
      </c>
      <c r="T24" s="81">
        <f>(Assumptions!$C$45*T11*Assumptions!$C$49+Assumptions!$C$44*T11*(1-Assumptions!$C$49)+Assumptions!$C$46*SUM('P&amp;L'!T12:T15))/365</f>
        <v>318.48852776200681</v>
      </c>
      <c r="U24" s="81">
        <f>(Assumptions!$C$45*U11*Assumptions!$C$49+Assumptions!$C$44*U11*(1-Assumptions!$C$49)+Assumptions!$C$46*SUM('P&amp;L'!U12:U15))/365</f>
        <v>318.48852776200681</v>
      </c>
      <c r="V24" s="81">
        <f>(Assumptions!$C$45*V11*Assumptions!$C$49+Assumptions!$C$44*V11*(1-Assumptions!$C$49)+Assumptions!$C$46*SUM('P&amp;L'!V12:V15))/365</f>
        <v>318.48852776200681</v>
      </c>
      <c r="W24" s="81">
        <f>(Assumptions!$C$45*W11*Assumptions!$C$49+Assumptions!$C$44*W11*(1-Assumptions!$C$49)+Assumptions!$C$46*SUM('P&amp;L'!W12:W15))/365</f>
        <v>318.48852776200681</v>
      </c>
      <c r="X24" s="81">
        <f>(Assumptions!$C$45*X11*Assumptions!$C$49+Assumptions!$C$44*X11*(1-Assumptions!$C$49)+Assumptions!$C$46*SUM('P&amp;L'!X12:X15))/365</f>
        <v>318.48852776200681</v>
      </c>
    </row>
    <row r="25" spans="1:24" ht="13.5" thickBot="1">
      <c r="B25" s="76" t="s">
        <v>137</v>
      </c>
      <c r="C25" s="141"/>
      <c r="D25" s="67"/>
      <c r="E25" s="152"/>
      <c r="F25" s="1016"/>
      <c r="G25" s="1058">
        <f>(Assumptions!$C$48*Assumptions!$C$49*'P&amp;L'!G11)/365+Assumptions!$C$50</f>
        <v>316.68621105584867</v>
      </c>
      <c r="H25" s="67">
        <f>(Assumptions!$C$48*Assumptions!$C$49*'P&amp;L'!H11)/365+Assumptions!$C$50</f>
        <v>318.32062183542922</v>
      </c>
      <c r="I25" s="67">
        <f>(Assumptions!$C$48*Assumptions!$C$49*'P&amp;L'!I11)/365+Assumptions!$C$50</f>
        <v>323.22176055202436</v>
      </c>
      <c r="J25" s="67">
        <f>(Assumptions!$C$48*Assumptions!$C$49*'P&amp;L'!J11)/365+Assumptions!$C$50</f>
        <v>331.9761851164867</v>
      </c>
      <c r="K25" s="67">
        <f>(Assumptions!$C$48*Assumptions!$C$49*'P&amp;L'!K11)/365+Assumptions!$C$50</f>
        <v>331.9761851164867</v>
      </c>
      <c r="L25" s="67">
        <f>(Assumptions!$C$48*Assumptions!$C$49*'P&amp;L'!L11)/365+Assumptions!$C$50</f>
        <v>331.9761851164867</v>
      </c>
      <c r="M25" s="67">
        <f>(Assumptions!$C$48*Assumptions!$C$49*'P&amp;L'!M11)/365+Assumptions!$C$50</f>
        <v>331.9761851164867</v>
      </c>
      <c r="N25" s="67">
        <f>(Assumptions!$C$48*Assumptions!$C$49*'P&amp;L'!N11)/365+Assumptions!$C$50</f>
        <v>331.9761851164867</v>
      </c>
      <c r="O25" s="67">
        <f>(Assumptions!$C$48*Assumptions!$C$49*'P&amp;L'!O11)/365+Assumptions!$C$50</f>
        <v>331.9761851164867</v>
      </c>
      <c r="P25" s="67">
        <f>(Assumptions!$C$48*Assumptions!$C$49*'P&amp;L'!P11)/365+Assumptions!$C$50</f>
        <v>331.9761851164867</v>
      </c>
      <c r="Q25" s="67">
        <f>(Assumptions!$C$48*Assumptions!$C$49*'P&amp;L'!Q11)/365+Assumptions!$C$50</f>
        <v>331.9761851164867</v>
      </c>
      <c r="R25" s="67">
        <f>(Assumptions!$C$48*Assumptions!$C$49*'P&amp;L'!R11)/365+Assumptions!$C$50</f>
        <v>331.9761851164867</v>
      </c>
      <c r="S25" s="62">
        <f>(Assumptions!$C$48*Assumptions!$C$49*'P&amp;L'!S11)/365+Assumptions!$C$50</f>
        <v>331.9761851164867</v>
      </c>
      <c r="T25" s="62">
        <f>(Assumptions!$C$48*Assumptions!$C$49*'P&amp;L'!T11)/365+Assumptions!$C$50</f>
        <v>331.9761851164867</v>
      </c>
      <c r="U25" s="62">
        <f>(Assumptions!$C$48*Assumptions!$C$49*'P&amp;L'!U11)/365+Assumptions!$C$50</f>
        <v>331.9761851164867</v>
      </c>
      <c r="V25" s="62">
        <f>(Assumptions!$C$48*Assumptions!$C$49*'P&amp;L'!V11)/365+Assumptions!$C$50</f>
        <v>331.9761851164867</v>
      </c>
      <c r="W25" s="62">
        <f>(Assumptions!$C$48*Assumptions!$C$49*'P&amp;L'!W11)/365+Assumptions!$C$50</f>
        <v>331.9761851164867</v>
      </c>
      <c r="X25" s="62">
        <f>(Assumptions!$C$48*Assumptions!$C$49*'P&amp;L'!X11)/365+Assumptions!$C$50</f>
        <v>331.9761851164867</v>
      </c>
    </row>
    <row r="26" spans="1:24"/>
    <row r="27" spans="1:24" ht="13.5" thickBot="1">
      <c r="F27" s="1011">
        <f>F3</f>
        <v>44651</v>
      </c>
      <c r="G27" s="1055">
        <f t="shared" ref="G27:X27" si="8">G3</f>
        <v>45016</v>
      </c>
      <c r="H27" s="4">
        <f t="shared" si="8"/>
        <v>45382</v>
      </c>
      <c r="I27" s="4">
        <f t="shared" si="8"/>
        <v>45747</v>
      </c>
      <c r="J27" s="4">
        <f t="shared" si="8"/>
        <v>46112</v>
      </c>
      <c r="K27" s="4">
        <f t="shared" si="8"/>
        <v>46477</v>
      </c>
      <c r="L27" s="4">
        <f t="shared" si="8"/>
        <v>46843</v>
      </c>
      <c r="M27" s="4">
        <f t="shared" si="8"/>
        <v>47208</v>
      </c>
      <c r="N27" s="4">
        <f t="shared" si="8"/>
        <v>47573</v>
      </c>
      <c r="O27" s="4">
        <f t="shared" si="8"/>
        <v>47938</v>
      </c>
      <c r="P27" s="4">
        <f t="shared" si="8"/>
        <v>48304</v>
      </c>
      <c r="Q27" s="4">
        <f t="shared" si="8"/>
        <v>48669</v>
      </c>
      <c r="R27" s="4">
        <f t="shared" si="8"/>
        <v>49034</v>
      </c>
      <c r="S27" s="4">
        <f t="shared" si="8"/>
        <v>49399</v>
      </c>
      <c r="T27" s="4">
        <f t="shared" si="8"/>
        <v>49765</v>
      </c>
      <c r="U27" s="4">
        <f t="shared" si="8"/>
        <v>50130</v>
      </c>
      <c r="V27" s="4">
        <f t="shared" si="8"/>
        <v>50495</v>
      </c>
      <c r="W27" s="4">
        <f t="shared" si="8"/>
        <v>50860</v>
      </c>
      <c r="X27" s="4">
        <f t="shared" si="8"/>
        <v>51226</v>
      </c>
    </row>
    <row r="28" spans="1:24">
      <c r="B28" s="77" t="s">
        <v>59</v>
      </c>
      <c r="C28" s="142"/>
      <c r="D28" s="72"/>
      <c r="E28" s="72"/>
      <c r="F28" s="1012"/>
      <c r="G28" s="1056"/>
      <c r="H28" s="72"/>
      <c r="I28" s="72"/>
      <c r="J28" s="72"/>
      <c r="K28" s="72"/>
      <c r="L28" s="72"/>
      <c r="M28" s="72"/>
      <c r="N28" s="72"/>
      <c r="O28" s="72"/>
      <c r="P28" s="72"/>
      <c r="Q28" s="72"/>
      <c r="R28" s="72"/>
    </row>
    <row r="29" spans="1:24">
      <c r="B29" s="78" t="s">
        <v>48</v>
      </c>
      <c r="C29" s="62"/>
      <c r="D29" s="62"/>
      <c r="E29" s="62"/>
      <c r="F29" s="1013"/>
      <c r="G29" s="1039">
        <f>Assumptions!I76*10^5*Assumptions!$C76/10^7</f>
        <v>16.876812490520582</v>
      </c>
      <c r="H29" s="62">
        <f>Assumptions!J76*10^5*Assumptions!$C76/10^7</f>
        <v>20.252174988624695</v>
      </c>
      <c r="I29" s="62">
        <f>Assumptions!K76*10^5*Assumptions!$C76/10^7</f>
        <v>23.627537486728812</v>
      </c>
      <c r="J29" s="62">
        <f>Assumptions!L76*10^5*Assumptions!$C76/10^7</f>
        <v>27.002899984832926</v>
      </c>
      <c r="K29" s="62">
        <f>Assumptions!M76*10^5*Assumptions!$C76/10^7</f>
        <v>30.378262482937043</v>
      </c>
      <c r="L29" s="62">
        <f>Assumptions!N76*10^5*Assumptions!$C76/10^7</f>
        <v>33.753624981041163</v>
      </c>
      <c r="M29" s="62">
        <f>Assumptions!O76*10^5*Assumptions!$C76/10^7</f>
        <v>33.753624981041163</v>
      </c>
      <c r="N29" s="62">
        <f>Assumptions!P76*10^5*Assumptions!$C76/10^7</f>
        <v>33.753624981041163</v>
      </c>
      <c r="O29" s="62">
        <f>Assumptions!Q76*10^5*Assumptions!$C76/10^7</f>
        <v>33.753624981041163</v>
      </c>
      <c r="P29" s="62">
        <f>Assumptions!R76*10^5*Assumptions!$C76/10^7</f>
        <v>33.753624981041163</v>
      </c>
      <c r="Q29" s="62">
        <f>Assumptions!S76*10^5*Assumptions!$C76/10^7</f>
        <v>33.753624981041163</v>
      </c>
      <c r="R29" s="62">
        <f>Assumptions!T76*10^5*Assumptions!$C76/10^7</f>
        <v>33.753624981041163</v>
      </c>
      <c r="S29" s="62">
        <f>Assumptions!U76*10^5*Assumptions!$C76/10^7</f>
        <v>33.753624981041163</v>
      </c>
      <c r="T29" s="62">
        <f>Assumptions!V76*10^5*Assumptions!$C76/10^7</f>
        <v>33.753624981041163</v>
      </c>
      <c r="U29" s="62">
        <f>Assumptions!W76*10^5*Assumptions!$C76/10^7</f>
        <v>33.753624981041163</v>
      </c>
      <c r="V29" s="62">
        <f>Assumptions!X76*10^5*Assumptions!$C76/10^7</f>
        <v>33.753624981041163</v>
      </c>
      <c r="W29" s="62">
        <f>Assumptions!Y76*10^5*Assumptions!$C76/10^7</f>
        <v>33.753624981041163</v>
      </c>
      <c r="X29" s="62">
        <f>Assumptions!Z76*10^5*Assumptions!$C76/10^7</f>
        <v>33.753624981041163</v>
      </c>
    </row>
    <row r="30" spans="1:24">
      <c r="B30" s="78" t="s">
        <v>56</v>
      </c>
      <c r="C30" s="62"/>
      <c r="D30" s="62"/>
      <c r="E30" s="62"/>
      <c r="F30" s="1013"/>
      <c r="G30" s="1039">
        <f>Assumptions!I77*10^5*Assumptions!$C77/10^7</f>
        <v>1.3562957589041098</v>
      </c>
      <c r="H30" s="62">
        <f>Assumptions!J77*10^5*Assumptions!$C77/10^7</f>
        <v>1.6275549106849316</v>
      </c>
      <c r="I30" s="62">
        <f>Assumptions!K77*10^5*Assumptions!$C77/10^7</f>
        <v>1.8988140624657537</v>
      </c>
      <c r="J30" s="62">
        <f>Assumptions!L77*10^5*Assumptions!$C77/10^7</f>
        <v>2.170073214246576</v>
      </c>
      <c r="K30" s="62">
        <f>Assumptions!M77*10^5*Assumptions!$C77/10^7</f>
        <v>2.4413323660273982</v>
      </c>
      <c r="L30" s="62">
        <f>Assumptions!N77*10^5*Assumptions!$C77/10^7</f>
        <v>2.7125915178082196</v>
      </c>
      <c r="M30" s="62">
        <f>Assumptions!O77*10^5*Assumptions!$C77/10^7</f>
        <v>2.7125915178082196</v>
      </c>
      <c r="N30" s="62">
        <f>Assumptions!P77*10^5*Assumptions!$C77/10^7</f>
        <v>2.7125915178082196</v>
      </c>
      <c r="O30" s="62">
        <f>Assumptions!Q77*10^5*Assumptions!$C77/10^7</f>
        <v>2.7125915178082196</v>
      </c>
      <c r="P30" s="62">
        <f>Assumptions!R77*10^5*Assumptions!$C77/10^7</f>
        <v>2.7125915178082196</v>
      </c>
      <c r="Q30" s="62">
        <f>Assumptions!S77*10^5*Assumptions!$C77/10^7</f>
        <v>2.7125915178082196</v>
      </c>
      <c r="R30" s="62">
        <f>Assumptions!T77*10^5*Assumptions!$C77/10^7</f>
        <v>2.7125915178082196</v>
      </c>
      <c r="S30" s="62">
        <f>Assumptions!U77*10^5*Assumptions!$C77/10^7</f>
        <v>2.7125915178082196</v>
      </c>
      <c r="T30" s="62">
        <f>Assumptions!V77*10^5*Assumptions!$C77/10^7</f>
        <v>2.7125915178082196</v>
      </c>
      <c r="U30" s="62">
        <f>Assumptions!W77*10^5*Assumptions!$C77/10^7</f>
        <v>2.7125915178082196</v>
      </c>
      <c r="V30" s="62">
        <f>Assumptions!X77*10^5*Assumptions!$C77/10^7</f>
        <v>2.7125915178082196</v>
      </c>
      <c r="W30" s="62">
        <f>Assumptions!Y77*10^5*Assumptions!$C77/10^7</f>
        <v>2.7125915178082196</v>
      </c>
      <c r="X30" s="62">
        <f>Assumptions!Z77*10^5*Assumptions!$C77/10^7</f>
        <v>2.7125915178082196</v>
      </c>
    </row>
    <row r="31" spans="1:24">
      <c r="B31" s="78" t="s">
        <v>49</v>
      </c>
      <c r="C31" s="62"/>
      <c r="D31" s="62"/>
      <c r="E31" s="62"/>
      <c r="F31" s="1013"/>
      <c r="G31" s="1039">
        <f>Assumptions!I78*10^5*Assumptions!$C78/10^7</f>
        <v>5.1422747178082213</v>
      </c>
      <c r="H31" s="62">
        <f>Assumptions!J78*10^5*Assumptions!$C78/10^7</f>
        <v>6.1707296613698661</v>
      </c>
      <c r="I31" s="62">
        <f>Assumptions!K78*10^5*Assumptions!$C78/10^7</f>
        <v>7.1991846049315091</v>
      </c>
      <c r="J31" s="62">
        <f>Assumptions!L78*10^5*Assumptions!$C78/10^7</f>
        <v>8.2276395484931566</v>
      </c>
      <c r="K31" s="62">
        <f>Assumptions!M78*10^5*Assumptions!$C78/10^7</f>
        <v>9.2560944920548014</v>
      </c>
      <c r="L31" s="62">
        <f>Assumptions!N78*10^5*Assumptions!$C78/10^7</f>
        <v>10.284549435616443</v>
      </c>
      <c r="M31" s="62">
        <f>Assumptions!O78*10^5*Assumptions!$C78/10^7</f>
        <v>10.284549435616443</v>
      </c>
      <c r="N31" s="62">
        <f>Assumptions!P78*10^5*Assumptions!$C78/10^7</f>
        <v>10.284549435616443</v>
      </c>
      <c r="O31" s="62">
        <f>Assumptions!Q78*10^5*Assumptions!$C78/10^7</f>
        <v>10.284549435616443</v>
      </c>
      <c r="P31" s="62">
        <f>Assumptions!R78*10^5*Assumptions!$C78/10^7</f>
        <v>10.284549435616443</v>
      </c>
      <c r="Q31" s="62">
        <f>Assumptions!S78*10^5*Assumptions!$C78/10^7</f>
        <v>10.284549435616443</v>
      </c>
      <c r="R31" s="62">
        <f>Assumptions!T78*10^5*Assumptions!$C78/10^7</f>
        <v>10.284549435616443</v>
      </c>
      <c r="S31" s="62">
        <f>Assumptions!U78*10^5*Assumptions!$C78/10^7</f>
        <v>10.284549435616443</v>
      </c>
      <c r="T31" s="62">
        <f>Assumptions!V78*10^5*Assumptions!$C78/10^7</f>
        <v>10.284549435616443</v>
      </c>
      <c r="U31" s="62">
        <f>Assumptions!W78*10^5*Assumptions!$C78/10^7</f>
        <v>10.284549435616443</v>
      </c>
      <c r="V31" s="62">
        <f>Assumptions!X78*10^5*Assumptions!$C78/10^7</f>
        <v>10.284549435616443</v>
      </c>
      <c r="W31" s="62">
        <f>Assumptions!Y78*10^5*Assumptions!$C78/10^7</f>
        <v>10.284549435616443</v>
      </c>
      <c r="X31" s="62">
        <f>Assumptions!Z78*10^5*Assumptions!$C78/10^7</f>
        <v>10.284549435616443</v>
      </c>
    </row>
    <row r="32" spans="1:24">
      <c r="B32" s="78" t="s">
        <v>50</v>
      </c>
      <c r="C32" s="62"/>
      <c r="D32" s="62"/>
      <c r="E32" s="62"/>
      <c r="F32" s="1013"/>
      <c r="G32" s="1039">
        <f>Assumptions!I79*10^5*Assumptions!$C79/10^7</f>
        <v>5.263670482191765</v>
      </c>
      <c r="H32" s="62">
        <f>Assumptions!J79*10^5*Assumptions!$C79/10^7</f>
        <v>6.3164045786301184</v>
      </c>
      <c r="I32" s="62">
        <f>Assumptions!K79*10^5*Assumptions!$C79/10^7</f>
        <v>7.3691386750684709</v>
      </c>
      <c r="J32" s="62">
        <f>Assumptions!L79*10^5*Assumptions!$C79/10^7</f>
        <v>8.4218727715068233</v>
      </c>
      <c r="K32" s="62">
        <f>Assumptions!M79*10^5*Assumptions!$C79/10^7</f>
        <v>9.4746068679451785</v>
      </c>
      <c r="L32" s="62">
        <f>Assumptions!N79*10^5*Assumptions!$C79/10^7</f>
        <v>10.52734096438353</v>
      </c>
      <c r="M32" s="62">
        <f>Assumptions!O79*10^5*Assumptions!$C79/10^7</f>
        <v>10.52734096438353</v>
      </c>
      <c r="N32" s="62">
        <f>Assumptions!P79*10^5*Assumptions!$C79/10^7</f>
        <v>10.52734096438353</v>
      </c>
      <c r="O32" s="62">
        <f>Assumptions!Q79*10^5*Assumptions!$C79/10^7</f>
        <v>10.52734096438353</v>
      </c>
      <c r="P32" s="62">
        <f>Assumptions!R79*10^5*Assumptions!$C79/10^7</f>
        <v>10.52734096438353</v>
      </c>
      <c r="Q32" s="62">
        <f>Assumptions!S79*10^5*Assumptions!$C79/10^7</f>
        <v>10.52734096438353</v>
      </c>
      <c r="R32" s="62">
        <f>Assumptions!T79*10^5*Assumptions!$C79/10^7</f>
        <v>10.52734096438353</v>
      </c>
      <c r="S32" s="62">
        <f>Assumptions!U79*10^5*Assumptions!$C79/10^7</f>
        <v>10.52734096438353</v>
      </c>
      <c r="T32" s="62">
        <f>Assumptions!V79*10^5*Assumptions!$C79/10^7</f>
        <v>10.52734096438353</v>
      </c>
      <c r="U32" s="62">
        <f>Assumptions!W79*10^5*Assumptions!$C79/10^7</f>
        <v>10.52734096438353</v>
      </c>
      <c r="V32" s="62">
        <f>Assumptions!X79*10^5*Assumptions!$C79/10^7</f>
        <v>10.52734096438353</v>
      </c>
      <c r="W32" s="62">
        <f>Assumptions!Y79*10^5*Assumptions!$C79/10^7</f>
        <v>10.52734096438353</v>
      </c>
      <c r="X32" s="62">
        <f>Assumptions!Z79*10^5*Assumptions!$C79/10^7</f>
        <v>10.52734096438353</v>
      </c>
    </row>
    <row r="33" spans="2:27">
      <c r="B33" s="78" t="s">
        <v>51</v>
      </c>
      <c r="C33" s="62"/>
      <c r="D33" s="62"/>
      <c r="E33" s="62"/>
      <c r="F33" s="1013"/>
      <c r="G33" s="1039">
        <f>Assumptions!I80*10^5*Assumptions!$C80/10^7</f>
        <v>2.2410541639532435</v>
      </c>
      <c r="H33" s="62">
        <f>Assumptions!J80*10^5*Assumptions!$C80/10^7</f>
        <v>2.689264996743892</v>
      </c>
      <c r="I33" s="62">
        <f>Assumptions!K80*10^5*Assumptions!$C80/10^7</f>
        <v>3.1374758295345408</v>
      </c>
      <c r="J33" s="62">
        <f>Assumptions!L80*10^5*Assumptions!$C80/10^7</f>
        <v>3.5856866623251902</v>
      </c>
      <c r="K33" s="62">
        <f>Assumptions!M80*10^5*Assumptions!$C80/10^7</f>
        <v>4.0338974951158386</v>
      </c>
      <c r="L33" s="62">
        <f>Assumptions!N80*10^5*Assumptions!$C80/10^7</f>
        <v>4.4821083279064871</v>
      </c>
      <c r="M33" s="62">
        <f>Assumptions!O80*10^5*Assumptions!$C80/10^7</f>
        <v>4.4821083279064871</v>
      </c>
      <c r="N33" s="62">
        <f>Assumptions!P80*10^5*Assumptions!$C80/10^7</f>
        <v>4.4821083279064871</v>
      </c>
      <c r="O33" s="62">
        <f>Assumptions!Q80*10^5*Assumptions!$C80/10^7</f>
        <v>4.4821083279064871</v>
      </c>
      <c r="P33" s="62">
        <f>Assumptions!R80*10^5*Assumptions!$C80/10^7</f>
        <v>4.4821083279064871</v>
      </c>
      <c r="Q33" s="62">
        <f>Assumptions!S80*10^5*Assumptions!$C80/10^7</f>
        <v>4.4821083279064871</v>
      </c>
      <c r="R33" s="62">
        <f>Assumptions!T80*10^5*Assumptions!$C80/10^7</f>
        <v>4.4821083279064871</v>
      </c>
      <c r="S33" s="62">
        <f>Assumptions!U80*10^5*Assumptions!$C80/10^7</f>
        <v>4.4821083279064871</v>
      </c>
      <c r="T33" s="62">
        <f>Assumptions!V80*10^5*Assumptions!$C80/10^7</f>
        <v>4.4821083279064871</v>
      </c>
      <c r="U33" s="62">
        <f>Assumptions!W80*10^5*Assumptions!$C80/10^7</f>
        <v>4.4821083279064871</v>
      </c>
      <c r="V33" s="62">
        <f>Assumptions!X80*10^5*Assumptions!$C80/10^7</f>
        <v>4.4821083279064871</v>
      </c>
      <c r="W33" s="62">
        <f>Assumptions!Y80*10^5*Assumptions!$C80/10^7</f>
        <v>4.4821083279064871</v>
      </c>
      <c r="X33" s="62">
        <f>Assumptions!Z80*10^5*Assumptions!$C80/10^7</f>
        <v>4.4821083279064871</v>
      </c>
    </row>
    <row r="34" spans="2:27">
      <c r="B34" s="78" t="s">
        <v>52</v>
      </c>
      <c r="C34" s="62"/>
      <c r="D34" s="62"/>
      <c r="E34" s="62"/>
      <c r="F34" s="1013"/>
      <c r="G34" s="1039">
        <f>Assumptions!I81*10^3*Assumptions!$C81/10^7</f>
        <v>2.6550181479452011</v>
      </c>
      <c r="H34" s="62">
        <f>Assumptions!J81*10^3*Assumptions!$C81/10^7</f>
        <v>3.1860217775342408</v>
      </c>
      <c r="I34" s="62">
        <f>Assumptions!K81*10^3*Assumptions!$C81/10^7</f>
        <v>3.7170254071232818</v>
      </c>
      <c r="J34" s="62">
        <f>Assumptions!L81*10^3*Assumptions!$C81/10^7</f>
        <v>4.2480290367123219</v>
      </c>
      <c r="K34" s="62">
        <f>Assumptions!M81*10^3*Assumptions!$C81/10^7</f>
        <v>4.7790326663013616</v>
      </c>
      <c r="L34" s="62">
        <f>Assumptions!N81*10^3*Assumptions!$C81/10^7</f>
        <v>5.3100362958904022</v>
      </c>
      <c r="M34" s="62">
        <f>Assumptions!O81*10^3*Assumptions!$C81/10^7</f>
        <v>5.3100362958904022</v>
      </c>
      <c r="N34" s="62">
        <f>Assumptions!P81*10^3*Assumptions!$C81/10^7</f>
        <v>5.3100362958904022</v>
      </c>
      <c r="O34" s="62">
        <f>Assumptions!Q81*10^3*Assumptions!$C81/10^7</f>
        <v>5.3100362958904022</v>
      </c>
      <c r="P34" s="62">
        <f>Assumptions!R81*10^3*Assumptions!$C81/10^7</f>
        <v>5.3100362958904022</v>
      </c>
      <c r="Q34" s="62">
        <f>Assumptions!S81*10^3*Assumptions!$C81/10^7</f>
        <v>5.3100362958904022</v>
      </c>
      <c r="R34" s="62">
        <f>Assumptions!T81*10^3*Assumptions!$C81/10^7</f>
        <v>5.3100362958904022</v>
      </c>
      <c r="S34" s="62">
        <f>Assumptions!U81*10^3*Assumptions!$C81/10^7</f>
        <v>5.3100362958904022</v>
      </c>
      <c r="T34" s="62">
        <f>Assumptions!V81*10^3*Assumptions!$C81/10^7</f>
        <v>5.3100362958904022</v>
      </c>
      <c r="U34" s="62">
        <f>Assumptions!W81*10^3*Assumptions!$C81/10^7</f>
        <v>5.3100362958904022</v>
      </c>
      <c r="V34" s="62">
        <f>Assumptions!X81*10^3*Assumptions!$C81/10^7</f>
        <v>5.3100362958904022</v>
      </c>
      <c r="W34" s="62">
        <f>Assumptions!Y81*10^3*Assumptions!$C81/10^7</f>
        <v>5.3100362958904022</v>
      </c>
      <c r="X34" s="62">
        <f>Assumptions!Z81*10^3*Assumptions!$C81/10^7</f>
        <v>5.3100362958904022</v>
      </c>
    </row>
    <row r="35" spans="2:27">
      <c r="B35" s="60" t="s">
        <v>65</v>
      </c>
      <c r="C35" s="134"/>
      <c r="D35" s="62"/>
      <c r="E35" s="62"/>
      <c r="F35" s="1013"/>
      <c r="G35" s="1039">
        <f>SUMPRODUCT(G29:G34,Assumptions!$C$92:$C$97)</f>
        <v>4.1802341224240607</v>
      </c>
      <c r="H35" s="62">
        <f>SUMPRODUCT(H29:H34,Assumptions!$C$92:$C$97)</f>
        <v>5.0162809469088723</v>
      </c>
      <c r="I35" s="62">
        <f>SUMPRODUCT(I29:I34,Assumptions!$C$92:$C$97)</f>
        <v>5.8523277713936839</v>
      </c>
      <c r="J35" s="62">
        <f>SUMPRODUCT(J29:J34,Assumptions!$C$92:$C$97)</f>
        <v>6.6883745958784955</v>
      </c>
      <c r="K35" s="62">
        <f>SUMPRODUCT(K29:K34,Assumptions!$C$92:$C$97)</f>
        <v>7.5244214203633089</v>
      </c>
      <c r="L35" s="62">
        <f>SUMPRODUCT(L29:L34,Assumptions!$C$92:$C$97)</f>
        <v>8.3604682448481213</v>
      </c>
      <c r="M35" s="62">
        <f>SUMPRODUCT(M29:M34,Assumptions!$C$92:$C$97)</f>
        <v>8.3604682448481213</v>
      </c>
      <c r="N35" s="62">
        <f>SUMPRODUCT(N29:N34,Assumptions!$C$92:$C$97)</f>
        <v>8.3604682448481213</v>
      </c>
      <c r="O35" s="62">
        <f>SUMPRODUCT(O29:O34,Assumptions!$C$92:$C$97)</f>
        <v>8.3604682448481213</v>
      </c>
      <c r="P35" s="62">
        <f>SUMPRODUCT(P29:P34,Assumptions!$C$92:$C$97)</f>
        <v>8.3604682448481213</v>
      </c>
      <c r="Q35" s="62">
        <f>SUMPRODUCT(Q29:Q34,Assumptions!$C$92:$C$97)</f>
        <v>8.3604682448481213</v>
      </c>
      <c r="R35" s="62">
        <f>SUMPRODUCT(R29:R34,Assumptions!$C$92:$C$97)</f>
        <v>8.3604682448481213</v>
      </c>
      <c r="S35" s="62">
        <f>SUMPRODUCT(S29:S34,Assumptions!$C$92:$C$97)</f>
        <v>8.3604682448481213</v>
      </c>
      <c r="T35" s="62">
        <f>SUMPRODUCT(T29:T34,Assumptions!$C$92:$C$97)</f>
        <v>8.3604682448481213</v>
      </c>
      <c r="U35" s="62">
        <f>SUMPRODUCT(U29:U34,Assumptions!$C$92:$C$97)</f>
        <v>8.3604682448481213</v>
      </c>
      <c r="V35" s="62">
        <f>SUMPRODUCT(V29:V34,Assumptions!$C$92:$C$97)</f>
        <v>8.3604682448481213</v>
      </c>
      <c r="W35" s="62">
        <f>SUMPRODUCT(W29:W34,Assumptions!$C$92:$C$97)</f>
        <v>8.3604682448481213</v>
      </c>
      <c r="X35" s="62">
        <f>SUMPRODUCT(X29:X34,Assumptions!$C$92:$C$97)</f>
        <v>8.3604682448481213</v>
      </c>
    </row>
    <row r="36" spans="2:27">
      <c r="B36" s="60" t="s">
        <v>66</v>
      </c>
      <c r="C36" s="134"/>
      <c r="D36" s="62"/>
      <c r="E36" s="62"/>
      <c r="F36" s="1013"/>
      <c r="G36" s="1039">
        <f>Assumptions!$C$99*SUM(G29:G35)</f>
        <v>4.6880192335497748</v>
      </c>
      <c r="H36" s="62">
        <f>Assumptions!$C$99*SUM(H29:H35)</f>
        <v>5.6256230802597296</v>
      </c>
      <c r="I36" s="62">
        <f>Assumptions!$C$99*SUM(I29:I35)</f>
        <v>6.5632269269696835</v>
      </c>
      <c r="J36" s="62">
        <f>Assumptions!$C$99*SUM(J29:J35)</f>
        <v>7.5008307736796382</v>
      </c>
      <c r="K36" s="62">
        <f>Assumptions!$C$99*SUM(K29:K35)</f>
        <v>8.438434620389593</v>
      </c>
      <c r="L36" s="62">
        <f>Assumptions!$C$99*SUM(L29:L35)</f>
        <v>9.3760384670995496</v>
      </c>
      <c r="M36" s="62">
        <f>Assumptions!$C$99*SUM(M29:M35)</f>
        <v>9.3760384670995496</v>
      </c>
      <c r="N36" s="62">
        <f>Assumptions!$C$99*SUM(N29:N35)</f>
        <v>9.3760384670995496</v>
      </c>
      <c r="O36" s="62">
        <f>Assumptions!$C$99*SUM(O29:O35)</f>
        <v>9.3760384670995496</v>
      </c>
      <c r="P36" s="62">
        <f>Assumptions!$C$99*SUM(P29:P35)</f>
        <v>9.3760384670995496</v>
      </c>
      <c r="Q36" s="62">
        <f>Assumptions!$C$99*SUM(Q29:Q35)</f>
        <v>9.3760384670995496</v>
      </c>
      <c r="R36" s="62">
        <f>Assumptions!$C$99*SUM(R29:R35)</f>
        <v>9.3760384670995496</v>
      </c>
      <c r="S36" s="62">
        <f>Assumptions!$C$99*SUM(S29:S35)</f>
        <v>9.3760384670995496</v>
      </c>
      <c r="T36" s="62">
        <f>Assumptions!$C$99*SUM(T29:T35)</f>
        <v>9.3760384670995496</v>
      </c>
      <c r="U36" s="62">
        <f>Assumptions!$C$99*SUM(U29:U35)</f>
        <v>9.3760384670995496</v>
      </c>
      <c r="V36" s="62">
        <f>Assumptions!$C$99*SUM(V29:V35)</f>
        <v>9.3760384670995496</v>
      </c>
      <c r="W36" s="62">
        <f>Assumptions!$C$99*SUM(W29:W35)</f>
        <v>9.3760384670995496</v>
      </c>
      <c r="X36" s="62">
        <f>Assumptions!$C$99*SUM(X29:X35)</f>
        <v>9.3760384670995496</v>
      </c>
    </row>
    <row r="37" spans="2:27">
      <c r="B37" s="64" t="s">
        <v>69</v>
      </c>
      <c r="C37" s="139"/>
      <c r="D37" s="65"/>
      <c r="E37" s="65"/>
      <c r="F37" s="1014"/>
      <c r="G37" s="227">
        <f t="shared" ref="G37:Q37" si="9">SUM(G29:G35)-G36</f>
        <v>33.027340650197409</v>
      </c>
      <c r="H37" s="65">
        <f t="shared" si="9"/>
        <v>39.632808780236893</v>
      </c>
      <c r="I37" s="65">
        <f t="shared" si="9"/>
        <v>46.238276910276362</v>
      </c>
      <c r="J37" s="65">
        <f t="shared" si="9"/>
        <v>52.843745040315845</v>
      </c>
      <c r="K37" s="65">
        <f t="shared" si="9"/>
        <v>59.449213170355328</v>
      </c>
      <c r="L37" s="65">
        <f t="shared" si="9"/>
        <v>66.054681300394819</v>
      </c>
      <c r="M37" s="65">
        <f t="shared" si="9"/>
        <v>66.054681300394819</v>
      </c>
      <c r="N37" s="65">
        <f t="shared" si="9"/>
        <v>66.054681300394819</v>
      </c>
      <c r="O37" s="65">
        <f t="shared" si="9"/>
        <v>66.054681300394819</v>
      </c>
      <c r="P37" s="65">
        <f t="shared" si="9"/>
        <v>66.054681300394819</v>
      </c>
      <c r="Q37" s="65">
        <f t="shared" si="9"/>
        <v>66.054681300394819</v>
      </c>
      <c r="R37" s="65">
        <f t="shared" ref="R37:X37" si="10">SUM(R29:R35)-R36</f>
        <v>66.054681300394819</v>
      </c>
      <c r="S37" s="65">
        <f t="shared" si="10"/>
        <v>66.054681300394819</v>
      </c>
      <c r="T37" s="65">
        <f t="shared" si="10"/>
        <v>66.054681300394819</v>
      </c>
      <c r="U37" s="65">
        <f t="shared" si="10"/>
        <v>66.054681300394819</v>
      </c>
      <c r="V37" s="65">
        <f t="shared" si="10"/>
        <v>66.054681300394819</v>
      </c>
      <c r="W37" s="65">
        <f t="shared" si="10"/>
        <v>66.054681300394819</v>
      </c>
      <c r="X37" s="65">
        <f t="shared" si="10"/>
        <v>66.054681300394819</v>
      </c>
    </row>
    <row r="38" spans="2:27">
      <c r="B38" s="60"/>
      <c r="C38" s="134"/>
      <c r="D38" s="62"/>
      <c r="E38" s="62"/>
      <c r="F38" s="1013"/>
      <c r="G38" s="1039"/>
      <c r="H38" s="62"/>
      <c r="I38" s="62"/>
      <c r="J38" s="62"/>
      <c r="K38" s="62"/>
      <c r="L38" s="62"/>
      <c r="M38" s="62"/>
      <c r="N38" s="62"/>
      <c r="O38" s="62"/>
      <c r="P38" s="62"/>
      <c r="Q38" s="62"/>
      <c r="R38" s="62"/>
    </row>
    <row r="39" spans="2:27">
      <c r="B39" s="64" t="s">
        <v>79</v>
      </c>
      <c r="C39" s="139"/>
      <c r="D39" s="62"/>
      <c r="E39" s="62"/>
      <c r="F39" s="1013"/>
      <c r="G39" s="1039"/>
      <c r="H39" s="62"/>
      <c r="I39" s="62"/>
      <c r="J39" s="62"/>
      <c r="K39" s="62"/>
      <c r="L39" s="62"/>
      <c r="M39" s="62"/>
      <c r="N39" s="62"/>
      <c r="O39" s="62"/>
      <c r="P39" s="62"/>
      <c r="Q39" s="62"/>
      <c r="R39" s="62"/>
    </row>
    <row r="40" spans="2:27">
      <c r="B40" s="60" t="s">
        <v>70</v>
      </c>
      <c r="C40" s="134"/>
      <c r="D40" s="73"/>
      <c r="E40" s="73"/>
      <c r="F40" s="1013"/>
      <c r="G40" s="1039">
        <f>(SUMPRODUCT(Assumptions!I76:I80,Assumptions!$C$84:$C$88)*10^5+Assumptions!I81*Assumptions!$C$89*10^3)/10^7+17.714*0</f>
        <v>15.424929305770346</v>
      </c>
      <c r="H40" s="73">
        <f>(SUMPRODUCT(Assumptions!J76:J80,Assumptions!$C$84:$C$88)*10^5+Assumptions!J81*Assumptions!$C$89*10^3)/10^7+18.29*0</f>
        <v>18.509915166924415</v>
      </c>
      <c r="I40" s="73">
        <f>(SUMPRODUCT(Assumptions!K76:K80,Assumptions!$C$84:$C$88)*10^5+Assumptions!K81*Assumptions!$C$89*10^3)/10^7+18.59*0</f>
        <v>21.594901028078482</v>
      </c>
      <c r="J40" s="73">
        <f>(SUMPRODUCT(Assumptions!L76:L80,Assumptions!$C$84:$C$88)*10^5+Assumptions!L81*Assumptions!$C$89*10^3)/10^7+18.59*0</f>
        <v>24.679886889232552</v>
      </c>
      <c r="K40" s="73">
        <f>(SUMPRODUCT(Assumptions!M76:M80,Assumptions!$C$84:$C$88)*10^5+Assumptions!M81*Assumptions!$C$89*10^3)/10^7+18.59*0</f>
        <v>27.764872750386619</v>
      </c>
      <c r="L40" s="73">
        <f>(SUMPRODUCT(Assumptions!N76:N80,Assumptions!$C$84:$C$88)*10^5+Assumptions!N81*Assumptions!$C$89*10^3)/10^7+18.59*0</f>
        <v>30.849858611540693</v>
      </c>
      <c r="M40" s="73">
        <f>(SUMPRODUCT(Assumptions!O76:O80,Assumptions!$C$84:$C$88)*10^5+Assumptions!O81*Assumptions!$C$89*10^3)/10^7+18.59*0</f>
        <v>30.849858611540693</v>
      </c>
      <c r="N40" s="73">
        <f>(SUMPRODUCT(Assumptions!P76:P80,Assumptions!$C$84:$C$88)*10^5+Assumptions!P81*Assumptions!$C$89*10^3)/10^7+18.59*0</f>
        <v>30.849858611540693</v>
      </c>
      <c r="O40" s="73">
        <f>(SUMPRODUCT(Assumptions!Q76:Q80,Assumptions!$C$84:$C$88)*10^5+Assumptions!Q81*Assumptions!$C$89*10^3)/10^7+18.59*0</f>
        <v>30.849858611540693</v>
      </c>
      <c r="P40" s="73">
        <f>(SUMPRODUCT(Assumptions!R76:R80,Assumptions!$C$84:$C$88)*10^5+Assumptions!R81*Assumptions!$C$89*10^3)/10^7+18.59*0</f>
        <v>30.849858611540693</v>
      </c>
      <c r="Q40" s="73">
        <f>(SUMPRODUCT(Assumptions!S76:S80,Assumptions!$C$84:$C$88)*10^5+Assumptions!S81*Assumptions!$C$89*10^3)/10^7+18.59*0</f>
        <v>30.849858611540693</v>
      </c>
      <c r="R40" s="73">
        <f>(SUMPRODUCT(Assumptions!T76:T80,Assumptions!$C$84:$C$88)*10^5+Assumptions!T81*Assumptions!$C$89*10^3)/10^7+18.59*0</f>
        <v>30.849858611540693</v>
      </c>
      <c r="S40" s="73">
        <f>(SUMPRODUCT(Assumptions!U76:U80,Assumptions!$C$84:$C$88)*10^5+Assumptions!U81*Assumptions!$C$89*10^3)/10^7+18.59*0</f>
        <v>30.849858611540693</v>
      </c>
      <c r="T40" s="73">
        <f>(SUMPRODUCT(Assumptions!V76:V80,Assumptions!$C$84:$C$88)*10^5+Assumptions!V81*Assumptions!$C$89*10^3)/10^7+18.59*0</f>
        <v>30.849858611540693</v>
      </c>
      <c r="U40" s="73">
        <f>(SUMPRODUCT(Assumptions!W76:W80,Assumptions!$C$84:$C$88)*10^5+Assumptions!W81*Assumptions!$C$89*10^3)/10^7+18.59*0</f>
        <v>30.849858611540693</v>
      </c>
      <c r="V40" s="73">
        <f>(SUMPRODUCT(Assumptions!X76:X80,Assumptions!$C$84:$C$88)*10^5+Assumptions!X81*Assumptions!$C$89*10^3)/10^7+18.59*0</f>
        <v>30.849858611540693</v>
      </c>
      <c r="W40" s="73">
        <f>(SUMPRODUCT(Assumptions!Y76:Y80,Assumptions!$C$84:$C$88)*10^5+Assumptions!Y81*Assumptions!$C$89*10^3)/10^7+18.59*0</f>
        <v>30.849858611540693</v>
      </c>
      <c r="X40" s="73">
        <f>(SUMPRODUCT(Assumptions!Z76:Z80,Assumptions!$C$84:$C$88)*10^5+Assumptions!Z81*Assumptions!$C$89*10^3)/10^7+18.59*0</f>
        <v>30.849858611540693</v>
      </c>
    </row>
    <row r="41" spans="2:27">
      <c r="B41" s="60" t="s">
        <v>65</v>
      </c>
      <c r="C41" s="134"/>
      <c r="D41" s="62"/>
      <c r="E41" s="62"/>
      <c r="F41" s="1013"/>
      <c r="G41" s="1039">
        <f>Assumptions!$C$100*'P&amp;L'!G35</f>
        <v>3.5281175993259071</v>
      </c>
      <c r="H41" s="62">
        <f>Assumptions!$C$100*'P&amp;L'!H35</f>
        <v>4.2337411191910883</v>
      </c>
      <c r="I41" s="62">
        <f>Assumptions!$C$100*'P&amp;L'!I35</f>
        <v>4.9393646390562687</v>
      </c>
      <c r="J41" s="62">
        <f>Assumptions!$C$100*'P&amp;L'!J35</f>
        <v>5.6449881589214499</v>
      </c>
      <c r="K41" s="62">
        <f>Assumptions!$C$100*'P&amp;L'!K35</f>
        <v>6.3506116787866329</v>
      </c>
      <c r="L41" s="62">
        <f>Assumptions!$C$100*'P&amp;L'!L35</f>
        <v>7.0562351986518141</v>
      </c>
      <c r="M41" s="62">
        <f>Assumptions!$C$100*'P&amp;L'!M35</f>
        <v>7.0562351986518141</v>
      </c>
      <c r="N41" s="62">
        <f>Assumptions!$C$100*'P&amp;L'!N35</f>
        <v>7.0562351986518141</v>
      </c>
      <c r="O41" s="62">
        <f>Assumptions!$C$100*'P&amp;L'!O35</f>
        <v>7.0562351986518141</v>
      </c>
      <c r="P41" s="62">
        <f>Assumptions!$C$100*'P&amp;L'!P35</f>
        <v>7.0562351986518141</v>
      </c>
      <c r="Q41" s="62">
        <f>Assumptions!$C$100*'P&amp;L'!Q35</f>
        <v>7.0562351986518141</v>
      </c>
      <c r="R41" s="62">
        <f>Assumptions!$C$100*'P&amp;L'!R35</f>
        <v>7.0562351986518141</v>
      </c>
      <c r="S41" s="62">
        <f>Assumptions!$C$100*'P&amp;L'!S35</f>
        <v>7.0562351986518141</v>
      </c>
      <c r="T41" s="62">
        <f>Assumptions!$C$100*'P&amp;L'!T35</f>
        <v>7.0562351986518141</v>
      </c>
      <c r="U41" s="62">
        <f>Assumptions!$C$100*'P&amp;L'!U35</f>
        <v>7.0562351986518141</v>
      </c>
      <c r="V41" s="62">
        <f>Assumptions!$C$100*'P&amp;L'!V35</f>
        <v>7.0562351986518141</v>
      </c>
      <c r="W41" s="62">
        <f>Assumptions!$C$100*'P&amp;L'!W35</f>
        <v>7.0562351986518141</v>
      </c>
      <c r="X41" s="62">
        <f>Assumptions!$C$100*'P&amp;L'!X35</f>
        <v>7.0562351986518141</v>
      </c>
    </row>
    <row r="42" spans="2:27">
      <c r="B42" s="60" t="s">
        <v>74</v>
      </c>
      <c r="C42" s="134"/>
      <c r="D42" s="62"/>
      <c r="E42" s="62"/>
      <c r="F42" s="1013"/>
      <c r="G42" s="1039">
        <f>(SUMPRODUCT(Assumptions!I76:I80,Assumptions!$C$105:$C$109)*10^5+Assumptions!I81*Assumptions!$C$110*10^3)/10^7</f>
        <v>0.75583569736877343</v>
      </c>
      <c r="H42" s="62">
        <f>(SUMPRODUCT(Assumptions!J76:J80,Assumptions!$C$105:$C$109)*10^5+Assumptions!J81*Assumptions!$C$110*10^3)/10^7</f>
        <v>0.90700283684252803</v>
      </c>
      <c r="I42" s="62">
        <f>(SUMPRODUCT(Assumptions!K76:K80,Assumptions!$C$105:$C$109)*10^5+Assumptions!K81*Assumptions!$C$110*10^3)/10^7</f>
        <v>1.0581699763162828</v>
      </c>
      <c r="J42" s="62">
        <f>(SUMPRODUCT(Assumptions!L76:L80,Assumptions!$C$105:$C$109)*10^5+Assumptions!L81*Assumptions!$C$110*10^3)/10^7</f>
        <v>1.2093371157900377</v>
      </c>
      <c r="K42" s="62">
        <f>(SUMPRODUCT(Assumptions!M76:M80,Assumptions!$C$105:$C$109)*10^5+Assumptions!M81*Assumptions!$C$110*10^3)/10^7</f>
        <v>1.3605042552637923</v>
      </c>
      <c r="L42" s="62">
        <f>(SUMPRODUCT(Assumptions!N76:N80,Assumptions!$C$105:$C$109)*10^5+Assumptions!N81*Assumptions!$C$110*10^3)/10^7</f>
        <v>1.5116713947375469</v>
      </c>
      <c r="M42" s="62">
        <f>(SUMPRODUCT(Assumptions!O76:O80,Assumptions!$C$105:$C$109)*10^5+Assumptions!O81*Assumptions!$C$110*10^3)/10^7</f>
        <v>1.5116713947375469</v>
      </c>
      <c r="N42" s="62">
        <f>(SUMPRODUCT(Assumptions!P76:P80,Assumptions!$C$105:$C$109)*10^5+Assumptions!P81*Assumptions!$C$110*10^3)/10^7</f>
        <v>1.5116713947375469</v>
      </c>
      <c r="O42" s="62">
        <f>(SUMPRODUCT(Assumptions!Q76:Q80,Assumptions!$C$105:$C$109)*10^5+Assumptions!Q81*Assumptions!$C$110*10^3)/10^7</f>
        <v>1.5116713947375469</v>
      </c>
      <c r="P42" s="62">
        <f>(SUMPRODUCT(Assumptions!R76:R80,Assumptions!$C$105:$C$109)*10^5+Assumptions!R81*Assumptions!$C$110*10^3)/10^7</f>
        <v>1.5116713947375469</v>
      </c>
      <c r="Q42" s="62">
        <f>(SUMPRODUCT(Assumptions!S76:S80,Assumptions!$C$105:$C$109)*10^5+Assumptions!S81*Assumptions!$C$110*10^3)/10^7</f>
        <v>1.5116713947375469</v>
      </c>
      <c r="R42" s="62">
        <f>(SUMPRODUCT(Assumptions!T76:T80,Assumptions!$C$105:$C$109)*10^5+Assumptions!T81*Assumptions!$C$110*10^3)/10^7</f>
        <v>1.5116713947375469</v>
      </c>
      <c r="S42" s="62">
        <f>(SUMPRODUCT(Assumptions!U76:U80,Assumptions!$C$105:$C$109)*10^5+Assumptions!U81*Assumptions!$C$110*10^3)/10^7</f>
        <v>1.5116713947375469</v>
      </c>
      <c r="T42" s="62">
        <f>(SUMPRODUCT(Assumptions!V76:V80,Assumptions!$C$105:$C$109)*10^5+Assumptions!V81*Assumptions!$C$110*10^3)/10^7</f>
        <v>1.5116713947375469</v>
      </c>
      <c r="U42" s="62">
        <f>(SUMPRODUCT(Assumptions!W76:W80,Assumptions!$C$105:$C$109)*10^5+Assumptions!W81*Assumptions!$C$110*10^3)/10^7</f>
        <v>1.5116713947375469</v>
      </c>
      <c r="V42" s="62">
        <f>(SUMPRODUCT(Assumptions!X76:X80,Assumptions!$C$105:$C$109)*10^5+Assumptions!X81*Assumptions!$C$110*10^3)/10^7</f>
        <v>1.5116713947375469</v>
      </c>
      <c r="W42" s="62">
        <f>(SUMPRODUCT(Assumptions!Y76:Y80,Assumptions!$C$105:$C$109)*10^5+Assumptions!Y81*Assumptions!$C$110*10^3)/10^7</f>
        <v>1.5116713947375469</v>
      </c>
      <c r="X42" s="62">
        <f>(SUMPRODUCT(Assumptions!Z76:Z80,Assumptions!$C$105:$C$109)*10^5+Assumptions!Z81*Assumptions!$C$110*10^3)/10^7</f>
        <v>1.5116713947375469</v>
      </c>
    </row>
    <row r="43" spans="2:27">
      <c r="B43" s="60" t="s">
        <v>75</v>
      </c>
      <c r="C43" s="134"/>
      <c r="D43" s="62"/>
      <c r="E43" s="62"/>
      <c r="F43" s="1013"/>
      <c r="G43" s="1039">
        <f>Assumptions!$C$101*SUM(G29:G35)</f>
        <v>0.37715359883747185</v>
      </c>
      <c r="H43" s="62">
        <f>Assumptions!$C$101*SUM(H29:H35)</f>
        <v>0.45258431860496623</v>
      </c>
      <c r="I43" s="62">
        <f>Assumptions!$C$101*SUM(I29:I35)</f>
        <v>0.52801503837246044</v>
      </c>
      <c r="J43" s="62">
        <f>Assumptions!$C$101*SUM(J29:J35)</f>
        <v>0.60344575813995482</v>
      </c>
      <c r="K43" s="62">
        <f>Assumptions!$C$101*SUM(K29:K35)</f>
        <v>0.67887647790744921</v>
      </c>
      <c r="L43" s="62">
        <f>Assumptions!$C$101*SUM(L29:L35)</f>
        <v>0.7543071976749437</v>
      </c>
      <c r="M43" s="62">
        <f>Assumptions!$C$101*SUM(M29:M35)</f>
        <v>0.7543071976749437</v>
      </c>
      <c r="N43" s="62">
        <f>Assumptions!$C$101*SUM(N29:N35)</f>
        <v>0.7543071976749437</v>
      </c>
      <c r="O43" s="62">
        <f>Assumptions!$C$101*SUM(O29:O35)</f>
        <v>0.7543071976749437</v>
      </c>
      <c r="P43" s="62">
        <f>Assumptions!$C$101*SUM(P29:P35)</f>
        <v>0.7543071976749437</v>
      </c>
      <c r="Q43" s="62">
        <f>Assumptions!$C$101*SUM(Q29:Q35)</f>
        <v>0.7543071976749437</v>
      </c>
      <c r="R43" s="62">
        <f>Assumptions!$C$101*SUM(R29:R35)</f>
        <v>0.7543071976749437</v>
      </c>
      <c r="S43" s="62">
        <f>Assumptions!$C$101*SUM(S29:S35)</f>
        <v>0.7543071976749437</v>
      </c>
      <c r="T43" s="62">
        <f>Assumptions!$C$101*SUM(T29:T35)</f>
        <v>0.7543071976749437</v>
      </c>
      <c r="U43" s="62">
        <f>Assumptions!$C$101*SUM(U29:U35)</f>
        <v>0.7543071976749437</v>
      </c>
      <c r="V43" s="62">
        <f>Assumptions!$C$101*SUM(V29:V35)</f>
        <v>0.7543071976749437</v>
      </c>
      <c r="W43" s="62">
        <f>Assumptions!$C$101*SUM(W29:W35)</f>
        <v>0.7543071976749437</v>
      </c>
      <c r="X43" s="62">
        <f>Assumptions!$C$101*SUM(X29:X35)</f>
        <v>0.7543071976749437</v>
      </c>
    </row>
    <row r="44" spans="2:27">
      <c r="B44" s="60" t="s">
        <v>76</v>
      </c>
      <c r="C44" s="134"/>
      <c r="D44" s="62"/>
      <c r="E44" s="62"/>
      <c r="F44" s="1013"/>
      <c r="G44" s="1039">
        <f>Assumptions!$C$102*SUM(G29:G35)</f>
        <v>1.8857679941873593</v>
      </c>
      <c r="H44" s="62">
        <f>Assumptions!$C$102*SUM(H29:H35)</f>
        <v>2.262921593024831</v>
      </c>
      <c r="I44" s="62">
        <f>Assumptions!$C$102*SUM(I29:I35)</f>
        <v>2.6400751918623024</v>
      </c>
      <c r="J44" s="62">
        <f>Assumptions!$C$102*SUM(J29:J35)</f>
        <v>3.0172287906997743</v>
      </c>
      <c r="K44" s="62">
        <f>Assumptions!$C$102*SUM(K29:K35)</f>
        <v>3.3943823895372462</v>
      </c>
      <c r="L44" s="62">
        <f>Assumptions!$C$102*SUM(L29:L35)</f>
        <v>3.7715359883747186</v>
      </c>
      <c r="M44" s="62">
        <f>Assumptions!$C$102*SUM(M29:M35)</f>
        <v>3.7715359883747186</v>
      </c>
      <c r="N44" s="62">
        <f>Assumptions!$C$102*SUM(N29:N35)</f>
        <v>3.7715359883747186</v>
      </c>
      <c r="O44" s="62">
        <f>Assumptions!$C$102*SUM(O29:O35)</f>
        <v>3.7715359883747186</v>
      </c>
      <c r="P44" s="62">
        <f>Assumptions!$C$102*SUM(P29:P35)</f>
        <v>3.7715359883747186</v>
      </c>
      <c r="Q44" s="62">
        <f>Assumptions!$C$102*SUM(Q29:Q35)</f>
        <v>3.7715359883747186</v>
      </c>
      <c r="R44" s="62">
        <f>Assumptions!$C$102*SUM(R29:R35)</f>
        <v>3.7715359883747186</v>
      </c>
      <c r="S44" s="62">
        <f>Assumptions!$C$102*SUM(S29:S35)</f>
        <v>3.7715359883747186</v>
      </c>
      <c r="T44" s="62">
        <f>Assumptions!$C$102*SUM(T29:T35)</f>
        <v>3.7715359883747186</v>
      </c>
      <c r="U44" s="62">
        <f>Assumptions!$C$102*SUM(U29:U35)</f>
        <v>3.7715359883747186</v>
      </c>
      <c r="V44" s="62">
        <f>Assumptions!$C$102*SUM(V29:V35)</f>
        <v>3.7715359883747186</v>
      </c>
      <c r="W44" s="62">
        <f>Assumptions!$C$102*SUM(W29:W35)</f>
        <v>3.7715359883747186</v>
      </c>
      <c r="X44" s="62">
        <f>Assumptions!$C$102*SUM(X29:X35)</f>
        <v>3.7715359883747186</v>
      </c>
    </row>
    <row r="45" spans="2:27">
      <c r="B45" s="64" t="s">
        <v>82</v>
      </c>
      <c r="C45" s="139"/>
      <c r="D45" s="65"/>
      <c r="E45" s="65"/>
      <c r="F45" s="1014"/>
      <c r="G45" s="227">
        <f t="shared" ref="G45:R45" si="11">SUM(G40:G44)</f>
        <v>21.971804195489856</v>
      </c>
      <c r="H45" s="65">
        <f t="shared" si="11"/>
        <v>26.36616503458783</v>
      </c>
      <c r="I45" s="65">
        <f t="shared" si="11"/>
        <v>30.760525873685793</v>
      </c>
      <c r="J45" s="65">
        <f t="shared" si="11"/>
        <v>35.154886712783771</v>
      </c>
      <c r="K45" s="65">
        <f t="shared" si="11"/>
        <v>39.549247551881741</v>
      </c>
      <c r="L45" s="65">
        <f t="shared" si="11"/>
        <v>43.943608390979712</v>
      </c>
      <c r="M45" s="65">
        <f t="shared" si="11"/>
        <v>43.943608390979712</v>
      </c>
      <c r="N45" s="65">
        <f t="shared" si="11"/>
        <v>43.943608390979712</v>
      </c>
      <c r="O45" s="65">
        <f t="shared" si="11"/>
        <v>43.943608390979712</v>
      </c>
      <c r="P45" s="65">
        <f t="shared" si="11"/>
        <v>43.943608390979712</v>
      </c>
      <c r="Q45" s="65">
        <f t="shared" si="11"/>
        <v>43.943608390979712</v>
      </c>
      <c r="R45" s="65">
        <f t="shared" si="11"/>
        <v>43.943608390979712</v>
      </c>
      <c r="S45" s="65">
        <f t="shared" ref="S45:X45" si="12">SUM(S40:S44)</f>
        <v>43.943608390979712</v>
      </c>
      <c r="T45" s="65">
        <f t="shared" si="12"/>
        <v>43.943608390979712</v>
      </c>
      <c r="U45" s="65">
        <f t="shared" si="12"/>
        <v>43.943608390979712</v>
      </c>
      <c r="V45" s="65">
        <f t="shared" si="12"/>
        <v>43.943608390979712</v>
      </c>
      <c r="W45" s="65">
        <f t="shared" si="12"/>
        <v>43.943608390979712</v>
      </c>
      <c r="X45" s="65">
        <f t="shared" si="12"/>
        <v>43.943608390979712</v>
      </c>
    </row>
    <row r="46" spans="2:27">
      <c r="B46" s="60"/>
      <c r="C46" s="134"/>
      <c r="D46" s="62"/>
      <c r="E46" s="62"/>
      <c r="F46" s="1013"/>
      <c r="G46" s="1039"/>
      <c r="H46" s="62"/>
      <c r="I46" s="62"/>
      <c r="J46" s="62"/>
      <c r="K46" s="62"/>
      <c r="L46" s="62"/>
      <c r="M46" s="62"/>
      <c r="N46" s="62"/>
      <c r="O46" s="62"/>
      <c r="P46" s="62"/>
      <c r="Q46" s="62"/>
      <c r="R46" s="62"/>
    </row>
    <row r="47" spans="2:27">
      <c r="B47" s="64" t="s">
        <v>78</v>
      </c>
      <c r="C47" s="139"/>
      <c r="D47" s="65"/>
      <c r="E47" s="65"/>
      <c r="F47" s="1014"/>
      <c r="G47" s="227">
        <f t="shared" ref="G47:X47" si="13">G37-G45</f>
        <v>11.055536454707553</v>
      </c>
      <c r="H47" s="65">
        <f t="shared" si="13"/>
        <v>13.266643745649063</v>
      </c>
      <c r="I47" s="65">
        <f t="shared" si="13"/>
        <v>15.477751036590568</v>
      </c>
      <c r="J47" s="65">
        <f t="shared" si="13"/>
        <v>17.688858327532074</v>
      </c>
      <c r="K47" s="65">
        <f t="shared" si="13"/>
        <v>19.899965618473587</v>
      </c>
      <c r="L47" s="65">
        <f t="shared" si="13"/>
        <v>22.111072909415107</v>
      </c>
      <c r="M47" s="65">
        <f t="shared" si="13"/>
        <v>22.111072909415107</v>
      </c>
      <c r="N47" s="65">
        <f t="shared" si="13"/>
        <v>22.111072909415107</v>
      </c>
      <c r="O47" s="65">
        <f t="shared" si="13"/>
        <v>22.111072909415107</v>
      </c>
      <c r="P47" s="65">
        <f t="shared" si="13"/>
        <v>22.111072909415107</v>
      </c>
      <c r="Q47" s="65">
        <f t="shared" si="13"/>
        <v>22.111072909415107</v>
      </c>
      <c r="R47" s="65">
        <f t="shared" si="13"/>
        <v>22.111072909415107</v>
      </c>
      <c r="S47" s="65">
        <f t="shared" si="13"/>
        <v>22.111072909415107</v>
      </c>
      <c r="T47" s="65">
        <f t="shared" si="13"/>
        <v>22.111072909415107</v>
      </c>
      <c r="U47" s="65">
        <f t="shared" si="13"/>
        <v>22.111072909415107</v>
      </c>
      <c r="V47" s="65">
        <f t="shared" si="13"/>
        <v>22.111072909415107</v>
      </c>
      <c r="W47" s="65">
        <f t="shared" si="13"/>
        <v>22.111072909415107</v>
      </c>
      <c r="X47" s="65">
        <f t="shared" si="13"/>
        <v>22.111072909415107</v>
      </c>
      <c r="Y47" s="26"/>
      <c r="Z47" s="26"/>
      <c r="AA47" s="26"/>
    </row>
    <row r="48" spans="2:27">
      <c r="B48" s="60"/>
      <c r="C48" s="134"/>
      <c r="D48" s="74"/>
      <c r="E48" s="74"/>
      <c r="F48" s="1015"/>
      <c r="G48" s="1057"/>
      <c r="H48" s="74"/>
      <c r="I48" s="74"/>
      <c r="J48" s="74"/>
      <c r="K48" s="74"/>
      <c r="L48" s="74"/>
      <c r="M48" s="74"/>
      <c r="N48" s="74"/>
      <c r="O48" s="62"/>
      <c r="P48" s="62"/>
      <c r="Q48" s="62"/>
      <c r="R48" s="62"/>
    </row>
    <row r="49" spans="1:24">
      <c r="B49" s="64" t="s">
        <v>140</v>
      </c>
      <c r="C49" s="139"/>
      <c r="D49" s="74"/>
      <c r="E49" s="74"/>
      <c r="F49" s="1015"/>
      <c r="G49" s="1057"/>
      <c r="H49" s="74"/>
      <c r="I49" s="74"/>
      <c r="J49" s="74"/>
      <c r="K49" s="74"/>
      <c r="L49" s="74"/>
      <c r="M49" s="74"/>
      <c r="N49" s="74"/>
      <c r="O49" s="62"/>
      <c r="P49" s="62"/>
      <c r="Q49" s="62"/>
      <c r="R49" s="62"/>
    </row>
    <row r="50" spans="1:24">
      <c r="B50" s="60" t="s">
        <v>141</v>
      </c>
      <c r="C50" s="134"/>
      <c r="D50" s="79"/>
      <c r="E50" s="79"/>
      <c r="F50" s="1017"/>
      <c r="G50" s="1059">
        <f>Assumptions!$C$113*'P&amp;L'!G40/365</f>
        <v>0.63390120434672659</v>
      </c>
      <c r="H50" s="79">
        <f>Assumptions!$C$113*'P&amp;L'!H40/365</f>
        <v>0.76068144521607184</v>
      </c>
      <c r="I50" s="79">
        <f>Assumptions!$C$113*'P&amp;L'!I40/365</f>
        <v>0.88746168608541709</v>
      </c>
      <c r="J50" s="79">
        <f>Assumptions!$C$113*'P&amp;L'!J40/365</f>
        <v>1.0142419269547625</v>
      </c>
      <c r="K50" s="79">
        <f>Assumptions!$C$113*'P&amp;L'!K40/365</f>
        <v>1.1410221678241075</v>
      </c>
      <c r="L50" s="79">
        <f>Assumptions!$C$113*'P&amp;L'!L40/365</f>
        <v>1.2678024086934532</v>
      </c>
      <c r="M50" s="79">
        <f>Assumptions!$C$113*'P&amp;L'!M40/365</f>
        <v>1.2678024086934532</v>
      </c>
      <c r="N50" s="79">
        <f>Assumptions!$C$113*'P&amp;L'!N40/365</f>
        <v>1.2678024086934532</v>
      </c>
      <c r="O50" s="79">
        <f>Assumptions!$C$113*'P&amp;L'!O40/365</f>
        <v>1.2678024086934532</v>
      </c>
      <c r="P50" s="79">
        <f>Assumptions!$C$113*'P&amp;L'!P40/365</f>
        <v>1.2678024086934532</v>
      </c>
      <c r="Q50" s="79">
        <f>Assumptions!$C$113*'P&amp;L'!Q40/365</f>
        <v>1.2678024086934532</v>
      </c>
      <c r="R50" s="79">
        <f>Assumptions!$C$113*'P&amp;L'!R40/365</f>
        <v>1.2678024086934532</v>
      </c>
      <c r="S50" s="79">
        <f>Assumptions!$C$113*'P&amp;L'!S40/365</f>
        <v>1.2678024086934532</v>
      </c>
      <c r="T50" s="79">
        <f>Assumptions!$C$113*'P&amp;L'!T40/365</f>
        <v>1.2678024086934532</v>
      </c>
      <c r="U50" s="79">
        <f>Assumptions!$C$113*'P&amp;L'!U40/365</f>
        <v>1.2678024086934532</v>
      </c>
      <c r="V50" s="79">
        <f>Assumptions!$C$113*'P&amp;L'!V40/365</f>
        <v>1.2678024086934532</v>
      </c>
      <c r="W50" s="79">
        <f>Assumptions!$C$113*'P&amp;L'!W40/365</f>
        <v>1.2678024086934532</v>
      </c>
      <c r="X50" s="79">
        <f>Assumptions!$C$113*'P&amp;L'!X40/365</f>
        <v>1.2678024086934532</v>
      </c>
    </row>
    <row r="51" spans="1:24">
      <c r="B51" s="60" t="s">
        <v>142</v>
      </c>
      <c r="C51" s="134"/>
      <c r="D51" s="79"/>
      <c r="E51" s="79"/>
      <c r="F51" s="1017"/>
      <c r="G51" s="1059">
        <f>Assumptions!$C$114*SUM(G29:G35)/365</f>
        <v>4.6498388897770502</v>
      </c>
      <c r="H51" s="79">
        <f>Assumptions!$C$114*SUM(H29:H35)/365</f>
        <v>5.57980666773246</v>
      </c>
      <c r="I51" s="79">
        <f>Assumptions!$C$114*SUM(I29:I35)/365</f>
        <v>6.509774445687869</v>
      </c>
      <c r="J51" s="79">
        <f>Assumptions!$C$114*SUM(J29:J35)/365</f>
        <v>7.4397422236432789</v>
      </c>
      <c r="K51" s="79">
        <f>Assumptions!$C$114*SUM(K29:K35)/365</f>
        <v>8.3697100015986887</v>
      </c>
      <c r="L51" s="79">
        <f>Assumptions!$C$114*SUM(L29:L35)/365</f>
        <v>9.2996777795541004</v>
      </c>
      <c r="M51" s="79">
        <f>Assumptions!$C$114*SUM(M29:M35)/365</f>
        <v>9.2996777795541004</v>
      </c>
      <c r="N51" s="79">
        <f>Assumptions!$C$114*SUM(N29:N35)/365</f>
        <v>9.2996777795541004</v>
      </c>
      <c r="O51" s="79">
        <f>Assumptions!$C$114*SUM(O29:O35)/365</f>
        <v>9.2996777795541004</v>
      </c>
      <c r="P51" s="79">
        <f>Assumptions!$C$114*SUM(P29:P35)/365</f>
        <v>9.2996777795541004</v>
      </c>
      <c r="Q51" s="79">
        <f>Assumptions!$C$114*SUM(Q29:Q35)/365</f>
        <v>9.2996777795541004</v>
      </c>
      <c r="R51" s="79">
        <f>Assumptions!$C$114*SUM(R29:R35)/365</f>
        <v>9.2996777795541004</v>
      </c>
      <c r="S51" s="79">
        <f>Assumptions!$C$114*SUM(S29:S35)/365</f>
        <v>9.2996777795541004</v>
      </c>
      <c r="T51" s="79">
        <f>Assumptions!$C$114*SUM(T29:T35)/365</f>
        <v>9.2996777795541004</v>
      </c>
      <c r="U51" s="79">
        <f>Assumptions!$C$114*SUM(U29:U35)/365</f>
        <v>9.2996777795541004</v>
      </c>
      <c r="V51" s="79">
        <f>Assumptions!$C$114*SUM(V29:V35)/365</f>
        <v>9.2996777795541004</v>
      </c>
      <c r="W51" s="79">
        <f>Assumptions!$C$114*SUM(W29:W35)/365</f>
        <v>9.2996777795541004</v>
      </c>
      <c r="X51" s="79">
        <f>Assumptions!$C$114*SUM(X29:X35)/365</f>
        <v>9.2996777795541004</v>
      </c>
    </row>
    <row r="52" spans="1:24">
      <c r="B52" s="60" t="s">
        <v>129</v>
      </c>
      <c r="C52" s="134"/>
      <c r="D52" s="79"/>
      <c r="E52" s="79"/>
      <c r="F52" s="1017"/>
      <c r="G52" s="1059">
        <f>Assumptions!$C$115*SUM(G29:G35)/365</f>
        <v>24.799140745477601</v>
      </c>
      <c r="H52" s="79">
        <f>Assumptions!$C$115*SUM(H29:H35)/365</f>
        <v>29.758968894573119</v>
      </c>
      <c r="I52" s="79">
        <f>Assumptions!$C$115*SUM(I29:I35)/365</f>
        <v>34.71879704366863</v>
      </c>
      <c r="J52" s="79">
        <f>Assumptions!$C$115*SUM(J29:J35)/365</f>
        <v>39.678625192764152</v>
      </c>
      <c r="K52" s="79">
        <f>Assumptions!$C$115*SUM(K29:K35)/365</f>
        <v>44.638453341859673</v>
      </c>
      <c r="L52" s="79">
        <f>Assumptions!$C$115*SUM(L29:L35)/365</f>
        <v>49.598281490955202</v>
      </c>
      <c r="M52" s="79">
        <f>Assumptions!$C$115*SUM(M29:M35)/365</f>
        <v>49.598281490955202</v>
      </c>
      <c r="N52" s="79">
        <f>Assumptions!$C$115*SUM(N29:N35)/365</f>
        <v>49.598281490955202</v>
      </c>
      <c r="O52" s="79">
        <f>Assumptions!$C$115*SUM(O29:O35)/365</f>
        <v>49.598281490955202</v>
      </c>
      <c r="P52" s="79">
        <f>Assumptions!$C$115*SUM(P29:P35)/365</f>
        <v>49.598281490955202</v>
      </c>
      <c r="Q52" s="79">
        <f>Assumptions!$C$115*SUM(Q29:Q35)/365</f>
        <v>49.598281490955202</v>
      </c>
      <c r="R52" s="79">
        <f>Assumptions!$C$115*SUM(R29:R35)/365</f>
        <v>49.598281490955202</v>
      </c>
      <c r="S52" s="79">
        <f>Assumptions!$C$115*SUM(S29:S35)/365</f>
        <v>49.598281490955202</v>
      </c>
      <c r="T52" s="79">
        <f>Assumptions!$C$115*SUM(T29:T35)/365</f>
        <v>49.598281490955202</v>
      </c>
      <c r="U52" s="79">
        <f>Assumptions!$C$115*SUM(U29:U35)/365</f>
        <v>49.598281490955202</v>
      </c>
      <c r="V52" s="79">
        <f>Assumptions!$C$115*SUM(V29:V35)/365</f>
        <v>49.598281490955202</v>
      </c>
      <c r="W52" s="79">
        <f>Assumptions!$C$115*SUM(W29:W35)/365</f>
        <v>49.598281490955202</v>
      </c>
      <c r="X52" s="79">
        <f>Assumptions!$C$115*SUM(X29:X35)/365</f>
        <v>49.598281490955202</v>
      </c>
    </row>
    <row r="53" spans="1:24" s="27" customFormat="1">
      <c r="A53" s="24"/>
      <c r="B53" s="153" t="s">
        <v>208</v>
      </c>
      <c r="C53" s="154"/>
      <c r="D53" s="155"/>
      <c r="E53" s="155"/>
      <c r="F53" s="1017"/>
      <c r="G53" s="1059">
        <f>Assumptions!$C$116*SUM('P&amp;L'!G40:G43)/365</f>
        <v>1.6509070850385617</v>
      </c>
      <c r="H53" s="155">
        <f>Assumptions!$C$116*SUM('P&amp;L'!H40:H43)/365</f>
        <v>1.9810885020462738</v>
      </c>
      <c r="I53" s="155">
        <f>Assumptions!$C$116*SUM('P&amp;L'!I40:I43)/365</f>
        <v>2.3112699190539856</v>
      </c>
      <c r="J53" s="155">
        <f>Assumptions!$C$116*SUM('P&amp;L'!J40:J43)/365</f>
        <v>2.6414513360616985</v>
      </c>
      <c r="K53" s="155">
        <f>Assumptions!$C$116*SUM('P&amp;L'!K40:K43)/365</f>
        <v>2.97163275306941</v>
      </c>
      <c r="L53" s="155">
        <f>Assumptions!$C$116*SUM('P&amp;L'!L40:L43)/365</f>
        <v>3.3018141700771233</v>
      </c>
      <c r="M53" s="155">
        <f>Assumptions!$C$116*SUM('P&amp;L'!M40:M43)/365</f>
        <v>3.3018141700771233</v>
      </c>
      <c r="N53" s="155">
        <f>Assumptions!$C$116*SUM('P&amp;L'!N40:N43)/365</f>
        <v>3.3018141700771233</v>
      </c>
      <c r="O53" s="155">
        <f>Assumptions!$C$116*SUM('P&amp;L'!O40:O43)/365</f>
        <v>3.3018141700771233</v>
      </c>
      <c r="P53" s="155">
        <f>Assumptions!$C$116*SUM('P&amp;L'!P40:P43)/365</f>
        <v>3.3018141700771233</v>
      </c>
      <c r="Q53" s="155">
        <f>Assumptions!$C$116*SUM('P&amp;L'!Q40:Q43)/365</f>
        <v>3.3018141700771233</v>
      </c>
      <c r="R53" s="155">
        <f>Assumptions!$C$116*SUM('P&amp;L'!R40:R43)/365</f>
        <v>3.3018141700771233</v>
      </c>
      <c r="S53" s="155">
        <f>Assumptions!$C$116*SUM('P&amp;L'!S40:S43)/365</f>
        <v>3.3018141700771233</v>
      </c>
      <c r="T53" s="155">
        <f>Assumptions!$C$116*SUM('P&amp;L'!T40:T43)/365</f>
        <v>3.3018141700771233</v>
      </c>
      <c r="U53" s="155">
        <f>Assumptions!$C$116*SUM('P&amp;L'!U40:U43)/365</f>
        <v>3.3018141700771233</v>
      </c>
      <c r="V53" s="155">
        <f>Assumptions!$C$116*SUM('P&amp;L'!V40:V43)/365</f>
        <v>3.3018141700771233</v>
      </c>
      <c r="W53" s="155">
        <f>Assumptions!$C$116*SUM('P&amp;L'!W40:W43)/365</f>
        <v>3.3018141700771233</v>
      </c>
      <c r="X53" s="155">
        <f>Assumptions!$C$116*SUM('P&amp;L'!X40:X43)/365</f>
        <v>3.3018141700771233</v>
      </c>
    </row>
    <row r="54" spans="1:24" s="27" customFormat="1">
      <c r="A54" s="24"/>
      <c r="B54" s="153" t="s">
        <v>347</v>
      </c>
      <c r="C54" s="154"/>
      <c r="D54" s="288"/>
      <c r="E54" s="288"/>
      <c r="F54" s="1018"/>
      <c r="G54" s="1060">
        <v>3.545317675307186</v>
      </c>
      <c r="H54" s="288">
        <v>3.6515418880978792</v>
      </c>
      <c r="I54" s="288">
        <v>3.7117852250843972</v>
      </c>
      <c r="J54" s="288">
        <v>3.7117852250843972</v>
      </c>
      <c r="K54" s="288">
        <v>3.7117852250843972</v>
      </c>
      <c r="L54" s="288">
        <v>3.7117852250843972</v>
      </c>
      <c r="M54" s="288">
        <v>3.7117852250843972</v>
      </c>
      <c r="N54" s="288">
        <v>3.7117852250843972</v>
      </c>
      <c r="O54" s="288">
        <v>3.7117852250843972</v>
      </c>
      <c r="P54" s="288">
        <v>3.7117852250843972</v>
      </c>
      <c r="Q54" s="288">
        <v>3.7117852250843972</v>
      </c>
      <c r="R54" s="288">
        <v>3.7117852250843972</v>
      </c>
      <c r="S54" s="288">
        <v>3.7117852250843972</v>
      </c>
      <c r="T54" s="288">
        <v>3.7117852250843972</v>
      </c>
      <c r="U54" s="288">
        <v>3.7117852250843972</v>
      </c>
      <c r="V54" s="288">
        <v>3.7117852250843972</v>
      </c>
      <c r="W54" s="288">
        <v>3.7117852250843972</v>
      </c>
      <c r="X54" s="288">
        <v>3.7117852250843972</v>
      </c>
    </row>
    <row r="55" spans="1:24" ht="13.5" thickBot="1">
      <c r="B55" s="76" t="s">
        <v>153</v>
      </c>
      <c r="C55" s="141"/>
      <c r="D55" s="152"/>
      <c r="E55" s="152"/>
      <c r="F55" s="1016"/>
      <c r="G55" s="1058">
        <f>Assumptions!$C$117*'P&amp;L'!G37+Assumptions!$C$118</f>
        <v>1.6513670325098706</v>
      </c>
      <c r="H55" s="152">
        <f>Assumptions!$C$117*'P&amp;L'!H37+Assumptions!$C$118</f>
        <v>1.9816404390118447</v>
      </c>
      <c r="I55" s="152">
        <f>Assumptions!$C$117*'P&amp;L'!I37+Assumptions!$C$118</f>
        <v>2.3119138455138182</v>
      </c>
      <c r="J55" s="152">
        <f>Assumptions!$C$117*'P&amp;L'!J37+Assumptions!$C$118</f>
        <v>2.6421872520157925</v>
      </c>
      <c r="K55" s="152">
        <f>Assumptions!$C$117*'P&amp;L'!K37+Assumptions!$C$118</f>
        <v>2.9724606585177664</v>
      </c>
      <c r="L55" s="152">
        <f>Assumptions!$C$117*'P&amp;L'!L37+Assumptions!$C$118</f>
        <v>3.3027340650197412</v>
      </c>
      <c r="M55" s="152">
        <f>Assumptions!$C$117*'P&amp;L'!M37+Assumptions!$C$118</f>
        <v>3.3027340650197412</v>
      </c>
      <c r="N55" s="152">
        <f>Assumptions!$C$117*'P&amp;L'!N37+Assumptions!$C$118</f>
        <v>3.3027340650197412</v>
      </c>
      <c r="O55" s="152">
        <f>Assumptions!$C$117*'P&amp;L'!O37+Assumptions!$C$118</f>
        <v>3.3027340650197412</v>
      </c>
      <c r="P55" s="152">
        <f>Assumptions!$C$117*'P&amp;L'!P37+Assumptions!$C$118</f>
        <v>3.3027340650197412</v>
      </c>
      <c r="Q55" s="152">
        <f>Assumptions!$C$117*'P&amp;L'!Q37+Assumptions!$C$118</f>
        <v>3.3027340650197412</v>
      </c>
      <c r="R55" s="152">
        <f>Assumptions!$C$117*'P&amp;L'!R37+Assumptions!$C$118</f>
        <v>3.3027340650197412</v>
      </c>
      <c r="S55" s="152">
        <f>Assumptions!$C$117*'P&amp;L'!S37+Assumptions!$C$118</f>
        <v>3.3027340650197412</v>
      </c>
      <c r="T55" s="152">
        <f>Assumptions!$C$117*'P&amp;L'!T37+Assumptions!$C$118</f>
        <v>3.3027340650197412</v>
      </c>
      <c r="U55" s="152">
        <f>Assumptions!$C$117*'P&amp;L'!U37+Assumptions!$C$118</f>
        <v>3.3027340650197412</v>
      </c>
      <c r="V55" s="152">
        <f>Assumptions!$C$117*'P&amp;L'!V37+Assumptions!$C$118</f>
        <v>3.3027340650197412</v>
      </c>
      <c r="W55" s="152">
        <f>Assumptions!$C$117*'P&amp;L'!W37+Assumptions!$C$118</f>
        <v>3.3027340650197412</v>
      </c>
      <c r="X55" s="152">
        <f>Assumptions!$C$117*'P&amp;L'!X37+Assumptions!$C$118</f>
        <v>3.3027340650197412</v>
      </c>
    </row>
    <row r="56" spans="1:24"/>
    <row r="57" spans="1:24" ht="13.5" thickBot="1"/>
    <row r="58" spans="1:24">
      <c r="B58" s="77"/>
      <c r="C58" s="138"/>
      <c r="D58" s="72"/>
      <c r="E58" s="72"/>
      <c r="F58" s="1012"/>
      <c r="G58" s="1056"/>
      <c r="H58" s="72"/>
      <c r="I58" s="72"/>
      <c r="J58" s="72"/>
      <c r="K58" s="72"/>
      <c r="L58" s="72"/>
      <c r="M58" s="72"/>
      <c r="N58" s="72"/>
      <c r="O58" s="72"/>
      <c r="P58" s="72"/>
      <c r="Q58" s="72"/>
      <c r="R58" s="72"/>
      <c r="S58" s="72"/>
      <c r="T58" s="72"/>
      <c r="U58" s="72"/>
      <c r="V58" s="72"/>
      <c r="W58" s="72"/>
      <c r="X58" s="233"/>
    </row>
    <row r="59" spans="1:24">
      <c r="B59" s="60"/>
      <c r="C59" s="134"/>
      <c r="D59" s="62"/>
      <c r="E59" s="62"/>
      <c r="F59" s="1013"/>
      <c r="G59" s="1039">
        <f>200*0</f>
        <v>0</v>
      </c>
      <c r="H59" s="62">
        <f t="shared" ref="H59:X59" si="14">G59</f>
        <v>0</v>
      </c>
      <c r="I59" s="62">
        <f t="shared" si="14"/>
        <v>0</v>
      </c>
      <c r="J59" s="62">
        <f t="shared" si="14"/>
        <v>0</v>
      </c>
      <c r="K59" s="62">
        <f t="shared" si="14"/>
        <v>0</v>
      </c>
      <c r="L59" s="62">
        <f t="shared" si="14"/>
        <v>0</v>
      </c>
      <c r="M59" s="62">
        <f t="shared" si="14"/>
        <v>0</v>
      </c>
      <c r="N59" s="62">
        <f t="shared" si="14"/>
        <v>0</v>
      </c>
      <c r="O59" s="62">
        <f t="shared" si="14"/>
        <v>0</v>
      </c>
      <c r="P59" s="62">
        <f t="shared" si="14"/>
        <v>0</v>
      </c>
      <c r="Q59" s="62">
        <f t="shared" si="14"/>
        <v>0</v>
      </c>
      <c r="R59" s="62">
        <f t="shared" si="14"/>
        <v>0</v>
      </c>
      <c r="S59" s="62">
        <f t="shared" si="14"/>
        <v>0</v>
      </c>
      <c r="T59" s="62">
        <f t="shared" si="14"/>
        <v>0</v>
      </c>
      <c r="U59" s="62">
        <f t="shared" si="14"/>
        <v>0</v>
      </c>
      <c r="V59" s="62">
        <f t="shared" si="14"/>
        <v>0</v>
      </c>
      <c r="W59" s="62">
        <f t="shared" si="14"/>
        <v>0</v>
      </c>
      <c r="X59" s="210">
        <f t="shared" si="14"/>
        <v>0</v>
      </c>
    </row>
    <row r="60" spans="1:24">
      <c r="B60" s="60"/>
      <c r="C60" s="134"/>
      <c r="D60" s="62"/>
      <c r="E60" s="62"/>
      <c r="F60" s="1013"/>
      <c r="G60" s="1039">
        <f>G59*90%</f>
        <v>0</v>
      </c>
      <c r="H60" s="62">
        <f t="shared" ref="H60:X60" si="15">G60</f>
        <v>0</v>
      </c>
      <c r="I60" s="62">
        <f t="shared" si="15"/>
        <v>0</v>
      </c>
      <c r="J60" s="62">
        <f t="shared" si="15"/>
        <v>0</v>
      </c>
      <c r="K60" s="62">
        <f t="shared" si="15"/>
        <v>0</v>
      </c>
      <c r="L60" s="62">
        <f t="shared" si="15"/>
        <v>0</v>
      </c>
      <c r="M60" s="62">
        <f t="shared" si="15"/>
        <v>0</v>
      </c>
      <c r="N60" s="62">
        <f t="shared" si="15"/>
        <v>0</v>
      </c>
      <c r="O60" s="62">
        <f t="shared" si="15"/>
        <v>0</v>
      </c>
      <c r="P60" s="62">
        <f t="shared" si="15"/>
        <v>0</v>
      </c>
      <c r="Q60" s="62">
        <f t="shared" si="15"/>
        <v>0</v>
      </c>
      <c r="R60" s="62">
        <f t="shared" si="15"/>
        <v>0</v>
      </c>
      <c r="S60" s="62">
        <f t="shared" si="15"/>
        <v>0</v>
      </c>
      <c r="T60" s="62">
        <f t="shared" si="15"/>
        <v>0</v>
      </c>
      <c r="U60" s="62">
        <f t="shared" si="15"/>
        <v>0</v>
      </c>
      <c r="V60" s="62">
        <f t="shared" si="15"/>
        <v>0</v>
      </c>
      <c r="W60" s="62">
        <f t="shared" si="15"/>
        <v>0</v>
      </c>
      <c r="X60" s="210">
        <f t="shared" si="15"/>
        <v>0</v>
      </c>
    </row>
    <row r="61" spans="1:24">
      <c r="B61" s="60"/>
      <c r="C61" s="134"/>
      <c r="D61" s="62"/>
      <c r="E61" s="62"/>
      <c r="F61" s="1013"/>
      <c r="G61" s="1039"/>
      <c r="H61" s="62"/>
      <c r="I61" s="62"/>
      <c r="J61" s="62"/>
      <c r="K61" s="62"/>
      <c r="L61" s="62"/>
      <c r="M61" s="62"/>
      <c r="N61" s="62"/>
      <c r="O61" s="62"/>
      <c r="P61" s="62"/>
      <c r="Q61" s="62"/>
      <c r="R61" s="62"/>
      <c r="X61" s="210"/>
    </row>
    <row r="62" spans="1:24">
      <c r="B62" s="64" t="s">
        <v>344</v>
      </c>
      <c r="C62" s="134"/>
      <c r="D62" s="62"/>
      <c r="E62" s="62"/>
      <c r="F62" s="1013"/>
      <c r="G62" s="1039"/>
      <c r="H62" s="62"/>
      <c r="I62" s="62"/>
      <c r="J62" s="62"/>
      <c r="K62" s="62"/>
      <c r="L62" s="62"/>
      <c r="M62" s="62"/>
      <c r="N62" s="62"/>
      <c r="O62" s="62"/>
      <c r="P62" s="62"/>
      <c r="Q62" s="62"/>
      <c r="R62" s="62"/>
      <c r="X62" s="210"/>
    </row>
    <row r="63" spans="1:24">
      <c r="B63" s="60" t="s">
        <v>129</v>
      </c>
      <c r="C63" s="134"/>
      <c r="D63" s="62"/>
      <c r="E63" s="62"/>
      <c r="F63" s="1013"/>
      <c r="G63" s="1039">
        <f>Assumptions!$C$121*'P&amp;L'!G59/365</f>
        <v>0</v>
      </c>
      <c r="H63" s="62">
        <f>Assumptions!$C$121*'P&amp;L'!H59/365</f>
        <v>0</v>
      </c>
      <c r="I63" s="62">
        <f>Assumptions!$C$121*'P&amp;L'!I59/365</f>
        <v>0</v>
      </c>
      <c r="J63" s="62">
        <f>Assumptions!$C$121*'P&amp;L'!J59/365</f>
        <v>0</v>
      </c>
      <c r="K63" s="62">
        <f>Assumptions!$C$121*'P&amp;L'!K59/365</f>
        <v>0</v>
      </c>
      <c r="L63" s="62">
        <f>Assumptions!$C$121*'P&amp;L'!L59/365</f>
        <v>0</v>
      </c>
      <c r="M63" s="62">
        <f>Assumptions!$C$121*'P&amp;L'!M59/365</f>
        <v>0</v>
      </c>
      <c r="N63" s="62">
        <f>Assumptions!$C$121*'P&amp;L'!N59/365</f>
        <v>0</v>
      </c>
      <c r="O63" s="62">
        <f>Assumptions!$C$121*'P&amp;L'!O59/365</f>
        <v>0</v>
      </c>
      <c r="P63" s="62">
        <f>Assumptions!$C$121*'P&amp;L'!P59/365</f>
        <v>0</v>
      </c>
      <c r="Q63" s="62">
        <f>Assumptions!$C$121*'P&amp;L'!Q59/365</f>
        <v>0</v>
      </c>
      <c r="R63" s="62">
        <f>Assumptions!$C$121*'P&amp;L'!R59/365</f>
        <v>0</v>
      </c>
      <c r="S63" s="62">
        <f>Assumptions!$C$121*'P&amp;L'!S59/365</f>
        <v>0</v>
      </c>
      <c r="T63" s="62">
        <f>Assumptions!$C$121*'P&amp;L'!T59/365</f>
        <v>0</v>
      </c>
      <c r="U63" s="62">
        <f>Assumptions!$C$121*'P&amp;L'!U59/365</f>
        <v>0</v>
      </c>
      <c r="V63" s="62">
        <f>Assumptions!$C$121*'P&amp;L'!V59/365</f>
        <v>0</v>
      </c>
      <c r="W63" s="62">
        <f>Assumptions!$C$121*'P&amp;L'!W59/365</f>
        <v>0</v>
      </c>
      <c r="X63" s="210">
        <f>Assumptions!$C$121*'P&amp;L'!X59/365</f>
        <v>0</v>
      </c>
    </row>
    <row r="64" spans="1:24">
      <c r="B64" s="153" t="s">
        <v>208</v>
      </c>
      <c r="C64" s="134"/>
      <c r="D64" s="62"/>
      <c r="E64" s="62"/>
      <c r="F64" s="1013"/>
      <c r="G64" s="1039">
        <f>Assumptions!$C$122*'P&amp;L'!G60/365</f>
        <v>0</v>
      </c>
      <c r="H64" s="62">
        <f>Assumptions!$C$122*'P&amp;L'!H60/365</f>
        <v>0</v>
      </c>
      <c r="I64" s="62">
        <f>Assumptions!$C$122*'P&amp;L'!I60/365</f>
        <v>0</v>
      </c>
      <c r="J64" s="62">
        <f>Assumptions!$C$122*'P&amp;L'!J60/365</f>
        <v>0</v>
      </c>
      <c r="K64" s="62">
        <f>Assumptions!$C$122*'P&amp;L'!K60/365</f>
        <v>0</v>
      </c>
      <c r="L64" s="62">
        <f>Assumptions!$C$122*'P&amp;L'!L60/365</f>
        <v>0</v>
      </c>
      <c r="M64" s="62">
        <f>Assumptions!$C$122*'P&amp;L'!M60/365</f>
        <v>0</v>
      </c>
      <c r="N64" s="62">
        <f>Assumptions!$C$122*'P&amp;L'!N60/365</f>
        <v>0</v>
      </c>
      <c r="O64" s="62">
        <f>Assumptions!$C$122*'P&amp;L'!O60/365</f>
        <v>0</v>
      </c>
      <c r="P64" s="62">
        <f>Assumptions!$C$122*'P&amp;L'!P60/365</f>
        <v>0</v>
      </c>
      <c r="Q64" s="62">
        <f>Assumptions!$C$122*'P&amp;L'!Q60/365</f>
        <v>0</v>
      </c>
      <c r="R64" s="62">
        <f>Assumptions!$C$122*'P&amp;L'!R60/365</f>
        <v>0</v>
      </c>
      <c r="S64" s="62">
        <f>Assumptions!$C$122*'P&amp;L'!S60/365</f>
        <v>0</v>
      </c>
      <c r="T64" s="62">
        <f>Assumptions!$C$122*'P&amp;L'!T60/365</f>
        <v>0</v>
      </c>
      <c r="U64" s="62">
        <f>Assumptions!$C$122*'P&amp;L'!U60/365</f>
        <v>0</v>
      </c>
      <c r="V64" s="62">
        <f>Assumptions!$C$122*'P&amp;L'!V60/365</f>
        <v>0</v>
      </c>
      <c r="W64" s="62">
        <f>Assumptions!$C$122*'P&amp;L'!W60/365</f>
        <v>0</v>
      </c>
      <c r="X64" s="210">
        <f>Assumptions!$C$122*'P&amp;L'!X60/365</f>
        <v>0</v>
      </c>
    </row>
    <row r="65" spans="1:24" ht="13.5" thickBot="1">
      <c r="B65" s="76" t="s">
        <v>146</v>
      </c>
      <c r="C65" s="141"/>
      <c r="D65" s="67"/>
      <c r="E65" s="67"/>
      <c r="F65" s="1016"/>
      <c r="G65" s="1058">
        <f>Assumptions!$C$123*G60/365</f>
        <v>0</v>
      </c>
      <c r="H65" s="67">
        <f>Assumptions!$C$123*H60/365</f>
        <v>0</v>
      </c>
      <c r="I65" s="67">
        <f>Assumptions!$C$123*I60/365</f>
        <v>0</v>
      </c>
      <c r="J65" s="67">
        <f>Assumptions!$C$123*J60/365</f>
        <v>0</v>
      </c>
      <c r="K65" s="67">
        <f>Assumptions!$C$123*K60/365</f>
        <v>0</v>
      </c>
      <c r="L65" s="67">
        <f>Assumptions!$C$123*L60/365</f>
        <v>0</v>
      </c>
      <c r="M65" s="67">
        <f>Assumptions!$C$123*M60/365</f>
        <v>0</v>
      </c>
      <c r="N65" s="67">
        <f>Assumptions!$C$123*N60/365</f>
        <v>0</v>
      </c>
      <c r="O65" s="67">
        <f>Assumptions!$C$123*O60/365</f>
        <v>0</v>
      </c>
      <c r="P65" s="67">
        <f>Assumptions!$C$123*P60/365</f>
        <v>0</v>
      </c>
      <c r="Q65" s="67">
        <f>Assumptions!$C$123*Q60/365</f>
        <v>0</v>
      </c>
      <c r="R65" s="67">
        <f>Assumptions!$C$123*R60/365</f>
        <v>0</v>
      </c>
      <c r="S65" s="67">
        <f>Assumptions!$C$123*S60/365</f>
        <v>0</v>
      </c>
      <c r="T65" s="67">
        <f>Assumptions!$C$123*T60/365</f>
        <v>0</v>
      </c>
      <c r="U65" s="67">
        <f>Assumptions!$C$123*U60/365</f>
        <v>0</v>
      </c>
      <c r="V65" s="67">
        <f>Assumptions!$C$123*V60/365</f>
        <v>0</v>
      </c>
      <c r="W65" s="67">
        <f>Assumptions!$C$123*W60/365</f>
        <v>0</v>
      </c>
      <c r="X65" s="216">
        <f>Assumptions!$C$123*X60/365</f>
        <v>0</v>
      </c>
    </row>
    <row r="66" spans="1:24"/>
    <row r="67" spans="1:24" ht="13.5" thickBot="1">
      <c r="S67" s="7"/>
      <c r="T67" s="7"/>
      <c r="U67" s="7"/>
      <c r="V67" s="7"/>
      <c r="W67" s="7"/>
      <c r="X67" s="7"/>
    </row>
    <row r="68" spans="1:24">
      <c r="B68" s="77" t="s">
        <v>80</v>
      </c>
      <c r="C68" s="142"/>
      <c r="D68" s="72" t="s">
        <v>479</v>
      </c>
      <c r="E68" s="72" t="s">
        <v>479</v>
      </c>
      <c r="F68" s="1012"/>
      <c r="G68" s="1056"/>
      <c r="H68" s="72"/>
      <c r="I68" s="72"/>
      <c r="J68" s="72"/>
      <c r="K68" s="72"/>
      <c r="L68" s="72"/>
      <c r="M68" s="72"/>
      <c r="N68" s="72"/>
      <c r="O68" s="72"/>
      <c r="P68" s="72"/>
      <c r="Q68" s="72"/>
      <c r="R68" s="72"/>
    </row>
    <row r="69" spans="1:24" s="27" customFormat="1">
      <c r="A69" s="24"/>
      <c r="B69" s="80" t="s">
        <v>83</v>
      </c>
      <c r="C69" s="143"/>
      <c r="D69" s="4">
        <f>D3</f>
        <v>43921</v>
      </c>
      <c r="E69" s="4">
        <f t="shared" ref="E69:X69" si="16">E3</f>
        <v>44286</v>
      </c>
      <c r="F69" s="1011">
        <f t="shared" si="16"/>
        <v>44651</v>
      </c>
      <c r="G69" s="1055">
        <f t="shared" si="16"/>
        <v>45016</v>
      </c>
      <c r="H69" s="4">
        <f t="shared" si="16"/>
        <v>45382</v>
      </c>
      <c r="I69" s="4">
        <f t="shared" si="16"/>
        <v>45747</v>
      </c>
      <c r="J69" s="4">
        <f t="shared" si="16"/>
        <v>46112</v>
      </c>
      <c r="K69" s="4">
        <f t="shared" si="16"/>
        <v>46477</v>
      </c>
      <c r="L69" s="4">
        <f t="shared" si="16"/>
        <v>46843</v>
      </c>
      <c r="M69" s="4">
        <f t="shared" si="16"/>
        <v>47208</v>
      </c>
      <c r="N69" s="4">
        <f t="shared" si="16"/>
        <v>47573</v>
      </c>
      <c r="O69" s="4">
        <f t="shared" si="16"/>
        <v>47938</v>
      </c>
      <c r="P69" s="4">
        <f t="shared" si="16"/>
        <v>48304</v>
      </c>
      <c r="Q69" s="4">
        <f t="shared" si="16"/>
        <v>48669</v>
      </c>
      <c r="R69" s="4">
        <f t="shared" si="16"/>
        <v>49034</v>
      </c>
      <c r="S69" s="4">
        <f t="shared" si="16"/>
        <v>49399</v>
      </c>
      <c r="T69" s="4">
        <f t="shared" si="16"/>
        <v>49765</v>
      </c>
      <c r="U69" s="4">
        <f t="shared" si="16"/>
        <v>50130</v>
      </c>
      <c r="V69" s="4">
        <f t="shared" si="16"/>
        <v>50495</v>
      </c>
      <c r="W69" s="4">
        <f t="shared" si="16"/>
        <v>50860</v>
      </c>
      <c r="X69" s="4">
        <f t="shared" si="16"/>
        <v>51226</v>
      </c>
    </row>
    <row r="70" spans="1:24">
      <c r="B70" s="60" t="s">
        <v>45</v>
      </c>
      <c r="C70" s="134"/>
      <c r="D70" s="62">
        <v>1599.46</v>
      </c>
      <c r="E70" s="62">
        <v>1512.84</v>
      </c>
      <c r="F70" s="1013">
        <v>2679.5433000000003</v>
      </c>
      <c r="G70" s="1039">
        <f t="shared" ref="G70:R70" si="17">G8</f>
        <v>4180.7631771028418</v>
      </c>
      <c r="H70" s="62">
        <f t="shared" si="17"/>
        <v>4214.9665629076371</v>
      </c>
      <c r="I70" s="62">
        <f t="shared" si="17"/>
        <v>4588.1715165123496</v>
      </c>
      <c r="J70" s="62">
        <f t="shared" si="17"/>
        <v>4807.8601219064767</v>
      </c>
      <c r="K70" s="62">
        <f t="shared" si="17"/>
        <v>4807.8601219064767</v>
      </c>
      <c r="L70" s="62">
        <f t="shared" si="17"/>
        <v>4807.8601219064767</v>
      </c>
      <c r="M70" s="62">
        <f t="shared" si="17"/>
        <v>4807.8601219064767</v>
      </c>
      <c r="N70" s="62">
        <f t="shared" si="17"/>
        <v>4807.8601219064767</v>
      </c>
      <c r="O70" s="62">
        <f t="shared" si="17"/>
        <v>4807.8601219064767</v>
      </c>
      <c r="P70" s="62">
        <f t="shared" si="17"/>
        <v>4807.8601219064767</v>
      </c>
      <c r="Q70" s="62">
        <f t="shared" si="17"/>
        <v>4807.8601219064767</v>
      </c>
      <c r="R70" s="62">
        <f t="shared" si="17"/>
        <v>4807.8601219064767</v>
      </c>
      <c r="S70" s="62">
        <f t="shared" ref="S70:X70" si="18">S8</f>
        <v>4807.8601219064767</v>
      </c>
      <c r="T70" s="62">
        <f t="shared" si="18"/>
        <v>4807.8601219064767</v>
      </c>
      <c r="U70" s="62">
        <f t="shared" si="18"/>
        <v>4807.8601219064767</v>
      </c>
      <c r="V70" s="62">
        <f t="shared" si="18"/>
        <v>4807.8601219064767</v>
      </c>
      <c r="W70" s="62">
        <f t="shared" si="18"/>
        <v>4807.8601219064767</v>
      </c>
      <c r="X70" s="62">
        <f t="shared" si="18"/>
        <v>4807.8601219064767</v>
      </c>
    </row>
    <row r="71" spans="1:24">
      <c r="B71" s="60" t="s">
        <v>47</v>
      </c>
      <c r="C71" s="134"/>
      <c r="D71" s="62">
        <v>49.746600000000001</v>
      </c>
      <c r="E71" s="62">
        <v>15.137</v>
      </c>
      <c r="F71" s="1013">
        <f>4.2899-2.4242</f>
        <v>1.8657000000000004</v>
      </c>
      <c r="G71" s="1039">
        <f t="shared" ref="G71:X71" si="19">SUM(G29:G35)</f>
        <v>37.715359883747183</v>
      </c>
      <c r="H71" s="62">
        <f t="shared" si="19"/>
        <v>45.258431860496621</v>
      </c>
      <c r="I71" s="62">
        <f t="shared" si="19"/>
        <v>52.801503837246045</v>
      </c>
      <c r="J71" s="62">
        <f t="shared" si="19"/>
        <v>60.344575813995483</v>
      </c>
      <c r="K71" s="62">
        <f t="shared" si="19"/>
        <v>67.887647790744921</v>
      </c>
      <c r="L71" s="62">
        <f t="shared" si="19"/>
        <v>75.430719767494367</v>
      </c>
      <c r="M71" s="62">
        <f t="shared" si="19"/>
        <v>75.430719767494367</v>
      </c>
      <c r="N71" s="62">
        <f t="shared" si="19"/>
        <v>75.430719767494367</v>
      </c>
      <c r="O71" s="62">
        <f t="shared" si="19"/>
        <v>75.430719767494367</v>
      </c>
      <c r="P71" s="62">
        <f t="shared" si="19"/>
        <v>75.430719767494367</v>
      </c>
      <c r="Q71" s="62">
        <f t="shared" si="19"/>
        <v>75.430719767494367</v>
      </c>
      <c r="R71" s="62">
        <f t="shared" si="19"/>
        <v>75.430719767494367</v>
      </c>
      <c r="S71" s="62">
        <f t="shared" si="19"/>
        <v>75.430719767494367</v>
      </c>
      <c r="T71" s="62">
        <f t="shared" si="19"/>
        <v>75.430719767494367</v>
      </c>
      <c r="U71" s="62">
        <f t="shared" si="19"/>
        <v>75.430719767494367</v>
      </c>
      <c r="V71" s="62">
        <f t="shared" si="19"/>
        <v>75.430719767494367</v>
      </c>
      <c r="W71" s="62">
        <f t="shared" si="19"/>
        <v>75.430719767494367</v>
      </c>
      <c r="X71" s="62">
        <f t="shared" si="19"/>
        <v>75.430719767494367</v>
      </c>
    </row>
    <row r="72" spans="1:24">
      <c r="B72" s="60" t="s">
        <v>686</v>
      </c>
      <c r="C72" s="134"/>
      <c r="D72" s="81">
        <v>26.710599999999999</v>
      </c>
      <c r="E72" s="81">
        <v>1.4237</v>
      </c>
      <c r="F72" s="1013">
        <v>0</v>
      </c>
      <c r="G72" s="1039">
        <f t="shared" ref="G72:X72" si="20">G59</f>
        <v>0</v>
      </c>
      <c r="H72" s="81">
        <f t="shared" si="20"/>
        <v>0</v>
      </c>
      <c r="I72" s="81">
        <f t="shared" si="20"/>
        <v>0</v>
      </c>
      <c r="J72" s="81">
        <f t="shared" si="20"/>
        <v>0</v>
      </c>
      <c r="K72" s="81">
        <f t="shared" si="20"/>
        <v>0</v>
      </c>
      <c r="L72" s="81">
        <f t="shared" si="20"/>
        <v>0</v>
      </c>
      <c r="M72" s="81">
        <f t="shared" si="20"/>
        <v>0</v>
      </c>
      <c r="N72" s="81">
        <f t="shared" si="20"/>
        <v>0</v>
      </c>
      <c r="O72" s="81">
        <f t="shared" si="20"/>
        <v>0</v>
      </c>
      <c r="P72" s="81">
        <f t="shared" si="20"/>
        <v>0</v>
      </c>
      <c r="Q72" s="81">
        <f t="shared" si="20"/>
        <v>0</v>
      </c>
      <c r="R72" s="81">
        <f t="shared" si="20"/>
        <v>0</v>
      </c>
      <c r="S72" s="81">
        <f t="shared" si="20"/>
        <v>0</v>
      </c>
      <c r="T72" s="81">
        <f t="shared" si="20"/>
        <v>0</v>
      </c>
      <c r="U72" s="81">
        <f t="shared" si="20"/>
        <v>0</v>
      </c>
      <c r="V72" s="81">
        <f t="shared" si="20"/>
        <v>0</v>
      </c>
      <c r="W72" s="81">
        <f t="shared" si="20"/>
        <v>0</v>
      </c>
      <c r="X72" s="81">
        <f t="shared" si="20"/>
        <v>0</v>
      </c>
    </row>
    <row r="73" spans="1:24" ht="25.5">
      <c r="B73" s="902" t="s">
        <v>607</v>
      </c>
      <c r="C73" s="134"/>
      <c r="D73" s="81">
        <f>11.4+17.19</f>
        <v>28.590000000000003</v>
      </c>
      <c r="E73" s="81">
        <v>45.502000000000002</v>
      </c>
      <c r="F73" s="1013">
        <v>10.92</v>
      </c>
      <c r="G73" s="1039">
        <v>8.4801000000000002</v>
      </c>
      <c r="H73" s="81">
        <f t="shared" ref="H73:X73" si="21">G73</f>
        <v>8.4801000000000002</v>
      </c>
      <c r="I73" s="81">
        <f t="shared" si="21"/>
        <v>8.4801000000000002</v>
      </c>
      <c r="J73" s="81">
        <f t="shared" si="21"/>
        <v>8.4801000000000002</v>
      </c>
      <c r="K73" s="81">
        <f t="shared" si="21"/>
        <v>8.4801000000000002</v>
      </c>
      <c r="L73" s="81">
        <f t="shared" si="21"/>
        <v>8.4801000000000002</v>
      </c>
      <c r="M73" s="81">
        <f t="shared" si="21"/>
        <v>8.4801000000000002</v>
      </c>
      <c r="N73" s="81">
        <f t="shared" si="21"/>
        <v>8.4801000000000002</v>
      </c>
      <c r="O73" s="81">
        <f t="shared" si="21"/>
        <v>8.4801000000000002</v>
      </c>
      <c r="P73" s="81">
        <f t="shared" si="21"/>
        <v>8.4801000000000002</v>
      </c>
      <c r="Q73" s="81">
        <f t="shared" si="21"/>
        <v>8.4801000000000002</v>
      </c>
      <c r="R73" s="81">
        <f t="shared" si="21"/>
        <v>8.4801000000000002</v>
      </c>
      <c r="S73" s="81">
        <f t="shared" si="21"/>
        <v>8.4801000000000002</v>
      </c>
      <c r="T73" s="81">
        <f t="shared" si="21"/>
        <v>8.4801000000000002</v>
      </c>
      <c r="U73" s="81">
        <f t="shared" si="21"/>
        <v>8.4801000000000002</v>
      </c>
      <c r="V73" s="81">
        <f t="shared" si="21"/>
        <v>8.4801000000000002</v>
      </c>
      <c r="W73" s="81">
        <f t="shared" si="21"/>
        <v>8.4801000000000002</v>
      </c>
      <c r="X73" s="81">
        <f t="shared" si="21"/>
        <v>8.4801000000000002</v>
      </c>
    </row>
    <row r="74" spans="1:24">
      <c r="B74" s="60" t="s">
        <v>235</v>
      </c>
      <c r="C74" s="134"/>
      <c r="D74" s="81">
        <v>28.984000000000002</v>
      </c>
      <c r="E74" s="81">
        <v>24.279499999999999</v>
      </c>
      <c r="F74" s="1013">
        <f>30.3191</f>
        <v>30.319099999999999</v>
      </c>
      <c r="G74" s="1039">
        <f>5%*SUM(Fin_Statements!L15,Fin_Statements!L17)</f>
        <v>0.11472</v>
      </c>
      <c r="H74" s="81">
        <f>5%*SUM(Fin_Statements!M15,Fin_Statements!M17)</f>
        <v>0.11472</v>
      </c>
      <c r="I74" s="81">
        <f>5%*SUM(Fin_Statements!N15,Fin_Statements!N17)</f>
        <v>0.11472</v>
      </c>
      <c r="J74" s="81">
        <f>5%*SUM(Fin_Statements!O15,Fin_Statements!O17)</f>
        <v>0.11472</v>
      </c>
      <c r="K74" s="81">
        <f>5%*SUM(Fin_Statements!P15,Fin_Statements!P17)</f>
        <v>0.11472</v>
      </c>
      <c r="L74" s="81">
        <f>5%*SUM(Fin_Statements!Q15,Fin_Statements!Q17)</f>
        <v>0.11472</v>
      </c>
      <c r="M74" s="81">
        <f>5%*SUM(Fin_Statements!R15,Fin_Statements!R17)</f>
        <v>0.11472</v>
      </c>
      <c r="N74" s="81">
        <f>5%*SUM(Fin_Statements!S15,Fin_Statements!S17)</f>
        <v>0.11472</v>
      </c>
      <c r="O74" s="81">
        <f>5%*SUM(Fin_Statements!T15,Fin_Statements!T17)</f>
        <v>0.11472</v>
      </c>
      <c r="P74" s="81">
        <f>5%*SUM(Fin_Statements!U15,Fin_Statements!U17)</f>
        <v>0.11472</v>
      </c>
      <c r="Q74" s="81">
        <f>5%*SUM(Fin_Statements!V15,Fin_Statements!V17)</f>
        <v>0.11472</v>
      </c>
      <c r="R74" s="81">
        <f>5%*SUM(Fin_Statements!W15,Fin_Statements!W17)</f>
        <v>0.11472</v>
      </c>
      <c r="S74" s="81">
        <f>5%*SUM(Fin_Statements!X15,Fin_Statements!X17)</f>
        <v>0.11472</v>
      </c>
      <c r="T74" s="81">
        <f>5%*SUM(Fin_Statements!Y15,Fin_Statements!Y17)</f>
        <v>0.11472</v>
      </c>
      <c r="U74" s="81">
        <f>5%*SUM(Fin_Statements!Z15,Fin_Statements!Z17)</f>
        <v>0.11472</v>
      </c>
      <c r="V74" s="81">
        <f>5%*SUM(Fin_Statements!AA15,Fin_Statements!AA17)</f>
        <v>0.11472</v>
      </c>
      <c r="W74" s="81">
        <f>5%*SUM(Fin_Statements!AB15,Fin_Statements!AB17)</f>
        <v>0.11472</v>
      </c>
      <c r="X74" s="81">
        <f>5%*SUM(Fin_Statements!AC15,Fin_Statements!AC17)</f>
        <v>0.11472</v>
      </c>
    </row>
    <row r="75" spans="1:24">
      <c r="B75" s="60"/>
      <c r="C75" s="134"/>
      <c r="D75" s="62"/>
      <c r="E75" s="62"/>
      <c r="F75" s="1013"/>
      <c r="G75" s="1039"/>
      <c r="H75" s="62"/>
      <c r="I75" s="62"/>
      <c r="J75" s="62"/>
      <c r="K75" s="62"/>
      <c r="L75" s="62"/>
      <c r="M75" s="62"/>
      <c r="N75" s="62"/>
      <c r="O75" s="62"/>
      <c r="P75" s="62"/>
      <c r="Q75" s="62"/>
      <c r="R75" s="62"/>
    </row>
    <row r="76" spans="1:24">
      <c r="B76" s="64" t="s">
        <v>205</v>
      </c>
      <c r="C76" s="139"/>
      <c r="D76" s="74"/>
      <c r="E76" s="74"/>
      <c r="F76" s="1015"/>
      <c r="G76" s="1057"/>
      <c r="H76" s="62"/>
      <c r="I76" s="62"/>
      <c r="J76" s="62"/>
      <c r="K76" s="62"/>
      <c r="L76" s="62"/>
      <c r="M76" s="62"/>
      <c r="N76" s="62"/>
      <c r="O76" s="62"/>
      <c r="P76" s="62"/>
      <c r="Q76" s="62"/>
      <c r="R76" s="62"/>
    </row>
    <row r="77" spans="1:24">
      <c r="B77" s="60" t="s">
        <v>203</v>
      </c>
      <c r="C77" s="134"/>
      <c r="D77" s="62">
        <v>729.03</v>
      </c>
      <c r="E77" s="62">
        <v>681.66629999999998</v>
      </c>
      <c r="F77" s="1013">
        <v>1288.9317999999998</v>
      </c>
      <c r="G77" s="1039">
        <f t="shared" ref="G77:R77" si="22">G11*55%</f>
        <v>2027.2884859788805</v>
      </c>
      <c r="H77" s="62">
        <f t="shared" si="22"/>
        <v>2038.494359066339</v>
      </c>
      <c r="I77" s="62">
        <f t="shared" si="22"/>
        <v>2072.0976240033774</v>
      </c>
      <c r="J77" s="62">
        <f t="shared" si="22"/>
        <v>2132.1198484335623</v>
      </c>
      <c r="K77" s="62">
        <f t="shared" si="22"/>
        <v>2132.1198484335623</v>
      </c>
      <c r="L77" s="62">
        <f t="shared" si="22"/>
        <v>2132.1198484335623</v>
      </c>
      <c r="M77" s="62">
        <f t="shared" si="22"/>
        <v>2132.1198484335623</v>
      </c>
      <c r="N77" s="62">
        <f t="shared" si="22"/>
        <v>2132.1198484335623</v>
      </c>
      <c r="O77" s="62">
        <f t="shared" si="22"/>
        <v>2132.1198484335623</v>
      </c>
      <c r="P77" s="62">
        <f t="shared" si="22"/>
        <v>2132.1198484335623</v>
      </c>
      <c r="Q77" s="62">
        <f t="shared" si="22"/>
        <v>2132.1198484335623</v>
      </c>
      <c r="R77" s="62">
        <f t="shared" si="22"/>
        <v>2132.1198484335623</v>
      </c>
      <c r="S77" s="62">
        <f t="shared" ref="S77:X77" si="23">S11*55%</f>
        <v>2132.1198484335623</v>
      </c>
      <c r="T77" s="62">
        <f t="shared" si="23"/>
        <v>2132.1198484335623</v>
      </c>
      <c r="U77" s="62">
        <f t="shared" si="23"/>
        <v>2132.1198484335623</v>
      </c>
      <c r="V77" s="62">
        <f t="shared" si="23"/>
        <v>2132.1198484335623</v>
      </c>
      <c r="W77" s="62">
        <f t="shared" si="23"/>
        <v>2132.1198484335623</v>
      </c>
      <c r="X77" s="62">
        <f t="shared" si="23"/>
        <v>2132.1198484335623</v>
      </c>
    </row>
    <row r="78" spans="1:24">
      <c r="B78" s="60" t="s">
        <v>41</v>
      </c>
      <c r="C78" s="134"/>
      <c r="D78" s="62">
        <v>21.68</v>
      </c>
      <c r="E78" s="62">
        <v>25.092700000000001</v>
      </c>
      <c r="F78" s="1013">
        <v>36.546900000000001</v>
      </c>
      <c r="G78" s="1039">
        <f t="shared" ref="G78:R78" si="24">G12+G43</f>
        <v>44.611517798837475</v>
      </c>
      <c r="H78" s="62">
        <f t="shared" si="24"/>
        <v>45.068584318604962</v>
      </c>
      <c r="I78" s="62">
        <f t="shared" si="24"/>
        <v>49.308175038372461</v>
      </c>
      <c r="J78" s="62">
        <f t="shared" si="24"/>
        <v>51.978769758139954</v>
      </c>
      <c r="K78" s="62">
        <f t="shared" si="24"/>
        <v>52.05420047790745</v>
      </c>
      <c r="L78" s="62">
        <f t="shared" si="24"/>
        <v>52.129631197674939</v>
      </c>
      <c r="M78" s="62">
        <f t="shared" si="24"/>
        <v>52.129631197674939</v>
      </c>
      <c r="N78" s="62">
        <f t="shared" si="24"/>
        <v>52.129631197674939</v>
      </c>
      <c r="O78" s="62">
        <f t="shared" si="24"/>
        <v>52.129631197674939</v>
      </c>
      <c r="P78" s="62">
        <f t="shared" si="24"/>
        <v>52.129631197674939</v>
      </c>
      <c r="Q78" s="62">
        <f t="shared" si="24"/>
        <v>52.129631197674939</v>
      </c>
      <c r="R78" s="62">
        <f t="shared" si="24"/>
        <v>52.129631197674939</v>
      </c>
      <c r="S78" s="62">
        <f t="shared" ref="S78:X78" si="25">S12+S43</f>
        <v>52.129631197674939</v>
      </c>
      <c r="T78" s="62">
        <f t="shared" si="25"/>
        <v>52.129631197674939</v>
      </c>
      <c r="U78" s="62">
        <f t="shared" si="25"/>
        <v>52.129631197674939</v>
      </c>
      <c r="V78" s="62">
        <f t="shared" si="25"/>
        <v>52.129631197674939</v>
      </c>
      <c r="W78" s="62">
        <f t="shared" si="25"/>
        <v>52.129631197674939</v>
      </c>
      <c r="X78" s="62">
        <f t="shared" si="25"/>
        <v>52.129631197674939</v>
      </c>
    </row>
    <row r="79" spans="1:24">
      <c r="B79" s="60" t="s">
        <v>171</v>
      </c>
      <c r="C79" s="134"/>
      <c r="D79" s="62">
        <f>34.91-5.01</f>
        <v>29.9</v>
      </c>
      <c r="E79" s="62">
        <v>68.854699999999994</v>
      </c>
      <c r="F79" s="1013">
        <v>15.211500000000008</v>
      </c>
      <c r="G79" s="1039">
        <f t="shared" ref="G79:R79" si="26">SUM(G13:G14,G40:G41)</f>
        <v>143.50061878472343</v>
      </c>
      <c r="H79" s="62">
        <f t="shared" si="26"/>
        <v>148.36577310590346</v>
      </c>
      <c r="I79" s="62">
        <f t="shared" si="26"/>
        <v>163.88111339010294</v>
      </c>
      <c r="J79" s="62">
        <f t="shared" si="26"/>
        <v>174.97874256613989</v>
      </c>
      <c r="K79" s="62">
        <f t="shared" si="26"/>
        <v>178.76935194715912</v>
      </c>
      <c r="L79" s="62">
        <f t="shared" si="26"/>
        <v>182.55996132817839</v>
      </c>
      <c r="M79" s="62">
        <f t="shared" si="26"/>
        <v>182.55996132817839</v>
      </c>
      <c r="N79" s="62">
        <f t="shared" si="26"/>
        <v>182.55996132817839</v>
      </c>
      <c r="O79" s="62">
        <f t="shared" si="26"/>
        <v>182.55996132817839</v>
      </c>
      <c r="P79" s="62">
        <f t="shared" si="26"/>
        <v>182.55996132817839</v>
      </c>
      <c r="Q79" s="62">
        <f t="shared" si="26"/>
        <v>182.55996132817839</v>
      </c>
      <c r="R79" s="62">
        <f t="shared" si="26"/>
        <v>182.55996132817839</v>
      </c>
      <c r="S79" s="62">
        <f t="shared" ref="S79:X79" si="27">SUM(S13:S14,S40:S41)</f>
        <v>182.55996132817839</v>
      </c>
      <c r="T79" s="62">
        <f t="shared" si="27"/>
        <v>182.55996132817839</v>
      </c>
      <c r="U79" s="62">
        <f t="shared" si="27"/>
        <v>182.55996132817839</v>
      </c>
      <c r="V79" s="62">
        <f t="shared" si="27"/>
        <v>182.55996132817839</v>
      </c>
      <c r="W79" s="62">
        <f t="shared" si="27"/>
        <v>182.55996132817839</v>
      </c>
      <c r="X79" s="62">
        <f t="shared" si="27"/>
        <v>182.55996132817839</v>
      </c>
    </row>
    <row r="80" spans="1:24">
      <c r="B80" s="95" t="s">
        <v>229</v>
      </c>
      <c r="C80" s="65"/>
      <c r="D80" s="62">
        <v>701.2</v>
      </c>
      <c r="E80" s="62">
        <v>587.48779999999999</v>
      </c>
      <c r="F80" s="1013">
        <v>1226.8576</v>
      </c>
      <c r="G80" s="1039">
        <f t="shared" ref="G80:R80" si="28">G11*45%+G42</f>
        <v>1659.4464151346347</v>
      </c>
      <c r="H80" s="62">
        <f t="shared" si="28"/>
        <v>1668.7660238911199</v>
      </c>
      <c r="I80" s="62">
        <f t="shared" si="28"/>
        <v>1696.4107714336251</v>
      </c>
      <c r="J80" s="62">
        <f t="shared" si="28"/>
        <v>1745.6710312887044</v>
      </c>
      <c r="K80" s="62">
        <f t="shared" si="28"/>
        <v>1745.8221984281781</v>
      </c>
      <c r="L80" s="62">
        <f t="shared" si="28"/>
        <v>1745.9733655676519</v>
      </c>
      <c r="M80" s="62">
        <f t="shared" si="28"/>
        <v>1745.9733655676519</v>
      </c>
      <c r="N80" s="62">
        <f t="shared" si="28"/>
        <v>1745.9733655676519</v>
      </c>
      <c r="O80" s="62">
        <f t="shared" si="28"/>
        <v>1745.9733655676519</v>
      </c>
      <c r="P80" s="62">
        <f t="shared" si="28"/>
        <v>1745.9733655676519</v>
      </c>
      <c r="Q80" s="62">
        <f t="shared" si="28"/>
        <v>1745.9733655676519</v>
      </c>
      <c r="R80" s="62">
        <f t="shared" si="28"/>
        <v>1745.9733655676519</v>
      </c>
      <c r="S80" s="62">
        <f t="shared" ref="S80:X80" si="29">S11*45%+S42</f>
        <v>1745.9733655676519</v>
      </c>
      <c r="T80" s="62">
        <f t="shared" si="29"/>
        <v>1745.9733655676519</v>
      </c>
      <c r="U80" s="62">
        <f t="shared" si="29"/>
        <v>1745.9733655676519</v>
      </c>
      <c r="V80" s="62">
        <f t="shared" si="29"/>
        <v>1745.9733655676519</v>
      </c>
      <c r="W80" s="62">
        <f t="shared" si="29"/>
        <v>1745.9733655676519</v>
      </c>
      <c r="X80" s="62">
        <f t="shared" si="29"/>
        <v>1745.9733655676519</v>
      </c>
    </row>
    <row r="81" spans="1:27">
      <c r="B81" s="95" t="s">
        <v>608</v>
      </c>
      <c r="C81" s="65"/>
      <c r="D81" s="62"/>
      <c r="E81" s="62"/>
      <c r="F81" s="1013"/>
      <c r="G81" s="1039">
        <f t="shared" ref="G81:X81" si="30">G73*0.98</f>
        <v>8.3104980000000008</v>
      </c>
      <c r="H81" s="62">
        <f t="shared" si="30"/>
        <v>8.3104980000000008</v>
      </c>
      <c r="I81" s="62">
        <f t="shared" si="30"/>
        <v>8.3104980000000008</v>
      </c>
      <c r="J81" s="62">
        <f t="shared" si="30"/>
        <v>8.3104980000000008</v>
      </c>
      <c r="K81" s="62">
        <f t="shared" si="30"/>
        <v>8.3104980000000008</v>
      </c>
      <c r="L81" s="62">
        <f t="shared" si="30"/>
        <v>8.3104980000000008</v>
      </c>
      <c r="M81" s="62">
        <f t="shared" si="30"/>
        <v>8.3104980000000008</v>
      </c>
      <c r="N81" s="62">
        <f t="shared" si="30"/>
        <v>8.3104980000000008</v>
      </c>
      <c r="O81" s="62">
        <f t="shared" si="30"/>
        <v>8.3104980000000008</v>
      </c>
      <c r="P81" s="62">
        <f t="shared" si="30"/>
        <v>8.3104980000000008</v>
      </c>
      <c r="Q81" s="62">
        <f t="shared" si="30"/>
        <v>8.3104980000000008</v>
      </c>
      <c r="R81" s="62">
        <f t="shared" si="30"/>
        <v>8.3104980000000008</v>
      </c>
      <c r="S81" s="62">
        <f t="shared" si="30"/>
        <v>8.3104980000000008</v>
      </c>
      <c r="T81" s="62">
        <f t="shared" si="30"/>
        <v>8.3104980000000008</v>
      </c>
      <c r="U81" s="62">
        <f t="shared" si="30"/>
        <v>8.3104980000000008</v>
      </c>
      <c r="V81" s="62">
        <f t="shared" si="30"/>
        <v>8.3104980000000008</v>
      </c>
      <c r="W81" s="62">
        <f t="shared" si="30"/>
        <v>8.3104980000000008</v>
      </c>
      <c r="X81" s="62">
        <f t="shared" si="30"/>
        <v>8.3104980000000008</v>
      </c>
    </row>
    <row r="82" spans="1:27">
      <c r="B82" s="96" t="s">
        <v>84</v>
      </c>
      <c r="C82" s="65"/>
      <c r="D82" s="62"/>
      <c r="E82" s="62"/>
      <c r="F82" s="1013"/>
      <c r="G82" s="1039"/>
      <c r="H82" s="62"/>
      <c r="I82" s="62"/>
      <c r="J82" s="62"/>
      <c r="K82" s="62"/>
      <c r="L82" s="62"/>
      <c r="M82" s="62"/>
      <c r="N82" s="62"/>
      <c r="O82" s="62"/>
      <c r="P82" s="62"/>
      <c r="Q82" s="62"/>
      <c r="R82" s="62"/>
    </row>
    <row r="83" spans="1:27">
      <c r="A83" s="7"/>
      <c r="B83" s="95" t="s">
        <v>210</v>
      </c>
      <c r="C83" s="62"/>
      <c r="D83" s="62">
        <v>105.327</v>
      </c>
      <c r="E83" s="62">
        <v>96.795199999999994</v>
      </c>
      <c r="F83" s="1013">
        <v>94.402600000000007</v>
      </c>
      <c r="G83" s="1039">
        <v>173.51</v>
      </c>
      <c r="H83" s="81">
        <f>G83*(1+Assumptions!$C$35)</f>
        <v>186.52324999999999</v>
      </c>
      <c r="I83" s="81">
        <f>H83*(1+Assumptions!$C$35)</f>
        <v>200.51249374999998</v>
      </c>
      <c r="J83" s="81">
        <f>I83*(1+Assumptions!$C$35)</f>
        <v>215.55093078124997</v>
      </c>
      <c r="K83" s="81">
        <f>J83*(1+Assumptions!$C$35)</f>
        <v>231.7172505898437</v>
      </c>
      <c r="L83" s="81">
        <f>K83*(1+Assumptions!$C$35)</f>
        <v>249.09604438408198</v>
      </c>
      <c r="M83" s="81">
        <f>L83*(1+Assumptions!$C$35)</f>
        <v>267.77824771288812</v>
      </c>
      <c r="N83" s="81">
        <f>M83*(1+Assumptions!$C$35)</f>
        <v>287.86161629135472</v>
      </c>
      <c r="O83" s="81">
        <f>N83*(1+Assumptions!$C$35)</f>
        <v>309.45123751320631</v>
      </c>
      <c r="P83" s="81">
        <f>O83*(1+Assumptions!$C$35)</f>
        <v>332.66008032669674</v>
      </c>
      <c r="Q83" s="81">
        <f>P83*(1+Assumptions!$C$35)</f>
        <v>357.60958635119897</v>
      </c>
      <c r="R83" s="81">
        <f>Q83*(1+Assumptions!$C$35)</f>
        <v>384.43030532753886</v>
      </c>
      <c r="S83" s="81">
        <f>R83*(1+Assumptions!$C$35)</f>
        <v>413.26257822710426</v>
      </c>
      <c r="T83" s="81">
        <f>S83*(1+Assumptions!$C$35)</f>
        <v>444.25727159413708</v>
      </c>
      <c r="U83" s="81">
        <f>T83*(1+Assumptions!$C$35)</f>
        <v>477.57656696369736</v>
      </c>
      <c r="V83" s="81">
        <f>U83*(1+Assumptions!$C$35)</f>
        <v>513.39480948597463</v>
      </c>
      <c r="W83" s="81">
        <f>V83*(1+Assumptions!$C$35)</f>
        <v>551.89942019742273</v>
      </c>
      <c r="X83" s="81">
        <f>W83*(1+Assumptions!$C$35)</f>
        <v>593.2918767122294</v>
      </c>
    </row>
    <row r="84" spans="1:27">
      <c r="A84" s="7"/>
      <c r="B84" s="95" t="s">
        <v>209</v>
      </c>
      <c r="C84" s="62"/>
      <c r="D84" s="62">
        <v>101.306</v>
      </c>
      <c r="E84" s="62">
        <v>101.0568</v>
      </c>
      <c r="F84" s="1013">
        <v>121.8061</v>
      </c>
      <c r="G84" s="1039">
        <f t="shared" ref="G84:R84" si="31">G15+G44</f>
        <v>198.84647249418734</v>
      </c>
      <c r="H84" s="62">
        <f t="shared" si="31"/>
        <v>200.92292159302482</v>
      </c>
      <c r="I84" s="62">
        <f t="shared" si="31"/>
        <v>219.84167519186232</v>
      </c>
      <c r="J84" s="62">
        <f t="shared" si="31"/>
        <v>231.77421879069976</v>
      </c>
      <c r="K84" s="62">
        <f t="shared" si="31"/>
        <v>232.15137238953724</v>
      </c>
      <c r="L84" s="62">
        <f t="shared" si="31"/>
        <v>232.52852598837472</v>
      </c>
      <c r="M84" s="62">
        <f t="shared" si="31"/>
        <v>232.52852598837472</v>
      </c>
      <c r="N84" s="62">
        <f t="shared" si="31"/>
        <v>232.52852598837472</v>
      </c>
      <c r="O84" s="62">
        <f t="shared" si="31"/>
        <v>232.52852598837472</v>
      </c>
      <c r="P84" s="62">
        <f t="shared" si="31"/>
        <v>232.52852598837472</v>
      </c>
      <c r="Q84" s="62">
        <f t="shared" si="31"/>
        <v>232.52852598837472</v>
      </c>
      <c r="R84" s="62">
        <f t="shared" si="31"/>
        <v>232.52852598837472</v>
      </c>
      <c r="S84" s="62">
        <f t="shared" ref="S84:X84" si="32">S15+S44</f>
        <v>232.52852598837472</v>
      </c>
      <c r="T84" s="62">
        <f t="shared" si="32"/>
        <v>232.52852598837472</v>
      </c>
      <c r="U84" s="62">
        <f t="shared" si="32"/>
        <v>232.52852598837472</v>
      </c>
      <c r="V84" s="62">
        <f t="shared" si="32"/>
        <v>232.52852598837472</v>
      </c>
      <c r="W84" s="62">
        <f t="shared" si="32"/>
        <v>232.52852598837472</v>
      </c>
      <c r="X84" s="62">
        <f t="shared" si="32"/>
        <v>232.52852598837472</v>
      </c>
    </row>
    <row r="85" spans="1:27" s="27" customFormat="1">
      <c r="A85" s="18"/>
      <c r="B85" s="94" t="s">
        <v>84</v>
      </c>
      <c r="C85" s="81"/>
      <c r="D85" s="289">
        <v>119.77639999999995</v>
      </c>
      <c r="E85" s="289">
        <v>117.10627810000001</v>
      </c>
      <c r="F85" s="1019">
        <v>96.266957332999951</v>
      </c>
      <c r="G85" s="1061">
        <f>SUM(Fin_Statements!L167:L172)+Assumptions!$C$32</f>
        <v>382.61</v>
      </c>
      <c r="H85" s="289">
        <f>SUM(Fin_Statements!M167:M172)+Assumptions!$C$32</f>
        <v>443.89179999999999</v>
      </c>
      <c r="I85" s="289">
        <f>SUM(Fin_Statements!N167:N172)+Assumptions!$C$32</f>
        <v>330.11332599999997</v>
      </c>
      <c r="J85" s="289">
        <f>SUM(Fin_Statements!O167:O172)+Assumptions!$C$32</f>
        <v>149.70535882000001</v>
      </c>
      <c r="K85" s="289">
        <f>SUM(Fin_Statements!P167:P172)+Assumptions!$C$32</f>
        <v>153.80083393740003</v>
      </c>
      <c r="L85" s="289">
        <f>SUM(Fin_Statements!Q167:Q172)+Assumptions!$C$32</f>
        <v>166.13499231301802</v>
      </c>
      <c r="M85" s="289">
        <f>SUM(Fin_Statements!R167:R172)+Assumptions!$C$32</f>
        <v>172.19554177492932</v>
      </c>
      <c r="N85" s="289">
        <f>SUM(Fin_Statements!S167:S172)+Assumptions!$C$32</f>
        <v>180.52282969917437</v>
      </c>
      <c r="O85" s="289">
        <f>SUM(Fin_Statements!T167:T172)+Assumptions!$C$32</f>
        <v>196.61002777811657</v>
      </c>
      <c r="P85" s="289">
        <f>SUM(Fin_Statements!U167:U172)+Assumptions!$C$32</f>
        <v>213.75332972258474</v>
      </c>
      <c r="Q85" s="289">
        <f>SUM(Fin_Statements!V167:V172)+Assumptions!$C$32</f>
        <v>212.30216280316569</v>
      </c>
      <c r="R85" s="289">
        <f>SUM(Fin_Statements!W167:W172)+Assumptions!$C$32</f>
        <v>227.25941419938732</v>
      </c>
      <c r="S85" s="289">
        <f>SUM(Fin_Statements!X167:X172)+Assumptions!$C$32</f>
        <v>240.98167319334442</v>
      </c>
      <c r="T85" s="289">
        <f>SUM(Fin_Statements!Y167:Y172)+Assumptions!$C$32</f>
        <v>249.77949031687854</v>
      </c>
      <c r="U85" s="289">
        <f>SUM(Fin_Statements!Z167:Z172)+Assumptions!$C$32</f>
        <v>271.41765463906006</v>
      </c>
      <c r="V85" s="289">
        <f>SUM(Fin_Statements!AA167:AA172)+Assumptions!$C$32</f>
        <v>281.51549046379432</v>
      </c>
      <c r="W85" s="289">
        <f>SUM(Fin_Statements!AB167:AB172)+Assumptions!$C$32</f>
        <v>298.84717479625994</v>
      </c>
      <c r="X85" s="289">
        <f>SUM(Fin_Statements!AC167:AC172)+Assumptions!$C$32</f>
        <v>316.99207703199812</v>
      </c>
    </row>
    <row r="86" spans="1:27" s="27" customFormat="1">
      <c r="A86" s="18"/>
      <c r="B86" s="94" t="s">
        <v>350</v>
      </c>
      <c r="C86" s="81"/>
      <c r="D86" s="81">
        <v>13.950100000000001</v>
      </c>
      <c r="E86" s="81">
        <v>2.6711999999999998</v>
      </c>
      <c r="F86" s="1013">
        <v>1.8167</v>
      </c>
      <c r="G86" s="1039">
        <f t="shared" ref="G86:X86" si="33">G60</f>
        <v>0</v>
      </c>
      <c r="H86" s="81">
        <f t="shared" si="33"/>
        <v>0</v>
      </c>
      <c r="I86" s="81">
        <f t="shared" si="33"/>
        <v>0</v>
      </c>
      <c r="J86" s="81">
        <f t="shared" si="33"/>
        <v>0</v>
      </c>
      <c r="K86" s="81">
        <f t="shared" si="33"/>
        <v>0</v>
      </c>
      <c r="L86" s="81">
        <f t="shared" si="33"/>
        <v>0</v>
      </c>
      <c r="M86" s="81">
        <f t="shared" si="33"/>
        <v>0</v>
      </c>
      <c r="N86" s="81">
        <f t="shared" si="33"/>
        <v>0</v>
      </c>
      <c r="O86" s="81">
        <f t="shared" si="33"/>
        <v>0</v>
      </c>
      <c r="P86" s="81">
        <f t="shared" si="33"/>
        <v>0</v>
      </c>
      <c r="Q86" s="81">
        <f t="shared" si="33"/>
        <v>0</v>
      </c>
      <c r="R86" s="81">
        <f t="shared" si="33"/>
        <v>0</v>
      </c>
      <c r="S86" s="81">
        <f t="shared" si="33"/>
        <v>0</v>
      </c>
      <c r="T86" s="81">
        <f t="shared" si="33"/>
        <v>0</v>
      </c>
      <c r="U86" s="81">
        <f t="shared" si="33"/>
        <v>0</v>
      </c>
      <c r="V86" s="81">
        <f t="shared" si="33"/>
        <v>0</v>
      </c>
      <c r="W86" s="81">
        <f t="shared" si="33"/>
        <v>0</v>
      </c>
      <c r="X86" s="81">
        <f t="shared" si="33"/>
        <v>0</v>
      </c>
    </row>
    <row r="87" spans="1:27" s="27" customFormat="1">
      <c r="A87" s="18"/>
      <c r="B87" s="94" t="s">
        <v>348</v>
      </c>
      <c r="C87" s="81"/>
      <c r="D87" s="81">
        <v>6.1771000000000003</v>
      </c>
      <c r="E87" s="81">
        <v>0.76090000000000002</v>
      </c>
      <c r="F87" s="1013">
        <v>0</v>
      </c>
      <c r="G87" s="1039">
        <f t="shared" ref="G87:X87" si="34">G36</f>
        <v>4.6880192335497748</v>
      </c>
      <c r="H87" s="81">
        <f t="shared" si="34"/>
        <v>5.6256230802597296</v>
      </c>
      <c r="I87" s="81">
        <f t="shared" si="34"/>
        <v>6.5632269269696835</v>
      </c>
      <c r="J87" s="81">
        <f t="shared" si="34"/>
        <v>7.5008307736796382</v>
      </c>
      <c r="K87" s="81">
        <f t="shared" si="34"/>
        <v>8.438434620389593</v>
      </c>
      <c r="L87" s="81">
        <f t="shared" si="34"/>
        <v>9.3760384670995496</v>
      </c>
      <c r="M87" s="81">
        <f t="shared" si="34"/>
        <v>9.3760384670995496</v>
      </c>
      <c r="N87" s="81">
        <f t="shared" si="34"/>
        <v>9.3760384670995496</v>
      </c>
      <c r="O87" s="81">
        <f t="shared" si="34"/>
        <v>9.3760384670995496</v>
      </c>
      <c r="P87" s="81">
        <f t="shared" si="34"/>
        <v>9.3760384670995496</v>
      </c>
      <c r="Q87" s="81">
        <f t="shared" si="34"/>
        <v>9.3760384670995496</v>
      </c>
      <c r="R87" s="81">
        <f t="shared" si="34"/>
        <v>9.3760384670995496</v>
      </c>
      <c r="S87" s="81">
        <f t="shared" si="34"/>
        <v>9.3760384670995496</v>
      </c>
      <c r="T87" s="81">
        <f t="shared" si="34"/>
        <v>9.3760384670995496</v>
      </c>
      <c r="U87" s="81">
        <f t="shared" si="34"/>
        <v>9.3760384670995496</v>
      </c>
      <c r="V87" s="81">
        <f t="shared" si="34"/>
        <v>9.3760384670995496</v>
      </c>
      <c r="W87" s="81">
        <f t="shared" si="34"/>
        <v>9.3760384670995496</v>
      </c>
      <c r="X87" s="81">
        <f t="shared" si="34"/>
        <v>9.3760384670995496</v>
      </c>
    </row>
    <row r="88" spans="1:27">
      <c r="B88" s="60"/>
      <c r="C88" s="134"/>
      <c r="D88" s="62"/>
      <c r="E88" s="62"/>
      <c r="F88" s="1013"/>
      <c r="G88" s="1039"/>
      <c r="H88" s="62"/>
      <c r="I88" s="62"/>
      <c r="J88" s="62"/>
      <c r="K88" s="62"/>
      <c r="L88" s="62"/>
      <c r="M88" s="62"/>
      <c r="N88" s="62"/>
      <c r="O88" s="62"/>
      <c r="P88" s="62"/>
      <c r="Q88" s="62"/>
      <c r="R88" s="62"/>
    </row>
    <row r="89" spans="1:27">
      <c r="B89" s="64" t="s">
        <v>85</v>
      </c>
      <c r="C89" s="139"/>
      <c r="D89" s="65">
        <f>SUM(D70:D74)-SUM(D77:D88)</f>
        <v>-94.855400000000373</v>
      </c>
      <c r="E89" s="65">
        <f t="shared" ref="E89:R89" si="35">SUM(E70:E74)-SUM(E77:E88)</f>
        <v>-82.309678100000156</v>
      </c>
      <c r="F89" s="1014">
        <f t="shared" si="35"/>
        <v>-159.19205733299941</v>
      </c>
      <c r="G89" s="227">
        <f t="shared" si="35"/>
        <v>-415.7386704382252</v>
      </c>
      <c r="H89" s="65">
        <f t="shared" si="35"/>
        <v>-477.14901828711936</v>
      </c>
      <c r="I89" s="65">
        <f t="shared" si="35"/>
        <v>-97.471063384715308</v>
      </c>
      <c r="J89" s="65">
        <f t="shared" si="35"/>
        <v>159.20928850829569</v>
      </c>
      <c r="K89" s="65">
        <f t="shared" si="35"/>
        <v>141.15860087324381</v>
      </c>
      <c r="L89" s="65">
        <f t="shared" si="35"/>
        <v>113.6567559943278</v>
      </c>
      <c r="M89" s="65">
        <f t="shared" si="35"/>
        <v>88.914003203610264</v>
      </c>
      <c r="N89" s="65">
        <f t="shared" si="35"/>
        <v>60.503346700898874</v>
      </c>
      <c r="O89" s="65">
        <f t="shared" si="35"/>
        <v>22.826527400105078</v>
      </c>
      <c r="P89" s="65">
        <f t="shared" si="35"/>
        <v>-17.525617357852752</v>
      </c>
      <c r="Q89" s="65">
        <f t="shared" si="35"/>
        <v>-41.023956462936439</v>
      </c>
      <c r="R89" s="65">
        <f t="shared" si="35"/>
        <v>-82.801926835498307</v>
      </c>
      <c r="S89" s="65">
        <f t="shared" ref="S89:X89" si="36">SUM(S70:S74)-SUM(S77:S88)</f>
        <v>-125.35645872902023</v>
      </c>
      <c r="T89" s="65">
        <f t="shared" si="36"/>
        <v>-165.14896921958734</v>
      </c>
      <c r="U89" s="65">
        <f t="shared" si="36"/>
        <v>-220.1064289113292</v>
      </c>
      <c r="V89" s="65">
        <f t="shared" si="36"/>
        <v>-266.02250725834074</v>
      </c>
      <c r="W89" s="65">
        <f t="shared" si="36"/>
        <v>-321.85880230225484</v>
      </c>
      <c r="X89" s="65">
        <f t="shared" si="36"/>
        <v>-381.39616105279856</v>
      </c>
    </row>
    <row r="90" spans="1:27">
      <c r="B90" s="60" t="s">
        <v>86</v>
      </c>
      <c r="C90" s="134"/>
      <c r="D90" s="63">
        <v>82.1</v>
      </c>
      <c r="E90" s="63">
        <v>82.238299999999995</v>
      </c>
      <c r="F90" s="1013">
        <v>82.085099999999997</v>
      </c>
      <c r="G90" s="1039">
        <f>'Yr wise'!G88</f>
        <v>82.933301178000093</v>
      </c>
      <c r="H90" s="63">
        <f>'Yr wise'!H88</f>
        <v>84.276973689999863</v>
      </c>
      <c r="I90" s="63">
        <f>'Yr wise'!I88</f>
        <v>87.350333456000087</v>
      </c>
      <c r="J90" s="63">
        <f>'Yr wise'!J88</f>
        <v>88.305537384000061</v>
      </c>
      <c r="K90" s="63">
        <f>'Yr wise'!K88</f>
        <v>89.219408989000016</v>
      </c>
      <c r="L90" s="63">
        <f>'Yr wise'!L88</f>
        <v>89.941341595000011</v>
      </c>
      <c r="M90" s="63">
        <f>'Yr wise'!M88</f>
        <v>90.013246444999965</v>
      </c>
      <c r="N90" s="63">
        <f>'Yr wise'!N88</f>
        <v>84.275668942999999</v>
      </c>
      <c r="O90" s="63">
        <f>'Yr wise'!O88</f>
        <v>66.568704859999997</v>
      </c>
      <c r="P90" s="63">
        <f>'Yr wise'!P88</f>
        <v>66.869487808000002</v>
      </c>
      <c r="Q90" s="63">
        <f>'Yr wise'!Q88</f>
        <v>67.440682204999916</v>
      </c>
      <c r="R90" s="63">
        <f>'Yr wise'!R88</f>
        <v>61.153804808000054</v>
      </c>
      <c r="S90" s="63">
        <f>'Yr wise'!S88</f>
        <v>35.152293851999886</v>
      </c>
      <c r="T90" s="63">
        <f>'Yr wise'!T88</f>
        <v>33.734887232000212</v>
      </c>
      <c r="U90" s="63">
        <f>'Yr wise'!U88</f>
        <v>33.567127543999888</v>
      </c>
      <c r="V90" s="63">
        <f>'Yr wise'!V88</f>
        <v>34.472994086999904</v>
      </c>
      <c r="W90" s="63">
        <f>'Yr wise'!W88</f>
        <v>35.120107088000104</v>
      </c>
      <c r="X90" s="63">
        <f>'Yr wise'!X88</f>
        <v>35.605998172999861</v>
      </c>
    </row>
    <row r="91" spans="1:27">
      <c r="B91" s="60" t="s">
        <v>87</v>
      </c>
      <c r="C91" s="134"/>
      <c r="D91" s="81">
        <v>328.8</v>
      </c>
      <c r="E91" s="81">
        <v>347.79250000000002</v>
      </c>
      <c r="F91" s="1013">
        <v>368.92779999999999</v>
      </c>
      <c r="G91" s="1039">
        <f>Debt_Schedule!G9+Debt_Schedule!G18+Debt_Schedule!G27+Debt_Schedule!G36+Debt_Schedule!G46+Debt_Schedule!G55+Debt_Schedule!G69+SUM(Debt_Schedule!G73:G74)+SUM(Debt_Schedule!G78:G80)+Debt_Schedule!G141</f>
        <v>371.02581251006842</v>
      </c>
      <c r="H91" s="81">
        <f>Debt_Schedule!H9+Debt_Schedule!H18+Debt_Schedule!H27+Debt_Schedule!H36+Debt_Schedule!H46+Debt_Schedule!H55+Debt_Schedule!H69+SUM(Debt_Schedule!H73:H74)+SUM(Debt_Schedule!H78:H80)+Debt_Schedule!H141</f>
        <v>400.83515139566168</v>
      </c>
      <c r="I91" s="81">
        <f>Debt_Schedule!I9+Debt_Schedule!I18+Debt_Schedule!I27+Debt_Schedule!I36+Debt_Schedule!I46+Debt_Schedule!I55+Debt_Schedule!I69+SUM(Debt_Schedule!I73:I74)+SUM(Debt_Schedule!I78:I80)+Debt_Schedule!I141</f>
        <v>450.00570694977529</v>
      </c>
      <c r="J91" s="81">
        <f>Debt_Schedule!J9+Debt_Schedule!J18+Debt_Schedule!J27+Debt_Schedule!J36+Debt_Schedule!J46+Debt_Schedule!J55+Debt_Schedule!J69+SUM(Debt_Schedule!J73:J74)+SUM(Debt_Schedule!J78:J80)+Debt_Schedule!J141</f>
        <v>461.94273381403809</v>
      </c>
      <c r="K91" s="81">
        <f>Debt_Schedule!K9+Debt_Schedule!K18+Debt_Schedule!K27+Debt_Schedule!K36+Debt_Schedule!K46+Debt_Schedule!K55+Debt_Schedule!K69+SUM(Debt_Schedule!K73:K74)+SUM(Debt_Schedule!K78:K80)+Debt_Schedule!K141</f>
        <v>444.09343175439653</v>
      </c>
      <c r="L91" s="81">
        <f>Debt_Schedule!L9+Debt_Schedule!L18+Debt_Schedule!L27+Debt_Schedule!L36+Debt_Schedule!L46+Debt_Schedule!L55+Debt_Schedule!L69+SUM(Debt_Schedule!L73:L74)+SUM(Debt_Schedule!L78:L80)+Debt_Schedule!L141</f>
        <v>422.66712969475498</v>
      </c>
      <c r="M91" s="81">
        <f>Debt_Schedule!M9+Debt_Schedule!M18+Debt_Schedule!M27+Debt_Schedule!M36+Debt_Schedule!M46+Debt_Schedule!M55+Debt_Schedule!M69+SUM(Debt_Schedule!M73:M74)+SUM(Debt_Schedule!M78:M80)+Debt_Schedule!M141</f>
        <v>401.20512969475499</v>
      </c>
      <c r="N91" s="81">
        <f>Debt_Schedule!N9+Debt_Schedule!N18+Debt_Schedule!N27+Debt_Schedule!N36+Debt_Schedule!N46+Debt_Schedule!N55+Debt_Schedule!N69+SUM(Debt_Schedule!N73:N74)+SUM(Debt_Schedule!N78:N80)+Debt_Schedule!N141</f>
        <v>379.743129694755</v>
      </c>
      <c r="O91" s="81">
        <f>Debt_Schedule!O9+Debt_Schedule!O18+Debt_Schedule!O27+Debt_Schedule!O36+Debt_Schedule!O46+Debt_Schedule!O55+Debt_Schedule!O69+SUM(Debt_Schedule!O73:O74)+SUM(Debt_Schedule!O78:O80)+Debt_Schedule!O141</f>
        <v>358.28112969475501</v>
      </c>
      <c r="P91" s="81">
        <f>Debt_Schedule!P9+Debt_Schedule!P18+Debt_Schedule!P27+Debt_Schedule!P36+Debt_Schedule!P46+Debt_Schedule!P55+Debt_Schedule!P69+SUM(Debt_Schedule!P73:P74)+SUM(Debt_Schedule!P78:P80)+Debt_Schedule!P141</f>
        <v>336.81912969475502</v>
      </c>
      <c r="Q91" s="81">
        <f>Debt_Schedule!Q9+Debt_Schedule!Q18+Debt_Schedule!Q27+Debt_Schedule!Q36+Debt_Schedule!Q46+Debt_Schedule!Q55+Debt_Schedule!Q69+SUM(Debt_Schedule!Q73:Q74)+SUM(Debt_Schedule!Q78:Q80)+Debt_Schedule!Q141</f>
        <v>326.08812969475503</v>
      </c>
      <c r="R91" s="81">
        <f>Debt_Schedule!R9+Debt_Schedule!R18+Debt_Schedule!R27+Debt_Schedule!R36+Debt_Schedule!R46+Debt_Schedule!R55+Debt_Schedule!R69+SUM(Debt_Schedule!R73:R74)+SUM(Debt_Schedule!R78:R80)+Debt_Schedule!R141</f>
        <v>326.08812969475503</v>
      </c>
      <c r="S91" s="81">
        <f>Debt_Schedule!S9+Debt_Schedule!S18+Debt_Schedule!S27+Debt_Schedule!S36+Debt_Schedule!S46+Debt_Schedule!S55+Debt_Schedule!S69+SUM(Debt_Schedule!S73:S74)+SUM(Debt_Schedule!S78:S80)+Debt_Schedule!S141</f>
        <v>326.08812969475503</v>
      </c>
      <c r="T91" s="81">
        <f>Debt_Schedule!T9+Debt_Schedule!T18+Debt_Schedule!T27+Debt_Schedule!T36+Debt_Schedule!T46+Debt_Schedule!T55+Debt_Schedule!T69+SUM(Debt_Schedule!T73:T74)+SUM(Debt_Schedule!T78:T80)+Debt_Schedule!T141</f>
        <v>326.08812969475503</v>
      </c>
      <c r="U91" s="81">
        <f>Debt_Schedule!U9+Debt_Schedule!U18+Debt_Schedule!U27+Debt_Schedule!U36+Debt_Schedule!U46+Debt_Schedule!U55+Debt_Schedule!U69+SUM(Debt_Schedule!U73:U74)+SUM(Debt_Schedule!U78:U80)+Debt_Schedule!U141</f>
        <v>326.08812969475503</v>
      </c>
      <c r="V91" s="81">
        <f>Debt_Schedule!V9+Debt_Schedule!V18+Debt_Schedule!V27+Debt_Schedule!V36+Debt_Schedule!V46+Debt_Schedule!V55+Debt_Schedule!V69+SUM(Debt_Schedule!V73:V74)+SUM(Debt_Schedule!V78:V80)+Debt_Schedule!V141</f>
        <v>326.08812969475503</v>
      </c>
      <c r="W91" s="81">
        <f>Debt_Schedule!W9+Debt_Schedule!W18+Debt_Schedule!W27+Debt_Schedule!W36+Debt_Schedule!W46+Debt_Schedule!W55+Debt_Schedule!W69+SUM(Debt_Schedule!W73:W74)+SUM(Debt_Schedule!W78:W80)+Debt_Schedule!W141</f>
        <v>326.08812969475503</v>
      </c>
      <c r="X91" s="81">
        <f>Debt_Schedule!X9+Debt_Schedule!X18+Debt_Schedule!X27+Debt_Schedule!X36+Debt_Schedule!X46+Debt_Schedule!X55+Debt_Schedule!X69+SUM(Debt_Schedule!X73:X74)+SUM(Debt_Schedule!X78:X80)+Debt_Schedule!X141</f>
        <v>326.08812969475503</v>
      </c>
    </row>
    <row r="92" spans="1:27">
      <c r="B92" s="64" t="s">
        <v>88</v>
      </c>
      <c r="C92" s="139"/>
      <c r="D92" s="65">
        <f>D89-SUM(D90:D91)</f>
        <v>-505.75540000000035</v>
      </c>
      <c r="E92" s="65">
        <f t="shared" ref="E92:R92" si="37">E89-SUM(E90:E91)</f>
        <v>-512.34047810000015</v>
      </c>
      <c r="F92" s="1014">
        <f t="shared" si="37"/>
        <v>-610.20495733299936</v>
      </c>
      <c r="G92" s="227">
        <f t="shared" si="37"/>
        <v>-869.69778412629375</v>
      </c>
      <c r="H92" s="65">
        <f t="shared" si="37"/>
        <v>-962.26114337278091</v>
      </c>
      <c r="I92" s="65">
        <f t="shared" si="37"/>
        <v>-634.8271037904907</v>
      </c>
      <c r="J92" s="65">
        <f t="shared" si="37"/>
        <v>-391.03898268974251</v>
      </c>
      <c r="K92" s="65">
        <f t="shared" si="37"/>
        <v>-392.15423987015276</v>
      </c>
      <c r="L92" s="65">
        <f t="shared" si="37"/>
        <v>-398.95171529542722</v>
      </c>
      <c r="M92" s="65">
        <f t="shared" si="37"/>
        <v>-402.30437293614466</v>
      </c>
      <c r="N92" s="65">
        <f t="shared" si="37"/>
        <v>-403.51545193685615</v>
      </c>
      <c r="O92" s="65">
        <f t="shared" si="37"/>
        <v>-402.02330715464996</v>
      </c>
      <c r="P92" s="65">
        <f t="shared" si="37"/>
        <v>-421.2142348606078</v>
      </c>
      <c r="Q92" s="65">
        <f t="shared" si="37"/>
        <v>-434.55276836269138</v>
      </c>
      <c r="R92" s="65">
        <f t="shared" si="37"/>
        <v>-470.04386133825341</v>
      </c>
      <c r="S92" s="65">
        <f t="shared" ref="S92:X92" si="38">S89-SUM(S90:S91)</f>
        <v>-486.59688227577516</v>
      </c>
      <c r="T92" s="65">
        <f t="shared" si="38"/>
        <v>-524.9719861463426</v>
      </c>
      <c r="U92" s="65">
        <f t="shared" si="38"/>
        <v>-579.76168615008419</v>
      </c>
      <c r="V92" s="65">
        <f t="shared" si="38"/>
        <v>-626.58363104009572</v>
      </c>
      <c r="W92" s="65">
        <f t="shared" si="38"/>
        <v>-683.06703908501004</v>
      </c>
      <c r="X92" s="65">
        <f t="shared" si="38"/>
        <v>-743.09028892055346</v>
      </c>
      <c r="Y92" s="26"/>
      <c r="Z92" s="26"/>
      <c r="AA92" s="26"/>
    </row>
    <row r="93" spans="1:27">
      <c r="B93" s="60" t="s">
        <v>478</v>
      </c>
      <c r="C93" s="134"/>
      <c r="D93" s="62">
        <f>-33.46</f>
        <v>-33.46</v>
      </c>
      <c r="E93" s="62">
        <f>140.82-37.76</f>
        <v>103.06</v>
      </c>
      <c r="F93" s="1013">
        <f>90.4364231+10.86</f>
        <v>101.2964231</v>
      </c>
      <c r="G93" s="1039">
        <f>Tax!G55</f>
        <v>0</v>
      </c>
      <c r="H93" s="62">
        <f>Tax!H55</f>
        <v>0</v>
      </c>
      <c r="I93" s="62">
        <f>Tax!I55</f>
        <v>0</v>
      </c>
      <c r="J93" s="62">
        <f>Tax!J55</f>
        <v>0</v>
      </c>
      <c r="K93" s="62">
        <f>Tax!K55</f>
        <v>0</v>
      </c>
      <c r="L93" s="62">
        <f>Tax!L55</f>
        <v>0</v>
      </c>
      <c r="M93" s="62">
        <f>Tax!M55</f>
        <v>0</v>
      </c>
      <c r="N93" s="62">
        <f>Tax!N55</f>
        <v>0</v>
      </c>
      <c r="O93" s="62">
        <f>Tax!O55</f>
        <v>0</v>
      </c>
      <c r="P93" s="62">
        <f>Tax!P55</f>
        <v>0</v>
      </c>
      <c r="Q93" s="62">
        <f>Tax!Q55</f>
        <v>0</v>
      </c>
      <c r="R93" s="62">
        <f>Tax!R55</f>
        <v>0</v>
      </c>
      <c r="S93" s="62">
        <f>Tax!S55</f>
        <v>0</v>
      </c>
      <c r="T93" s="62">
        <f>Tax!T55</f>
        <v>0</v>
      </c>
      <c r="U93" s="62">
        <f>Tax!U55</f>
        <v>0</v>
      </c>
      <c r="V93" s="62">
        <f>Tax!V55</f>
        <v>0</v>
      </c>
      <c r="W93" s="62">
        <f>Tax!W55</f>
        <v>0</v>
      </c>
      <c r="X93" s="62">
        <f>Tax!X55</f>
        <v>0</v>
      </c>
    </row>
    <row r="94" spans="1:27" ht="13.5" thickBot="1">
      <c r="B94" s="66" t="s">
        <v>89</v>
      </c>
      <c r="C94" s="144"/>
      <c r="D94" s="82">
        <f>D92-D93</f>
        <v>-472.29540000000037</v>
      </c>
      <c r="E94" s="82">
        <f t="shared" ref="E94:R94" si="39">E92-E93</f>
        <v>-615.4004781000001</v>
      </c>
      <c r="F94" s="1020">
        <f t="shared" si="39"/>
        <v>-711.50138043299933</v>
      </c>
      <c r="G94" s="1042">
        <f t="shared" si="39"/>
        <v>-869.69778412629375</v>
      </c>
      <c r="H94" s="82">
        <f t="shared" si="39"/>
        <v>-962.26114337278091</v>
      </c>
      <c r="I94" s="82">
        <f t="shared" si="39"/>
        <v>-634.8271037904907</v>
      </c>
      <c r="J94" s="82">
        <f t="shared" si="39"/>
        <v>-391.03898268974251</v>
      </c>
      <c r="K94" s="82">
        <f t="shared" si="39"/>
        <v>-392.15423987015276</v>
      </c>
      <c r="L94" s="82">
        <f t="shared" si="39"/>
        <v>-398.95171529542722</v>
      </c>
      <c r="M94" s="82">
        <f t="shared" si="39"/>
        <v>-402.30437293614466</v>
      </c>
      <c r="N94" s="82">
        <f t="shared" si="39"/>
        <v>-403.51545193685615</v>
      </c>
      <c r="O94" s="82">
        <f t="shared" si="39"/>
        <v>-402.02330715464996</v>
      </c>
      <c r="P94" s="82">
        <f t="shared" si="39"/>
        <v>-421.2142348606078</v>
      </c>
      <c r="Q94" s="82">
        <f t="shared" si="39"/>
        <v>-434.55276836269138</v>
      </c>
      <c r="R94" s="82">
        <f t="shared" si="39"/>
        <v>-470.04386133825341</v>
      </c>
      <c r="S94" s="65">
        <f t="shared" ref="S94:X94" si="40">S92-S93</f>
        <v>-486.59688227577516</v>
      </c>
      <c r="T94" s="65">
        <f t="shared" si="40"/>
        <v>-524.9719861463426</v>
      </c>
      <c r="U94" s="65">
        <f t="shared" si="40"/>
        <v>-579.76168615008419</v>
      </c>
      <c r="V94" s="65">
        <f t="shared" si="40"/>
        <v>-626.58363104009572</v>
      </c>
      <c r="W94" s="65">
        <f t="shared" si="40"/>
        <v>-683.06703908501004</v>
      </c>
      <c r="X94" s="65">
        <f t="shared" si="40"/>
        <v>-743.09028892055346</v>
      </c>
      <c r="Y94" s="26"/>
      <c r="Z94" s="26"/>
      <c r="AA94" s="26"/>
    </row>
    <row r="95" spans="1:27" ht="13.5" thickBot="1">
      <c r="D95" s="9"/>
      <c r="E95" s="9"/>
      <c r="F95" s="1021"/>
      <c r="G95" s="1062"/>
      <c r="H95" s="9"/>
      <c r="I95" s="9"/>
      <c r="J95" s="9"/>
      <c r="K95" s="9"/>
      <c r="L95" s="9"/>
    </row>
    <row r="96" spans="1:27">
      <c r="B96" s="83" t="s">
        <v>145</v>
      </c>
      <c r="C96" s="145"/>
      <c r="D96" s="72"/>
      <c r="E96" s="72"/>
      <c r="F96" s="1012"/>
      <c r="G96" s="1056"/>
      <c r="H96" s="72"/>
      <c r="I96" s="72"/>
      <c r="J96" s="72"/>
      <c r="K96" s="72"/>
      <c r="L96" s="72"/>
      <c r="M96" s="72"/>
      <c r="N96" s="72"/>
      <c r="O96" s="72"/>
      <c r="P96" s="72"/>
      <c r="Q96" s="72"/>
      <c r="R96" s="72"/>
    </row>
    <row r="97" spans="2:27">
      <c r="B97" s="60" t="s">
        <v>128</v>
      </c>
      <c r="C97" s="62"/>
      <c r="D97" s="62">
        <f t="shared" ref="D97:R97" si="41">SUM(D21,D50:D51)</f>
        <v>0</v>
      </c>
      <c r="E97" s="62">
        <f t="shared" si="41"/>
        <v>0</v>
      </c>
      <c r="F97" s="1013">
        <f t="shared" si="41"/>
        <v>0</v>
      </c>
      <c r="G97" s="1039">
        <f t="shared" si="41"/>
        <v>54.758706139055292</v>
      </c>
      <c r="H97" s="62">
        <f t="shared" si="41"/>
        <v>56.15602783897593</v>
      </c>
      <c r="I97" s="62">
        <f t="shared" si="41"/>
        <v>60.928892898896571</v>
      </c>
      <c r="J97" s="62">
        <f t="shared" si="41"/>
        <v>64.301578145118583</v>
      </c>
      <c r="K97" s="62">
        <f t="shared" si="41"/>
        <v>65.358326163943346</v>
      </c>
      <c r="L97" s="62">
        <f t="shared" si="41"/>
        <v>66.415074182768109</v>
      </c>
      <c r="M97" s="62">
        <f t="shared" si="41"/>
        <v>66.415074182768109</v>
      </c>
      <c r="N97" s="62">
        <f t="shared" si="41"/>
        <v>66.415074182768109</v>
      </c>
      <c r="O97" s="62">
        <f t="shared" si="41"/>
        <v>66.415074182768109</v>
      </c>
      <c r="P97" s="62">
        <f t="shared" si="41"/>
        <v>66.415074182768109</v>
      </c>
      <c r="Q97" s="62">
        <f t="shared" si="41"/>
        <v>66.415074182768109</v>
      </c>
      <c r="R97" s="62">
        <f t="shared" si="41"/>
        <v>66.415074182768109</v>
      </c>
      <c r="S97" s="62">
        <f t="shared" ref="S97:X97" si="42">SUM(S21,S50:S51)</f>
        <v>66.415074182768109</v>
      </c>
      <c r="T97" s="62">
        <f t="shared" si="42"/>
        <v>66.415074182768109</v>
      </c>
      <c r="U97" s="62">
        <f t="shared" si="42"/>
        <v>66.415074182768109</v>
      </c>
      <c r="V97" s="62">
        <f t="shared" si="42"/>
        <v>66.415074182768109</v>
      </c>
      <c r="W97" s="62">
        <f t="shared" si="42"/>
        <v>66.415074182768109</v>
      </c>
      <c r="X97" s="62">
        <f t="shared" si="42"/>
        <v>66.415074182768109</v>
      </c>
    </row>
    <row r="98" spans="2:27">
      <c r="B98" s="60" t="s">
        <v>129</v>
      </c>
      <c r="C98" s="62"/>
      <c r="D98" s="62">
        <f>SUM(D22,D23,D52,D63)</f>
        <v>0</v>
      </c>
      <c r="E98" s="62">
        <f t="shared" ref="E98:X98" si="43">SUM(E22,E23,E52,E63)</f>
        <v>0</v>
      </c>
      <c r="F98" s="1013">
        <f t="shared" si="43"/>
        <v>0</v>
      </c>
      <c r="G98" s="1039">
        <f t="shared" si="43"/>
        <v>1010.4340853471693</v>
      </c>
      <c r="H98" s="62">
        <f t="shared" si="43"/>
        <v>1023.3861916089942</v>
      </c>
      <c r="I98" s="62">
        <f t="shared" si="43"/>
        <v>1115.55252613381</v>
      </c>
      <c r="J98" s="62">
        <f t="shared" si="43"/>
        <v>1171.3269816602919</v>
      </c>
      <c r="K98" s="62">
        <f t="shared" si="43"/>
        <v>1176.2868098093875</v>
      </c>
      <c r="L98" s="62">
        <f t="shared" si="43"/>
        <v>1181.246637958483</v>
      </c>
      <c r="M98" s="62">
        <f t="shared" si="43"/>
        <v>1181.246637958483</v>
      </c>
      <c r="N98" s="62">
        <f t="shared" si="43"/>
        <v>1181.246637958483</v>
      </c>
      <c r="O98" s="62">
        <f t="shared" si="43"/>
        <v>1181.246637958483</v>
      </c>
      <c r="P98" s="62">
        <f t="shared" si="43"/>
        <v>1181.246637958483</v>
      </c>
      <c r="Q98" s="62">
        <f t="shared" si="43"/>
        <v>1181.246637958483</v>
      </c>
      <c r="R98" s="62">
        <f t="shared" si="43"/>
        <v>1181.246637958483</v>
      </c>
      <c r="S98" s="62">
        <f t="shared" si="43"/>
        <v>1181.246637958483</v>
      </c>
      <c r="T98" s="62">
        <f t="shared" si="43"/>
        <v>1181.246637958483</v>
      </c>
      <c r="U98" s="62">
        <f t="shared" si="43"/>
        <v>1181.246637958483</v>
      </c>
      <c r="V98" s="62">
        <f t="shared" si="43"/>
        <v>1181.246637958483</v>
      </c>
      <c r="W98" s="62">
        <f t="shared" si="43"/>
        <v>1181.246637958483</v>
      </c>
      <c r="X98" s="62">
        <f t="shared" si="43"/>
        <v>1181.246637958483</v>
      </c>
    </row>
    <row r="99" spans="2:27">
      <c r="B99" s="60" t="s">
        <v>130</v>
      </c>
      <c r="C99" s="62"/>
      <c r="D99" s="62">
        <f>SUM(D24,D53,D64)</f>
        <v>0</v>
      </c>
      <c r="E99" s="62">
        <f>SUM(E24,E53,E64)</f>
        <v>0</v>
      </c>
      <c r="F99" s="1013">
        <f t="shared" ref="F99:X99" si="44">SUM(F24,F53,F64)</f>
        <v>0</v>
      </c>
      <c r="G99" s="1039">
        <f t="shared" si="44"/>
        <v>301.34383931517533</v>
      </c>
      <c r="H99" s="62">
        <f t="shared" si="44"/>
        <v>303.42377001934511</v>
      </c>
      <c r="I99" s="62">
        <f t="shared" si="44"/>
        <v>311.0531308820386</v>
      </c>
      <c r="J99" s="62">
        <f t="shared" si="44"/>
        <v>321.12997909806853</v>
      </c>
      <c r="K99" s="62">
        <f t="shared" si="44"/>
        <v>321.46016051507621</v>
      </c>
      <c r="L99" s="62">
        <f t="shared" si="44"/>
        <v>321.79034193208395</v>
      </c>
      <c r="M99" s="62">
        <f t="shared" si="44"/>
        <v>321.79034193208395</v>
      </c>
      <c r="N99" s="62">
        <f t="shared" si="44"/>
        <v>321.79034193208395</v>
      </c>
      <c r="O99" s="62">
        <f t="shared" si="44"/>
        <v>321.79034193208395</v>
      </c>
      <c r="P99" s="62">
        <f t="shared" si="44"/>
        <v>321.79034193208395</v>
      </c>
      <c r="Q99" s="62">
        <f t="shared" si="44"/>
        <v>321.79034193208395</v>
      </c>
      <c r="R99" s="62">
        <f t="shared" si="44"/>
        <v>321.79034193208395</v>
      </c>
      <c r="S99" s="62">
        <f t="shared" si="44"/>
        <v>321.79034193208395</v>
      </c>
      <c r="T99" s="62">
        <f t="shared" si="44"/>
        <v>321.79034193208395</v>
      </c>
      <c r="U99" s="62">
        <f t="shared" si="44"/>
        <v>321.79034193208395</v>
      </c>
      <c r="V99" s="62">
        <f t="shared" si="44"/>
        <v>321.79034193208395</v>
      </c>
      <c r="W99" s="62">
        <f t="shared" si="44"/>
        <v>321.79034193208395</v>
      </c>
      <c r="X99" s="62">
        <f t="shared" si="44"/>
        <v>321.79034193208395</v>
      </c>
    </row>
    <row r="100" spans="2:27">
      <c r="B100" s="60" t="s">
        <v>146</v>
      </c>
      <c r="C100" s="134"/>
      <c r="D100" s="62">
        <f>D25+D54+D65</f>
        <v>0</v>
      </c>
      <c r="E100" s="62">
        <f t="shared" ref="E100:X100" si="45">E25+E54+E65</f>
        <v>0</v>
      </c>
      <c r="F100" s="1013">
        <f t="shared" si="45"/>
        <v>0</v>
      </c>
      <c r="G100" s="1039">
        <f t="shared" si="45"/>
        <v>320.23152873115583</v>
      </c>
      <c r="H100" s="62">
        <f t="shared" si="45"/>
        <v>321.9721637235271</v>
      </c>
      <c r="I100" s="62">
        <f t="shared" si="45"/>
        <v>326.93354577710875</v>
      </c>
      <c r="J100" s="62">
        <f t="shared" si="45"/>
        <v>335.68797034157109</v>
      </c>
      <c r="K100" s="62">
        <f t="shared" si="45"/>
        <v>335.68797034157109</v>
      </c>
      <c r="L100" s="62">
        <f t="shared" si="45"/>
        <v>335.68797034157109</v>
      </c>
      <c r="M100" s="62">
        <f t="shared" si="45"/>
        <v>335.68797034157109</v>
      </c>
      <c r="N100" s="62">
        <f t="shared" si="45"/>
        <v>335.68797034157109</v>
      </c>
      <c r="O100" s="62">
        <f t="shared" si="45"/>
        <v>335.68797034157109</v>
      </c>
      <c r="P100" s="62">
        <f t="shared" si="45"/>
        <v>335.68797034157109</v>
      </c>
      <c r="Q100" s="62">
        <f t="shared" si="45"/>
        <v>335.68797034157109</v>
      </c>
      <c r="R100" s="62">
        <f t="shared" si="45"/>
        <v>335.68797034157109</v>
      </c>
      <c r="S100" s="62">
        <f t="shared" si="45"/>
        <v>335.68797034157109</v>
      </c>
      <c r="T100" s="62">
        <f t="shared" si="45"/>
        <v>335.68797034157109</v>
      </c>
      <c r="U100" s="62">
        <f t="shared" si="45"/>
        <v>335.68797034157109</v>
      </c>
      <c r="V100" s="62">
        <f t="shared" si="45"/>
        <v>335.68797034157109</v>
      </c>
      <c r="W100" s="62">
        <f t="shared" si="45"/>
        <v>335.68797034157109</v>
      </c>
      <c r="X100" s="62">
        <f t="shared" si="45"/>
        <v>335.68797034157109</v>
      </c>
    </row>
    <row r="101" spans="2:27">
      <c r="B101" s="60" t="s">
        <v>156</v>
      </c>
      <c r="C101" s="134"/>
      <c r="D101" s="62">
        <f t="shared" ref="D101:R101" si="46">D55</f>
        <v>0</v>
      </c>
      <c r="E101" s="62">
        <f t="shared" si="46"/>
        <v>0</v>
      </c>
      <c r="F101" s="1013">
        <f t="shared" si="46"/>
        <v>0</v>
      </c>
      <c r="G101" s="1039">
        <f t="shared" si="46"/>
        <v>1.6513670325098706</v>
      </c>
      <c r="H101" s="62">
        <f t="shared" si="46"/>
        <v>1.9816404390118447</v>
      </c>
      <c r="I101" s="62">
        <f t="shared" si="46"/>
        <v>2.3119138455138182</v>
      </c>
      <c r="J101" s="62">
        <f t="shared" si="46"/>
        <v>2.6421872520157925</v>
      </c>
      <c r="K101" s="62">
        <f t="shared" si="46"/>
        <v>2.9724606585177664</v>
      </c>
      <c r="L101" s="62">
        <f t="shared" si="46"/>
        <v>3.3027340650197412</v>
      </c>
      <c r="M101" s="62">
        <f t="shared" si="46"/>
        <v>3.3027340650197412</v>
      </c>
      <c r="N101" s="62">
        <f t="shared" si="46"/>
        <v>3.3027340650197412</v>
      </c>
      <c r="O101" s="62">
        <f t="shared" si="46"/>
        <v>3.3027340650197412</v>
      </c>
      <c r="P101" s="62">
        <f t="shared" si="46"/>
        <v>3.3027340650197412</v>
      </c>
      <c r="Q101" s="62">
        <f t="shared" si="46"/>
        <v>3.3027340650197412</v>
      </c>
      <c r="R101" s="62">
        <f t="shared" si="46"/>
        <v>3.3027340650197412</v>
      </c>
      <c r="S101" s="62">
        <f t="shared" ref="S101:X101" si="47">S55</f>
        <v>3.3027340650197412</v>
      </c>
      <c r="T101" s="62">
        <f t="shared" si="47"/>
        <v>3.3027340650197412</v>
      </c>
      <c r="U101" s="62">
        <f t="shared" si="47"/>
        <v>3.3027340650197412</v>
      </c>
      <c r="V101" s="62">
        <f t="shared" si="47"/>
        <v>3.3027340650197412</v>
      </c>
      <c r="W101" s="62">
        <f t="shared" si="47"/>
        <v>3.3027340650197412</v>
      </c>
      <c r="X101" s="62">
        <f t="shared" si="47"/>
        <v>3.3027340650197412</v>
      </c>
    </row>
    <row r="102" spans="2:27">
      <c r="B102" s="60"/>
      <c r="C102" s="134"/>
      <c r="D102" s="62"/>
      <c r="E102" s="62"/>
      <c r="F102" s="1013"/>
      <c r="G102" s="1039"/>
      <c r="H102" s="62"/>
      <c r="I102" s="62"/>
      <c r="J102" s="62"/>
      <c r="K102" s="62"/>
      <c r="L102" s="62"/>
      <c r="M102" s="62"/>
      <c r="N102" s="62"/>
      <c r="O102" s="62"/>
      <c r="P102" s="62"/>
      <c r="Q102" s="62"/>
      <c r="R102" s="62"/>
    </row>
    <row r="103" spans="2:27">
      <c r="B103" s="64" t="s">
        <v>147</v>
      </c>
      <c r="C103" s="65"/>
      <c r="D103" s="227">
        <f>MIN(D97*(1-Assumptions!$C$54)+'P&amp;L'!D98*(1-Assumptions!$C$53)-'P&amp;L'!D99,650)</f>
        <v>0</v>
      </c>
      <c r="E103" s="227">
        <f>E97*(1-Assumptions!$C$54)+'P&amp;L'!E98*(1-Assumptions!$C$53)-'P&amp;L'!E99</f>
        <v>0</v>
      </c>
      <c r="F103" s="1014">
        <f>F97*(1-Assumptions!$C$54)+'P&amp;L'!F98*(1-Assumptions!$C$53)-'P&amp;L'!F99</f>
        <v>0</v>
      </c>
      <c r="G103" s="227">
        <f>G97*(1-Assumptions!$C$54)+'P&amp;L'!G98*(1-Assumptions!$C$53)-'P&amp;L'!G99</f>
        <v>657.32967302242673</v>
      </c>
      <c r="H103" s="227">
        <f>H97*(1-Assumptions!$C$54)+'P&amp;L'!H98*(1-Assumptions!$C$53)-'P&amp;L'!H99</f>
        <v>668.16422748382797</v>
      </c>
      <c r="I103" s="227">
        <f>I97*(1-Assumptions!$C$54)+'P&amp;L'!I98*(1-Assumptions!$C$53)-'P&amp;L'!I99</f>
        <v>747.7801462473974</v>
      </c>
      <c r="J103" s="227">
        <f>J97*(1-Assumptions!$C$54)+'P&amp;L'!J98*(1-Assumptions!$C$53)-'P&amp;L'!J99</f>
        <v>790.93572472680103</v>
      </c>
      <c r="K103" s="227">
        <f>K97*(1-Assumptions!$C$54)+'P&amp;L'!K98*(1-Assumptions!$C$53)-'P&amp;L'!K99</f>
        <v>796.02046186092161</v>
      </c>
      <c r="L103" s="227">
        <f>L97*(1-Assumptions!$C$54)+'P&amp;L'!L98*(1-Assumptions!$C$53)-'P&amp;L'!L99</f>
        <v>801.1051989950422</v>
      </c>
      <c r="M103" s="227">
        <f>M97*(1-Assumptions!$C$54)+'P&amp;L'!M98*(1-Assumptions!$C$53)-'P&amp;L'!M99</f>
        <v>801.1051989950422</v>
      </c>
      <c r="N103" s="227">
        <f>N97*(1-Assumptions!$C$54)+'P&amp;L'!N98*(1-Assumptions!$C$53)-'P&amp;L'!N99</f>
        <v>801.1051989950422</v>
      </c>
      <c r="O103" s="227">
        <f>O97*(1-Assumptions!$C$54)+'P&amp;L'!O98*(1-Assumptions!$C$53)-'P&amp;L'!O99</f>
        <v>801.1051989950422</v>
      </c>
      <c r="P103" s="227">
        <f>P97*(1-Assumptions!$C$54)+'P&amp;L'!P98*(1-Assumptions!$C$53)-'P&amp;L'!P99</f>
        <v>801.1051989950422</v>
      </c>
      <c r="Q103" s="227">
        <f>Q97*(1-Assumptions!$C$54)+'P&amp;L'!Q98*(1-Assumptions!$C$53)-'P&amp;L'!Q99</f>
        <v>801.1051989950422</v>
      </c>
      <c r="R103" s="227">
        <f>R97*(1-Assumptions!$C$54)+'P&amp;L'!R98*(1-Assumptions!$C$53)-'P&amp;L'!R99</f>
        <v>801.1051989950422</v>
      </c>
      <c r="S103" s="227">
        <f>S97*(1-Assumptions!$C$54)+'P&amp;L'!S98*(1-Assumptions!$C$53)-'P&amp;L'!S99</f>
        <v>801.1051989950422</v>
      </c>
      <c r="T103" s="227">
        <f>T97*(1-Assumptions!$C$54)+'P&amp;L'!T98*(1-Assumptions!$C$53)-'P&amp;L'!T99</f>
        <v>801.1051989950422</v>
      </c>
      <c r="U103" s="227">
        <f>U97*(1-Assumptions!$C$54)+'P&amp;L'!U98*(1-Assumptions!$C$53)-'P&amp;L'!U99</f>
        <v>801.1051989950422</v>
      </c>
      <c r="V103" s="227">
        <f>V97*(1-Assumptions!$C$54)+'P&amp;L'!V98*(1-Assumptions!$C$53)-'P&amp;L'!V99</f>
        <v>801.1051989950422</v>
      </c>
      <c r="W103" s="227">
        <f>W97*(1-Assumptions!$C$54)+'P&amp;L'!W98*(1-Assumptions!$C$53)-'P&amp;L'!W99</f>
        <v>801.1051989950422</v>
      </c>
      <c r="X103" s="227">
        <f>X97*(1-Assumptions!$C$54)+'P&amp;L'!X98*(1-Assumptions!$C$53)-'P&amp;L'!X99</f>
        <v>801.1051989950422</v>
      </c>
      <c r="Y103" s="26"/>
      <c r="Z103" s="26"/>
      <c r="AA103" s="26"/>
    </row>
    <row r="104" spans="2:27">
      <c r="B104" s="60"/>
      <c r="C104" s="62"/>
      <c r="D104" s="62"/>
      <c r="E104" s="238"/>
      <c r="F104" s="1013"/>
      <c r="G104" s="1039"/>
      <c r="H104" s="62"/>
      <c r="I104" s="62"/>
      <c r="J104" s="62"/>
      <c r="K104" s="62"/>
      <c r="L104" s="62"/>
      <c r="M104" s="62"/>
      <c r="N104" s="62"/>
      <c r="O104" s="62"/>
      <c r="P104" s="62"/>
      <c r="Q104" s="62"/>
      <c r="R104" s="62"/>
    </row>
    <row r="105" spans="2:27">
      <c r="B105" s="64" t="s">
        <v>155</v>
      </c>
      <c r="C105" s="139"/>
      <c r="D105" s="62"/>
      <c r="E105" s="62"/>
      <c r="F105" s="1013"/>
      <c r="G105" s="1039"/>
      <c r="H105" s="62"/>
      <c r="I105" s="62"/>
      <c r="J105" s="62"/>
      <c r="K105" s="62"/>
      <c r="L105" s="62"/>
      <c r="M105" s="62"/>
      <c r="N105" s="62"/>
      <c r="O105" s="62"/>
      <c r="P105" s="62"/>
      <c r="Q105" s="62"/>
      <c r="R105" s="62"/>
    </row>
    <row r="106" spans="2:27">
      <c r="B106" s="60" t="s">
        <v>158</v>
      </c>
      <c r="C106" s="134"/>
      <c r="D106" s="62">
        <f>Assumptions!$C$57*'P&amp;L'!D100</f>
        <v>0</v>
      </c>
      <c r="E106" s="62">
        <f>Assumptions!$C$57*'P&amp;L'!E100</f>
        <v>0</v>
      </c>
      <c r="F106" s="1013">
        <f>Assumptions!$C$57*'P&amp;L'!F100</f>
        <v>0</v>
      </c>
      <c r="G106" s="1039">
        <f>Assumptions!$C$57*'P&amp;L'!G100</f>
        <v>16.011576436557792</v>
      </c>
      <c r="H106" s="62">
        <f>Assumptions!$C$57*'P&amp;L'!H100</f>
        <v>16.098608186176357</v>
      </c>
      <c r="I106" s="62">
        <f>Assumptions!$C$57*'P&amp;L'!I100</f>
        <v>16.346677288855439</v>
      </c>
      <c r="J106" s="62">
        <f>Assumptions!$C$57*'P&amp;L'!J100</f>
        <v>16.784398517078554</v>
      </c>
      <c r="K106" s="62">
        <f>Assumptions!$C$57*'P&amp;L'!K100</f>
        <v>16.784398517078554</v>
      </c>
      <c r="L106" s="62">
        <f>Assumptions!$C$57*'P&amp;L'!L100</f>
        <v>16.784398517078554</v>
      </c>
      <c r="M106" s="62">
        <f>Assumptions!$C$57*'P&amp;L'!M100</f>
        <v>16.784398517078554</v>
      </c>
      <c r="N106" s="62">
        <f>Assumptions!$C$57*'P&amp;L'!N100</f>
        <v>16.784398517078554</v>
      </c>
      <c r="O106" s="62">
        <f>Assumptions!$C$57*'P&amp;L'!O100</f>
        <v>16.784398517078554</v>
      </c>
      <c r="P106" s="62">
        <f>Assumptions!$C$57*'P&amp;L'!P100</f>
        <v>16.784398517078554</v>
      </c>
      <c r="Q106" s="62">
        <f>Assumptions!$C$57*'P&amp;L'!Q100</f>
        <v>16.784398517078554</v>
      </c>
      <c r="R106" s="62">
        <f>Assumptions!$C$57*'P&amp;L'!R100</f>
        <v>16.784398517078554</v>
      </c>
      <c r="S106" s="62">
        <f>Assumptions!$C$57*'P&amp;L'!S100</f>
        <v>16.784398517078554</v>
      </c>
      <c r="T106" s="62">
        <f>Assumptions!$C$57*'P&amp;L'!T100</f>
        <v>16.784398517078554</v>
      </c>
      <c r="U106" s="62">
        <f>Assumptions!$C$57*'P&amp;L'!U100</f>
        <v>16.784398517078554</v>
      </c>
      <c r="V106" s="62">
        <f>Assumptions!$C$57*'P&amp;L'!V100</f>
        <v>16.784398517078554</v>
      </c>
      <c r="W106" s="62">
        <f>Assumptions!$C$57*'P&amp;L'!W100</f>
        <v>16.784398517078554</v>
      </c>
      <c r="X106" s="62">
        <f>Assumptions!$C$57*'P&amp;L'!X100</f>
        <v>16.784398517078554</v>
      </c>
    </row>
    <row r="107" spans="2:27" ht="13.5" thickBot="1">
      <c r="B107" s="76" t="s">
        <v>156</v>
      </c>
      <c r="C107" s="141"/>
      <c r="D107" s="67">
        <f>Assumptions!$C$57*'P&amp;L'!D101</f>
        <v>0</v>
      </c>
      <c r="E107" s="67">
        <f>Assumptions!$C$57*'P&amp;L'!E101</f>
        <v>0</v>
      </c>
      <c r="F107" s="1016">
        <f>Assumptions!$C$57*'P&amp;L'!F101</f>
        <v>0</v>
      </c>
      <c r="G107" s="1058">
        <f>Assumptions!$C$57*'P&amp;L'!G101</f>
        <v>8.256835162549353E-2</v>
      </c>
      <c r="H107" s="67">
        <f>Assumptions!$C$57*'P&amp;L'!H101</f>
        <v>9.9082021950592236E-2</v>
      </c>
      <c r="I107" s="67">
        <f>Assumptions!$C$57*'P&amp;L'!I101</f>
        <v>0.11559569227569091</v>
      </c>
      <c r="J107" s="67">
        <f>Assumptions!$C$57*'P&amp;L'!J101</f>
        <v>0.13210936260078962</v>
      </c>
      <c r="K107" s="67">
        <f>Assumptions!$C$57*'P&amp;L'!K101</f>
        <v>0.14862303292588833</v>
      </c>
      <c r="L107" s="67">
        <f>Assumptions!$C$57*'P&amp;L'!L101</f>
        <v>0.16513670325098706</v>
      </c>
      <c r="M107" s="67">
        <f>Assumptions!$C$57*'P&amp;L'!M101</f>
        <v>0.16513670325098706</v>
      </c>
      <c r="N107" s="67">
        <f>Assumptions!$C$57*'P&amp;L'!N101</f>
        <v>0.16513670325098706</v>
      </c>
      <c r="O107" s="67">
        <f>Assumptions!$C$57*'P&amp;L'!O101</f>
        <v>0.16513670325098706</v>
      </c>
      <c r="P107" s="67">
        <f>Assumptions!$C$57*'P&amp;L'!P101</f>
        <v>0.16513670325098706</v>
      </c>
      <c r="Q107" s="67">
        <f>Assumptions!$C$57*'P&amp;L'!Q101</f>
        <v>0.16513670325098706</v>
      </c>
      <c r="R107" s="67">
        <f>Assumptions!$C$57*'P&amp;L'!R101</f>
        <v>0.16513670325098706</v>
      </c>
      <c r="S107" s="62">
        <f>Assumptions!$C$57*'P&amp;L'!S101</f>
        <v>0.16513670325098706</v>
      </c>
      <c r="T107" s="62">
        <f>Assumptions!$C$57*'P&amp;L'!T101</f>
        <v>0.16513670325098706</v>
      </c>
      <c r="U107" s="62">
        <f>Assumptions!$C$57*'P&amp;L'!U101</f>
        <v>0.16513670325098706</v>
      </c>
      <c r="V107" s="62">
        <f>Assumptions!$C$57*'P&amp;L'!V101</f>
        <v>0.16513670325098706</v>
      </c>
      <c r="W107" s="62">
        <f>Assumptions!$C$57*'P&amp;L'!W101</f>
        <v>0.16513670325098706</v>
      </c>
      <c r="X107" s="62">
        <f>Assumptions!$C$57*'P&amp;L'!X101</f>
        <v>0.16513670325098706</v>
      </c>
    </row>
    <row r="108" spans="2:27"/>
    <row r="109" spans="2:27"/>
    <row r="110" spans="2:27">
      <c r="E110" s="7">
        <f t="shared" ref="E110:K110" si="48">SUM(E100:E103)</f>
        <v>0</v>
      </c>
      <c r="F110" s="278">
        <f t="shared" si="48"/>
        <v>0</v>
      </c>
      <c r="G110" s="226">
        <f t="shared" si="48"/>
        <v>979.21256878609245</v>
      </c>
      <c r="H110" s="7">
        <f t="shared" si="48"/>
        <v>992.11803164636694</v>
      </c>
      <c r="I110" s="7">
        <f t="shared" si="48"/>
        <v>1077.0256058700199</v>
      </c>
      <c r="J110" s="7">
        <f t="shared" si="48"/>
        <v>1129.2658823203878</v>
      </c>
      <c r="K110" s="7">
        <f t="shared" si="48"/>
        <v>1134.6808928610105</v>
      </c>
    </row>
    <row r="111" spans="2:27">
      <c r="B111" s="2"/>
      <c r="C111" s="59"/>
    </row>
    <row r="112" spans="2:27"/>
    <row r="113" spans="5:5">
      <c r="E113" s="5">
        <f>250/(373-250)</f>
        <v>2.0325203252032522</v>
      </c>
    </row>
    <row r="114" spans="5:5"/>
    <row r="115" spans="5:5"/>
    <row r="116" spans="5:5"/>
    <row r="117" spans="5:5"/>
    <row r="118" spans="5:5"/>
    <row r="119" spans="5:5"/>
    <row r="120" spans="5:5"/>
    <row r="121" spans="5:5"/>
    <row r="122" spans="5:5"/>
    <row r="123" spans="5:5"/>
    <row r="124" spans="5:5"/>
    <row r="125" spans="5:5"/>
    <row r="126" spans="5:5"/>
    <row r="127" spans="5:5"/>
    <row r="128" spans="5:5"/>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sheetData>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37"/>
  <sheetViews>
    <sheetView showGridLines="0" zoomScale="112" zoomScaleNormal="112" workbookViewId="0">
      <pane xSplit="4" ySplit="2" topLeftCell="E3" activePane="bottomRight" state="frozen"/>
      <selection pane="topRight" activeCell="E1" sqref="E1"/>
      <selection pane="bottomLeft" activeCell="A3" sqref="A3"/>
      <selection pane="bottomRight" activeCell="J4" sqref="J4"/>
    </sheetView>
  </sheetViews>
  <sheetFormatPr defaultColWidth="0" defaultRowHeight="12.75"/>
  <cols>
    <col min="1" max="1" width="5.28515625" style="22" customWidth="1"/>
    <col min="2" max="2" width="6.140625" style="22" customWidth="1"/>
    <col min="3" max="3" width="26.140625" style="912" customWidth="1"/>
    <col min="4" max="4" width="12.140625" style="7" hidden="1" customWidth="1"/>
    <col min="5" max="7" width="6.7109375" style="7" bestFit="1" customWidth="1"/>
    <col min="8" max="8" width="6.7109375" style="48" bestFit="1" customWidth="1"/>
    <col min="9" max="10" width="6.7109375" style="7" bestFit="1" customWidth="1"/>
    <col min="11" max="11" width="6.7109375" style="278" bestFit="1" customWidth="1"/>
    <col min="12" max="12" width="6.7109375" style="226" bestFit="1" customWidth="1"/>
    <col min="13" max="19" width="7" style="7" bestFit="1" customWidth="1"/>
    <col min="20" max="25" width="7" style="22" bestFit="1" customWidth="1"/>
    <col min="26" max="29" width="6.7109375" style="22" bestFit="1" customWidth="1"/>
    <col min="30" max="32" width="9.140625" style="22" customWidth="1"/>
    <col min="33" max="39" width="9.140625" style="22" hidden="1" customWidth="1"/>
    <col min="40" max="16384" width="9.140625" style="22" hidden="1"/>
  </cols>
  <sheetData>
    <row r="1" spans="1:32" ht="14.25" customHeight="1" thickBot="1">
      <c r="D1" s="54"/>
      <c r="E1" s="54"/>
      <c r="H1" s="7"/>
    </row>
    <row r="2" spans="1:32" ht="12" customHeight="1">
      <c r="C2" s="913" t="s">
        <v>35</v>
      </c>
      <c r="D2" s="107" t="s">
        <v>176</v>
      </c>
      <c r="E2" s="107" t="s">
        <v>175</v>
      </c>
      <c r="F2" s="107" t="s">
        <v>174</v>
      </c>
      <c r="G2" s="107" t="s">
        <v>173</v>
      </c>
      <c r="H2" s="107" t="s">
        <v>187</v>
      </c>
      <c r="I2" s="197">
        <f>'P&amp;L'!D3</f>
        <v>43921</v>
      </c>
      <c r="J2" s="197">
        <f>'P&amp;L'!E3</f>
        <v>44286</v>
      </c>
      <c r="K2" s="1022">
        <f>'P&amp;L'!F3</f>
        <v>44651</v>
      </c>
      <c r="L2" s="1038">
        <f>'P&amp;L'!G3</f>
        <v>45016</v>
      </c>
      <c r="M2" s="197">
        <f>'P&amp;L'!H3</f>
        <v>45382</v>
      </c>
      <c r="N2" s="197">
        <f>'P&amp;L'!I3</f>
        <v>45747</v>
      </c>
      <c r="O2" s="197">
        <f>'P&amp;L'!J3</f>
        <v>46112</v>
      </c>
      <c r="P2" s="197">
        <f>'P&amp;L'!K3</f>
        <v>46477</v>
      </c>
      <c r="Q2" s="197">
        <f>'P&amp;L'!L3</f>
        <v>46843</v>
      </c>
      <c r="R2" s="197">
        <f>'P&amp;L'!M3</f>
        <v>47208</v>
      </c>
      <c r="S2" s="197">
        <f>'P&amp;L'!N3</f>
        <v>47573</v>
      </c>
      <c r="T2" s="197">
        <f>'P&amp;L'!O3</f>
        <v>47938</v>
      </c>
      <c r="U2" s="197">
        <f>'P&amp;L'!P3</f>
        <v>48304</v>
      </c>
      <c r="V2" s="197">
        <f>'P&amp;L'!Q3</f>
        <v>48669</v>
      </c>
      <c r="W2" s="197">
        <f>'P&amp;L'!R3</f>
        <v>49034</v>
      </c>
      <c r="X2" s="197">
        <f>'P&amp;L'!S3</f>
        <v>49399</v>
      </c>
      <c r="Y2" s="197">
        <f>'P&amp;L'!T3</f>
        <v>49765</v>
      </c>
      <c r="Z2" s="197">
        <f>'P&amp;L'!U3</f>
        <v>50130</v>
      </c>
      <c r="AA2" s="197">
        <f>'P&amp;L'!V3</f>
        <v>50495</v>
      </c>
      <c r="AB2" s="197">
        <f>'P&amp;L'!W3</f>
        <v>50860</v>
      </c>
      <c r="AC2" s="198">
        <f>'P&amp;L'!X3</f>
        <v>51226</v>
      </c>
    </row>
    <row r="3" spans="1:32">
      <c r="A3" s="27"/>
      <c r="B3" s="27"/>
      <c r="C3" s="906" t="s">
        <v>177</v>
      </c>
      <c r="D3" s="100">
        <v>2832.36</v>
      </c>
      <c r="E3" s="103">
        <v>2757.44</v>
      </c>
      <c r="F3" s="103">
        <v>2637.9</v>
      </c>
      <c r="G3" s="103">
        <v>2563.6999999999998</v>
      </c>
      <c r="H3" s="196">
        <f>2480.63</f>
        <v>2480.63</v>
      </c>
      <c r="I3" s="164">
        <v>2398.3000000000002</v>
      </c>
      <c r="J3" s="164">
        <v>2187.8717999999999</v>
      </c>
      <c r="K3" s="1013">
        <v>2106.1876500000008</v>
      </c>
      <c r="L3" s="1039">
        <f>K3+SUM(Debt_Schedule!G84:G88)-L178</f>
        <v>2117.7093488220007</v>
      </c>
      <c r="M3" s="164">
        <f>L3+SUM(Debt_Schedule!H84:H88)-M178</f>
        <v>2153.1023751320008</v>
      </c>
      <c r="N3" s="164">
        <f>M3+SUM(Debt_Schedule!I84:I88)-N178</f>
        <v>2152.157041676001</v>
      </c>
      <c r="O3" s="164">
        <f>N3+SUM(Debt_Schedule!J84:J88)-O178</f>
        <v>2091.5315042920006</v>
      </c>
      <c r="P3" s="164">
        <f>O3+SUM(Debt_Schedule!K84:K88)-P178</f>
        <v>2027.3370953030008</v>
      </c>
      <c r="Q3" s="164">
        <f>P3+SUM(Debt_Schedule!L84:L88)-Q178</f>
        <v>1960.2057537080007</v>
      </c>
      <c r="R3" s="164">
        <f>Q3+SUM(Debt_Schedule!M84:M88)-R178</f>
        <v>1895.8475072630006</v>
      </c>
      <c r="S3" s="164">
        <f>R3+SUM(Debt_Schedule!N84:N88)-S178</f>
        <v>1826.7568383200005</v>
      </c>
      <c r="T3" s="164">
        <f>S3+SUM(Debt_Schedule!O84:O88)-T178</f>
        <v>1782.6431334600004</v>
      </c>
      <c r="U3" s="164">
        <f>T3+SUM(Debt_Schedule!P84:P88)-U178</f>
        <v>1733.6036456520003</v>
      </c>
      <c r="V3" s="164">
        <f>U3+SUM(Debt_Schedule!Q84:Q88)-V178</f>
        <v>1681.4279634470004</v>
      </c>
      <c r="W3" s="164">
        <f>V3+SUM(Debt_Schedule!R84:R88)-W178</f>
        <v>1641.1641586390003</v>
      </c>
      <c r="X3" s="164">
        <f>W3+SUM(Debt_Schedule!S84:S88)-X178</f>
        <v>1624.4268647870003</v>
      </c>
      <c r="Y3" s="164">
        <f>X3+SUM(Debt_Schedule!T84:T88)-Y178</f>
        <v>1603.4819775550002</v>
      </c>
      <c r="Z3" s="164">
        <f>Y3+SUM(Debt_Schedule!U84:U88)-Z178</f>
        <v>1588.1198500110002</v>
      </c>
      <c r="AA3" s="164">
        <f>Z3+SUM(Debt_Schedule!V84:V88)-AA178</f>
        <v>1574.1868559240002</v>
      </c>
      <c r="AB3" s="164">
        <f>AA3+SUM(Debt_Schedule!W84:W88)-AB178</f>
        <v>1562.161748836</v>
      </c>
      <c r="AC3" s="165">
        <f>AB3+SUM(Debt_Schedule!X84:X88)-AC178</f>
        <v>1542.6857506630004</v>
      </c>
    </row>
    <row r="4" spans="1:32">
      <c r="A4" s="27"/>
      <c r="B4" s="27"/>
      <c r="C4" s="906" t="s">
        <v>178</v>
      </c>
      <c r="D4" s="100">
        <v>3.07</v>
      </c>
      <c r="E4" s="103">
        <v>7.08</v>
      </c>
      <c r="F4" s="103">
        <v>8.09</v>
      </c>
      <c r="G4" s="103">
        <v>22.12</v>
      </c>
      <c r="H4" s="196">
        <v>27.94</v>
      </c>
      <c r="I4" s="164">
        <v>28.3</v>
      </c>
      <c r="J4" s="164">
        <v>4.4207999999999998</v>
      </c>
      <c r="K4" s="1013">
        <v>0.23749999999999999</v>
      </c>
      <c r="L4" s="1039">
        <f t="shared" ref="L4:W4" si="0">K4</f>
        <v>0.23749999999999999</v>
      </c>
      <c r="M4" s="164">
        <f t="shared" si="0"/>
        <v>0.23749999999999999</v>
      </c>
      <c r="N4" s="164">
        <f t="shared" si="0"/>
        <v>0.23749999999999999</v>
      </c>
      <c r="O4" s="164">
        <f t="shared" si="0"/>
        <v>0.23749999999999999</v>
      </c>
      <c r="P4" s="164">
        <f t="shared" si="0"/>
        <v>0.23749999999999999</v>
      </c>
      <c r="Q4" s="164">
        <f t="shared" si="0"/>
        <v>0.23749999999999999</v>
      </c>
      <c r="R4" s="164">
        <f t="shared" si="0"/>
        <v>0.23749999999999999</v>
      </c>
      <c r="S4" s="164">
        <f t="shared" si="0"/>
        <v>0.23749999999999999</v>
      </c>
      <c r="T4" s="164">
        <f t="shared" si="0"/>
        <v>0.23749999999999999</v>
      </c>
      <c r="U4" s="164">
        <f t="shared" si="0"/>
        <v>0.23749999999999999</v>
      </c>
      <c r="V4" s="164">
        <f t="shared" si="0"/>
        <v>0.23749999999999999</v>
      </c>
      <c r="W4" s="164">
        <f t="shared" si="0"/>
        <v>0.23749999999999999</v>
      </c>
      <c r="X4" s="164">
        <f t="shared" ref="X4:AC6" si="1">W4</f>
        <v>0.23749999999999999</v>
      </c>
      <c r="Y4" s="164">
        <f t="shared" si="1"/>
        <v>0.23749999999999999</v>
      </c>
      <c r="Z4" s="164">
        <f t="shared" si="1"/>
        <v>0.23749999999999999</v>
      </c>
      <c r="AA4" s="164">
        <f t="shared" si="1"/>
        <v>0.23749999999999999</v>
      </c>
      <c r="AB4" s="164">
        <f t="shared" si="1"/>
        <v>0.23749999999999999</v>
      </c>
      <c r="AC4" s="165">
        <f t="shared" si="1"/>
        <v>0.23749999999999999</v>
      </c>
    </row>
    <row r="5" spans="1:32">
      <c r="A5" s="27"/>
      <c r="B5" s="27"/>
      <c r="C5" s="906" t="s">
        <v>188</v>
      </c>
      <c r="D5" s="100">
        <v>29.48</v>
      </c>
      <c r="E5" s="103">
        <v>24.57</v>
      </c>
      <c r="F5" s="103">
        <v>19.649999999999999</v>
      </c>
      <c r="G5" s="103">
        <v>14.74</v>
      </c>
      <c r="H5" s="196">
        <v>0</v>
      </c>
      <c r="I5" s="164">
        <v>0</v>
      </c>
      <c r="J5" s="164">
        <v>0</v>
      </c>
      <c r="K5" s="1013">
        <f>J5</f>
        <v>0</v>
      </c>
      <c r="L5" s="1039">
        <f t="shared" ref="L5:W5" si="2">K5</f>
        <v>0</v>
      </c>
      <c r="M5" s="164">
        <f t="shared" si="2"/>
        <v>0</v>
      </c>
      <c r="N5" s="164">
        <f t="shared" si="2"/>
        <v>0</v>
      </c>
      <c r="O5" s="164">
        <f t="shared" si="2"/>
        <v>0</v>
      </c>
      <c r="P5" s="164">
        <f t="shared" si="2"/>
        <v>0</v>
      </c>
      <c r="Q5" s="164">
        <f t="shared" si="2"/>
        <v>0</v>
      </c>
      <c r="R5" s="164">
        <f t="shared" si="2"/>
        <v>0</v>
      </c>
      <c r="S5" s="164">
        <f t="shared" si="2"/>
        <v>0</v>
      </c>
      <c r="T5" s="164">
        <f t="shared" si="2"/>
        <v>0</v>
      </c>
      <c r="U5" s="164">
        <f t="shared" si="2"/>
        <v>0</v>
      </c>
      <c r="V5" s="164">
        <f t="shared" si="2"/>
        <v>0</v>
      </c>
      <c r="W5" s="164">
        <f t="shared" si="2"/>
        <v>0</v>
      </c>
      <c r="X5" s="164">
        <f t="shared" si="1"/>
        <v>0</v>
      </c>
      <c r="Y5" s="164">
        <f t="shared" si="1"/>
        <v>0</v>
      </c>
      <c r="Z5" s="164">
        <f t="shared" si="1"/>
        <v>0</v>
      </c>
      <c r="AA5" s="164">
        <f t="shared" si="1"/>
        <v>0</v>
      </c>
      <c r="AB5" s="164">
        <f t="shared" si="1"/>
        <v>0</v>
      </c>
      <c r="AC5" s="165">
        <f t="shared" si="1"/>
        <v>0</v>
      </c>
    </row>
    <row r="6" spans="1:32">
      <c r="A6" s="27"/>
      <c r="B6" s="27"/>
      <c r="C6" s="906" t="s">
        <v>189</v>
      </c>
      <c r="D6" s="100">
        <f>26.15+15.31+0.28+2.77</f>
        <v>44.510000000000005</v>
      </c>
      <c r="E6" s="103">
        <f>18.03+18.69+0.33+7.47</f>
        <v>44.519999999999996</v>
      </c>
      <c r="F6" s="103">
        <f>17.96+24.17+0.33+0.66</f>
        <v>43.12</v>
      </c>
      <c r="G6" s="103">
        <f>17.96+27.44+0.37+2.56</f>
        <v>48.330000000000005</v>
      </c>
      <c r="H6" s="196">
        <f>13.46+5.46+0.86</f>
        <v>19.78</v>
      </c>
      <c r="I6" s="164">
        <v>11.622999999999998</v>
      </c>
      <c r="J6" s="164">
        <v>7.12</v>
      </c>
      <c r="K6" s="1013">
        <v>4.75</v>
      </c>
      <c r="L6" s="1039">
        <f t="shared" ref="L6:W6" si="3">K6</f>
        <v>4.75</v>
      </c>
      <c r="M6" s="164">
        <f t="shared" si="3"/>
        <v>4.75</v>
      </c>
      <c r="N6" s="164">
        <f t="shared" si="3"/>
        <v>4.75</v>
      </c>
      <c r="O6" s="164">
        <f t="shared" si="3"/>
        <v>4.75</v>
      </c>
      <c r="P6" s="164">
        <f t="shared" si="3"/>
        <v>4.75</v>
      </c>
      <c r="Q6" s="164">
        <f t="shared" si="3"/>
        <v>4.75</v>
      </c>
      <c r="R6" s="164">
        <f t="shared" si="3"/>
        <v>4.75</v>
      </c>
      <c r="S6" s="164">
        <f t="shared" si="3"/>
        <v>4.75</v>
      </c>
      <c r="T6" s="164">
        <f t="shared" si="3"/>
        <v>4.75</v>
      </c>
      <c r="U6" s="164">
        <f t="shared" si="3"/>
        <v>4.75</v>
      </c>
      <c r="V6" s="164">
        <f t="shared" si="3"/>
        <v>4.75</v>
      </c>
      <c r="W6" s="164">
        <f t="shared" si="3"/>
        <v>4.75</v>
      </c>
      <c r="X6" s="164">
        <f t="shared" si="1"/>
        <v>4.75</v>
      </c>
      <c r="Y6" s="164">
        <f t="shared" si="1"/>
        <v>4.75</v>
      </c>
      <c r="Z6" s="164">
        <f t="shared" si="1"/>
        <v>4.75</v>
      </c>
      <c r="AA6" s="164">
        <f t="shared" si="1"/>
        <v>4.75</v>
      </c>
      <c r="AB6" s="164">
        <f t="shared" si="1"/>
        <v>4.75</v>
      </c>
      <c r="AC6" s="165">
        <f t="shared" si="1"/>
        <v>4.75</v>
      </c>
    </row>
    <row r="7" spans="1:32">
      <c r="A7" s="27"/>
      <c r="B7" s="27"/>
      <c r="C7" s="906"/>
      <c r="D7" s="100"/>
      <c r="E7" s="103"/>
      <c r="F7" s="103"/>
      <c r="G7" s="103"/>
      <c r="H7" s="196"/>
      <c r="I7" s="164"/>
      <c r="J7" s="164"/>
      <c r="K7" s="1013"/>
      <c r="L7" s="1039"/>
      <c r="M7" s="164"/>
      <c r="N7" s="164"/>
      <c r="O7" s="164"/>
      <c r="P7" s="164"/>
      <c r="Q7" s="164"/>
      <c r="R7" s="164"/>
      <c r="S7" s="164"/>
      <c r="T7" s="164"/>
      <c r="U7" s="164"/>
      <c r="V7" s="164"/>
      <c r="W7" s="164"/>
      <c r="X7" s="164"/>
      <c r="Y7" s="164"/>
      <c r="Z7" s="164"/>
      <c r="AA7" s="164"/>
      <c r="AB7" s="164"/>
      <c r="AC7" s="165"/>
    </row>
    <row r="8" spans="1:32" s="27" customFormat="1">
      <c r="C8" s="907" t="s">
        <v>183</v>
      </c>
      <c r="D8" s="99"/>
      <c r="E8" s="104">
        <f>SUM(E9:E16)</f>
        <v>2372.9899999999998</v>
      </c>
      <c r="F8" s="104">
        <f>SUM(F9:F16)</f>
        <v>1585.4300000000003</v>
      </c>
      <c r="G8" s="104">
        <f>SUM(G9:G16)</f>
        <v>2042.64</v>
      </c>
      <c r="H8" s="104">
        <f>SUM(H9:H16)</f>
        <v>1145.26</v>
      </c>
      <c r="I8" s="166">
        <f>SUM(I9:I17)</f>
        <v>1580.4480000000003</v>
      </c>
      <c r="J8" s="166">
        <f t="shared" ref="J8:AC8" si="4">SUM(J9:J17)</f>
        <v>464.59530000000007</v>
      </c>
      <c r="K8" s="1014">
        <f t="shared" si="4"/>
        <v>639.59939999999995</v>
      </c>
      <c r="L8" s="227">
        <f t="shared" si="4"/>
        <v>-260.859405058118</v>
      </c>
      <c r="M8" s="166">
        <f t="shared" si="4"/>
        <v>-541.44111803672922</v>
      </c>
      <c r="N8" s="166">
        <f t="shared" si="4"/>
        <v>-613.02990150852543</v>
      </c>
      <c r="O8" s="166">
        <f t="shared" si="4"/>
        <v>-728.83557259823874</v>
      </c>
      <c r="P8" s="166">
        <f t="shared" si="4"/>
        <v>-903.03429606238342</v>
      </c>
      <c r="Q8" s="166">
        <f t="shared" si="4"/>
        <v>-1081.0935623458008</v>
      </c>
      <c r="R8" s="166">
        <f t="shared" si="4"/>
        <v>-1265.6087628369437</v>
      </c>
      <c r="S8" s="166">
        <f t="shared" si="4"/>
        <v>-1446.6026198307991</v>
      </c>
      <c r="T8" s="166">
        <f t="shared" si="4"/>
        <v>-1651.0812961254483</v>
      </c>
      <c r="U8" s="166">
        <f t="shared" si="4"/>
        <v>-1869.8251171780553</v>
      </c>
      <c r="V8" s="166">
        <f t="shared" si="4"/>
        <v>-1945.4712773357455</v>
      </c>
      <c r="W8" s="166">
        <f t="shared" si="4"/>
        <v>-2068.5204078659958</v>
      </c>
      <c r="X8" s="166">
        <f t="shared" si="4"/>
        <v>-2231.649070289769</v>
      </c>
      <c r="Y8" s="166">
        <f t="shared" si="4"/>
        <v>-2428.9452432041085</v>
      </c>
      <c r="Z8" s="166">
        <f t="shared" si="4"/>
        <v>-2686.6138758101906</v>
      </c>
      <c r="AA8" s="166">
        <f t="shared" si="4"/>
        <v>-2992.5335867632848</v>
      </c>
      <c r="AB8" s="166">
        <f t="shared" si="4"/>
        <v>-3356.8445927602925</v>
      </c>
      <c r="AC8" s="167">
        <f t="shared" si="4"/>
        <v>-3773.7279575078437</v>
      </c>
      <c r="AD8" s="69"/>
      <c r="AE8" s="69"/>
      <c r="AF8" s="69"/>
    </row>
    <row r="9" spans="1:32" s="27" customFormat="1">
      <c r="C9" s="908" t="s">
        <v>180</v>
      </c>
      <c r="D9" s="81" t="e">
        <f>#REF!</f>
        <v>#REF!</v>
      </c>
      <c r="E9" s="63">
        <v>228.15</v>
      </c>
      <c r="F9" s="63">
        <v>212.48</v>
      </c>
      <c r="G9" s="63">
        <v>145.26</v>
      </c>
      <c r="H9" s="63">
        <v>102.76</v>
      </c>
      <c r="I9" s="206">
        <v>105.2</v>
      </c>
      <c r="J9" s="199">
        <v>48.281300000000002</v>
      </c>
      <c r="K9" s="1013">
        <v>46.402200000000001</v>
      </c>
      <c r="L9" s="1039">
        <f t="shared" ref="L9:W9" si="5">L207</f>
        <v>54.758706139055292</v>
      </c>
      <c r="M9" s="164">
        <f t="shared" si="5"/>
        <v>56.15602783897593</v>
      </c>
      <c r="N9" s="164">
        <f t="shared" si="5"/>
        <v>60.928892898896571</v>
      </c>
      <c r="O9" s="164">
        <f t="shared" si="5"/>
        <v>64.301578145118597</v>
      </c>
      <c r="P9" s="164">
        <f t="shared" si="5"/>
        <v>65.358326163943346</v>
      </c>
      <c r="Q9" s="164">
        <f t="shared" si="5"/>
        <v>66.415074182768109</v>
      </c>
      <c r="R9" s="164">
        <f t="shared" si="5"/>
        <v>66.415074182768109</v>
      </c>
      <c r="S9" s="164">
        <f t="shared" si="5"/>
        <v>66.415074182768109</v>
      </c>
      <c r="T9" s="164">
        <f t="shared" si="5"/>
        <v>66.415074182768109</v>
      </c>
      <c r="U9" s="164">
        <f t="shared" si="5"/>
        <v>66.415074182768109</v>
      </c>
      <c r="V9" s="164">
        <f t="shared" si="5"/>
        <v>66.415074182768109</v>
      </c>
      <c r="W9" s="164">
        <f t="shared" si="5"/>
        <v>66.415074182768109</v>
      </c>
      <c r="X9" s="164">
        <f t="shared" ref="X9:AC9" si="6">X207</f>
        <v>66.415074182768109</v>
      </c>
      <c r="Y9" s="164">
        <f t="shared" si="6"/>
        <v>66.415074182768109</v>
      </c>
      <c r="Z9" s="164">
        <f t="shared" si="6"/>
        <v>66.415074182768109</v>
      </c>
      <c r="AA9" s="164">
        <f t="shared" si="6"/>
        <v>66.415074182768109</v>
      </c>
      <c r="AB9" s="164">
        <f t="shared" si="6"/>
        <v>66.415074182768109</v>
      </c>
      <c r="AC9" s="165">
        <f t="shared" si="6"/>
        <v>66.415074182768109</v>
      </c>
    </row>
    <row r="10" spans="1:32" s="27" customFormat="1">
      <c r="C10" s="908" t="s">
        <v>181</v>
      </c>
      <c r="D10" s="81" t="e">
        <f>#REF!</f>
        <v>#REF!</v>
      </c>
      <c r="E10" s="63">
        <v>1989.99</v>
      </c>
      <c r="F10" s="63">
        <v>1192.3</v>
      </c>
      <c r="G10" s="63">
        <v>1697.9</v>
      </c>
      <c r="H10" s="63">
        <v>720.4</v>
      </c>
      <c r="I10" s="206">
        <v>1226.4780000000001</v>
      </c>
      <c r="J10" s="199">
        <v>198.84489999999997</v>
      </c>
      <c r="K10" s="1013">
        <v>484.93219999999997</v>
      </c>
      <c r="L10" s="1039">
        <f t="shared" ref="L10:W10" si="7">L198</f>
        <v>1010.4340853471693</v>
      </c>
      <c r="M10" s="164">
        <f t="shared" si="7"/>
        <v>1023.3861916089942</v>
      </c>
      <c r="N10" s="164">
        <f t="shared" si="7"/>
        <v>1115.55252613381</v>
      </c>
      <c r="O10" s="164">
        <f t="shared" si="7"/>
        <v>1171.3269816602919</v>
      </c>
      <c r="P10" s="164">
        <f t="shared" si="7"/>
        <v>1176.2868098093875</v>
      </c>
      <c r="Q10" s="164">
        <f t="shared" si="7"/>
        <v>1181.246637958483</v>
      </c>
      <c r="R10" s="164">
        <f t="shared" si="7"/>
        <v>1181.246637958483</v>
      </c>
      <c r="S10" s="164">
        <f t="shared" si="7"/>
        <v>1181.246637958483</v>
      </c>
      <c r="T10" s="164">
        <f t="shared" si="7"/>
        <v>1181.246637958483</v>
      </c>
      <c r="U10" s="164">
        <f t="shared" si="7"/>
        <v>1181.246637958483</v>
      </c>
      <c r="V10" s="164">
        <f t="shared" si="7"/>
        <v>1181.246637958483</v>
      </c>
      <c r="W10" s="164">
        <f t="shared" si="7"/>
        <v>1181.246637958483</v>
      </c>
      <c r="X10" s="164">
        <f t="shared" ref="X10:AC10" si="8">X198</f>
        <v>1181.246637958483</v>
      </c>
      <c r="Y10" s="164">
        <f t="shared" si="8"/>
        <v>1181.246637958483</v>
      </c>
      <c r="Z10" s="164">
        <f t="shared" si="8"/>
        <v>1181.246637958483</v>
      </c>
      <c r="AA10" s="164">
        <f t="shared" si="8"/>
        <v>1181.246637958483</v>
      </c>
      <c r="AB10" s="164">
        <f t="shared" si="8"/>
        <v>1181.246637958483</v>
      </c>
      <c r="AC10" s="165">
        <f t="shared" si="8"/>
        <v>1181.246637958483</v>
      </c>
    </row>
    <row r="11" spans="1:32" s="27" customFormat="1">
      <c r="C11" s="908" t="s">
        <v>182</v>
      </c>
      <c r="D11" s="81" t="e">
        <f>#REF!</f>
        <v>#REF!</v>
      </c>
      <c r="E11" s="63">
        <v>2.27</v>
      </c>
      <c r="F11" s="63">
        <v>33.17</v>
      </c>
      <c r="G11" s="63">
        <v>33.090000000000003</v>
      </c>
      <c r="H11" s="63">
        <v>37.79</v>
      </c>
      <c r="I11" s="164">
        <v>33.130000000000003</v>
      </c>
      <c r="J11" s="164">
        <v>33.091900000000003</v>
      </c>
      <c r="K11" s="1013">
        <v>0.52670000000000006</v>
      </c>
      <c r="L11" s="1039">
        <f t="shared" ref="L11:W11" si="9">K11</f>
        <v>0.52670000000000006</v>
      </c>
      <c r="M11" s="164">
        <f t="shared" si="9"/>
        <v>0.52670000000000006</v>
      </c>
      <c r="N11" s="164">
        <f t="shared" si="9"/>
        <v>0.52670000000000006</v>
      </c>
      <c r="O11" s="164">
        <f t="shared" si="9"/>
        <v>0.52670000000000006</v>
      </c>
      <c r="P11" s="164">
        <f t="shared" si="9"/>
        <v>0.52670000000000006</v>
      </c>
      <c r="Q11" s="164">
        <f t="shared" si="9"/>
        <v>0.52670000000000006</v>
      </c>
      <c r="R11" s="164">
        <f t="shared" si="9"/>
        <v>0.52670000000000006</v>
      </c>
      <c r="S11" s="164">
        <f t="shared" si="9"/>
        <v>0.52670000000000006</v>
      </c>
      <c r="T11" s="164">
        <f t="shared" si="9"/>
        <v>0.52670000000000006</v>
      </c>
      <c r="U11" s="164">
        <f t="shared" si="9"/>
        <v>0.52670000000000006</v>
      </c>
      <c r="V11" s="164">
        <f t="shared" si="9"/>
        <v>0.52670000000000006</v>
      </c>
      <c r="W11" s="164">
        <f t="shared" si="9"/>
        <v>0.52670000000000006</v>
      </c>
      <c r="X11" s="164">
        <f t="shared" ref="X11:AC15" si="10">W11</f>
        <v>0.52670000000000006</v>
      </c>
      <c r="Y11" s="164">
        <f t="shared" si="10"/>
        <v>0.52670000000000006</v>
      </c>
      <c r="Z11" s="164">
        <f t="shared" si="10"/>
        <v>0.52670000000000006</v>
      </c>
      <c r="AA11" s="164">
        <f t="shared" si="10"/>
        <v>0.52670000000000006</v>
      </c>
      <c r="AB11" s="164">
        <f t="shared" si="10"/>
        <v>0.52670000000000006</v>
      </c>
      <c r="AC11" s="165">
        <f t="shared" si="10"/>
        <v>0.52670000000000006</v>
      </c>
    </row>
    <row r="12" spans="1:32" s="27" customFormat="1">
      <c r="C12" s="909" t="s">
        <v>606</v>
      </c>
      <c r="D12" s="81" t="e">
        <f>#REF!</f>
        <v>#REF!</v>
      </c>
      <c r="E12" s="63">
        <v>48.7</v>
      </c>
      <c r="F12" s="63">
        <v>20.2</v>
      </c>
      <c r="G12" s="63">
        <v>80.16</v>
      </c>
      <c r="H12" s="63">
        <v>60.42</v>
      </c>
      <c r="I12" s="164">
        <v>60.79</v>
      </c>
      <c r="J12" s="164">
        <v>60.919899999999998</v>
      </c>
      <c r="K12" s="1013">
        <v>59.600299999999997</v>
      </c>
      <c r="L12" s="1039">
        <f t="shared" ref="L12:W12" si="11">K12</f>
        <v>59.600299999999997</v>
      </c>
      <c r="M12" s="164">
        <f t="shared" si="11"/>
        <v>59.600299999999997</v>
      </c>
      <c r="N12" s="164">
        <f t="shared" si="11"/>
        <v>59.600299999999997</v>
      </c>
      <c r="O12" s="164">
        <f t="shared" si="11"/>
        <v>59.600299999999997</v>
      </c>
      <c r="P12" s="164">
        <f t="shared" si="11"/>
        <v>59.600299999999997</v>
      </c>
      <c r="Q12" s="164">
        <f t="shared" si="11"/>
        <v>59.600299999999997</v>
      </c>
      <c r="R12" s="164">
        <f t="shared" si="11"/>
        <v>59.600299999999997</v>
      </c>
      <c r="S12" s="164">
        <f t="shared" si="11"/>
        <v>59.600299999999997</v>
      </c>
      <c r="T12" s="164">
        <f t="shared" si="11"/>
        <v>59.600299999999997</v>
      </c>
      <c r="U12" s="164">
        <f t="shared" si="11"/>
        <v>59.600299999999997</v>
      </c>
      <c r="V12" s="164">
        <f t="shared" si="11"/>
        <v>59.600299999999997</v>
      </c>
      <c r="W12" s="164">
        <f t="shared" si="11"/>
        <v>59.600299999999997</v>
      </c>
      <c r="X12" s="164">
        <f t="shared" si="10"/>
        <v>59.600299999999997</v>
      </c>
      <c r="Y12" s="164">
        <f t="shared" si="10"/>
        <v>59.600299999999997</v>
      </c>
      <c r="Z12" s="164">
        <f t="shared" si="10"/>
        <v>59.600299999999997</v>
      </c>
      <c r="AA12" s="164">
        <f t="shared" si="10"/>
        <v>59.600299999999997</v>
      </c>
      <c r="AB12" s="164">
        <f t="shared" si="10"/>
        <v>59.600299999999997</v>
      </c>
      <c r="AC12" s="165">
        <f t="shared" si="10"/>
        <v>59.600299999999997</v>
      </c>
    </row>
    <row r="13" spans="1:32" s="27" customFormat="1">
      <c r="C13" s="909" t="s">
        <v>169</v>
      </c>
      <c r="D13" s="81" t="e">
        <f>#REF!</f>
        <v>#REF!</v>
      </c>
      <c r="E13" s="63">
        <v>4.59</v>
      </c>
      <c r="F13" s="63">
        <v>5.73</v>
      </c>
      <c r="G13" s="63">
        <v>6.64</v>
      </c>
      <c r="H13" s="63">
        <v>9.4499999999999993</v>
      </c>
      <c r="I13" s="164">
        <v>6.81</v>
      </c>
      <c r="J13" s="164">
        <v>1.1172</v>
      </c>
      <c r="K13" s="1013">
        <v>3.6318000000000001</v>
      </c>
      <c r="L13" s="1039">
        <f t="shared" ref="L13:W13" si="12">K13</f>
        <v>3.6318000000000001</v>
      </c>
      <c r="M13" s="164">
        <f t="shared" si="12"/>
        <v>3.6318000000000001</v>
      </c>
      <c r="N13" s="164">
        <f t="shared" si="12"/>
        <v>3.6318000000000001</v>
      </c>
      <c r="O13" s="164">
        <f t="shared" si="12"/>
        <v>3.6318000000000001</v>
      </c>
      <c r="P13" s="164">
        <f t="shared" si="12"/>
        <v>3.6318000000000001</v>
      </c>
      <c r="Q13" s="164">
        <f t="shared" si="12"/>
        <v>3.6318000000000001</v>
      </c>
      <c r="R13" s="164">
        <f t="shared" si="12"/>
        <v>3.6318000000000001</v>
      </c>
      <c r="S13" s="164">
        <f t="shared" si="12"/>
        <v>3.6318000000000001</v>
      </c>
      <c r="T13" s="164">
        <f t="shared" si="12"/>
        <v>3.6318000000000001</v>
      </c>
      <c r="U13" s="164">
        <f t="shared" si="12"/>
        <v>3.6318000000000001</v>
      </c>
      <c r="V13" s="164">
        <f t="shared" si="12"/>
        <v>3.6318000000000001</v>
      </c>
      <c r="W13" s="164">
        <f t="shared" si="12"/>
        <v>3.6318000000000001</v>
      </c>
      <c r="X13" s="164">
        <f t="shared" si="10"/>
        <v>3.6318000000000001</v>
      </c>
      <c r="Y13" s="164">
        <f t="shared" si="10"/>
        <v>3.6318000000000001</v>
      </c>
      <c r="Z13" s="164">
        <f t="shared" si="10"/>
        <v>3.6318000000000001</v>
      </c>
      <c r="AA13" s="164">
        <f t="shared" si="10"/>
        <v>3.6318000000000001</v>
      </c>
      <c r="AB13" s="164">
        <f t="shared" si="10"/>
        <v>3.6318000000000001</v>
      </c>
      <c r="AC13" s="165">
        <f t="shared" si="10"/>
        <v>3.6318000000000001</v>
      </c>
    </row>
    <row r="14" spans="1:32" s="27" customFormat="1">
      <c r="C14" s="908" t="s">
        <v>168</v>
      </c>
      <c r="D14" s="81" t="e">
        <f>#REF!</f>
        <v>#REF!</v>
      </c>
      <c r="E14" s="63">
        <v>5.27</v>
      </c>
      <c r="F14" s="63">
        <v>7.25</v>
      </c>
      <c r="G14" s="63">
        <v>7.62</v>
      </c>
      <c r="H14" s="63">
        <v>118.1</v>
      </c>
      <c r="I14" s="164">
        <v>9.15</v>
      </c>
      <c r="J14" s="199">
        <v>17.2087</v>
      </c>
      <c r="K14" s="1013">
        <f>7.6004-K11</f>
        <v>7.0736999999999997</v>
      </c>
      <c r="L14" s="1039">
        <f t="shared" ref="L14:W15" si="13">K14</f>
        <v>7.0736999999999997</v>
      </c>
      <c r="M14" s="164">
        <f t="shared" si="13"/>
        <v>7.0736999999999997</v>
      </c>
      <c r="N14" s="164">
        <f t="shared" si="13"/>
        <v>7.0736999999999997</v>
      </c>
      <c r="O14" s="164">
        <f t="shared" si="13"/>
        <v>7.0736999999999997</v>
      </c>
      <c r="P14" s="164">
        <f t="shared" si="13"/>
        <v>7.0736999999999997</v>
      </c>
      <c r="Q14" s="164">
        <f t="shared" si="13"/>
        <v>7.0736999999999997</v>
      </c>
      <c r="R14" s="164">
        <f t="shared" si="13"/>
        <v>7.0736999999999997</v>
      </c>
      <c r="S14" s="164">
        <f t="shared" si="13"/>
        <v>7.0736999999999997</v>
      </c>
      <c r="T14" s="164">
        <f t="shared" si="13"/>
        <v>7.0736999999999997</v>
      </c>
      <c r="U14" s="164">
        <f t="shared" si="13"/>
        <v>7.0736999999999997</v>
      </c>
      <c r="V14" s="164">
        <f t="shared" si="13"/>
        <v>7.0736999999999997</v>
      </c>
      <c r="W14" s="164">
        <f t="shared" si="13"/>
        <v>7.0736999999999997</v>
      </c>
      <c r="X14" s="164">
        <f t="shared" si="10"/>
        <v>7.0736999999999997</v>
      </c>
      <c r="Y14" s="164">
        <f t="shared" si="10"/>
        <v>7.0736999999999997</v>
      </c>
      <c r="Z14" s="164">
        <f t="shared" si="10"/>
        <v>7.0736999999999997</v>
      </c>
      <c r="AA14" s="164">
        <f t="shared" si="10"/>
        <v>7.0736999999999997</v>
      </c>
      <c r="AB14" s="164">
        <f t="shared" si="10"/>
        <v>7.0736999999999997</v>
      </c>
      <c r="AC14" s="165">
        <f t="shared" si="10"/>
        <v>7.0736999999999997</v>
      </c>
    </row>
    <row r="15" spans="1:32" s="27" customFormat="1">
      <c r="C15" s="908" t="s">
        <v>155</v>
      </c>
      <c r="D15" s="81"/>
      <c r="E15" s="63">
        <f>65.85</f>
        <v>65.849999999999994</v>
      </c>
      <c r="F15" s="63">
        <f>57.42</f>
        <v>57.42</v>
      </c>
      <c r="G15" s="63">
        <f>58.74</f>
        <v>58.74</v>
      </c>
      <c r="H15" s="63">
        <f>90.14</f>
        <v>90.14</v>
      </c>
      <c r="I15" s="206">
        <v>89.94</v>
      </c>
      <c r="J15" s="199">
        <v>22.064</v>
      </c>
      <c r="K15" s="1023">
        <v>2.2944</v>
      </c>
      <c r="L15" s="1039">
        <f t="shared" si="13"/>
        <v>2.2944</v>
      </c>
      <c r="M15" s="164">
        <f t="shared" si="13"/>
        <v>2.2944</v>
      </c>
      <c r="N15" s="164">
        <f t="shared" si="13"/>
        <v>2.2944</v>
      </c>
      <c r="O15" s="164">
        <f t="shared" si="13"/>
        <v>2.2944</v>
      </c>
      <c r="P15" s="164">
        <f t="shared" si="13"/>
        <v>2.2944</v>
      </c>
      <c r="Q15" s="164">
        <f t="shared" si="13"/>
        <v>2.2944</v>
      </c>
      <c r="R15" s="164">
        <f t="shared" si="13"/>
        <v>2.2944</v>
      </c>
      <c r="S15" s="164">
        <f t="shared" si="13"/>
        <v>2.2944</v>
      </c>
      <c r="T15" s="164">
        <f t="shared" si="13"/>
        <v>2.2944</v>
      </c>
      <c r="U15" s="164">
        <f t="shared" si="13"/>
        <v>2.2944</v>
      </c>
      <c r="V15" s="164">
        <f t="shared" si="13"/>
        <v>2.2944</v>
      </c>
      <c r="W15" s="164">
        <f t="shared" si="13"/>
        <v>2.2944</v>
      </c>
      <c r="X15" s="164">
        <f t="shared" si="10"/>
        <v>2.2944</v>
      </c>
      <c r="Y15" s="164">
        <f t="shared" si="10"/>
        <v>2.2944</v>
      </c>
      <c r="Z15" s="164">
        <f t="shared" si="10"/>
        <v>2.2944</v>
      </c>
      <c r="AA15" s="164">
        <f t="shared" si="10"/>
        <v>2.2944</v>
      </c>
      <c r="AB15" s="164">
        <f t="shared" si="10"/>
        <v>2.2944</v>
      </c>
      <c r="AC15" s="165">
        <f t="shared" si="10"/>
        <v>2.2944</v>
      </c>
    </row>
    <row r="16" spans="1:32" s="27" customFormat="1">
      <c r="C16" s="908" t="s">
        <v>184</v>
      </c>
      <c r="D16" s="81">
        <f>28.88+48.9</f>
        <v>77.78</v>
      </c>
      <c r="E16" s="63">
        <f>28.17</f>
        <v>28.17</v>
      </c>
      <c r="F16" s="63">
        <f>56.88</f>
        <v>56.88</v>
      </c>
      <c r="G16" s="63">
        <f>13.23</f>
        <v>13.23</v>
      </c>
      <c r="H16" s="105">
        <f>56.2-50</f>
        <v>6.2000000000000028</v>
      </c>
      <c r="I16" s="164">
        <v>48.95</v>
      </c>
      <c r="J16" s="164">
        <v>83.067399999999992</v>
      </c>
      <c r="K16" s="1013">
        <v>35.138100000000001</v>
      </c>
      <c r="L16" s="1039">
        <f t="shared" ref="L16:W16" si="14">L81</f>
        <v>-1399.1790965443427</v>
      </c>
      <c r="M16" s="164">
        <f t="shared" si="14"/>
        <v>-1694.1102374846994</v>
      </c>
      <c r="N16" s="164">
        <f t="shared" si="14"/>
        <v>-1862.6382205412319</v>
      </c>
      <c r="O16" s="164">
        <f t="shared" si="14"/>
        <v>-2037.5910324036493</v>
      </c>
      <c r="P16" s="164">
        <f t="shared" si="14"/>
        <v>-2217.8063320357141</v>
      </c>
      <c r="Q16" s="164">
        <f t="shared" si="14"/>
        <v>-2401.882174487052</v>
      </c>
      <c r="R16" s="164">
        <f t="shared" si="14"/>
        <v>-2586.3973749781949</v>
      </c>
      <c r="S16" s="164">
        <f t="shared" si="14"/>
        <v>-2767.3912319720503</v>
      </c>
      <c r="T16" s="164">
        <f t="shared" si="14"/>
        <v>-2971.8699082666994</v>
      </c>
      <c r="U16" s="164">
        <f t="shared" si="14"/>
        <v>-3190.6137293193065</v>
      </c>
      <c r="V16" s="164">
        <f t="shared" si="14"/>
        <v>-3266.2598894769967</v>
      </c>
      <c r="W16" s="164">
        <f t="shared" si="14"/>
        <v>-3389.309020007247</v>
      </c>
      <c r="X16" s="164">
        <f t="shared" ref="X16:AC16" si="15">X81</f>
        <v>-3552.4376824310202</v>
      </c>
      <c r="Y16" s="164">
        <f t="shared" si="15"/>
        <v>-3749.7338553453596</v>
      </c>
      <c r="Z16" s="164">
        <f t="shared" si="15"/>
        <v>-4007.4024879514418</v>
      </c>
      <c r="AA16" s="164">
        <f t="shared" si="15"/>
        <v>-4313.322198904536</v>
      </c>
      <c r="AB16" s="164">
        <f t="shared" si="15"/>
        <v>-4677.6332049015436</v>
      </c>
      <c r="AC16" s="165">
        <f t="shared" si="15"/>
        <v>-5094.5165696490949</v>
      </c>
    </row>
    <row r="17" spans="1:32" s="27" customFormat="1">
      <c r="C17" s="908" t="s">
        <v>306</v>
      </c>
      <c r="D17" s="81"/>
      <c r="E17" s="63"/>
      <c r="F17" s="63"/>
      <c r="G17" s="63"/>
      <c r="H17" s="105"/>
      <c r="I17" s="164">
        <f>Debt_Schedule!D129</f>
        <v>0</v>
      </c>
      <c r="J17" s="164">
        <f>Debt_Schedule!E129</f>
        <v>0</v>
      </c>
      <c r="K17" s="1013">
        <f>Debt_Schedule!F129</f>
        <v>0</v>
      </c>
      <c r="L17" s="1039">
        <f>Debt_Schedule!G129</f>
        <v>0</v>
      </c>
      <c r="M17" s="164">
        <f>Debt_Schedule!H129</f>
        <v>0</v>
      </c>
      <c r="N17" s="164">
        <f>Debt_Schedule!I129</f>
        <v>0</v>
      </c>
      <c r="O17" s="164">
        <f>Debt_Schedule!J129</f>
        <v>0</v>
      </c>
      <c r="P17" s="164">
        <f>Debt_Schedule!K129</f>
        <v>0</v>
      </c>
      <c r="Q17" s="164">
        <f>Debt_Schedule!L129</f>
        <v>0</v>
      </c>
      <c r="R17" s="164">
        <f>Debt_Schedule!M129</f>
        <v>0</v>
      </c>
      <c r="S17" s="164">
        <f>Debt_Schedule!N129</f>
        <v>0</v>
      </c>
      <c r="T17" s="164">
        <f>Debt_Schedule!O129</f>
        <v>0</v>
      </c>
      <c r="U17" s="164">
        <f>Debt_Schedule!P129</f>
        <v>0</v>
      </c>
      <c r="V17" s="164">
        <f>Debt_Schedule!Q129</f>
        <v>0</v>
      </c>
      <c r="W17" s="164">
        <f>Debt_Schedule!R129</f>
        <v>0</v>
      </c>
      <c r="X17" s="164">
        <f>Debt_Schedule!S129</f>
        <v>0</v>
      </c>
      <c r="Y17" s="164">
        <f>Debt_Schedule!T129</f>
        <v>0</v>
      </c>
      <c r="Z17" s="164">
        <f>Debt_Schedule!U129</f>
        <v>0</v>
      </c>
      <c r="AA17" s="164">
        <f>Debt_Schedule!V129</f>
        <v>0</v>
      </c>
      <c r="AB17" s="164">
        <f>Debt_Schedule!W129</f>
        <v>0</v>
      </c>
      <c r="AC17" s="165">
        <f>Debt_Schedule!X129</f>
        <v>0</v>
      </c>
    </row>
    <row r="18" spans="1:32">
      <c r="A18" s="27"/>
      <c r="B18" s="27"/>
      <c r="C18" s="910" t="s">
        <v>239</v>
      </c>
      <c r="D18" s="110"/>
      <c r="E18" s="111">
        <f t="shared" ref="E18:AC18" si="16">SUM(E3:E8)</f>
        <v>5206.6000000000004</v>
      </c>
      <c r="F18" s="111">
        <f t="shared" si="16"/>
        <v>4294.1900000000005</v>
      </c>
      <c r="G18" s="111">
        <f t="shared" si="16"/>
        <v>4691.53</v>
      </c>
      <c r="H18" s="111">
        <f t="shared" si="16"/>
        <v>3673.6100000000006</v>
      </c>
      <c r="I18" s="166">
        <f t="shared" si="16"/>
        <v>4018.6710000000007</v>
      </c>
      <c r="J18" s="166">
        <f t="shared" si="16"/>
        <v>2664.0078999999996</v>
      </c>
      <c r="K18" s="1014">
        <f t="shared" si="16"/>
        <v>2750.774550000001</v>
      </c>
      <c r="L18" s="227">
        <f t="shared" si="16"/>
        <v>1861.8374437638829</v>
      </c>
      <c r="M18" s="166">
        <f t="shared" si="16"/>
        <v>1616.6487570952718</v>
      </c>
      <c r="N18" s="166">
        <f t="shared" si="16"/>
        <v>1544.1146401674757</v>
      </c>
      <c r="O18" s="166">
        <f t="shared" si="16"/>
        <v>1367.683431693762</v>
      </c>
      <c r="P18" s="166">
        <f t="shared" si="16"/>
        <v>1129.2902992406173</v>
      </c>
      <c r="Q18" s="166">
        <f t="shared" si="16"/>
        <v>884.09969136219979</v>
      </c>
      <c r="R18" s="166">
        <f t="shared" si="16"/>
        <v>635.22624442605684</v>
      </c>
      <c r="S18" s="166">
        <f t="shared" si="16"/>
        <v>385.14171848920137</v>
      </c>
      <c r="T18" s="166">
        <f t="shared" si="16"/>
        <v>136.54933733455209</v>
      </c>
      <c r="U18" s="166">
        <f t="shared" si="16"/>
        <v>-131.23397152605503</v>
      </c>
      <c r="V18" s="166">
        <f t="shared" si="16"/>
        <v>-259.05581388874521</v>
      </c>
      <c r="W18" s="166">
        <f t="shared" si="16"/>
        <v>-422.36874922699553</v>
      </c>
      <c r="X18" s="166">
        <f t="shared" si="16"/>
        <v>-602.23470550276875</v>
      </c>
      <c r="Y18" s="166">
        <f t="shared" si="16"/>
        <v>-820.47576564910833</v>
      </c>
      <c r="Z18" s="166">
        <f t="shared" si="16"/>
        <v>-1093.5065257991905</v>
      </c>
      <c r="AA18" s="166">
        <f t="shared" si="16"/>
        <v>-1413.3592308392847</v>
      </c>
      <c r="AB18" s="166">
        <f t="shared" si="16"/>
        <v>-1789.6953439242925</v>
      </c>
      <c r="AC18" s="167">
        <f t="shared" si="16"/>
        <v>-2226.0547068448432</v>
      </c>
      <c r="AD18" s="26"/>
      <c r="AE18" s="26"/>
      <c r="AF18" s="26"/>
    </row>
    <row r="19" spans="1:32">
      <c r="A19" s="27"/>
      <c r="B19" s="27"/>
      <c r="C19" s="906" t="s">
        <v>240</v>
      </c>
      <c r="D19" s="100"/>
      <c r="E19" s="103">
        <f>F19</f>
        <v>59.8065</v>
      </c>
      <c r="F19" s="103">
        <f>G19</f>
        <v>59.8065</v>
      </c>
      <c r="G19" s="103">
        <f>H19</f>
        <v>59.8065</v>
      </c>
      <c r="H19" s="103">
        <v>59.8065</v>
      </c>
      <c r="I19" s="164">
        <f>H19</f>
        <v>59.8065</v>
      </c>
      <c r="J19" s="164">
        <f t="shared" ref="J19:W19" si="17">I19</f>
        <v>59.8065</v>
      </c>
      <c r="K19" s="1013">
        <f>J19</f>
        <v>59.8065</v>
      </c>
      <c r="L19" s="1039">
        <f t="shared" si="17"/>
        <v>59.8065</v>
      </c>
      <c r="M19" s="164">
        <f t="shared" si="17"/>
        <v>59.8065</v>
      </c>
      <c r="N19" s="164">
        <f t="shared" si="17"/>
        <v>59.8065</v>
      </c>
      <c r="O19" s="164">
        <f t="shared" si="17"/>
        <v>59.8065</v>
      </c>
      <c r="P19" s="164">
        <f t="shared" si="17"/>
        <v>59.8065</v>
      </c>
      <c r="Q19" s="164">
        <f t="shared" si="17"/>
        <v>59.8065</v>
      </c>
      <c r="R19" s="164">
        <f t="shared" si="17"/>
        <v>59.8065</v>
      </c>
      <c r="S19" s="164">
        <f t="shared" si="17"/>
        <v>59.8065</v>
      </c>
      <c r="T19" s="164">
        <f t="shared" si="17"/>
        <v>59.8065</v>
      </c>
      <c r="U19" s="164">
        <f t="shared" si="17"/>
        <v>59.8065</v>
      </c>
      <c r="V19" s="164">
        <f t="shared" si="17"/>
        <v>59.8065</v>
      </c>
      <c r="W19" s="164">
        <f t="shared" si="17"/>
        <v>59.8065</v>
      </c>
      <c r="X19" s="164">
        <f t="shared" ref="X19:AC19" si="18">W19</f>
        <v>59.8065</v>
      </c>
      <c r="Y19" s="164">
        <f t="shared" si="18"/>
        <v>59.8065</v>
      </c>
      <c r="Z19" s="164">
        <f t="shared" si="18"/>
        <v>59.8065</v>
      </c>
      <c r="AA19" s="164">
        <f t="shared" si="18"/>
        <v>59.8065</v>
      </c>
      <c r="AB19" s="164">
        <f t="shared" si="18"/>
        <v>59.8065</v>
      </c>
      <c r="AC19" s="165">
        <f t="shared" si="18"/>
        <v>59.8065</v>
      </c>
    </row>
    <row r="20" spans="1:32" ht="25.5">
      <c r="A20" s="27"/>
      <c r="B20" s="27"/>
      <c r="C20" s="906" t="s">
        <v>388</v>
      </c>
      <c r="D20" s="100"/>
      <c r="E20" s="103">
        <v>1154.04</v>
      </c>
      <c r="F20" s="103">
        <v>1032.57</v>
      </c>
      <c r="G20" s="103">
        <v>1013.466</v>
      </c>
      <c r="H20" s="103">
        <f>522.82</f>
        <v>522.82000000000005</v>
      </c>
      <c r="I20" s="164">
        <v>53.887997717000545</v>
      </c>
      <c r="J20" s="164">
        <v>-562.03424252799891</v>
      </c>
      <c r="K20" s="1013">
        <v>-1272.7083894779998</v>
      </c>
      <c r="L20" s="1039">
        <f t="shared" ref="L20:AC20" si="19">K20+L182+L77</f>
        <v>-2123.4933002070529</v>
      </c>
      <c r="M20" s="164">
        <f t="shared" si="19"/>
        <v>-3072.2644573790403</v>
      </c>
      <c r="N20" s="164">
        <f t="shared" si="19"/>
        <v>-3692.8357706860893</v>
      </c>
      <c r="O20" s="164">
        <f t="shared" si="19"/>
        <v>-4062.1221695617178</v>
      </c>
      <c r="P20" s="164">
        <f t="shared" si="19"/>
        <v>-4431.5248363123183</v>
      </c>
      <c r="Q20" s="164">
        <f t="shared" si="19"/>
        <v>-4806.7766679019705</v>
      </c>
      <c r="R20" s="164">
        <f t="shared" si="19"/>
        <v>-5184.9115074179072</v>
      </c>
      <c r="S20" s="164">
        <f t="shared" si="19"/>
        <v>-5565.3339120016008</v>
      </c>
      <c r="T20" s="164">
        <f t="shared" si="19"/>
        <v>-5950.0419411555486</v>
      </c>
      <c r="U20" s="164">
        <f t="shared" si="19"/>
        <v>-6353.2436107815429</v>
      </c>
      <c r="V20" s="164">
        <f t="shared" si="19"/>
        <v>-6768.9450928437282</v>
      </c>
      <c r="W20" s="164">
        <f t="shared" si="19"/>
        <v>-7222.084950542453</v>
      </c>
      <c r="X20" s="164">
        <f t="shared" si="19"/>
        <v>-7700.5208339733554</v>
      </c>
      <c r="Y20" s="164">
        <f t="shared" si="19"/>
        <v>-8217.2397977840701</v>
      </c>
      <c r="Z20" s="164">
        <f t="shared" si="19"/>
        <v>-8788.5908254220867</v>
      </c>
      <c r="AA20" s="164">
        <f t="shared" si="19"/>
        <v>-9406.3850435920849</v>
      </c>
      <c r="AB20" s="164">
        <f t="shared" si="19"/>
        <v>-10080.516886140944</v>
      </c>
      <c r="AC20" s="165">
        <f t="shared" si="19"/>
        <v>-10814.204771229608</v>
      </c>
    </row>
    <row r="21" spans="1:32" ht="25.5">
      <c r="A21" s="27"/>
      <c r="B21" s="27"/>
      <c r="C21" s="906" t="s">
        <v>389</v>
      </c>
      <c r="D21" s="100"/>
      <c r="E21" s="103"/>
      <c r="F21" s="103"/>
      <c r="G21" s="103"/>
      <c r="H21" s="103"/>
      <c r="I21" s="164"/>
      <c r="J21" s="164">
        <f>Assumptions!$C$144*Assumptions!$C$139</f>
        <v>0</v>
      </c>
      <c r="K21" s="1013">
        <f>J21</f>
        <v>0</v>
      </c>
      <c r="L21" s="1039">
        <f t="shared" ref="L21:AC21" si="20">K21</f>
        <v>0</v>
      </c>
      <c r="M21" s="164">
        <f t="shared" si="20"/>
        <v>0</v>
      </c>
      <c r="N21" s="164">
        <f t="shared" si="20"/>
        <v>0</v>
      </c>
      <c r="O21" s="164">
        <f t="shared" si="20"/>
        <v>0</v>
      </c>
      <c r="P21" s="164">
        <f t="shared" si="20"/>
        <v>0</v>
      </c>
      <c r="Q21" s="164">
        <f t="shared" si="20"/>
        <v>0</v>
      </c>
      <c r="R21" s="164">
        <f t="shared" si="20"/>
        <v>0</v>
      </c>
      <c r="S21" s="164">
        <f t="shared" si="20"/>
        <v>0</v>
      </c>
      <c r="T21" s="164">
        <f t="shared" si="20"/>
        <v>0</v>
      </c>
      <c r="U21" s="164">
        <f t="shared" si="20"/>
        <v>0</v>
      </c>
      <c r="V21" s="164">
        <f t="shared" si="20"/>
        <v>0</v>
      </c>
      <c r="W21" s="164">
        <f t="shared" si="20"/>
        <v>0</v>
      </c>
      <c r="X21" s="164">
        <f t="shared" si="20"/>
        <v>0</v>
      </c>
      <c r="Y21" s="164">
        <f t="shared" si="20"/>
        <v>0</v>
      </c>
      <c r="Z21" s="164">
        <f t="shared" si="20"/>
        <v>0</v>
      </c>
      <c r="AA21" s="164">
        <f t="shared" si="20"/>
        <v>0</v>
      </c>
      <c r="AB21" s="164">
        <f t="shared" si="20"/>
        <v>0</v>
      </c>
      <c r="AC21" s="164">
        <f t="shared" si="20"/>
        <v>0</v>
      </c>
    </row>
    <row r="22" spans="1:32">
      <c r="A22" s="27"/>
      <c r="B22" s="27"/>
      <c r="C22" s="906" t="s">
        <v>242</v>
      </c>
      <c r="D22" s="100"/>
      <c r="E22" s="103"/>
      <c r="F22" s="103"/>
      <c r="G22" s="103"/>
      <c r="H22" s="103"/>
      <c r="I22" s="164"/>
      <c r="J22" s="199">
        <f>Assumptions!$C$148*0</f>
        <v>0</v>
      </c>
      <c r="K22" s="1013">
        <f>Assumptions!$C$148</f>
        <v>0</v>
      </c>
      <c r="L22" s="1039">
        <f t="shared" ref="L22:AC22" si="21">K22</f>
        <v>0</v>
      </c>
      <c r="M22" s="164">
        <f t="shared" si="21"/>
        <v>0</v>
      </c>
      <c r="N22" s="164">
        <f t="shared" si="21"/>
        <v>0</v>
      </c>
      <c r="O22" s="164">
        <f t="shared" si="21"/>
        <v>0</v>
      </c>
      <c r="P22" s="164">
        <f t="shared" si="21"/>
        <v>0</v>
      </c>
      <c r="Q22" s="164">
        <f t="shared" si="21"/>
        <v>0</v>
      </c>
      <c r="R22" s="164">
        <f t="shared" si="21"/>
        <v>0</v>
      </c>
      <c r="S22" s="164">
        <f t="shared" si="21"/>
        <v>0</v>
      </c>
      <c r="T22" s="164">
        <f t="shared" si="21"/>
        <v>0</v>
      </c>
      <c r="U22" s="164">
        <f t="shared" si="21"/>
        <v>0</v>
      </c>
      <c r="V22" s="164">
        <f t="shared" si="21"/>
        <v>0</v>
      </c>
      <c r="W22" s="164">
        <f t="shared" si="21"/>
        <v>0</v>
      </c>
      <c r="X22" s="164">
        <f t="shared" si="21"/>
        <v>0</v>
      </c>
      <c r="Y22" s="164">
        <f t="shared" si="21"/>
        <v>0</v>
      </c>
      <c r="Z22" s="164">
        <f t="shared" si="21"/>
        <v>0</v>
      </c>
      <c r="AA22" s="164">
        <f t="shared" si="21"/>
        <v>0</v>
      </c>
      <c r="AB22" s="164">
        <f t="shared" si="21"/>
        <v>0</v>
      </c>
      <c r="AC22" s="165">
        <f t="shared" si="21"/>
        <v>0</v>
      </c>
    </row>
    <row r="23" spans="1:32">
      <c r="A23" s="27"/>
      <c r="B23" s="27"/>
      <c r="C23" s="906" t="s">
        <v>268</v>
      </c>
      <c r="D23" s="100"/>
      <c r="E23" s="103"/>
      <c r="F23" s="103"/>
      <c r="G23" s="103"/>
      <c r="H23" s="103"/>
      <c r="I23" s="164"/>
      <c r="J23" s="199">
        <f>Debt_Schedule!E105</f>
        <v>0</v>
      </c>
      <c r="K23" s="1013">
        <f>Debt_Schedule!F105</f>
        <v>0</v>
      </c>
      <c r="L23" s="1039">
        <f>Debt_Schedule!G105</f>
        <v>0</v>
      </c>
      <c r="M23" s="164">
        <f>Debt_Schedule!H105</f>
        <v>0</v>
      </c>
      <c r="N23" s="164">
        <f>Debt_Schedule!I105</f>
        <v>0</v>
      </c>
      <c r="O23" s="164">
        <f>Debt_Schedule!J105</f>
        <v>0</v>
      </c>
      <c r="P23" s="164">
        <f>Debt_Schedule!K105</f>
        <v>0</v>
      </c>
      <c r="Q23" s="164">
        <f>Debt_Schedule!L105</f>
        <v>0</v>
      </c>
      <c r="R23" s="164">
        <f>Debt_Schedule!M105</f>
        <v>0</v>
      </c>
      <c r="S23" s="164">
        <f>Debt_Schedule!N105</f>
        <v>0</v>
      </c>
      <c r="T23" s="164">
        <f>Debt_Schedule!O105</f>
        <v>0</v>
      </c>
      <c r="U23" s="164">
        <f>Debt_Schedule!P105</f>
        <v>0</v>
      </c>
      <c r="V23" s="164">
        <f>Debt_Schedule!Q105</f>
        <v>0</v>
      </c>
      <c r="W23" s="164">
        <f>Debt_Schedule!R105</f>
        <v>0</v>
      </c>
      <c r="X23" s="164">
        <f>Debt_Schedule!S105</f>
        <v>0</v>
      </c>
      <c r="Y23" s="164">
        <f>Debt_Schedule!T105</f>
        <v>0</v>
      </c>
      <c r="Z23" s="164">
        <f>Debt_Schedule!U105</f>
        <v>0</v>
      </c>
      <c r="AA23" s="164">
        <f>Debt_Schedule!V105</f>
        <v>0</v>
      </c>
      <c r="AB23" s="164">
        <f>Debt_Schedule!W105</f>
        <v>0</v>
      </c>
      <c r="AC23" s="165">
        <f>Debt_Schedule!X105</f>
        <v>0</v>
      </c>
    </row>
    <row r="24" spans="1:32">
      <c r="A24" s="27"/>
      <c r="B24" s="27"/>
      <c r="C24" s="906" t="s">
        <v>285</v>
      </c>
      <c r="D24" s="100"/>
      <c r="E24" s="103"/>
      <c r="F24" s="103"/>
      <c r="G24" s="103"/>
      <c r="H24" s="103"/>
      <c r="I24" s="164"/>
      <c r="J24" s="199">
        <f>J96-SUM(J22:J23)</f>
        <v>0</v>
      </c>
      <c r="K24" s="1013">
        <f>Assumptions!C151</f>
        <v>0</v>
      </c>
      <c r="L24" s="1039">
        <f t="shared" ref="L24:AC24" si="22">K24</f>
        <v>0</v>
      </c>
      <c r="M24" s="164">
        <f t="shared" si="22"/>
        <v>0</v>
      </c>
      <c r="N24" s="164">
        <f t="shared" si="22"/>
        <v>0</v>
      </c>
      <c r="O24" s="164">
        <f t="shared" si="22"/>
        <v>0</v>
      </c>
      <c r="P24" s="164">
        <f t="shared" si="22"/>
        <v>0</v>
      </c>
      <c r="Q24" s="164">
        <f t="shared" si="22"/>
        <v>0</v>
      </c>
      <c r="R24" s="164">
        <f t="shared" si="22"/>
        <v>0</v>
      </c>
      <c r="S24" s="164">
        <f t="shared" si="22"/>
        <v>0</v>
      </c>
      <c r="T24" s="164">
        <f t="shared" si="22"/>
        <v>0</v>
      </c>
      <c r="U24" s="164">
        <f t="shared" si="22"/>
        <v>0</v>
      </c>
      <c r="V24" s="164">
        <f t="shared" si="22"/>
        <v>0</v>
      </c>
      <c r="W24" s="164">
        <f t="shared" si="22"/>
        <v>0</v>
      </c>
      <c r="X24" s="164">
        <f t="shared" si="22"/>
        <v>0</v>
      </c>
      <c r="Y24" s="164">
        <f t="shared" si="22"/>
        <v>0</v>
      </c>
      <c r="Z24" s="164">
        <f t="shared" si="22"/>
        <v>0</v>
      </c>
      <c r="AA24" s="164">
        <f t="shared" si="22"/>
        <v>0</v>
      </c>
      <c r="AB24" s="164">
        <f t="shared" si="22"/>
        <v>0</v>
      </c>
      <c r="AC24" s="165">
        <f t="shared" si="22"/>
        <v>0</v>
      </c>
    </row>
    <row r="25" spans="1:32">
      <c r="A25" s="27"/>
      <c r="B25" s="27"/>
      <c r="C25" s="910" t="s">
        <v>403</v>
      </c>
      <c r="D25" s="110"/>
      <c r="E25" s="111">
        <f>SUM(E19:E22)</f>
        <v>1213.8464999999999</v>
      </c>
      <c r="F25" s="111">
        <f>SUM(F19:F22)</f>
        <v>1092.3764999999999</v>
      </c>
      <c r="G25" s="111">
        <f>SUM(G19:G22)</f>
        <v>1073.2725</v>
      </c>
      <c r="H25" s="111">
        <f>SUM(H19:H22)</f>
        <v>582.62650000000008</v>
      </c>
      <c r="I25" s="166">
        <f>SUM(I19:I24)</f>
        <v>113.69449771700054</v>
      </c>
      <c r="J25" s="166">
        <f t="shared" ref="J25:AC25" si="23">SUM(J19:J24)</f>
        <v>-502.22774252799888</v>
      </c>
      <c r="K25" s="1014">
        <f t="shared" si="23"/>
        <v>-1212.9018894779999</v>
      </c>
      <c r="L25" s="227">
        <f t="shared" si="23"/>
        <v>-2063.6868002070528</v>
      </c>
      <c r="M25" s="166">
        <f t="shared" si="23"/>
        <v>-3012.4579573790402</v>
      </c>
      <c r="N25" s="166">
        <f t="shared" si="23"/>
        <v>-3633.0292706860891</v>
      </c>
      <c r="O25" s="166">
        <f t="shared" si="23"/>
        <v>-4002.3156695617176</v>
      </c>
      <c r="P25" s="166">
        <f t="shared" si="23"/>
        <v>-4371.7183363123186</v>
      </c>
      <c r="Q25" s="166">
        <f t="shared" si="23"/>
        <v>-4746.9701679019709</v>
      </c>
      <c r="R25" s="166">
        <f t="shared" si="23"/>
        <v>-5125.1050074179075</v>
      </c>
      <c r="S25" s="166">
        <f t="shared" si="23"/>
        <v>-5505.5274120016011</v>
      </c>
      <c r="T25" s="166">
        <f t="shared" si="23"/>
        <v>-5890.2354411555489</v>
      </c>
      <c r="U25" s="166">
        <f t="shared" si="23"/>
        <v>-6293.4371107815432</v>
      </c>
      <c r="V25" s="166">
        <f t="shared" si="23"/>
        <v>-6709.1385928437285</v>
      </c>
      <c r="W25" s="166">
        <f t="shared" si="23"/>
        <v>-7162.2784505424534</v>
      </c>
      <c r="X25" s="166">
        <f t="shared" si="23"/>
        <v>-7640.7143339733557</v>
      </c>
      <c r="Y25" s="166">
        <f t="shared" si="23"/>
        <v>-8157.4332977840704</v>
      </c>
      <c r="Z25" s="166">
        <f t="shared" si="23"/>
        <v>-8728.7843254220861</v>
      </c>
      <c r="AA25" s="166">
        <f t="shared" si="23"/>
        <v>-9346.5785435920843</v>
      </c>
      <c r="AB25" s="166">
        <f t="shared" si="23"/>
        <v>-10020.710386140943</v>
      </c>
      <c r="AC25" s="167">
        <f t="shared" si="23"/>
        <v>-10754.398271229607</v>
      </c>
    </row>
    <row r="26" spans="1:32" ht="25.5">
      <c r="A26" s="27"/>
      <c r="B26" s="27"/>
      <c r="C26" s="1037" t="s">
        <v>334</v>
      </c>
      <c r="D26" s="62">
        <f>196.22+148.02-D31</f>
        <v>295.69</v>
      </c>
      <c r="E26" s="63">
        <f>716.2+95.51-E31</f>
        <v>762.67000000000007</v>
      </c>
      <c r="F26" s="63">
        <f>558.8+147.49-F31</f>
        <v>661.16</v>
      </c>
      <c r="G26" s="63">
        <f>408.24+154.8-G31</f>
        <v>520.93999999999994</v>
      </c>
      <c r="H26" s="63">
        <f>32.66+379.13-H31</f>
        <v>373.42999999999995</v>
      </c>
      <c r="I26" s="164">
        <v>228.69</v>
      </c>
      <c r="J26" s="164">
        <f>379.12+96.89+0.1599</f>
        <v>476.16989999999998</v>
      </c>
      <c r="K26" s="1013">
        <f>474.2763+1.9781</f>
        <v>476.25439999999998</v>
      </c>
      <c r="L26" s="1039">
        <f>Debt_Schedule!G7+Debt_Schedule!G16</f>
        <v>475.85</v>
      </c>
      <c r="M26" s="164">
        <f>Debt_Schedule!H7+Debt_Schedule!H16</f>
        <v>475.85</v>
      </c>
      <c r="N26" s="164">
        <f>Debt_Schedule!I7+Debt_Schedule!I16</f>
        <v>475.85</v>
      </c>
      <c r="O26" s="164">
        <f>Debt_Schedule!J7+Debt_Schedule!J16</f>
        <v>475.85</v>
      </c>
      <c r="P26" s="164">
        <f>Debt_Schedule!K7+Debt_Schedule!K16</f>
        <v>475.85</v>
      </c>
      <c r="Q26" s="164">
        <f>Debt_Schedule!L7+Debt_Schedule!L16</f>
        <v>475.85</v>
      </c>
      <c r="R26" s="164">
        <f>Debt_Schedule!M7+Debt_Schedule!M16</f>
        <v>475.85</v>
      </c>
      <c r="S26" s="164">
        <f>Debt_Schedule!N7+Debt_Schedule!N16</f>
        <v>475.85</v>
      </c>
      <c r="T26" s="164">
        <f>Debt_Schedule!O7+Debt_Schedule!O16</f>
        <v>475.85</v>
      </c>
      <c r="U26" s="164">
        <f>Debt_Schedule!P7+Debt_Schedule!P16</f>
        <v>475.85</v>
      </c>
      <c r="V26" s="164">
        <f>Debt_Schedule!Q7+Debt_Schedule!Q16</f>
        <v>475.85</v>
      </c>
      <c r="W26" s="164">
        <f>Debt_Schedule!R7+Debt_Schedule!R16</f>
        <v>475.85</v>
      </c>
      <c r="X26" s="164">
        <f>Debt_Schedule!S7+Debt_Schedule!S16</f>
        <v>475.85</v>
      </c>
      <c r="Y26" s="164">
        <f>Debt_Schedule!T7+Debt_Schedule!T16</f>
        <v>475.85</v>
      </c>
      <c r="Z26" s="164">
        <f>Debt_Schedule!U7+Debt_Schedule!U16</f>
        <v>475.85</v>
      </c>
      <c r="AA26" s="164">
        <f>Debt_Schedule!V7+Debt_Schedule!V16</f>
        <v>475.85</v>
      </c>
      <c r="AB26" s="164">
        <f>Debt_Schedule!W7+Debt_Schedule!W16</f>
        <v>475.85</v>
      </c>
      <c r="AC26" s="164">
        <f>Debt_Schedule!X7+Debt_Schedule!X16</f>
        <v>475.85</v>
      </c>
    </row>
    <row r="27" spans="1:32" hidden="1">
      <c r="A27" s="27"/>
      <c r="B27" s="27"/>
      <c r="C27" s="906" t="s">
        <v>393</v>
      </c>
      <c r="D27" s="62"/>
      <c r="E27" s="63"/>
      <c r="F27" s="63"/>
      <c r="G27" s="63"/>
      <c r="H27" s="105"/>
      <c r="I27" s="164"/>
      <c r="J27" s="199">
        <f>Debt_Schedule!E25</f>
        <v>0</v>
      </c>
      <c r="K27" s="1013">
        <f>Debt_Schedule!F25</f>
        <v>0</v>
      </c>
      <c r="L27" s="1039">
        <f>Debt_Schedule!G25</f>
        <v>0</v>
      </c>
      <c r="M27" s="164">
        <f>Debt_Schedule!H25</f>
        <v>0</v>
      </c>
      <c r="N27" s="164">
        <f>Debt_Schedule!I25</f>
        <v>0</v>
      </c>
      <c r="O27" s="164">
        <f>Debt_Schedule!J25</f>
        <v>0</v>
      </c>
      <c r="P27" s="164">
        <f>Debt_Schedule!K25</f>
        <v>0</v>
      </c>
      <c r="Q27" s="164">
        <f>Debt_Schedule!L25</f>
        <v>0</v>
      </c>
      <c r="R27" s="164">
        <f>Debt_Schedule!M25</f>
        <v>0</v>
      </c>
      <c r="S27" s="164">
        <f>Debt_Schedule!N25</f>
        <v>0</v>
      </c>
      <c r="T27" s="164">
        <f>Debt_Schedule!O25</f>
        <v>0</v>
      </c>
      <c r="U27" s="164">
        <f>Debt_Schedule!P25</f>
        <v>0</v>
      </c>
      <c r="V27" s="164">
        <f>Debt_Schedule!Q25</f>
        <v>0</v>
      </c>
      <c r="W27" s="164">
        <f>Debt_Schedule!R25</f>
        <v>0</v>
      </c>
      <c r="X27" s="164">
        <f>Debt_Schedule!S25</f>
        <v>0</v>
      </c>
      <c r="Y27" s="164">
        <f>Debt_Schedule!T25</f>
        <v>0</v>
      </c>
      <c r="Z27" s="164">
        <f>Debt_Schedule!U25</f>
        <v>0</v>
      </c>
      <c r="AA27" s="164">
        <f>Debt_Schedule!V25</f>
        <v>0</v>
      </c>
      <c r="AB27" s="164">
        <f>Debt_Schedule!W25</f>
        <v>0</v>
      </c>
      <c r="AC27" s="164">
        <f>Debt_Schedule!X25</f>
        <v>0</v>
      </c>
    </row>
    <row r="28" spans="1:32">
      <c r="A28" s="27"/>
      <c r="B28" s="27"/>
      <c r="C28" s="906" t="s">
        <v>252</v>
      </c>
      <c r="D28" s="62"/>
      <c r="E28" s="63"/>
      <c r="F28" s="63"/>
      <c r="G28" s="63"/>
      <c r="H28" s="103"/>
      <c r="I28" s="164"/>
      <c r="J28" s="199">
        <f>Debt_Schedule!E44</f>
        <v>0</v>
      </c>
      <c r="K28" s="1013"/>
      <c r="L28" s="1039">
        <f>Debt_Schedule!G44</f>
        <v>336.45</v>
      </c>
      <c r="M28" s="164">
        <f>Debt_Schedule!H44</f>
        <v>760.05</v>
      </c>
      <c r="N28" s="164">
        <f>Debt_Schedule!I44</f>
        <v>1021.5</v>
      </c>
      <c r="O28" s="164">
        <f>Debt_Schedule!J44</f>
        <v>919.3</v>
      </c>
      <c r="P28" s="164">
        <f>Debt_Schedule!K44</f>
        <v>766</v>
      </c>
      <c r="Q28" s="164">
        <f>Debt_Schedule!L44</f>
        <v>612.70000000000005</v>
      </c>
      <c r="R28" s="164">
        <f>Debt_Schedule!M44</f>
        <v>459.40000000000009</v>
      </c>
      <c r="S28" s="164">
        <f>Debt_Schedule!N44</f>
        <v>306.10000000000014</v>
      </c>
      <c r="T28" s="164">
        <f>Debt_Schedule!O44</f>
        <v>152.80000000000015</v>
      </c>
      <c r="U28" s="164">
        <f>Debt_Schedule!P44</f>
        <v>-0.49999999999982947</v>
      </c>
      <c r="V28" s="164">
        <f>Debt_Schedule!Q44</f>
        <v>-0.49999999999982947</v>
      </c>
      <c r="W28" s="164">
        <f>Debt_Schedule!R44</f>
        <v>-0.49999999999982947</v>
      </c>
      <c r="X28" s="164">
        <f>Debt_Schedule!S44</f>
        <v>-0.49999999999982947</v>
      </c>
      <c r="Y28" s="164">
        <f>Debt_Schedule!T44</f>
        <v>-0.49999999999982947</v>
      </c>
      <c r="Z28" s="164">
        <f>Debt_Schedule!U44</f>
        <v>-0.49999999999982947</v>
      </c>
      <c r="AA28" s="164">
        <f>Debt_Schedule!V44</f>
        <v>-0.49999999999982947</v>
      </c>
      <c r="AB28" s="164">
        <f>Debt_Schedule!W44</f>
        <v>-0.49999999999982947</v>
      </c>
      <c r="AC28" s="165">
        <f>Debt_Schedule!X44</f>
        <v>-0.49999999999982947</v>
      </c>
    </row>
    <row r="29" spans="1:32">
      <c r="A29" s="27"/>
      <c r="B29" s="27"/>
      <c r="C29" s="906" t="s">
        <v>611</v>
      </c>
      <c r="D29" s="62"/>
      <c r="E29" s="63"/>
      <c r="F29" s="63"/>
      <c r="G29" s="63"/>
      <c r="H29" s="103"/>
      <c r="I29" s="164"/>
      <c r="J29" s="199"/>
      <c r="K29" s="1013"/>
      <c r="L29" s="1039">
        <f>Debt_Schedule!G139</f>
        <v>0</v>
      </c>
      <c r="M29" s="164">
        <f>Debt_Schedule!H139</f>
        <v>0</v>
      </c>
      <c r="N29" s="164">
        <f>Debt_Schedule!I139</f>
        <v>0</v>
      </c>
      <c r="O29" s="164">
        <f>Debt_Schedule!J139</f>
        <v>0</v>
      </c>
      <c r="P29" s="164">
        <f>Debt_Schedule!K139</f>
        <v>0</v>
      </c>
      <c r="Q29" s="164">
        <f>Debt_Schedule!L139</f>
        <v>0</v>
      </c>
      <c r="R29" s="164">
        <f>Debt_Schedule!M139</f>
        <v>0</v>
      </c>
      <c r="S29" s="164">
        <f>Debt_Schedule!N139</f>
        <v>0</v>
      </c>
      <c r="T29" s="164">
        <f>Debt_Schedule!O139</f>
        <v>0</v>
      </c>
      <c r="U29" s="164">
        <f>Debt_Schedule!P139</f>
        <v>0</v>
      </c>
      <c r="V29" s="164">
        <f>Debt_Schedule!Q139</f>
        <v>0</v>
      </c>
      <c r="W29" s="164">
        <f>Debt_Schedule!R139</f>
        <v>0</v>
      </c>
      <c r="X29" s="164">
        <f>Debt_Schedule!S139</f>
        <v>0</v>
      </c>
      <c r="Y29" s="164">
        <f>Debt_Schedule!T139</f>
        <v>0</v>
      </c>
      <c r="Z29" s="164">
        <f>Debt_Schedule!U139</f>
        <v>0</v>
      </c>
      <c r="AA29" s="164">
        <f>Debt_Schedule!V139</f>
        <v>0</v>
      </c>
      <c r="AB29" s="164">
        <f>Debt_Schedule!W139</f>
        <v>0</v>
      </c>
      <c r="AC29" s="164">
        <f>Debt_Schedule!X139</f>
        <v>0</v>
      </c>
    </row>
    <row r="30" spans="1:32">
      <c r="A30" s="27"/>
      <c r="B30" s="27"/>
      <c r="C30" s="906" t="s">
        <v>289</v>
      </c>
      <c r="D30" s="62"/>
      <c r="E30" s="63"/>
      <c r="F30" s="63"/>
      <c r="G30" s="63"/>
      <c r="H30" s="103"/>
      <c r="I30" s="164"/>
      <c r="J30" s="199">
        <f>Debt_Schedule!E53</f>
        <v>0</v>
      </c>
      <c r="K30" s="1013">
        <f>Debt_Schedule!F53</f>
        <v>0</v>
      </c>
      <c r="L30" s="1039">
        <f>Debt_Schedule!G53</f>
        <v>0</v>
      </c>
      <c r="M30" s="164">
        <f>Debt_Schedule!H53</f>
        <v>0</v>
      </c>
      <c r="N30" s="164">
        <f>Debt_Schedule!I53</f>
        <v>0</v>
      </c>
      <c r="O30" s="164">
        <f>Debt_Schedule!J53</f>
        <v>0</v>
      </c>
      <c r="P30" s="164">
        <f>Debt_Schedule!K53</f>
        <v>0</v>
      </c>
      <c r="Q30" s="164">
        <f>Debt_Schedule!L53</f>
        <v>0</v>
      </c>
      <c r="R30" s="164">
        <f>Debt_Schedule!M53</f>
        <v>0</v>
      </c>
      <c r="S30" s="164">
        <f>Debt_Schedule!N53</f>
        <v>0</v>
      </c>
      <c r="T30" s="164">
        <f>Debt_Schedule!O53</f>
        <v>0</v>
      </c>
      <c r="U30" s="164">
        <f>Debt_Schedule!P53</f>
        <v>0</v>
      </c>
      <c r="V30" s="164">
        <f>Debt_Schedule!Q53</f>
        <v>0</v>
      </c>
      <c r="W30" s="164">
        <f>Debt_Schedule!R53</f>
        <v>0</v>
      </c>
      <c r="X30" s="164">
        <f>Debt_Schedule!S53</f>
        <v>0</v>
      </c>
      <c r="Y30" s="164">
        <f>Debt_Schedule!T53</f>
        <v>0</v>
      </c>
      <c r="Z30" s="164">
        <f>Debt_Schedule!U53</f>
        <v>0</v>
      </c>
      <c r="AA30" s="164">
        <f>Debt_Schedule!V53</f>
        <v>0</v>
      </c>
      <c r="AB30" s="164">
        <f>Debt_Schedule!W53</f>
        <v>0</v>
      </c>
      <c r="AC30" s="165">
        <f>Debt_Schedule!X53</f>
        <v>0</v>
      </c>
    </row>
    <row r="31" spans="1:32">
      <c r="A31" s="27"/>
      <c r="B31" s="27"/>
      <c r="C31" s="906" t="s">
        <v>192</v>
      </c>
      <c r="D31" s="62">
        <f>44.65+3.9</f>
        <v>48.55</v>
      </c>
      <c r="E31" s="63">
        <f>40.72+8.32</f>
        <v>49.04</v>
      </c>
      <c r="F31" s="63">
        <f>38.13+7</f>
        <v>45.13</v>
      </c>
      <c r="G31" s="63">
        <f>34.78+7.32</f>
        <v>42.1</v>
      </c>
      <c r="H31" s="105">
        <f>32.26+6.1</f>
        <v>38.36</v>
      </c>
      <c r="I31" s="199">
        <f>30.13+6.1+5.25</f>
        <v>41.48</v>
      </c>
      <c r="J31" s="199">
        <f>27.7211+5.251+5.15</f>
        <v>38.122099999999996</v>
      </c>
      <c r="K31" s="1013">
        <f>32.1762+5.1532+1.451</f>
        <v>38.7804</v>
      </c>
      <c r="L31" s="1039">
        <f>K31-5.1532-8.3715</f>
        <v>25.255700000000004</v>
      </c>
      <c r="M31" s="164">
        <f>L31-11.7384</f>
        <v>13.517300000000004</v>
      </c>
      <c r="N31" s="164">
        <v>0</v>
      </c>
      <c r="O31" s="164">
        <f>N31</f>
        <v>0</v>
      </c>
      <c r="P31" s="164">
        <f t="shared" ref="P31:W31" si="24">O31</f>
        <v>0</v>
      </c>
      <c r="Q31" s="164">
        <f t="shared" si="24"/>
        <v>0</v>
      </c>
      <c r="R31" s="164">
        <f t="shared" si="24"/>
        <v>0</v>
      </c>
      <c r="S31" s="164">
        <f t="shared" si="24"/>
        <v>0</v>
      </c>
      <c r="T31" s="164">
        <f t="shared" si="24"/>
        <v>0</v>
      </c>
      <c r="U31" s="164">
        <f t="shared" si="24"/>
        <v>0</v>
      </c>
      <c r="V31" s="164">
        <f t="shared" si="24"/>
        <v>0</v>
      </c>
      <c r="W31" s="164">
        <f t="shared" si="24"/>
        <v>0</v>
      </c>
      <c r="X31" s="164">
        <f t="shared" ref="X31:AC31" si="25">W31</f>
        <v>0</v>
      </c>
      <c r="Y31" s="164">
        <f t="shared" si="25"/>
        <v>0</v>
      </c>
      <c r="Z31" s="164">
        <f t="shared" si="25"/>
        <v>0</v>
      </c>
      <c r="AA31" s="164">
        <f t="shared" si="25"/>
        <v>0</v>
      </c>
      <c r="AB31" s="164">
        <f t="shared" si="25"/>
        <v>0</v>
      </c>
      <c r="AC31" s="165">
        <f t="shared" si="25"/>
        <v>0</v>
      </c>
    </row>
    <row r="32" spans="1:32">
      <c r="A32" s="27"/>
      <c r="B32" s="27"/>
      <c r="C32" s="906" t="s">
        <v>190</v>
      </c>
      <c r="D32" s="62">
        <v>445.26</v>
      </c>
      <c r="E32" s="63">
        <v>411.67</v>
      </c>
      <c r="F32" s="63">
        <v>381.81</v>
      </c>
      <c r="G32" s="63">
        <v>377.5</v>
      </c>
      <c r="H32" s="105">
        <v>341.38</v>
      </c>
      <c r="I32" s="164">
        <v>308.95499999999998</v>
      </c>
      <c r="J32" s="164">
        <v>270.88349999999997</v>
      </c>
      <c r="K32" s="1013">
        <v>282.18283159999999</v>
      </c>
      <c r="L32" s="1039">
        <f>Tax!G63</f>
        <v>267.58995820275965</v>
      </c>
      <c r="M32" s="164">
        <f>Tax!H63</f>
        <v>258.41997200196607</v>
      </c>
      <c r="N32" s="164">
        <f>Tax!I63</f>
        <v>248.48418151852542</v>
      </c>
      <c r="O32" s="164">
        <f>Tax!J63</f>
        <v>231.05159770441082</v>
      </c>
      <c r="P32" s="164">
        <f>Tax!K63</f>
        <v>212.62002458485847</v>
      </c>
      <c r="Q32" s="164">
        <f>Tax!L63</f>
        <v>193.24014087908532</v>
      </c>
      <c r="R32" s="164">
        <f>Tax!M63</f>
        <v>173.39060745887963</v>
      </c>
      <c r="S32" s="164">
        <f>Tax!N63</f>
        <v>154.61756010571855</v>
      </c>
      <c r="T32" s="164">
        <f>Tax!O63</f>
        <v>141.62228210501735</v>
      </c>
      <c r="U32" s="164">
        <f>Tax!P63</f>
        <v>127.92971687040507</v>
      </c>
      <c r="V32" s="164">
        <f>Tax!Q63</f>
        <v>113.3984305699</v>
      </c>
      <c r="W32" s="164">
        <f>Tax!R63</f>
        <v>100.81442693037349</v>
      </c>
      <c r="X32" s="164">
        <f>Tax!S63</f>
        <v>96.973428085501709</v>
      </c>
      <c r="Y32" s="164">
        <f>Tax!T63</f>
        <v>93.040405749876427</v>
      </c>
      <c r="Z32" s="164">
        <f>Tax!U63</f>
        <v>88.949747237809802</v>
      </c>
      <c r="AA32" s="164">
        <f>Tax!V63</f>
        <v>84.480334367714164</v>
      </c>
      <c r="AB32" s="164">
        <f>Tax!W63</f>
        <v>79.865137831563175</v>
      </c>
      <c r="AC32" s="165">
        <f>Tax!X63</f>
        <v>74.782733999675429</v>
      </c>
    </row>
    <row r="33" spans="1:29">
      <c r="A33" s="27"/>
      <c r="B33" s="27"/>
      <c r="C33" s="906" t="s">
        <v>191</v>
      </c>
      <c r="D33" s="62">
        <v>27.49</v>
      </c>
      <c r="E33" s="63">
        <v>24.05</v>
      </c>
      <c r="F33" s="63">
        <v>20.89</v>
      </c>
      <c r="G33" s="63">
        <v>17.37</v>
      </c>
      <c r="H33" s="105">
        <f>13.89+3.47</f>
        <v>17.36</v>
      </c>
      <c r="I33" s="199">
        <v>13.9</v>
      </c>
      <c r="J33" s="199">
        <v>10.4161</v>
      </c>
      <c r="K33" s="1023">
        <v>3.4790999999999999</v>
      </c>
      <c r="L33" s="1039">
        <v>3.6</v>
      </c>
      <c r="M33" s="164">
        <v>0</v>
      </c>
      <c r="N33" s="164">
        <f>M33</f>
        <v>0</v>
      </c>
      <c r="O33" s="164">
        <f>N33</f>
        <v>0</v>
      </c>
      <c r="P33" s="164">
        <f t="shared" ref="P33:W33" si="26">O33</f>
        <v>0</v>
      </c>
      <c r="Q33" s="164">
        <f t="shared" si="26"/>
        <v>0</v>
      </c>
      <c r="R33" s="164">
        <f t="shared" si="26"/>
        <v>0</v>
      </c>
      <c r="S33" s="164">
        <f t="shared" si="26"/>
        <v>0</v>
      </c>
      <c r="T33" s="164">
        <f t="shared" si="26"/>
        <v>0</v>
      </c>
      <c r="U33" s="164">
        <f t="shared" si="26"/>
        <v>0</v>
      </c>
      <c r="V33" s="164">
        <f t="shared" si="26"/>
        <v>0</v>
      </c>
      <c r="W33" s="164">
        <f t="shared" si="26"/>
        <v>0</v>
      </c>
      <c r="X33" s="164">
        <f t="shared" ref="X33:AC34" si="27">W33</f>
        <v>0</v>
      </c>
      <c r="Y33" s="164">
        <f t="shared" si="27"/>
        <v>0</v>
      </c>
      <c r="Z33" s="164">
        <f t="shared" si="27"/>
        <v>0</v>
      </c>
      <c r="AA33" s="164">
        <f t="shared" si="27"/>
        <v>0</v>
      </c>
      <c r="AB33" s="164">
        <f t="shared" si="27"/>
        <v>0</v>
      </c>
      <c r="AC33" s="165">
        <f t="shared" si="27"/>
        <v>0</v>
      </c>
    </row>
    <row r="34" spans="1:29">
      <c r="A34" s="27"/>
      <c r="B34" s="27"/>
      <c r="C34" s="906" t="s">
        <v>193</v>
      </c>
      <c r="D34" s="62">
        <f>52.79+3.74</f>
        <v>56.53</v>
      </c>
      <c r="E34" s="63">
        <f>73.84+4.43</f>
        <v>78.27000000000001</v>
      </c>
      <c r="F34" s="63">
        <f>75.25+7.09</f>
        <v>82.34</v>
      </c>
      <c r="G34" s="63">
        <f>78.14+5.3</f>
        <v>83.44</v>
      </c>
      <c r="H34" s="105">
        <f>78.52+4.35</f>
        <v>82.86999999999999</v>
      </c>
      <c r="I34" s="164">
        <v>80.710000000000008</v>
      </c>
      <c r="J34" s="164">
        <v>81.329499999999996</v>
      </c>
      <c r="K34" s="1013">
        <v>74.959999999999994</v>
      </c>
      <c r="L34" s="1039">
        <f>K34</f>
        <v>74.959999999999994</v>
      </c>
      <c r="M34" s="164">
        <f t="shared" ref="M34:W34" si="28">L34</f>
        <v>74.959999999999994</v>
      </c>
      <c r="N34" s="164">
        <f t="shared" si="28"/>
        <v>74.959999999999994</v>
      </c>
      <c r="O34" s="164">
        <f t="shared" si="28"/>
        <v>74.959999999999994</v>
      </c>
      <c r="P34" s="164">
        <f t="shared" si="28"/>
        <v>74.959999999999994</v>
      </c>
      <c r="Q34" s="164">
        <f t="shared" si="28"/>
        <v>74.959999999999994</v>
      </c>
      <c r="R34" s="164">
        <f t="shared" si="28"/>
        <v>74.959999999999994</v>
      </c>
      <c r="S34" s="164">
        <f t="shared" si="28"/>
        <v>74.959999999999994</v>
      </c>
      <c r="T34" s="164">
        <f t="shared" si="28"/>
        <v>74.959999999999994</v>
      </c>
      <c r="U34" s="164">
        <f t="shared" si="28"/>
        <v>74.959999999999994</v>
      </c>
      <c r="V34" s="164">
        <f t="shared" si="28"/>
        <v>74.959999999999994</v>
      </c>
      <c r="W34" s="164">
        <f t="shared" si="28"/>
        <v>74.959999999999994</v>
      </c>
      <c r="X34" s="164">
        <f t="shared" si="27"/>
        <v>74.959999999999994</v>
      </c>
      <c r="Y34" s="164">
        <f t="shared" si="27"/>
        <v>74.959999999999994</v>
      </c>
      <c r="Z34" s="164">
        <f t="shared" si="27"/>
        <v>74.959999999999994</v>
      </c>
      <c r="AA34" s="164">
        <f t="shared" si="27"/>
        <v>74.959999999999994</v>
      </c>
      <c r="AB34" s="164">
        <f t="shared" si="27"/>
        <v>74.959999999999994</v>
      </c>
      <c r="AC34" s="165">
        <f t="shared" si="27"/>
        <v>74.959999999999994</v>
      </c>
    </row>
    <row r="35" spans="1:29">
      <c r="A35" s="27"/>
      <c r="B35" s="27"/>
      <c r="C35" s="907" t="s">
        <v>185</v>
      </c>
      <c r="D35" s="104" t="e">
        <f t="shared" ref="D35:W35" si="29">SUM(D36:D41)</f>
        <v>#REF!</v>
      </c>
      <c r="E35" s="104">
        <f t="shared" si="29"/>
        <v>2667.0200000000004</v>
      </c>
      <c r="F35" s="104">
        <f t="shared" si="29"/>
        <v>2010.52</v>
      </c>
      <c r="G35" s="104">
        <f t="shared" si="29"/>
        <v>2576.92</v>
      </c>
      <c r="H35" s="104">
        <f t="shared" si="29"/>
        <v>2287.5800000000004</v>
      </c>
      <c r="I35" s="166">
        <f t="shared" si="29"/>
        <v>3230.9900000000002</v>
      </c>
      <c r="J35" s="166">
        <f t="shared" si="29"/>
        <v>2289.645</v>
      </c>
      <c r="K35" s="1014">
        <f t="shared" si="29"/>
        <v>3088.0690399999999</v>
      </c>
      <c r="L35" s="227">
        <f t="shared" si="29"/>
        <v>2741.4635178901749</v>
      </c>
      <c r="M35" s="166">
        <f t="shared" si="29"/>
        <v>3045.9543745943452</v>
      </c>
      <c r="N35" s="166">
        <f t="shared" si="29"/>
        <v>3355.9946614570385</v>
      </c>
      <c r="O35" s="166">
        <f t="shared" si="29"/>
        <v>3668.4824356730683</v>
      </c>
      <c r="P35" s="166">
        <f t="shared" si="29"/>
        <v>3971.223543090076</v>
      </c>
      <c r="Q35" s="166">
        <f t="shared" si="29"/>
        <v>4273.9646505070841</v>
      </c>
      <c r="R35" s="166">
        <f t="shared" si="29"/>
        <v>4576.3755765070846</v>
      </c>
      <c r="S35" s="166">
        <f t="shared" si="29"/>
        <v>4878.7865025070842</v>
      </c>
      <c r="T35" s="166">
        <f t="shared" si="29"/>
        <v>5181.1974285070846</v>
      </c>
      <c r="U35" s="166">
        <f t="shared" si="29"/>
        <v>5483.6083545070842</v>
      </c>
      <c r="V35" s="166">
        <f t="shared" si="29"/>
        <v>5786.0192805070847</v>
      </c>
      <c r="W35" s="166">
        <f t="shared" si="29"/>
        <v>6088.4302065070851</v>
      </c>
      <c r="X35" s="166">
        <f t="shared" ref="X35:AC35" si="30">SUM(X36:X41)</f>
        <v>6390.8411325070856</v>
      </c>
      <c r="Y35" s="166">
        <f t="shared" si="30"/>
        <v>6693.2520585070861</v>
      </c>
      <c r="Z35" s="166">
        <f t="shared" si="30"/>
        <v>6995.6629845070865</v>
      </c>
      <c r="AA35" s="166">
        <f t="shared" si="30"/>
        <v>7298.073910507087</v>
      </c>
      <c r="AB35" s="166">
        <f t="shared" si="30"/>
        <v>7600.4848365070875</v>
      </c>
      <c r="AC35" s="167">
        <f t="shared" si="30"/>
        <v>7902.895762507088</v>
      </c>
    </row>
    <row r="36" spans="1:29">
      <c r="A36" s="27"/>
      <c r="B36" s="27"/>
      <c r="C36" s="908" t="s">
        <v>286</v>
      </c>
      <c r="D36" s="81">
        <v>1002.59</v>
      </c>
      <c r="E36" s="63">
        <v>934.37</v>
      </c>
      <c r="F36" s="63">
        <v>1013.07</v>
      </c>
      <c r="G36" s="63">
        <v>1045.1600000000001</v>
      </c>
      <c r="H36" s="105">
        <f>1295.16+53.87-53.87</f>
        <v>1295.1600000000001</v>
      </c>
      <c r="I36" s="164">
        <v>1478.5</v>
      </c>
      <c r="J36" s="164">
        <v>1251.8499999999999</v>
      </c>
      <c r="K36" s="1013">
        <v>1303.0378000000001</v>
      </c>
      <c r="L36" s="1039">
        <f>K36</f>
        <v>1303.0378000000001</v>
      </c>
      <c r="M36" s="164">
        <f t="shared" ref="M36:AC36" si="31">L36</f>
        <v>1303.0378000000001</v>
      </c>
      <c r="N36" s="164">
        <f t="shared" si="31"/>
        <v>1303.0378000000001</v>
      </c>
      <c r="O36" s="164">
        <f t="shared" si="31"/>
        <v>1303.0378000000001</v>
      </c>
      <c r="P36" s="164">
        <f t="shared" si="31"/>
        <v>1303.0378000000001</v>
      </c>
      <c r="Q36" s="164">
        <f t="shared" si="31"/>
        <v>1303.0378000000001</v>
      </c>
      <c r="R36" s="164">
        <f t="shared" si="31"/>
        <v>1303.0378000000001</v>
      </c>
      <c r="S36" s="164">
        <f t="shared" si="31"/>
        <v>1303.0378000000001</v>
      </c>
      <c r="T36" s="164">
        <f t="shared" si="31"/>
        <v>1303.0378000000001</v>
      </c>
      <c r="U36" s="164">
        <f t="shared" si="31"/>
        <v>1303.0378000000001</v>
      </c>
      <c r="V36" s="164">
        <f t="shared" si="31"/>
        <v>1303.0378000000001</v>
      </c>
      <c r="W36" s="164">
        <f t="shared" si="31"/>
        <v>1303.0378000000001</v>
      </c>
      <c r="X36" s="164">
        <f t="shared" si="31"/>
        <v>1303.0378000000001</v>
      </c>
      <c r="Y36" s="164">
        <f t="shared" si="31"/>
        <v>1303.0378000000001</v>
      </c>
      <c r="Z36" s="164">
        <f t="shared" si="31"/>
        <v>1303.0378000000001</v>
      </c>
      <c r="AA36" s="164">
        <f t="shared" si="31"/>
        <v>1303.0378000000001</v>
      </c>
      <c r="AB36" s="164">
        <f t="shared" si="31"/>
        <v>1303.0378000000001</v>
      </c>
      <c r="AC36" s="164">
        <f t="shared" si="31"/>
        <v>1303.0378000000001</v>
      </c>
    </row>
    <row r="37" spans="1:29">
      <c r="A37" s="27"/>
      <c r="B37" s="27"/>
      <c r="C37" s="908" t="s">
        <v>170</v>
      </c>
      <c r="D37" s="81" t="e">
        <f>#REF!</f>
        <v>#REF!</v>
      </c>
      <c r="E37" s="63">
        <v>1654.91</v>
      </c>
      <c r="F37" s="63">
        <v>947.43</v>
      </c>
      <c r="G37" s="63">
        <v>1462.74</v>
      </c>
      <c r="H37" s="63">
        <v>746.6</v>
      </c>
      <c r="I37" s="206">
        <v>1311.01</v>
      </c>
      <c r="J37" s="199">
        <f>435.8099-112</f>
        <v>323.80990000000003</v>
      </c>
      <c r="K37" s="1023">
        <f>987.67-K38</f>
        <v>332.81181029999993</v>
      </c>
      <c r="L37" s="1040">
        <f>K37*0.25</f>
        <v>83.202952574999983</v>
      </c>
      <c r="M37" s="199">
        <f t="shared" ref="M37:AC37" si="32">L37</f>
        <v>83.202952574999983</v>
      </c>
      <c r="N37" s="199">
        <f t="shared" si="32"/>
        <v>83.202952574999983</v>
      </c>
      <c r="O37" s="199">
        <f t="shared" si="32"/>
        <v>83.202952574999983</v>
      </c>
      <c r="P37" s="199">
        <f t="shared" si="32"/>
        <v>83.202952574999983</v>
      </c>
      <c r="Q37" s="199">
        <f t="shared" si="32"/>
        <v>83.202952574999983</v>
      </c>
      <c r="R37" s="199">
        <f t="shared" si="32"/>
        <v>83.202952574999983</v>
      </c>
      <c r="S37" s="199">
        <f t="shared" si="32"/>
        <v>83.202952574999983</v>
      </c>
      <c r="T37" s="199">
        <f t="shared" si="32"/>
        <v>83.202952574999983</v>
      </c>
      <c r="U37" s="199">
        <f t="shared" si="32"/>
        <v>83.202952574999983</v>
      </c>
      <c r="V37" s="199">
        <f t="shared" si="32"/>
        <v>83.202952574999983</v>
      </c>
      <c r="W37" s="199">
        <f t="shared" si="32"/>
        <v>83.202952574999983</v>
      </c>
      <c r="X37" s="199">
        <f t="shared" si="32"/>
        <v>83.202952574999983</v>
      </c>
      <c r="Y37" s="199">
        <f t="shared" si="32"/>
        <v>83.202952574999983</v>
      </c>
      <c r="Z37" s="199">
        <f t="shared" si="32"/>
        <v>83.202952574999983</v>
      </c>
      <c r="AA37" s="199">
        <f t="shared" si="32"/>
        <v>83.202952574999983</v>
      </c>
      <c r="AB37" s="199">
        <f t="shared" si="32"/>
        <v>83.202952574999983</v>
      </c>
      <c r="AC37" s="199">
        <f t="shared" si="32"/>
        <v>83.202952574999983</v>
      </c>
    </row>
    <row r="38" spans="1:29">
      <c r="A38" s="27"/>
      <c r="B38" s="27"/>
      <c r="C38" s="908" t="s">
        <v>625</v>
      </c>
      <c r="D38" s="81"/>
      <c r="E38" s="63"/>
      <c r="F38" s="63"/>
      <c r="G38" s="63"/>
      <c r="H38" s="63"/>
      <c r="I38" s="199"/>
      <c r="J38" s="199">
        <f>97.34+15</f>
        <v>112.34</v>
      </c>
      <c r="K38" s="1024">
        <f>28.6181897+626.24</f>
        <v>654.85818970000003</v>
      </c>
      <c r="L38" s="1041">
        <f t="shared" ref="L38:AC38" si="33">L209</f>
        <v>301.34383931517533</v>
      </c>
      <c r="M38" s="206">
        <f t="shared" si="33"/>
        <v>303.42377001934511</v>
      </c>
      <c r="N38" s="206">
        <f t="shared" si="33"/>
        <v>311.0531308820386</v>
      </c>
      <c r="O38" s="206">
        <f t="shared" si="33"/>
        <v>321.12997909806853</v>
      </c>
      <c r="P38" s="206">
        <f t="shared" si="33"/>
        <v>321.46016051507621</v>
      </c>
      <c r="Q38" s="206">
        <f t="shared" si="33"/>
        <v>321.79034193208395</v>
      </c>
      <c r="R38" s="206">
        <f t="shared" si="33"/>
        <v>321.79034193208395</v>
      </c>
      <c r="S38" s="206">
        <f t="shared" si="33"/>
        <v>321.79034193208395</v>
      </c>
      <c r="T38" s="206">
        <f t="shared" si="33"/>
        <v>321.79034193208395</v>
      </c>
      <c r="U38" s="206">
        <f t="shared" si="33"/>
        <v>321.79034193208395</v>
      </c>
      <c r="V38" s="206">
        <f t="shared" si="33"/>
        <v>321.79034193208395</v>
      </c>
      <c r="W38" s="206">
        <f t="shared" si="33"/>
        <v>321.79034193208395</v>
      </c>
      <c r="X38" s="206">
        <f t="shared" si="33"/>
        <v>321.79034193208395</v>
      </c>
      <c r="Y38" s="206">
        <f t="shared" si="33"/>
        <v>321.79034193208395</v>
      </c>
      <c r="Z38" s="206">
        <f t="shared" si="33"/>
        <v>321.79034193208395</v>
      </c>
      <c r="AA38" s="206">
        <f t="shared" si="33"/>
        <v>321.79034193208395</v>
      </c>
      <c r="AB38" s="206">
        <f t="shared" si="33"/>
        <v>321.79034193208395</v>
      </c>
      <c r="AC38" s="206">
        <f t="shared" si="33"/>
        <v>321.79034193208395</v>
      </c>
    </row>
    <row r="39" spans="1:29">
      <c r="A39" s="27"/>
      <c r="B39" s="27"/>
      <c r="C39" s="908" t="s">
        <v>253</v>
      </c>
      <c r="D39" s="81"/>
      <c r="E39" s="63"/>
      <c r="F39" s="63"/>
      <c r="G39" s="63"/>
      <c r="H39" s="63"/>
      <c r="I39" s="199">
        <v>46.58</v>
      </c>
      <c r="J39" s="199">
        <v>35.248800000000003</v>
      </c>
      <c r="K39" s="1024">
        <v>42.798099999999998</v>
      </c>
      <c r="L39" s="1041">
        <f>K39*0.1</f>
        <v>4.2798100000000003</v>
      </c>
      <c r="M39" s="206">
        <f t="shared" ref="M39:AC39" si="34">L39</f>
        <v>4.2798100000000003</v>
      </c>
      <c r="N39" s="206">
        <f t="shared" si="34"/>
        <v>4.2798100000000003</v>
      </c>
      <c r="O39" s="206">
        <f t="shared" si="34"/>
        <v>4.2798100000000003</v>
      </c>
      <c r="P39" s="206">
        <f t="shared" si="34"/>
        <v>4.2798100000000003</v>
      </c>
      <c r="Q39" s="206">
        <f t="shared" si="34"/>
        <v>4.2798100000000003</v>
      </c>
      <c r="R39" s="206">
        <f t="shared" si="34"/>
        <v>4.2798100000000003</v>
      </c>
      <c r="S39" s="206">
        <f t="shared" si="34"/>
        <v>4.2798100000000003</v>
      </c>
      <c r="T39" s="206">
        <f t="shared" si="34"/>
        <v>4.2798100000000003</v>
      </c>
      <c r="U39" s="206">
        <f t="shared" si="34"/>
        <v>4.2798100000000003</v>
      </c>
      <c r="V39" s="206">
        <f t="shared" si="34"/>
        <v>4.2798100000000003</v>
      </c>
      <c r="W39" s="206">
        <f t="shared" si="34"/>
        <v>4.2798100000000003</v>
      </c>
      <c r="X39" s="206">
        <f t="shared" si="34"/>
        <v>4.2798100000000003</v>
      </c>
      <c r="Y39" s="206">
        <f t="shared" si="34"/>
        <v>4.2798100000000003</v>
      </c>
      <c r="Z39" s="206">
        <f t="shared" si="34"/>
        <v>4.2798100000000003</v>
      </c>
      <c r="AA39" s="206">
        <f t="shared" si="34"/>
        <v>4.2798100000000003</v>
      </c>
      <c r="AB39" s="206">
        <f t="shared" si="34"/>
        <v>4.2798100000000003</v>
      </c>
      <c r="AC39" s="206">
        <f t="shared" si="34"/>
        <v>4.2798100000000003</v>
      </c>
    </row>
    <row r="40" spans="1:29">
      <c r="A40" s="27"/>
      <c r="B40" s="27"/>
      <c r="C40" s="908" t="s">
        <v>481</v>
      </c>
      <c r="D40" s="81"/>
      <c r="E40" s="63">
        <f>7.3+11.93</f>
        <v>19.23</v>
      </c>
      <c r="F40" s="63">
        <f>7.39</f>
        <v>7.39</v>
      </c>
      <c r="G40" s="63">
        <f>6.86</f>
        <v>6.86</v>
      </c>
      <c r="H40" s="63">
        <f>55.76+102.66</f>
        <v>158.41999999999999</v>
      </c>
      <c r="I40" s="164">
        <v>376.48</v>
      </c>
      <c r="J40" s="199">
        <f>320.09+231.28</f>
        <v>551.37</v>
      </c>
      <c r="K40" s="1013">
        <f>425.52324+314.29</f>
        <v>739.81323999999995</v>
      </c>
      <c r="L40" s="1039">
        <f>K40+Debt_Schedule!G9+Debt_Schedule!G69</f>
        <v>1042.224166</v>
      </c>
      <c r="M40" s="164">
        <f>L40+Debt_Schedule!H9+Debt_Schedule!H69</f>
        <v>1344.635092</v>
      </c>
      <c r="N40" s="164">
        <f>M40+Debt_Schedule!I9+Debt_Schedule!I69</f>
        <v>1647.046018</v>
      </c>
      <c r="O40" s="164">
        <f>N40+Debt_Schedule!J9+Debt_Schedule!J69</f>
        <v>1949.456944</v>
      </c>
      <c r="P40" s="164">
        <f>O40+Debt_Schedule!K9+Debt_Schedule!K69</f>
        <v>2251.86787</v>
      </c>
      <c r="Q40" s="164">
        <f>P40+Debt_Schedule!L9+Debt_Schedule!L69</f>
        <v>2554.2787960000001</v>
      </c>
      <c r="R40" s="164">
        <f>Q40+Debt_Schedule!M9+Debt_Schedule!M69</f>
        <v>2856.6897220000001</v>
      </c>
      <c r="S40" s="164">
        <f>R40+Debt_Schedule!N9+Debt_Schedule!N69</f>
        <v>3159.1006480000001</v>
      </c>
      <c r="T40" s="164">
        <f>S40+Debt_Schedule!O9+Debt_Schedule!O69</f>
        <v>3461.5115740000001</v>
      </c>
      <c r="U40" s="164">
        <f>T40+Debt_Schedule!P9+Debt_Schedule!P69</f>
        <v>3763.9225000000001</v>
      </c>
      <c r="V40" s="164">
        <f>U40+Debt_Schedule!Q9+Debt_Schedule!Q69</f>
        <v>4066.3334260000001</v>
      </c>
      <c r="W40" s="164">
        <f>V40+Debt_Schedule!R9+Debt_Schedule!R69</f>
        <v>4368.7443520000006</v>
      </c>
      <c r="X40" s="164">
        <f>W40+Debt_Schedule!S9+Debt_Schedule!S69</f>
        <v>4671.1552780000011</v>
      </c>
      <c r="Y40" s="164">
        <f>X40+Debt_Schedule!T9+Debt_Schedule!T69</f>
        <v>4973.5662040000016</v>
      </c>
      <c r="Z40" s="164">
        <f>Y40+Debt_Schedule!U9+Debt_Schedule!U69</f>
        <v>5275.977130000002</v>
      </c>
      <c r="AA40" s="164">
        <f>Z40+Debt_Schedule!V9+Debt_Schedule!V69</f>
        <v>5578.3880560000025</v>
      </c>
      <c r="AB40" s="164">
        <f>AA40+Debt_Schedule!W9+Debt_Schedule!W69</f>
        <v>5880.798982000003</v>
      </c>
      <c r="AC40" s="164">
        <f>AB40+Debt_Schedule!X9+Debt_Schedule!X69</f>
        <v>6183.2099080000035</v>
      </c>
    </row>
    <row r="41" spans="1:29">
      <c r="A41" s="27"/>
      <c r="B41" s="27"/>
      <c r="C41" s="908" t="s">
        <v>186</v>
      </c>
      <c r="D41" s="81">
        <f>224.12-148.02+17.04+3.43+2.97</f>
        <v>99.539999999999992</v>
      </c>
      <c r="E41" s="63">
        <f>158.55-95.51+10+3.43+1.27-E40</f>
        <v>58.510000000000005</v>
      </c>
      <c r="F41" s="63">
        <f>183.47-147.49+9.33+3.43+1.28-F40</f>
        <v>42.629999999999988</v>
      </c>
      <c r="G41" s="63">
        <f>198.95-154.8+18.15+3.47+3.25-G40</f>
        <v>62.159999999999982</v>
      </c>
      <c r="H41" s="105">
        <f>605.86-379.13+13.56+5.53-H40</f>
        <v>87.400000000000034</v>
      </c>
      <c r="I41" s="164">
        <v>18.420000000000002</v>
      </c>
      <c r="J41" s="199">
        <v>15.026300000000001</v>
      </c>
      <c r="K41" s="1013">
        <v>14.7499</v>
      </c>
      <c r="L41" s="1039">
        <f>K41*0.5</f>
        <v>7.3749500000000001</v>
      </c>
      <c r="M41" s="164">
        <f t="shared" ref="M41:W41" si="35">L41</f>
        <v>7.3749500000000001</v>
      </c>
      <c r="N41" s="164">
        <f t="shared" si="35"/>
        <v>7.3749500000000001</v>
      </c>
      <c r="O41" s="164">
        <f t="shared" si="35"/>
        <v>7.3749500000000001</v>
      </c>
      <c r="P41" s="164">
        <f t="shared" si="35"/>
        <v>7.3749500000000001</v>
      </c>
      <c r="Q41" s="164">
        <f t="shared" si="35"/>
        <v>7.3749500000000001</v>
      </c>
      <c r="R41" s="164">
        <f t="shared" si="35"/>
        <v>7.3749500000000001</v>
      </c>
      <c r="S41" s="164">
        <f t="shared" si="35"/>
        <v>7.3749500000000001</v>
      </c>
      <c r="T41" s="164">
        <f t="shared" si="35"/>
        <v>7.3749500000000001</v>
      </c>
      <c r="U41" s="164">
        <f t="shared" si="35"/>
        <v>7.3749500000000001</v>
      </c>
      <c r="V41" s="164">
        <f t="shared" si="35"/>
        <v>7.3749500000000001</v>
      </c>
      <c r="W41" s="164">
        <f t="shared" si="35"/>
        <v>7.3749500000000001</v>
      </c>
      <c r="X41" s="164">
        <f t="shared" ref="X41:AC41" si="36">W41</f>
        <v>7.3749500000000001</v>
      </c>
      <c r="Y41" s="164">
        <f t="shared" si="36"/>
        <v>7.3749500000000001</v>
      </c>
      <c r="Z41" s="164">
        <f t="shared" si="36"/>
        <v>7.3749500000000001</v>
      </c>
      <c r="AA41" s="164">
        <f t="shared" si="36"/>
        <v>7.3749500000000001</v>
      </c>
      <c r="AB41" s="164">
        <f t="shared" si="36"/>
        <v>7.3749500000000001</v>
      </c>
      <c r="AC41" s="165">
        <f t="shared" si="36"/>
        <v>7.3749500000000001</v>
      </c>
    </row>
    <row r="42" spans="1:29" ht="13.5" thickBot="1">
      <c r="A42" s="27"/>
      <c r="B42" s="27"/>
      <c r="C42" s="911" t="s">
        <v>241</v>
      </c>
      <c r="D42" s="67"/>
      <c r="E42" s="113">
        <f t="shared" ref="E42:AC42" si="37">SUM(E25,E26:E34,E35)</f>
        <v>5206.5665000000008</v>
      </c>
      <c r="F42" s="113">
        <f t="shared" si="37"/>
        <v>4294.2264999999998</v>
      </c>
      <c r="G42" s="113">
        <f t="shared" si="37"/>
        <v>4691.5424999999996</v>
      </c>
      <c r="H42" s="113">
        <f t="shared" si="37"/>
        <v>3723.6064999999999</v>
      </c>
      <c r="I42" s="168">
        <f t="shared" si="37"/>
        <v>4018.4194977170009</v>
      </c>
      <c r="J42" s="168">
        <f t="shared" si="37"/>
        <v>2664.338357472001</v>
      </c>
      <c r="K42" s="1020">
        <f t="shared" si="37"/>
        <v>2750.8238821219998</v>
      </c>
      <c r="L42" s="1042">
        <f t="shared" si="37"/>
        <v>1861.4823758858815</v>
      </c>
      <c r="M42" s="168">
        <f t="shared" si="37"/>
        <v>1616.2936892172709</v>
      </c>
      <c r="N42" s="168">
        <f t="shared" si="37"/>
        <v>1543.7595722894748</v>
      </c>
      <c r="O42" s="168">
        <f t="shared" si="37"/>
        <v>1367.3283638157613</v>
      </c>
      <c r="P42" s="168">
        <f t="shared" si="37"/>
        <v>1128.9352313626159</v>
      </c>
      <c r="Q42" s="168">
        <f t="shared" si="37"/>
        <v>883.74462348419866</v>
      </c>
      <c r="R42" s="168">
        <f t="shared" si="37"/>
        <v>634.87117654805661</v>
      </c>
      <c r="S42" s="168">
        <f t="shared" si="37"/>
        <v>384.78665061120228</v>
      </c>
      <c r="T42" s="168">
        <f t="shared" si="37"/>
        <v>136.19426945655414</v>
      </c>
      <c r="U42" s="168">
        <f t="shared" si="37"/>
        <v>-131.58903940405344</v>
      </c>
      <c r="V42" s="168">
        <f t="shared" si="37"/>
        <v>-259.41088176674384</v>
      </c>
      <c r="W42" s="168">
        <f t="shared" si="37"/>
        <v>-422.72381710499394</v>
      </c>
      <c r="X42" s="168">
        <f t="shared" si="37"/>
        <v>-602.58977338076784</v>
      </c>
      <c r="Y42" s="168">
        <f t="shared" si="37"/>
        <v>-820.83083352710764</v>
      </c>
      <c r="Z42" s="168">
        <f t="shared" si="37"/>
        <v>-1093.8615936771894</v>
      </c>
      <c r="AA42" s="168">
        <f t="shared" si="37"/>
        <v>-1413.7142987172838</v>
      </c>
      <c r="AB42" s="168">
        <f t="shared" si="37"/>
        <v>-1790.0504118022936</v>
      </c>
      <c r="AC42" s="169">
        <f t="shared" si="37"/>
        <v>-2226.4097747228452</v>
      </c>
    </row>
    <row r="43" spans="1:29">
      <c r="C43" s="914"/>
      <c r="D43" s="62"/>
      <c r="E43" s="63"/>
      <c r="F43" s="63"/>
      <c r="G43" s="63"/>
      <c r="H43" s="133"/>
      <c r="I43" s="58" t="str">
        <f t="shared" ref="I43:AC43" si="38">IF(ABS(I42-I18)&lt;1,"OK","Error")</f>
        <v>OK</v>
      </c>
      <c r="J43" s="58" t="str">
        <f t="shared" si="38"/>
        <v>OK</v>
      </c>
      <c r="K43" s="278" t="str">
        <f t="shared" si="38"/>
        <v>OK</v>
      </c>
      <c r="L43" s="226" t="str">
        <f t="shared" si="38"/>
        <v>OK</v>
      </c>
      <c r="M43" s="58" t="str">
        <f t="shared" si="38"/>
        <v>OK</v>
      </c>
      <c r="N43" s="58" t="str">
        <f t="shared" si="38"/>
        <v>OK</v>
      </c>
      <c r="O43" s="58" t="str">
        <f t="shared" si="38"/>
        <v>OK</v>
      </c>
      <c r="P43" s="58" t="str">
        <f t="shared" si="38"/>
        <v>OK</v>
      </c>
      <c r="Q43" s="58" t="str">
        <f t="shared" si="38"/>
        <v>OK</v>
      </c>
      <c r="R43" s="58" t="str">
        <f t="shared" si="38"/>
        <v>OK</v>
      </c>
      <c r="S43" s="58" t="str">
        <f t="shared" si="38"/>
        <v>OK</v>
      </c>
      <c r="T43" s="58" t="str">
        <f t="shared" si="38"/>
        <v>OK</v>
      </c>
      <c r="U43" s="58" t="str">
        <f t="shared" si="38"/>
        <v>OK</v>
      </c>
      <c r="V43" s="58" t="str">
        <f t="shared" si="38"/>
        <v>OK</v>
      </c>
      <c r="W43" s="58" t="str">
        <f t="shared" si="38"/>
        <v>OK</v>
      </c>
      <c r="X43" s="58" t="str">
        <f t="shared" si="38"/>
        <v>OK</v>
      </c>
      <c r="Y43" s="58" t="str">
        <f t="shared" si="38"/>
        <v>OK</v>
      </c>
      <c r="Z43" s="58" t="str">
        <f t="shared" si="38"/>
        <v>OK</v>
      </c>
      <c r="AA43" s="58" t="str">
        <f t="shared" si="38"/>
        <v>OK</v>
      </c>
      <c r="AB43" s="58" t="str">
        <f t="shared" si="38"/>
        <v>OK</v>
      </c>
      <c r="AC43" s="58" t="str">
        <f t="shared" si="38"/>
        <v>OK</v>
      </c>
    </row>
    <row r="44" spans="1:29">
      <c r="C44" s="914"/>
      <c r="D44" s="62"/>
      <c r="E44" s="63"/>
      <c r="F44" s="63"/>
      <c r="G44" s="63"/>
      <c r="H44" s="63"/>
      <c r="I44" s="58">
        <f t="shared" ref="I44:AC44" si="39">I18-I42</f>
        <v>0.25150228299980881</v>
      </c>
      <c r="J44" s="58">
        <f t="shared" si="39"/>
        <v>-0.33045747200139886</v>
      </c>
      <c r="K44" s="278">
        <f t="shared" si="39"/>
        <v>-4.9332121998759249E-2</v>
      </c>
      <c r="L44" s="226">
        <f t="shared" si="39"/>
        <v>0.35506787800136408</v>
      </c>
      <c r="M44" s="58">
        <f t="shared" si="39"/>
        <v>0.35506787800090933</v>
      </c>
      <c r="N44" s="58">
        <f t="shared" si="39"/>
        <v>0.35506787800090933</v>
      </c>
      <c r="O44" s="58">
        <f t="shared" si="39"/>
        <v>0.35506787800068196</v>
      </c>
      <c r="P44" s="58">
        <f t="shared" si="39"/>
        <v>0.35506787800136408</v>
      </c>
      <c r="Q44" s="58">
        <f t="shared" si="39"/>
        <v>0.35506787800113671</v>
      </c>
      <c r="R44" s="58">
        <f t="shared" si="39"/>
        <v>0.35506787800022721</v>
      </c>
      <c r="S44" s="58">
        <f t="shared" si="39"/>
        <v>0.35506787799909034</v>
      </c>
      <c r="T44" s="58">
        <f t="shared" si="39"/>
        <v>0.35506787799795347</v>
      </c>
      <c r="U44" s="58">
        <f t="shared" si="39"/>
        <v>0.35506787799840822</v>
      </c>
      <c r="V44" s="58">
        <f t="shared" si="39"/>
        <v>0.35506787799863559</v>
      </c>
      <c r="W44" s="58">
        <f t="shared" si="39"/>
        <v>0.35506787799840822</v>
      </c>
      <c r="X44" s="58">
        <f t="shared" si="39"/>
        <v>0.35506787799909034</v>
      </c>
      <c r="Y44" s="58">
        <f t="shared" si="39"/>
        <v>0.35506787799931772</v>
      </c>
      <c r="Z44" s="58">
        <f t="shared" si="39"/>
        <v>0.35506787799886297</v>
      </c>
      <c r="AA44" s="58">
        <f t="shared" si="39"/>
        <v>0.35506787799909034</v>
      </c>
      <c r="AB44" s="58">
        <f t="shared" si="39"/>
        <v>0.35506787800113671</v>
      </c>
      <c r="AC44" s="58">
        <f t="shared" si="39"/>
        <v>0.3550678780020462</v>
      </c>
    </row>
    <row r="45" spans="1:29" ht="13.5" thickBot="1">
      <c r="C45" s="914" t="s">
        <v>344</v>
      </c>
      <c r="D45" s="62"/>
      <c r="E45" s="63">
        <f t="shared" ref="E45:K45" si="40">SUM(E9:E15)-SUM(E37:E39,E41)</f>
        <v>631.39999999999964</v>
      </c>
      <c r="F45" s="63">
        <f t="shared" si="40"/>
        <v>538.49000000000024</v>
      </c>
      <c r="G45" s="63">
        <f t="shared" si="40"/>
        <v>504.51</v>
      </c>
      <c r="H45" s="63">
        <f t="shared" si="40"/>
        <v>305.05999999999995</v>
      </c>
      <c r="I45" s="229">
        <f t="shared" si="40"/>
        <v>155.48800000000028</v>
      </c>
      <c r="J45" s="58">
        <f t="shared" si="40"/>
        <v>-104.89709999999997</v>
      </c>
      <c r="K45" s="278">
        <f t="shared" si="40"/>
        <v>-440.75670000000014</v>
      </c>
      <c r="L45" s="226">
        <f>SUM(L9:L15)-SUM(L37:L39,L41)</f>
        <v>742.11813959604933</v>
      </c>
      <c r="M45" s="58">
        <f t="shared" ref="M45:AC45" si="41">SUM(M9:M15)-SUM(M37:M39,M41)</f>
        <v>754.38763685362505</v>
      </c>
      <c r="N45" s="58">
        <f t="shared" si="41"/>
        <v>843.69747557566791</v>
      </c>
      <c r="O45" s="58">
        <f t="shared" si="41"/>
        <v>892.76776813234198</v>
      </c>
      <c r="P45" s="58">
        <f t="shared" si="41"/>
        <v>898.45416288325453</v>
      </c>
      <c r="Q45" s="58">
        <f t="shared" si="41"/>
        <v>904.14055763416718</v>
      </c>
      <c r="R45" s="58">
        <f t="shared" si="41"/>
        <v>904.14055763416718</v>
      </c>
      <c r="S45" s="58">
        <f t="shared" si="41"/>
        <v>904.14055763416718</v>
      </c>
      <c r="T45" s="58">
        <f t="shared" si="41"/>
        <v>904.14055763416718</v>
      </c>
      <c r="U45" s="58">
        <f t="shared" si="41"/>
        <v>904.14055763416718</v>
      </c>
      <c r="V45" s="58">
        <f t="shared" si="41"/>
        <v>904.14055763416718</v>
      </c>
      <c r="W45" s="58">
        <f t="shared" si="41"/>
        <v>904.14055763416718</v>
      </c>
      <c r="X45" s="58">
        <f t="shared" si="41"/>
        <v>904.14055763416718</v>
      </c>
      <c r="Y45" s="58">
        <f t="shared" si="41"/>
        <v>904.14055763416718</v>
      </c>
      <c r="Z45" s="58">
        <f t="shared" si="41"/>
        <v>904.14055763416718</v>
      </c>
      <c r="AA45" s="58">
        <f t="shared" si="41"/>
        <v>904.14055763416718</v>
      </c>
      <c r="AB45" s="58">
        <f t="shared" si="41"/>
        <v>904.14055763416718</v>
      </c>
      <c r="AC45" s="58">
        <f t="shared" si="41"/>
        <v>904.14055763416718</v>
      </c>
    </row>
    <row r="46" spans="1:29" ht="13.5" thickBot="1">
      <c r="C46" s="913" t="s">
        <v>35</v>
      </c>
      <c r="D46" s="62"/>
      <c r="E46" s="63"/>
      <c r="F46" s="63"/>
      <c r="G46" s="63"/>
      <c r="H46" s="63"/>
      <c r="I46" s="225">
        <f t="shared" ref="I46:AC46" si="42">I2</f>
        <v>43921</v>
      </c>
      <c r="J46" s="225">
        <f t="shared" si="42"/>
        <v>44286</v>
      </c>
      <c r="K46" s="1025">
        <f t="shared" si="42"/>
        <v>44651</v>
      </c>
      <c r="L46" s="1043">
        <f t="shared" si="42"/>
        <v>45016</v>
      </c>
      <c r="M46" s="225">
        <f t="shared" si="42"/>
        <v>45382</v>
      </c>
      <c r="N46" s="225">
        <f t="shared" si="42"/>
        <v>45747</v>
      </c>
      <c r="O46" s="225">
        <f t="shared" si="42"/>
        <v>46112</v>
      </c>
      <c r="P46" s="225">
        <f t="shared" si="42"/>
        <v>46477</v>
      </c>
      <c r="Q46" s="225">
        <f t="shared" si="42"/>
        <v>46843</v>
      </c>
      <c r="R46" s="225">
        <f t="shared" si="42"/>
        <v>47208</v>
      </c>
      <c r="S46" s="225">
        <f t="shared" si="42"/>
        <v>47573</v>
      </c>
      <c r="T46" s="225">
        <f t="shared" si="42"/>
        <v>47938</v>
      </c>
      <c r="U46" s="225">
        <f t="shared" si="42"/>
        <v>48304</v>
      </c>
      <c r="V46" s="225">
        <f t="shared" si="42"/>
        <v>48669</v>
      </c>
      <c r="W46" s="225">
        <f t="shared" si="42"/>
        <v>49034</v>
      </c>
      <c r="X46" s="225">
        <f t="shared" si="42"/>
        <v>49399</v>
      </c>
      <c r="Y46" s="225">
        <f t="shared" si="42"/>
        <v>49765</v>
      </c>
      <c r="Z46" s="225">
        <f t="shared" si="42"/>
        <v>50130</v>
      </c>
      <c r="AA46" s="225">
        <f t="shared" si="42"/>
        <v>50495</v>
      </c>
      <c r="AB46" s="225">
        <f t="shared" si="42"/>
        <v>50860</v>
      </c>
      <c r="AC46" s="225">
        <f t="shared" si="42"/>
        <v>51226</v>
      </c>
    </row>
    <row r="47" spans="1:29" s="26" customFormat="1">
      <c r="C47" s="915" t="s">
        <v>243</v>
      </c>
      <c r="D47" s="163"/>
      <c r="E47" s="107"/>
      <c r="F47" s="107"/>
      <c r="G47" s="107"/>
      <c r="H47" s="107"/>
      <c r="I47" s="98"/>
      <c r="J47" s="98"/>
      <c r="K47" s="1026"/>
      <c r="L47" s="1044">
        <f t="shared" ref="L47:AC47" si="43">SUM(L48:L60)</f>
        <v>-1607.6973100342743</v>
      </c>
      <c r="M47" s="98">
        <f t="shared" si="43"/>
        <v>-500.43691554469495</v>
      </c>
      <c r="N47" s="98">
        <f t="shared" si="43"/>
        <v>-195.97820210675727</v>
      </c>
      <c r="O47" s="98">
        <f t="shared" si="43"/>
        <v>114.45899595162089</v>
      </c>
      <c r="P47" s="98">
        <f t="shared" si="43"/>
        <v>139.79220612233135</v>
      </c>
      <c r="Q47" s="98">
        <f t="shared" si="43"/>
        <v>112.29036124341719</v>
      </c>
      <c r="R47" s="98">
        <f t="shared" si="43"/>
        <v>93.234003203612218</v>
      </c>
      <c r="S47" s="98">
        <f t="shared" si="43"/>
        <v>64.823346700899918</v>
      </c>
      <c r="T47" s="98">
        <f t="shared" si="43"/>
        <v>27.146527400106116</v>
      </c>
      <c r="U47" s="98">
        <f t="shared" si="43"/>
        <v>-13.205617357851713</v>
      </c>
      <c r="V47" s="98">
        <f t="shared" si="43"/>
        <v>-36.703956462935402</v>
      </c>
      <c r="W47" s="98">
        <f t="shared" si="43"/>
        <v>-78.481926835496353</v>
      </c>
      <c r="X47" s="98">
        <f t="shared" si="43"/>
        <v>-121.03645872901919</v>
      </c>
      <c r="Y47" s="98">
        <f t="shared" si="43"/>
        <v>-160.82896921958539</v>
      </c>
      <c r="Z47" s="98">
        <f t="shared" si="43"/>
        <v>-215.78642891132816</v>
      </c>
      <c r="AA47" s="98">
        <f t="shared" si="43"/>
        <v>-261.70250725833972</v>
      </c>
      <c r="AB47" s="98">
        <f t="shared" si="43"/>
        <v>-317.53880230225383</v>
      </c>
      <c r="AC47" s="98">
        <f t="shared" si="43"/>
        <v>-377.07616105279754</v>
      </c>
    </row>
    <row r="48" spans="1:29">
      <c r="C48" s="906" t="s">
        <v>85</v>
      </c>
      <c r="D48" s="62"/>
      <c r="E48" s="63"/>
      <c r="F48" s="63"/>
      <c r="G48" s="63"/>
      <c r="H48" s="63"/>
      <c r="I48" s="164"/>
      <c r="J48" s="164"/>
      <c r="K48" s="1013"/>
      <c r="L48" s="1039">
        <f t="shared" ref="L48:AC48" si="44">L176</f>
        <v>-411.41867043822509</v>
      </c>
      <c r="M48" s="164">
        <f t="shared" si="44"/>
        <v>-472.82901828711925</v>
      </c>
      <c r="N48" s="164">
        <f t="shared" si="44"/>
        <v>-93.151063384714263</v>
      </c>
      <c r="O48" s="164">
        <f t="shared" si="44"/>
        <v>163.52928850829491</v>
      </c>
      <c r="P48" s="164">
        <f t="shared" si="44"/>
        <v>145.47860087324395</v>
      </c>
      <c r="Q48" s="164">
        <f t="shared" si="44"/>
        <v>117.97675599432975</v>
      </c>
      <c r="R48" s="164">
        <f t="shared" si="44"/>
        <v>93.234003203612218</v>
      </c>
      <c r="S48" s="164">
        <f t="shared" si="44"/>
        <v>64.823346700899918</v>
      </c>
      <c r="T48" s="164">
        <f t="shared" si="44"/>
        <v>27.146527400106116</v>
      </c>
      <c r="U48" s="164">
        <f t="shared" si="44"/>
        <v>-13.205617357851713</v>
      </c>
      <c r="V48" s="164">
        <f t="shared" si="44"/>
        <v>-36.703956462935402</v>
      </c>
      <c r="W48" s="164">
        <f t="shared" si="44"/>
        <v>-78.481926835496353</v>
      </c>
      <c r="X48" s="164">
        <f t="shared" si="44"/>
        <v>-121.03645872901919</v>
      </c>
      <c r="Y48" s="164">
        <f t="shared" si="44"/>
        <v>-160.82896921958539</v>
      </c>
      <c r="Z48" s="164">
        <f t="shared" si="44"/>
        <v>-215.78642891132816</v>
      </c>
      <c r="AA48" s="164">
        <f t="shared" si="44"/>
        <v>-261.70250725833972</v>
      </c>
      <c r="AB48" s="164">
        <f t="shared" si="44"/>
        <v>-317.53880230225383</v>
      </c>
      <c r="AC48" s="165">
        <f t="shared" si="44"/>
        <v>-377.07616105279754</v>
      </c>
    </row>
    <row r="49" spans="3:29">
      <c r="C49" s="906" t="s">
        <v>172</v>
      </c>
      <c r="D49" s="62"/>
      <c r="E49" s="63"/>
      <c r="F49" s="63"/>
      <c r="G49" s="63"/>
      <c r="H49" s="63"/>
      <c r="I49" s="164"/>
      <c r="J49" s="164"/>
      <c r="K49" s="1013"/>
      <c r="L49" s="1039">
        <f t="shared" ref="L49:AC49" si="45">-L179</f>
        <v>0</v>
      </c>
      <c r="M49" s="164">
        <f t="shared" si="45"/>
        <v>0</v>
      </c>
      <c r="N49" s="164">
        <f t="shared" si="45"/>
        <v>0</v>
      </c>
      <c r="O49" s="164">
        <f t="shared" si="45"/>
        <v>0</v>
      </c>
      <c r="P49" s="164">
        <f t="shared" si="45"/>
        <v>0</v>
      </c>
      <c r="Q49" s="164">
        <f t="shared" si="45"/>
        <v>0</v>
      </c>
      <c r="R49" s="164">
        <f t="shared" si="45"/>
        <v>0</v>
      </c>
      <c r="S49" s="164">
        <f t="shared" si="45"/>
        <v>0</v>
      </c>
      <c r="T49" s="164">
        <f t="shared" si="45"/>
        <v>0</v>
      </c>
      <c r="U49" s="164">
        <f t="shared" si="45"/>
        <v>0</v>
      </c>
      <c r="V49" s="164">
        <f t="shared" si="45"/>
        <v>0</v>
      </c>
      <c r="W49" s="164">
        <f t="shared" si="45"/>
        <v>0</v>
      </c>
      <c r="X49" s="164">
        <f t="shared" si="45"/>
        <v>0</v>
      </c>
      <c r="Y49" s="164">
        <f t="shared" si="45"/>
        <v>0</v>
      </c>
      <c r="Z49" s="164">
        <f t="shared" si="45"/>
        <v>0</v>
      </c>
      <c r="AA49" s="164">
        <f t="shared" si="45"/>
        <v>0</v>
      </c>
      <c r="AB49" s="164">
        <f t="shared" si="45"/>
        <v>0</v>
      </c>
      <c r="AC49" s="165">
        <f t="shared" si="45"/>
        <v>0</v>
      </c>
    </row>
    <row r="50" spans="3:29" ht="25.5">
      <c r="C50" s="906" t="s">
        <v>292</v>
      </c>
      <c r="D50" s="62"/>
      <c r="E50" s="63"/>
      <c r="F50" s="63"/>
      <c r="G50" s="63"/>
      <c r="H50" s="63"/>
      <c r="I50" s="164"/>
      <c r="J50" s="164"/>
      <c r="K50" s="1013"/>
      <c r="L50" s="1039">
        <f>IF(Assumptions!$C$157=1,Assumptions!I151,0)</f>
        <v>0</v>
      </c>
      <c r="M50" s="164">
        <f>IF(Assumptions!$C$157=1,Assumptions!J151,0)</f>
        <v>0</v>
      </c>
      <c r="N50" s="164">
        <f>IF(Assumptions!$C$157=1,Assumptions!K151,0)</f>
        <v>0</v>
      </c>
      <c r="O50" s="164">
        <f>IF(Assumptions!$C$157=1,Assumptions!L151,0)</f>
        <v>0</v>
      </c>
      <c r="P50" s="164">
        <f>IF(Assumptions!$C$157=1,Assumptions!M151,0)</f>
        <v>0</v>
      </c>
      <c r="Q50" s="164">
        <f>IF(Assumptions!$C$157=1,Assumptions!N151,0)</f>
        <v>0</v>
      </c>
      <c r="R50" s="164">
        <f>IF(Assumptions!$C$157=1,Assumptions!O151,0)</f>
        <v>0</v>
      </c>
      <c r="S50" s="164">
        <f>IF(Assumptions!$C$157=1,Assumptions!P151,0)</f>
        <v>0</v>
      </c>
      <c r="T50" s="164">
        <f>IF(Assumptions!$C$157=1,Assumptions!Q151,0)</f>
        <v>0</v>
      </c>
      <c r="U50" s="164">
        <f>IF(Assumptions!$C$157=1,Assumptions!R151,0)</f>
        <v>0</v>
      </c>
      <c r="V50" s="164">
        <f>IF(Assumptions!$C$157=1,Assumptions!S151,0)</f>
        <v>0</v>
      </c>
      <c r="W50" s="164">
        <f>IF(Assumptions!$C$157=1,Assumptions!T151,0)</f>
        <v>0</v>
      </c>
      <c r="X50" s="164">
        <f>IF(Assumptions!$C$157=1,Assumptions!U151,0)</f>
        <v>0</v>
      </c>
      <c r="Y50" s="164">
        <f>IF(Assumptions!$C$157=1,Assumptions!V151,0)</f>
        <v>0</v>
      </c>
      <c r="Z50" s="164">
        <f>IF(Assumptions!$C$157=1,Assumptions!W151,0)</f>
        <v>0</v>
      </c>
      <c r="AA50" s="164">
        <f>IF(Assumptions!$C$157=1,Assumptions!X151,0)</f>
        <v>0</v>
      </c>
      <c r="AB50" s="164">
        <f>IF(Assumptions!$C$157=1,Assumptions!Y151,0)</f>
        <v>0</v>
      </c>
      <c r="AC50" s="165">
        <f>IF(Assumptions!$C$157=1,Assumptions!Z151,0)</f>
        <v>0</v>
      </c>
    </row>
    <row r="51" spans="3:29">
      <c r="C51" s="906" t="s">
        <v>245</v>
      </c>
      <c r="D51" s="62"/>
      <c r="E51" s="63"/>
      <c r="F51" s="63"/>
      <c r="G51" s="63"/>
      <c r="H51" s="63"/>
      <c r="I51" s="164"/>
      <c r="J51" s="164"/>
      <c r="K51" s="1013"/>
      <c r="L51" s="1039">
        <f t="shared" ref="L51:AC51" si="46">-(L9-K9)</f>
        <v>-8.3565061390552913</v>
      </c>
      <c r="M51" s="164">
        <f t="shared" si="46"/>
        <v>-1.3973216999206386</v>
      </c>
      <c r="N51" s="164">
        <f t="shared" si="46"/>
        <v>-4.7728650599206404</v>
      </c>
      <c r="O51" s="164">
        <f t="shared" si="46"/>
        <v>-3.3726852462220265</v>
      </c>
      <c r="P51" s="164">
        <f t="shared" si="46"/>
        <v>-1.0567480188247487</v>
      </c>
      <c r="Q51" s="164">
        <f t="shared" si="46"/>
        <v>-1.0567480188247629</v>
      </c>
      <c r="R51" s="164">
        <f t="shared" si="46"/>
        <v>0</v>
      </c>
      <c r="S51" s="164">
        <f t="shared" si="46"/>
        <v>0</v>
      </c>
      <c r="T51" s="164">
        <f t="shared" si="46"/>
        <v>0</v>
      </c>
      <c r="U51" s="164">
        <f t="shared" si="46"/>
        <v>0</v>
      </c>
      <c r="V51" s="164">
        <f t="shared" si="46"/>
        <v>0</v>
      </c>
      <c r="W51" s="164">
        <f t="shared" si="46"/>
        <v>0</v>
      </c>
      <c r="X51" s="164">
        <f t="shared" si="46"/>
        <v>0</v>
      </c>
      <c r="Y51" s="164">
        <f t="shared" si="46"/>
        <v>0</v>
      </c>
      <c r="Z51" s="164">
        <f t="shared" si="46"/>
        <v>0</v>
      </c>
      <c r="AA51" s="164">
        <f t="shared" si="46"/>
        <v>0</v>
      </c>
      <c r="AB51" s="164">
        <f t="shared" si="46"/>
        <v>0</v>
      </c>
      <c r="AC51" s="165">
        <f t="shared" si="46"/>
        <v>0</v>
      </c>
    </row>
    <row r="52" spans="3:29">
      <c r="C52" s="906" t="s">
        <v>129</v>
      </c>
      <c r="D52" s="62"/>
      <c r="E52" s="63"/>
      <c r="F52" s="63"/>
      <c r="G52" s="63"/>
      <c r="H52" s="63"/>
      <c r="I52" s="164"/>
      <c r="J52" s="164"/>
      <c r="K52" s="1013"/>
      <c r="L52" s="1039">
        <f t="shared" ref="L52:AC52" si="47">-(L10-K10)</f>
        <v>-525.50188534716938</v>
      </c>
      <c r="M52" s="164">
        <f t="shared" si="47"/>
        <v>-12.952106261824838</v>
      </c>
      <c r="N52" s="164">
        <f t="shared" si="47"/>
        <v>-92.166334524815852</v>
      </c>
      <c r="O52" s="164">
        <f t="shared" si="47"/>
        <v>-55.774455526481916</v>
      </c>
      <c r="P52" s="164">
        <f t="shared" si="47"/>
        <v>-4.9598281490955287</v>
      </c>
      <c r="Q52" s="164">
        <f t="shared" si="47"/>
        <v>-4.9598281490955287</v>
      </c>
      <c r="R52" s="164">
        <f t="shared" si="47"/>
        <v>0</v>
      </c>
      <c r="S52" s="164">
        <f t="shared" si="47"/>
        <v>0</v>
      </c>
      <c r="T52" s="164">
        <f t="shared" si="47"/>
        <v>0</v>
      </c>
      <c r="U52" s="164">
        <f t="shared" si="47"/>
        <v>0</v>
      </c>
      <c r="V52" s="164">
        <f t="shared" si="47"/>
        <v>0</v>
      </c>
      <c r="W52" s="164">
        <f t="shared" si="47"/>
        <v>0</v>
      </c>
      <c r="X52" s="164">
        <f t="shared" si="47"/>
        <v>0</v>
      </c>
      <c r="Y52" s="164">
        <f t="shared" si="47"/>
        <v>0</v>
      </c>
      <c r="Z52" s="164">
        <f t="shared" si="47"/>
        <v>0</v>
      </c>
      <c r="AA52" s="164">
        <f t="shared" si="47"/>
        <v>0</v>
      </c>
      <c r="AB52" s="164">
        <f t="shared" si="47"/>
        <v>0</v>
      </c>
      <c r="AC52" s="165">
        <f t="shared" si="47"/>
        <v>0</v>
      </c>
    </row>
    <row r="53" spans="3:29">
      <c r="C53" s="906" t="s">
        <v>155</v>
      </c>
      <c r="D53" s="62"/>
      <c r="E53" s="63"/>
      <c r="F53" s="63"/>
      <c r="G53" s="63"/>
      <c r="H53" s="63"/>
      <c r="I53" s="164"/>
      <c r="J53" s="164"/>
      <c r="K53" s="1013"/>
      <c r="L53" s="1039">
        <f t="shared" ref="L53:AC53" si="48">-(L15-K15)</f>
        <v>0</v>
      </c>
      <c r="M53" s="164">
        <f t="shared" si="48"/>
        <v>0</v>
      </c>
      <c r="N53" s="164">
        <f t="shared" si="48"/>
        <v>0</v>
      </c>
      <c r="O53" s="164">
        <f t="shared" si="48"/>
        <v>0</v>
      </c>
      <c r="P53" s="164">
        <f t="shared" si="48"/>
        <v>0</v>
      </c>
      <c r="Q53" s="164">
        <f t="shared" si="48"/>
        <v>0</v>
      </c>
      <c r="R53" s="164">
        <f t="shared" si="48"/>
        <v>0</v>
      </c>
      <c r="S53" s="164">
        <f t="shared" si="48"/>
        <v>0</v>
      </c>
      <c r="T53" s="164">
        <f t="shared" si="48"/>
        <v>0</v>
      </c>
      <c r="U53" s="164">
        <f t="shared" si="48"/>
        <v>0</v>
      </c>
      <c r="V53" s="164">
        <f t="shared" si="48"/>
        <v>0</v>
      </c>
      <c r="W53" s="164">
        <f t="shared" si="48"/>
        <v>0</v>
      </c>
      <c r="X53" s="164">
        <f t="shared" si="48"/>
        <v>0</v>
      </c>
      <c r="Y53" s="164">
        <f t="shared" si="48"/>
        <v>0</v>
      </c>
      <c r="Z53" s="164">
        <f t="shared" si="48"/>
        <v>0</v>
      </c>
      <c r="AA53" s="164">
        <f t="shared" si="48"/>
        <v>0</v>
      </c>
      <c r="AB53" s="164">
        <f t="shared" si="48"/>
        <v>0</v>
      </c>
      <c r="AC53" s="165">
        <f t="shared" si="48"/>
        <v>0</v>
      </c>
    </row>
    <row r="54" spans="3:29">
      <c r="C54" s="906" t="s">
        <v>378</v>
      </c>
      <c r="D54" s="62"/>
      <c r="E54" s="63"/>
      <c r="F54" s="63"/>
      <c r="G54" s="63"/>
      <c r="H54" s="63"/>
      <c r="I54" s="164"/>
      <c r="J54" s="164"/>
      <c r="K54" s="1013"/>
      <c r="L54" s="1039">
        <f t="shared" ref="L54:AC54" si="49">L37-K37</f>
        <v>-249.60885772499995</v>
      </c>
      <c r="M54" s="164">
        <f t="shared" si="49"/>
        <v>0</v>
      </c>
      <c r="N54" s="164">
        <f t="shared" si="49"/>
        <v>0</v>
      </c>
      <c r="O54" s="164">
        <f t="shared" si="49"/>
        <v>0</v>
      </c>
      <c r="P54" s="164">
        <f t="shared" si="49"/>
        <v>0</v>
      </c>
      <c r="Q54" s="164">
        <f t="shared" si="49"/>
        <v>0</v>
      </c>
      <c r="R54" s="164">
        <f t="shared" si="49"/>
        <v>0</v>
      </c>
      <c r="S54" s="164">
        <f t="shared" si="49"/>
        <v>0</v>
      </c>
      <c r="T54" s="164">
        <f t="shared" si="49"/>
        <v>0</v>
      </c>
      <c r="U54" s="164">
        <f t="shared" si="49"/>
        <v>0</v>
      </c>
      <c r="V54" s="164">
        <f t="shared" si="49"/>
        <v>0</v>
      </c>
      <c r="W54" s="164">
        <f t="shared" si="49"/>
        <v>0</v>
      </c>
      <c r="X54" s="164">
        <f t="shared" si="49"/>
        <v>0</v>
      </c>
      <c r="Y54" s="164">
        <f t="shared" si="49"/>
        <v>0</v>
      </c>
      <c r="Z54" s="164">
        <f t="shared" si="49"/>
        <v>0</v>
      </c>
      <c r="AA54" s="164">
        <f t="shared" si="49"/>
        <v>0</v>
      </c>
      <c r="AB54" s="164">
        <f t="shared" si="49"/>
        <v>0</v>
      </c>
      <c r="AC54" s="165">
        <f t="shared" si="49"/>
        <v>0</v>
      </c>
    </row>
    <row r="55" spans="3:29">
      <c r="C55" s="906" t="s">
        <v>379</v>
      </c>
      <c r="D55" s="62"/>
      <c r="E55" s="63"/>
      <c r="F55" s="63"/>
      <c r="G55" s="63"/>
      <c r="H55" s="63"/>
      <c r="I55" s="164"/>
      <c r="J55" s="164"/>
      <c r="K55" s="1013"/>
      <c r="L55" s="1039">
        <f t="shared" ref="L55:AC55" si="50">L38-K38</f>
        <v>-353.5143503848247</v>
      </c>
      <c r="M55" s="164">
        <f t="shared" si="50"/>
        <v>2.079930704169783</v>
      </c>
      <c r="N55" s="164">
        <f t="shared" si="50"/>
        <v>7.6293608626934883</v>
      </c>
      <c r="O55" s="164">
        <f t="shared" si="50"/>
        <v>10.07684821602993</v>
      </c>
      <c r="P55" s="164">
        <f t="shared" si="50"/>
        <v>0.33018141700767956</v>
      </c>
      <c r="Q55" s="164">
        <f t="shared" si="50"/>
        <v>0.3301814170077364</v>
      </c>
      <c r="R55" s="164">
        <f t="shared" si="50"/>
        <v>0</v>
      </c>
      <c r="S55" s="164">
        <f t="shared" si="50"/>
        <v>0</v>
      </c>
      <c r="T55" s="164">
        <f t="shared" si="50"/>
        <v>0</v>
      </c>
      <c r="U55" s="164">
        <f t="shared" si="50"/>
        <v>0</v>
      </c>
      <c r="V55" s="164">
        <f t="shared" si="50"/>
        <v>0</v>
      </c>
      <c r="W55" s="164">
        <f t="shared" si="50"/>
        <v>0</v>
      </c>
      <c r="X55" s="164">
        <f t="shared" si="50"/>
        <v>0</v>
      </c>
      <c r="Y55" s="164">
        <f t="shared" si="50"/>
        <v>0</v>
      </c>
      <c r="Z55" s="164">
        <f t="shared" si="50"/>
        <v>0</v>
      </c>
      <c r="AA55" s="164">
        <f t="shared" si="50"/>
        <v>0</v>
      </c>
      <c r="AB55" s="164">
        <f t="shared" si="50"/>
        <v>0</v>
      </c>
      <c r="AC55" s="164">
        <f t="shared" si="50"/>
        <v>0</v>
      </c>
    </row>
    <row r="56" spans="3:29">
      <c r="C56" s="906" t="s">
        <v>253</v>
      </c>
      <c r="D56" s="62"/>
      <c r="E56" s="63"/>
      <c r="F56" s="63"/>
      <c r="G56" s="63"/>
      <c r="H56" s="63"/>
      <c r="I56" s="164"/>
      <c r="J56" s="164"/>
      <c r="K56" s="1013"/>
      <c r="L56" s="1039">
        <f t="shared" ref="L56:AC56" si="51">L39-K39</f>
        <v>-38.51829</v>
      </c>
      <c r="M56" s="164">
        <f t="shared" si="51"/>
        <v>0</v>
      </c>
      <c r="N56" s="164">
        <f t="shared" si="51"/>
        <v>0</v>
      </c>
      <c r="O56" s="164">
        <f t="shared" si="51"/>
        <v>0</v>
      </c>
      <c r="P56" s="164">
        <f t="shared" si="51"/>
        <v>0</v>
      </c>
      <c r="Q56" s="164">
        <f t="shared" si="51"/>
        <v>0</v>
      </c>
      <c r="R56" s="164">
        <f t="shared" si="51"/>
        <v>0</v>
      </c>
      <c r="S56" s="164">
        <f t="shared" si="51"/>
        <v>0</v>
      </c>
      <c r="T56" s="164">
        <f>T39-S39</f>
        <v>0</v>
      </c>
      <c r="U56" s="164">
        <f t="shared" si="51"/>
        <v>0</v>
      </c>
      <c r="V56" s="164">
        <f t="shared" si="51"/>
        <v>0</v>
      </c>
      <c r="W56" s="164">
        <f t="shared" si="51"/>
        <v>0</v>
      </c>
      <c r="X56" s="164">
        <f t="shared" si="51"/>
        <v>0</v>
      </c>
      <c r="Y56" s="164">
        <f t="shared" si="51"/>
        <v>0</v>
      </c>
      <c r="Z56" s="164">
        <f t="shared" si="51"/>
        <v>0</v>
      </c>
      <c r="AA56" s="164">
        <f t="shared" si="51"/>
        <v>0</v>
      </c>
      <c r="AB56" s="164">
        <f t="shared" si="51"/>
        <v>0</v>
      </c>
      <c r="AC56" s="165">
        <f t="shared" si="51"/>
        <v>0</v>
      </c>
    </row>
    <row r="57" spans="3:29">
      <c r="C57" s="906" t="s">
        <v>290</v>
      </c>
      <c r="D57" s="62"/>
      <c r="E57" s="63"/>
      <c r="F57" s="63"/>
      <c r="G57" s="63"/>
      <c r="H57" s="63"/>
      <c r="I57" s="164"/>
      <c r="J57" s="164"/>
      <c r="K57" s="1013"/>
      <c r="L57" s="1039">
        <f t="shared" ref="L57:AC57" si="52">L33-K33</f>
        <v>0.12090000000000023</v>
      </c>
      <c r="M57" s="164">
        <f t="shared" si="52"/>
        <v>-3.6</v>
      </c>
      <c r="N57" s="164">
        <f t="shared" si="52"/>
        <v>0</v>
      </c>
      <c r="O57" s="164">
        <f t="shared" si="52"/>
        <v>0</v>
      </c>
      <c r="P57" s="164">
        <f t="shared" si="52"/>
        <v>0</v>
      </c>
      <c r="Q57" s="164">
        <f t="shared" si="52"/>
        <v>0</v>
      </c>
      <c r="R57" s="164">
        <f t="shared" si="52"/>
        <v>0</v>
      </c>
      <c r="S57" s="164">
        <f t="shared" si="52"/>
        <v>0</v>
      </c>
      <c r="T57" s="164">
        <f t="shared" si="52"/>
        <v>0</v>
      </c>
      <c r="U57" s="164">
        <f t="shared" si="52"/>
        <v>0</v>
      </c>
      <c r="V57" s="164">
        <f t="shared" si="52"/>
        <v>0</v>
      </c>
      <c r="W57" s="164">
        <f t="shared" si="52"/>
        <v>0</v>
      </c>
      <c r="X57" s="164">
        <f t="shared" si="52"/>
        <v>0</v>
      </c>
      <c r="Y57" s="164">
        <f t="shared" si="52"/>
        <v>0</v>
      </c>
      <c r="Z57" s="164">
        <f t="shared" si="52"/>
        <v>0</v>
      </c>
      <c r="AA57" s="164">
        <f t="shared" si="52"/>
        <v>0</v>
      </c>
      <c r="AB57" s="164">
        <f t="shared" si="52"/>
        <v>0</v>
      </c>
      <c r="AC57" s="165">
        <f t="shared" si="52"/>
        <v>0</v>
      </c>
    </row>
    <row r="58" spans="3:29">
      <c r="C58" s="906" t="s">
        <v>291</v>
      </c>
      <c r="D58" s="62"/>
      <c r="E58" s="63"/>
      <c r="F58" s="63"/>
      <c r="G58" s="63"/>
      <c r="H58" s="63"/>
      <c r="I58" s="164"/>
      <c r="J58" s="164"/>
      <c r="K58" s="1013"/>
      <c r="L58" s="1039">
        <f t="shared" ref="L58:AC58" si="53">+L31-K31</f>
        <v>-13.524699999999996</v>
      </c>
      <c r="M58" s="164">
        <f t="shared" si="53"/>
        <v>-11.7384</v>
      </c>
      <c r="N58" s="164">
        <f t="shared" si="53"/>
        <v>-13.517300000000004</v>
      </c>
      <c r="O58" s="164">
        <f t="shared" si="53"/>
        <v>0</v>
      </c>
      <c r="P58" s="164">
        <f t="shared" si="53"/>
        <v>0</v>
      </c>
      <c r="Q58" s="164">
        <f t="shared" si="53"/>
        <v>0</v>
      </c>
      <c r="R58" s="164">
        <f t="shared" si="53"/>
        <v>0</v>
      </c>
      <c r="S58" s="164">
        <f t="shared" si="53"/>
        <v>0</v>
      </c>
      <c r="T58" s="164">
        <f t="shared" si="53"/>
        <v>0</v>
      </c>
      <c r="U58" s="164">
        <f t="shared" si="53"/>
        <v>0</v>
      </c>
      <c r="V58" s="164">
        <f t="shared" si="53"/>
        <v>0</v>
      </c>
      <c r="W58" s="164">
        <f t="shared" si="53"/>
        <v>0</v>
      </c>
      <c r="X58" s="164">
        <f t="shared" si="53"/>
        <v>0</v>
      </c>
      <c r="Y58" s="164">
        <f t="shared" si="53"/>
        <v>0</v>
      </c>
      <c r="Z58" s="164">
        <f t="shared" si="53"/>
        <v>0</v>
      </c>
      <c r="AA58" s="164">
        <f t="shared" si="53"/>
        <v>0</v>
      </c>
      <c r="AB58" s="164">
        <f t="shared" si="53"/>
        <v>0</v>
      </c>
      <c r="AC58" s="165">
        <f t="shared" si="53"/>
        <v>0</v>
      </c>
    </row>
    <row r="59" spans="3:29">
      <c r="C59" s="906" t="s">
        <v>193</v>
      </c>
      <c r="D59" s="62"/>
      <c r="E59" s="63"/>
      <c r="F59" s="63"/>
      <c r="G59" s="63"/>
      <c r="H59" s="63"/>
      <c r="I59" s="164"/>
      <c r="J59" s="164"/>
      <c r="K59" s="1013"/>
      <c r="L59" s="1039">
        <f t="shared" ref="L59:AC59" si="54">L34-K34</f>
        <v>0</v>
      </c>
      <c r="M59" s="164">
        <f t="shared" si="54"/>
        <v>0</v>
      </c>
      <c r="N59" s="164">
        <f t="shared" si="54"/>
        <v>0</v>
      </c>
      <c r="O59" s="164">
        <f t="shared" si="54"/>
        <v>0</v>
      </c>
      <c r="P59" s="164">
        <f t="shared" si="54"/>
        <v>0</v>
      </c>
      <c r="Q59" s="164">
        <f t="shared" si="54"/>
        <v>0</v>
      </c>
      <c r="R59" s="164">
        <f t="shared" si="54"/>
        <v>0</v>
      </c>
      <c r="S59" s="164">
        <f t="shared" si="54"/>
        <v>0</v>
      </c>
      <c r="T59" s="164">
        <f t="shared" si="54"/>
        <v>0</v>
      </c>
      <c r="U59" s="164">
        <f t="shared" si="54"/>
        <v>0</v>
      </c>
      <c r="V59" s="164">
        <f t="shared" si="54"/>
        <v>0</v>
      </c>
      <c r="W59" s="164">
        <f t="shared" si="54"/>
        <v>0</v>
      </c>
      <c r="X59" s="164">
        <f t="shared" si="54"/>
        <v>0</v>
      </c>
      <c r="Y59" s="164">
        <f t="shared" si="54"/>
        <v>0</v>
      </c>
      <c r="Z59" s="164">
        <f t="shared" si="54"/>
        <v>0</v>
      </c>
      <c r="AA59" s="164">
        <f t="shared" si="54"/>
        <v>0</v>
      </c>
      <c r="AB59" s="164">
        <f t="shared" si="54"/>
        <v>0</v>
      </c>
      <c r="AC59" s="165">
        <f t="shared" si="54"/>
        <v>0</v>
      </c>
    </row>
    <row r="60" spans="3:29">
      <c r="C60" s="906" t="s">
        <v>398</v>
      </c>
      <c r="D60" s="62"/>
      <c r="E60" s="63"/>
      <c r="F60" s="63"/>
      <c r="G60" s="63"/>
      <c r="H60" s="63"/>
      <c r="I60" s="164"/>
      <c r="J60" s="164"/>
      <c r="K60" s="1013"/>
      <c r="L60" s="1039">
        <f t="shared" ref="L60:AC60" si="55">L41-K41</f>
        <v>-7.3749500000000001</v>
      </c>
      <c r="M60" s="164">
        <f t="shared" si="55"/>
        <v>0</v>
      </c>
      <c r="N60" s="164">
        <f t="shared" si="55"/>
        <v>0</v>
      </c>
      <c r="O60" s="164">
        <f t="shared" si="55"/>
        <v>0</v>
      </c>
      <c r="P60" s="164">
        <f t="shared" si="55"/>
        <v>0</v>
      </c>
      <c r="Q60" s="164">
        <f t="shared" si="55"/>
        <v>0</v>
      </c>
      <c r="R60" s="164">
        <f t="shared" si="55"/>
        <v>0</v>
      </c>
      <c r="S60" s="164">
        <f t="shared" si="55"/>
        <v>0</v>
      </c>
      <c r="T60" s="164">
        <f t="shared" si="55"/>
        <v>0</v>
      </c>
      <c r="U60" s="164">
        <f t="shared" si="55"/>
        <v>0</v>
      </c>
      <c r="V60" s="164">
        <f t="shared" si="55"/>
        <v>0</v>
      </c>
      <c r="W60" s="164">
        <f t="shared" si="55"/>
        <v>0</v>
      </c>
      <c r="X60" s="164">
        <f t="shared" si="55"/>
        <v>0</v>
      </c>
      <c r="Y60" s="164">
        <f t="shared" si="55"/>
        <v>0</v>
      </c>
      <c r="Z60" s="164">
        <f t="shared" si="55"/>
        <v>0</v>
      </c>
      <c r="AA60" s="164">
        <f t="shared" si="55"/>
        <v>0</v>
      </c>
      <c r="AB60" s="164">
        <f t="shared" si="55"/>
        <v>0</v>
      </c>
      <c r="AC60" s="164">
        <f t="shared" si="55"/>
        <v>0</v>
      </c>
    </row>
    <row r="61" spans="3:29" s="26" customFormat="1" ht="25.5">
      <c r="C61" s="910" t="s">
        <v>247</v>
      </c>
      <c r="D61" s="65"/>
      <c r="E61" s="104"/>
      <c r="F61" s="104"/>
      <c r="G61" s="104"/>
      <c r="H61" s="104"/>
      <c r="I61" s="166"/>
      <c r="J61" s="166"/>
      <c r="K61" s="1014"/>
      <c r="L61" s="227">
        <f t="shared" ref="L61:AC61" si="56">SUM(L62:L72)</f>
        <v>267.83511348993164</v>
      </c>
      <c r="M61" s="166">
        <f t="shared" si="56"/>
        <v>325.17577460433819</v>
      </c>
      <c r="N61" s="166">
        <f t="shared" si="56"/>
        <v>113.85521905022483</v>
      </c>
      <c r="O61" s="166">
        <f t="shared" si="56"/>
        <v>-261.73180781403812</v>
      </c>
      <c r="P61" s="166">
        <f t="shared" si="56"/>
        <v>-294.98250575439647</v>
      </c>
      <c r="Q61" s="166">
        <f t="shared" si="56"/>
        <v>-273.55620369475514</v>
      </c>
      <c r="R61" s="166">
        <f t="shared" si="56"/>
        <v>-252.09420369475515</v>
      </c>
      <c r="S61" s="166">
        <f t="shared" si="56"/>
        <v>-230.63220369475516</v>
      </c>
      <c r="T61" s="166">
        <f t="shared" si="56"/>
        <v>-209.1702036947552</v>
      </c>
      <c r="U61" s="166">
        <f t="shared" si="56"/>
        <v>-187.70820369475521</v>
      </c>
      <c r="V61" s="166">
        <f t="shared" si="56"/>
        <v>-23.677203694755008</v>
      </c>
      <c r="W61" s="166">
        <f t="shared" si="56"/>
        <v>-23.677203694754098</v>
      </c>
      <c r="X61" s="166">
        <f t="shared" si="56"/>
        <v>-23.677203694754098</v>
      </c>
      <c r="Y61" s="166">
        <f t="shared" si="56"/>
        <v>-23.677203694754098</v>
      </c>
      <c r="Z61" s="166">
        <f t="shared" si="56"/>
        <v>-23.677203694754098</v>
      </c>
      <c r="AA61" s="166">
        <f t="shared" si="56"/>
        <v>-23.677203694754098</v>
      </c>
      <c r="AB61" s="166">
        <f t="shared" si="56"/>
        <v>-23.677203694754098</v>
      </c>
      <c r="AC61" s="167">
        <f t="shared" si="56"/>
        <v>-23.677203694754098</v>
      </c>
    </row>
    <row r="62" spans="3:29">
      <c r="C62" s="906" t="s">
        <v>244</v>
      </c>
      <c r="D62" s="62"/>
      <c r="E62" s="63"/>
      <c r="F62" s="63"/>
      <c r="G62" s="63"/>
      <c r="H62" s="63"/>
      <c r="I62" s="164"/>
      <c r="J62" s="164"/>
      <c r="K62" s="1013"/>
      <c r="L62" s="1039">
        <f t="shared" ref="L62:AC62" si="57">-L177-K40+L40</f>
        <v>-68.614886510068345</v>
      </c>
      <c r="M62" s="164">
        <f t="shared" si="57"/>
        <v>-98.424225395661779</v>
      </c>
      <c r="N62" s="164">
        <f t="shared" si="57"/>
        <v>-147.59478094977521</v>
      </c>
      <c r="O62" s="164">
        <f t="shared" si="57"/>
        <v>-159.53180781403807</v>
      </c>
      <c r="P62" s="164">
        <f t="shared" si="57"/>
        <v>-141.68250575439652</v>
      </c>
      <c r="Q62" s="164">
        <f t="shared" si="57"/>
        <v>-120.25620369475519</v>
      </c>
      <c r="R62" s="164">
        <f t="shared" si="57"/>
        <v>-98.794203694755197</v>
      </c>
      <c r="S62" s="164">
        <f t="shared" si="57"/>
        <v>-77.332203694755208</v>
      </c>
      <c r="T62" s="164">
        <f t="shared" si="57"/>
        <v>-55.870203694755219</v>
      </c>
      <c r="U62" s="164">
        <f t="shared" si="57"/>
        <v>-34.40820369475523</v>
      </c>
      <c r="V62" s="164">
        <f t="shared" si="57"/>
        <v>-23.677203694755008</v>
      </c>
      <c r="W62" s="164">
        <f t="shared" si="57"/>
        <v>-23.677203694754098</v>
      </c>
      <c r="X62" s="164">
        <f t="shared" si="57"/>
        <v>-23.677203694754098</v>
      </c>
      <c r="Y62" s="164">
        <f t="shared" si="57"/>
        <v>-23.677203694754098</v>
      </c>
      <c r="Z62" s="164">
        <f t="shared" si="57"/>
        <v>-23.677203694754098</v>
      </c>
      <c r="AA62" s="164">
        <f t="shared" si="57"/>
        <v>-23.677203694754098</v>
      </c>
      <c r="AB62" s="164">
        <f t="shared" si="57"/>
        <v>-23.677203694754098</v>
      </c>
      <c r="AC62" s="164">
        <f t="shared" si="57"/>
        <v>-23.677203694754098</v>
      </c>
    </row>
    <row r="63" spans="3:29">
      <c r="C63" s="906" t="s">
        <v>394</v>
      </c>
      <c r="D63" s="62"/>
      <c r="E63" s="63"/>
      <c r="F63" s="63"/>
      <c r="G63" s="63"/>
      <c r="H63" s="63"/>
      <c r="I63" s="164"/>
      <c r="J63" s="164"/>
      <c r="K63" s="1013"/>
      <c r="L63" s="1039">
        <f>-Debt_Schedule!G24</f>
        <v>0</v>
      </c>
      <c r="M63" s="164">
        <f>-Debt_Schedule!H24</f>
        <v>0</v>
      </c>
      <c r="N63" s="164">
        <f>-Debt_Schedule!I24</f>
        <v>0</v>
      </c>
      <c r="O63" s="164">
        <f>-Debt_Schedule!J24</f>
        <v>0</v>
      </c>
      <c r="P63" s="164">
        <f>-Debt_Schedule!K24</f>
        <v>0</v>
      </c>
      <c r="Q63" s="164">
        <f>-Debt_Schedule!L24</f>
        <v>0</v>
      </c>
      <c r="R63" s="164">
        <f>-Debt_Schedule!M24</f>
        <v>0</v>
      </c>
      <c r="S63" s="164">
        <f>-Debt_Schedule!N24</f>
        <v>0</v>
      </c>
      <c r="T63" s="164">
        <f>-Debt_Schedule!O24</f>
        <v>0</v>
      </c>
      <c r="U63" s="164">
        <f>-Debt_Schedule!P24</f>
        <v>0</v>
      </c>
      <c r="V63" s="164">
        <f>-Debt_Schedule!Q24</f>
        <v>0</v>
      </c>
      <c r="W63" s="164">
        <f>-Debt_Schedule!R24</f>
        <v>0</v>
      </c>
      <c r="X63" s="164">
        <f>-Debt_Schedule!S24</f>
        <v>0</v>
      </c>
      <c r="Y63" s="164">
        <f>-Debt_Schedule!T24</f>
        <v>0</v>
      </c>
      <c r="Z63" s="164">
        <f>-Debt_Schedule!U24</f>
        <v>0</v>
      </c>
      <c r="AA63" s="164">
        <f>-Debt_Schedule!V24</f>
        <v>0</v>
      </c>
      <c r="AB63" s="164">
        <f>-Debt_Schedule!W24</f>
        <v>0</v>
      </c>
      <c r="AC63" s="164">
        <f>-Debt_Schedule!X24</f>
        <v>0</v>
      </c>
    </row>
    <row r="64" spans="3:29" ht="25.5">
      <c r="C64" s="906" t="s">
        <v>284</v>
      </c>
      <c r="D64" s="62"/>
      <c r="E64" s="63"/>
      <c r="F64" s="63"/>
      <c r="G64" s="63"/>
      <c r="H64" s="63"/>
      <c r="I64" s="164"/>
      <c r="J64" s="164"/>
      <c r="K64" s="1013"/>
      <c r="L64" s="1039">
        <f>-SUM(Debt_Schedule!G6,Debt_Schedule!G15)</f>
        <v>0</v>
      </c>
      <c r="M64" s="164">
        <f>-SUM(Debt_Schedule!H6,Debt_Schedule!H15)</f>
        <v>0</v>
      </c>
      <c r="N64" s="164">
        <f>-SUM(Debt_Schedule!I6,Debt_Schedule!I15)</f>
        <v>0</v>
      </c>
      <c r="O64" s="164">
        <f>-SUM(Debt_Schedule!J6,Debt_Schedule!J15)</f>
        <v>0</v>
      </c>
      <c r="P64" s="164">
        <f>-SUM(Debt_Schedule!K6,Debt_Schedule!K15)</f>
        <v>0</v>
      </c>
      <c r="Q64" s="164">
        <f>-SUM(Debt_Schedule!L6,Debt_Schedule!L15)</f>
        <v>0</v>
      </c>
      <c r="R64" s="164">
        <f>-SUM(Debt_Schedule!M6,Debt_Schedule!M15)</f>
        <v>0</v>
      </c>
      <c r="S64" s="164">
        <f>-SUM(Debt_Schedule!N6,Debt_Schedule!N15)</f>
        <v>0</v>
      </c>
      <c r="T64" s="164">
        <f>-SUM(Debt_Schedule!O6,Debt_Schedule!O15)</f>
        <v>0</v>
      </c>
      <c r="U64" s="164">
        <f>-SUM(Debt_Schedule!P6,Debt_Schedule!P15)</f>
        <v>0</v>
      </c>
      <c r="V64" s="164">
        <f>-SUM(Debt_Schedule!Q6,Debt_Schedule!Q15)</f>
        <v>0</v>
      </c>
      <c r="W64" s="164">
        <f>-SUM(Debt_Schedule!R6,Debt_Schedule!R15)</f>
        <v>0</v>
      </c>
      <c r="X64" s="164">
        <f>-SUM(Debt_Schedule!S6,Debt_Schedule!S15)</f>
        <v>0</v>
      </c>
      <c r="Y64" s="164">
        <f>-SUM(Debt_Schedule!T6,Debt_Schedule!T15)</f>
        <v>0</v>
      </c>
      <c r="Z64" s="164">
        <f>-SUM(Debt_Schedule!U6,Debt_Schedule!U15)</f>
        <v>0</v>
      </c>
      <c r="AA64" s="164">
        <f>-SUM(Debt_Schedule!V6,Debt_Schedule!V15)</f>
        <v>0</v>
      </c>
      <c r="AB64" s="164">
        <f>-SUM(Debt_Schedule!W6,Debt_Schedule!W15)</f>
        <v>0</v>
      </c>
      <c r="AC64" s="165">
        <f>-SUM(Debt_Schedule!X6,Debt_Schedule!X15)</f>
        <v>0</v>
      </c>
    </row>
    <row r="65" spans="3:29">
      <c r="C65" s="906" t="s">
        <v>277</v>
      </c>
      <c r="D65" s="62"/>
      <c r="E65" s="63"/>
      <c r="F65" s="63"/>
      <c r="G65" s="63"/>
      <c r="H65" s="63"/>
      <c r="I65" s="164"/>
      <c r="J65" s="164"/>
      <c r="K65" s="1013"/>
      <c r="L65" s="1039">
        <f t="shared" ref="L65:AC65" si="58">L30-K30</f>
        <v>0</v>
      </c>
      <c r="M65" s="164">
        <f t="shared" si="58"/>
        <v>0</v>
      </c>
      <c r="N65" s="164">
        <f t="shared" si="58"/>
        <v>0</v>
      </c>
      <c r="O65" s="164">
        <f t="shared" si="58"/>
        <v>0</v>
      </c>
      <c r="P65" s="164">
        <f t="shared" si="58"/>
        <v>0</v>
      </c>
      <c r="Q65" s="164">
        <f t="shared" si="58"/>
        <v>0</v>
      </c>
      <c r="R65" s="164">
        <f t="shared" si="58"/>
        <v>0</v>
      </c>
      <c r="S65" s="164">
        <f t="shared" si="58"/>
        <v>0</v>
      </c>
      <c r="T65" s="164">
        <f t="shared" si="58"/>
        <v>0</v>
      </c>
      <c r="U65" s="164">
        <f t="shared" si="58"/>
        <v>0</v>
      </c>
      <c r="V65" s="164">
        <f t="shared" si="58"/>
        <v>0</v>
      </c>
      <c r="W65" s="164">
        <f t="shared" si="58"/>
        <v>0</v>
      </c>
      <c r="X65" s="164">
        <f t="shared" si="58"/>
        <v>0</v>
      </c>
      <c r="Y65" s="164">
        <f t="shared" si="58"/>
        <v>0</v>
      </c>
      <c r="Z65" s="164">
        <f t="shared" si="58"/>
        <v>0</v>
      </c>
      <c r="AA65" s="164">
        <f t="shared" si="58"/>
        <v>0</v>
      </c>
      <c r="AB65" s="164">
        <f t="shared" si="58"/>
        <v>0</v>
      </c>
      <c r="AC65" s="165">
        <f t="shared" si="58"/>
        <v>0</v>
      </c>
    </row>
    <row r="66" spans="3:29" ht="25.5">
      <c r="C66" s="906" t="s">
        <v>254</v>
      </c>
      <c r="D66" s="62"/>
      <c r="E66" s="63"/>
      <c r="F66" s="63"/>
      <c r="G66" s="63"/>
      <c r="H66" s="63"/>
      <c r="I66" s="164"/>
      <c r="J66" s="164"/>
      <c r="K66" s="1013"/>
      <c r="L66" s="1039">
        <f t="shared" ref="L66:AC66" si="59">L36-K36</f>
        <v>0</v>
      </c>
      <c r="M66" s="164">
        <f t="shared" si="59"/>
        <v>0</v>
      </c>
      <c r="N66" s="164">
        <f t="shared" si="59"/>
        <v>0</v>
      </c>
      <c r="O66" s="164">
        <f t="shared" si="59"/>
        <v>0</v>
      </c>
      <c r="P66" s="164">
        <f t="shared" si="59"/>
        <v>0</v>
      </c>
      <c r="Q66" s="164">
        <f t="shared" si="59"/>
        <v>0</v>
      </c>
      <c r="R66" s="164">
        <f t="shared" si="59"/>
        <v>0</v>
      </c>
      <c r="S66" s="164">
        <f t="shared" si="59"/>
        <v>0</v>
      </c>
      <c r="T66" s="164">
        <f t="shared" si="59"/>
        <v>0</v>
      </c>
      <c r="U66" s="164">
        <f t="shared" si="59"/>
        <v>0</v>
      </c>
      <c r="V66" s="164">
        <f t="shared" si="59"/>
        <v>0</v>
      </c>
      <c r="W66" s="164">
        <f t="shared" si="59"/>
        <v>0</v>
      </c>
      <c r="X66" s="164">
        <f t="shared" si="59"/>
        <v>0</v>
      </c>
      <c r="Y66" s="164">
        <f t="shared" si="59"/>
        <v>0</v>
      </c>
      <c r="Z66" s="164">
        <f t="shared" si="59"/>
        <v>0</v>
      </c>
      <c r="AA66" s="164">
        <f t="shared" si="59"/>
        <v>0</v>
      </c>
      <c r="AB66" s="164">
        <f t="shared" si="59"/>
        <v>0</v>
      </c>
      <c r="AC66" s="165">
        <f t="shared" si="59"/>
        <v>0</v>
      </c>
    </row>
    <row r="67" spans="3:29">
      <c r="C67" s="906" t="s">
        <v>287</v>
      </c>
      <c r="D67" s="62"/>
      <c r="E67" s="63"/>
      <c r="F67" s="63"/>
      <c r="G67" s="63"/>
      <c r="H67" s="63"/>
      <c r="I67" s="164"/>
      <c r="J67" s="164"/>
      <c r="K67" s="1013"/>
      <c r="L67" s="1039"/>
      <c r="M67" s="164"/>
      <c r="N67" s="164"/>
      <c r="O67" s="164"/>
      <c r="P67" s="164"/>
      <c r="Q67" s="164"/>
      <c r="R67" s="164"/>
      <c r="S67" s="164"/>
      <c r="T67" s="164"/>
      <c r="U67" s="164"/>
      <c r="V67" s="164"/>
      <c r="W67" s="164"/>
      <c r="X67" s="164"/>
      <c r="Y67" s="164"/>
      <c r="Z67" s="164"/>
      <c r="AA67" s="164"/>
      <c r="AB67" s="164"/>
      <c r="AC67" s="165"/>
    </row>
    <row r="68" spans="3:29">
      <c r="C68" s="906" t="s">
        <v>611</v>
      </c>
      <c r="D68" s="62"/>
      <c r="E68" s="63"/>
      <c r="F68" s="63"/>
      <c r="G68" s="63"/>
      <c r="H68" s="63"/>
      <c r="I68" s="164"/>
      <c r="J68" s="164"/>
      <c r="K68" s="1013"/>
      <c r="L68" s="1039">
        <f>L29-K29</f>
        <v>0</v>
      </c>
      <c r="M68" s="164">
        <f t="shared" ref="M68:AC68" si="60">M29-L29</f>
        <v>0</v>
      </c>
      <c r="N68" s="164">
        <f t="shared" si="60"/>
        <v>0</v>
      </c>
      <c r="O68" s="164">
        <f t="shared" si="60"/>
        <v>0</v>
      </c>
      <c r="P68" s="164">
        <f t="shared" si="60"/>
        <v>0</v>
      </c>
      <c r="Q68" s="164">
        <f t="shared" si="60"/>
        <v>0</v>
      </c>
      <c r="R68" s="164">
        <f t="shared" si="60"/>
        <v>0</v>
      </c>
      <c r="S68" s="164">
        <f t="shared" si="60"/>
        <v>0</v>
      </c>
      <c r="T68" s="164">
        <f t="shared" si="60"/>
        <v>0</v>
      </c>
      <c r="U68" s="164">
        <f t="shared" si="60"/>
        <v>0</v>
      </c>
      <c r="V68" s="164">
        <f t="shared" si="60"/>
        <v>0</v>
      </c>
      <c r="W68" s="164">
        <f t="shared" si="60"/>
        <v>0</v>
      </c>
      <c r="X68" s="164">
        <f t="shared" si="60"/>
        <v>0</v>
      </c>
      <c r="Y68" s="164">
        <f t="shared" si="60"/>
        <v>0</v>
      </c>
      <c r="Z68" s="164">
        <f t="shared" si="60"/>
        <v>0</v>
      </c>
      <c r="AA68" s="164">
        <f t="shared" si="60"/>
        <v>0</v>
      </c>
      <c r="AB68" s="164">
        <f t="shared" si="60"/>
        <v>0</v>
      </c>
      <c r="AC68" s="165">
        <f t="shared" si="60"/>
        <v>0</v>
      </c>
    </row>
    <row r="69" spans="3:29">
      <c r="C69" s="906" t="s">
        <v>256</v>
      </c>
      <c r="D69" s="62"/>
      <c r="E69" s="63"/>
      <c r="F69" s="63"/>
      <c r="G69" s="63"/>
      <c r="H69" s="63"/>
      <c r="I69" s="164"/>
      <c r="J69" s="164"/>
      <c r="K69" s="1013"/>
      <c r="L69" s="1039">
        <f t="shared" ref="L69:AC69" si="61">L28-K28</f>
        <v>336.45</v>
      </c>
      <c r="M69" s="164">
        <f t="shared" si="61"/>
        <v>423.59999999999997</v>
      </c>
      <c r="N69" s="164">
        <f t="shared" si="61"/>
        <v>261.45000000000005</v>
      </c>
      <c r="O69" s="164">
        <f t="shared" si="61"/>
        <v>-102.20000000000005</v>
      </c>
      <c r="P69" s="164">
        <f t="shared" si="61"/>
        <v>-153.29999999999995</v>
      </c>
      <c r="Q69" s="164">
        <f t="shared" si="61"/>
        <v>-153.29999999999995</v>
      </c>
      <c r="R69" s="164">
        <f t="shared" si="61"/>
        <v>-153.29999999999995</v>
      </c>
      <c r="S69" s="164">
        <f t="shared" si="61"/>
        <v>-153.29999999999995</v>
      </c>
      <c r="T69" s="164">
        <f t="shared" si="61"/>
        <v>-153.29999999999998</v>
      </c>
      <c r="U69" s="164">
        <f t="shared" si="61"/>
        <v>-153.29999999999998</v>
      </c>
      <c r="V69" s="164">
        <f t="shared" si="61"/>
        <v>0</v>
      </c>
      <c r="W69" s="164">
        <f t="shared" si="61"/>
        <v>0</v>
      </c>
      <c r="X69" s="164">
        <f t="shared" si="61"/>
        <v>0</v>
      </c>
      <c r="Y69" s="164">
        <f t="shared" si="61"/>
        <v>0</v>
      </c>
      <c r="Z69" s="164">
        <f t="shared" si="61"/>
        <v>0</v>
      </c>
      <c r="AA69" s="164">
        <f t="shared" si="61"/>
        <v>0</v>
      </c>
      <c r="AB69" s="164">
        <f t="shared" si="61"/>
        <v>0</v>
      </c>
      <c r="AC69" s="165">
        <f t="shared" si="61"/>
        <v>0</v>
      </c>
    </row>
    <row r="70" spans="3:29">
      <c r="C70" s="906" t="s">
        <v>269</v>
      </c>
      <c r="D70" s="62"/>
      <c r="E70" s="63"/>
      <c r="F70" s="63"/>
      <c r="G70" s="63"/>
      <c r="H70" s="63"/>
      <c r="I70" s="164"/>
      <c r="J70" s="164"/>
      <c r="K70" s="1013"/>
      <c r="L70" s="1039">
        <f t="shared" ref="L70:AC70" si="62">L22-K22</f>
        <v>0</v>
      </c>
      <c r="M70" s="164">
        <f t="shared" si="62"/>
        <v>0</v>
      </c>
      <c r="N70" s="164">
        <f t="shared" si="62"/>
        <v>0</v>
      </c>
      <c r="O70" s="164">
        <f t="shared" si="62"/>
        <v>0</v>
      </c>
      <c r="P70" s="164">
        <f t="shared" si="62"/>
        <v>0</v>
      </c>
      <c r="Q70" s="164">
        <f t="shared" si="62"/>
        <v>0</v>
      </c>
      <c r="R70" s="164">
        <f t="shared" si="62"/>
        <v>0</v>
      </c>
      <c r="S70" s="164">
        <f t="shared" si="62"/>
        <v>0</v>
      </c>
      <c r="T70" s="164">
        <f t="shared" si="62"/>
        <v>0</v>
      </c>
      <c r="U70" s="164">
        <f t="shared" si="62"/>
        <v>0</v>
      </c>
      <c r="V70" s="164">
        <f t="shared" si="62"/>
        <v>0</v>
      </c>
      <c r="W70" s="164">
        <f t="shared" si="62"/>
        <v>0</v>
      </c>
      <c r="X70" s="164">
        <f t="shared" si="62"/>
        <v>0</v>
      </c>
      <c r="Y70" s="164">
        <f t="shared" si="62"/>
        <v>0</v>
      </c>
      <c r="Z70" s="164">
        <f t="shared" si="62"/>
        <v>0</v>
      </c>
      <c r="AA70" s="164">
        <f t="shared" si="62"/>
        <v>0</v>
      </c>
      <c r="AB70" s="164">
        <f t="shared" si="62"/>
        <v>0</v>
      </c>
      <c r="AC70" s="165">
        <f t="shared" si="62"/>
        <v>0</v>
      </c>
    </row>
    <row r="71" spans="3:29">
      <c r="C71" s="906" t="s">
        <v>270</v>
      </c>
      <c r="D71" s="62"/>
      <c r="E71" s="63"/>
      <c r="F71" s="63"/>
      <c r="G71" s="63"/>
      <c r="H71" s="63"/>
      <c r="I71" s="164"/>
      <c r="J71" s="164"/>
      <c r="K71" s="1013"/>
      <c r="L71" s="1039">
        <f t="shared" ref="L71:AC71" si="63">L23-K23</f>
        <v>0</v>
      </c>
      <c r="M71" s="164">
        <f t="shared" si="63"/>
        <v>0</v>
      </c>
      <c r="N71" s="164">
        <f t="shared" si="63"/>
        <v>0</v>
      </c>
      <c r="O71" s="164">
        <f t="shared" si="63"/>
        <v>0</v>
      </c>
      <c r="P71" s="164">
        <f t="shared" si="63"/>
        <v>0</v>
      </c>
      <c r="Q71" s="164">
        <f t="shared" si="63"/>
        <v>0</v>
      </c>
      <c r="R71" s="164">
        <f t="shared" si="63"/>
        <v>0</v>
      </c>
      <c r="S71" s="164">
        <f t="shared" si="63"/>
        <v>0</v>
      </c>
      <c r="T71" s="164">
        <f t="shared" si="63"/>
        <v>0</v>
      </c>
      <c r="U71" s="164">
        <f t="shared" si="63"/>
        <v>0</v>
      </c>
      <c r="V71" s="164">
        <f t="shared" si="63"/>
        <v>0</v>
      </c>
      <c r="W71" s="164">
        <f t="shared" si="63"/>
        <v>0</v>
      </c>
      <c r="X71" s="164">
        <f t="shared" si="63"/>
        <v>0</v>
      </c>
      <c r="Y71" s="164">
        <f t="shared" si="63"/>
        <v>0</v>
      </c>
      <c r="Z71" s="164">
        <f t="shared" si="63"/>
        <v>0</v>
      </c>
      <c r="AA71" s="164">
        <f t="shared" si="63"/>
        <v>0</v>
      </c>
      <c r="AB71" s="164">
        <f t="shared" si="63"/>
        <v>0</v>
      </c>
      <c r="AC71" s="165">
        <f t="shared" si="63"/>
        <v>0</v>
      </c>
    </row>
    <row r="72" spans="3:29">
      <c r="C72" s="906" t="s">
        <v>285</v>
      </c>
      <c r="D72" s="62"/>
      <c r="E72" s="63"/>
      <c r="F72" s="63"/>
      <c r="G72" s="63"/>
      <c r="H72" s="63"/>
      <c r="I72" s="164"/>
      <c r="J72" s="164"/>
      <c r="K72" s="1013"/>
      <c r="L72" s="1039">
        <f t="shared" ref="L72:AC72" si="64">L24-K24</f>
        <v>0</v>
      </c>
      <c r="M72" s="164">
        <f t="shared" si="64"/>
        <v>0</v>
      </c>
      <c r="N72" s="164">
        <f t="shared" si="64"/>
        <v>0</v>
      </c>
      <c r="O72" s="164">
        <f t="shared" si="64"/>
        <v>0</v>
      </c>
      <c r="P72" s="164">
        <f t="shared" si="64"/>
        <v>0</v>
      </c>
      <c r="Q72" s="164">
        <f t="shared" si="64"/>
        <v>0</v>
      </c>
      <c r="R72" s="164">
        <f t="shared" si="64"/>
        <v>0</v>
      </c>
      <c r="S72" s="164">
        <f t="shared" si="64"/>
        <v>0</v>
      </c>
      <c r="T72" s="164">
        <f t="shared" si="64"/>
        <v>0</v>
      </c>
      <c r="U72" s="164">
        <f t="shared" si="64"/>
        <v>0</v>
      </c>
      <c r="V72" s="164">
        <f t="shared" si="64"/>
        <v>0</v>
      </c>
      <c r="W72" s="164">
        <f t="shared" si="64"/>
        <v>0</v>
      </c>
      <c r="X72" s="164">
        <f t="shared" si="64"/>
        <v>0</v>
      </c>
      <c r="Y72" s="164">
        <f t="shared" si="64"/>
        <v>0</v>
      </c>
      <c r="Z72" s="164">
        <f t="shared" si="64"/>
        <v>0</v>
      </c>
      <c r="AA72" s="164">
        <f t="shared" si="64"/>
        <v>0</v>
      </c>
      <c r="AB72" s="164">
        <f t="shared" si="64"/>
        <v>0</v>
      </c>
      <c r="AC72" s="165">
        <f t="shared" si="64"/>
        <v>0</v>
      </c>
    </row>
    <row r="73" spans="3:29" s="26" customFormat="1" ht="25.5">
      <c r="C73" s="910" t="s">
        <v>248</v>
      </c>
      <c r="D73" s="65"/>
      <c r="E73" s="63"/>
      <c r="F73" s="104"/>
      <c r="G73" s="104"/>
      <c r="H73" s="104"/>
      <c r="I73" s="166"/>
      <c r="J73" s="166"/>
      <c r="K73" s="1014"/>
      <c r="L73" s="227">
        <f t="shared" ref="L73:AC73" si="65">SUM(L74:L75)</f>
        <v>-94.454999999999998</v>
      </c>
      <c r="M73" s="166">
        <f t="shared" si="65"/>
        <v>-119.67</v>
      </c>
      <c r="N73" s="166">
        <f t="shared" si="65"/>
        <v>-86.405000000000001</v>
      </c>
      <c r="O73" s="166">
        <f t="shared" si="65"/>
        <v>-27.68</v>
      </c>
      <c r="P73" s="166">
        <f t="shared" si="65"/>
        <v>-25.024999999999999</v>
      </c>
      <c r="Q73" s="166">
        <f t="shared" si="65"/>
        <v>-22.81</v>
      </c>
      <c r="R73" s="166">
        <f t="shared" si="65"/>
        <v>-25.655000000000001</v>
      </c>
      <c r="S73" s="166">
        <f t="shared" si="65"/>
        <v>-15.185</v>
      </c>
      <c r="T73" s="166">
        <f t="shared" si="65"/>
        <v>-22.454999999999998</v>
      </c>
      <c r="U73" s="166">
        <f t="shared" si="65"/>
        <v>-17.829999999999998</v>
      </c>
      <c r="V73" s="166">
        <f t="shared" si="65"/>
        <v>-15.265000000000001</v>
      </c>
      <c r="W73" s="166">
        <f t="shared" si="65"/>
        <v>-20.89</v>
      </c>
      <c r="X73" s="166">
        <f t="shared" si="65"/>
        <v>-18.414999999999999</v>
      </c>
      <c r="Y73" s="166">
        <f t="shared" si="65"/>
        <v>-12.79</v>
      </c>
      <c r="Z73" s="166">
        <f t="shared" si="65"/>
        <v>-18.204999999999998</v>
      </c>
      <c r="AA73" s="166">
        <f t="shared" si="65"/>
        <v>-20.54</v>
      </c>
      <c r="AB73" s="166">
        <f t="shared" si="65"/>
        <v>-23.094999999999999</v>
      </c>
      <c r="AC73" s="167">
        <f t="shared" si="65"/>
        <v>-16.13</v>
      </c>
    </row>
    <row r="74" spans="3:29">
      <c r="C74" s="906" t="s">
        <v>246</v>
      </c>
      <c r="D74" s="62"/>
      <c r="E74" s="63"/>
      <c r="F74" s="63"/>
      <c r="G74" s="63"/>
      <c r="H74" s="63"/>
      <c r="I74" s="164"/>
      <c r="J74" s="164"/>
      <c r="K74" s="1013"/>
      <c r="L74" s="1039">
        <f>-SUM(Debt_Schedule!G84:G88)</f>
        <v>-94.454999999999998</v>
      </c>
      <c r="M74" s="164">
        <f>-SUM(Debt_Schedule!H84:H88)</f>
        <v>-119.67</v>
      </c>
      <c r="N74" s="164">
        <f>-SUM(Debt_Schedule!I84:I88)</f>
        <v>-86.405000000000001</v>
      </c>
      <c r="O74" s="164">
        <f>-SUM(Debt_Schedule!J84:J88)</f>
        <v>-27.68</v>
      </c>
      <c r="P74" s="164">
        <f>-SUM(Debt_Schedule!K84:K88)</f>
        <v>-25.024999999999999</v>
      </c>
      <c r="Q74" s="164">
        <f>-SUM(Debt_Schedule!L84:L88)</f>
        <v>-22.81</v>
      </c>
      <c r="R74" s="164">
        <f>-SUM(Debt_Schedule!M84:M88)</f>
        <v>-25.655000000000001</v>
      </c>
      <c r="S74" s="164">
        <f>-SUM(Debt_Schedule!N84:N88)</f>
        <v>-15.185</v>
      </c>
      <c r="T74" s="164">
        <f>-SUM(Debt_Schedule!O84:O88)</f>
        <v>-22.454999999999998</v>
      </c>
      <c r="U74" s="164">
        <f>-SUM(Debt_Schedule!P84:P88)</f>
        <v>-17.829999999999998</v>
      </c>
      <c r="V74" s="164">
        <f>-SUM(Debt_Schedule!Q84:Q88)</f>
        <v>-15.265000000000001</v>
      </c>
      <c r="W74" s="164">
        <f>-SUM(Debt_Schedule!R84:R88)</f>
        <v>-20.89</v>
      </c>
      <c r="X74" s="164">
        <f>-SUM(Debt_Schedule!S84:S88)</f>
        <v>-18.414999999999999</v>
      </c>
      <c r="Y74" s="164">
        <f>-SUM(Debt_Schedule!T84:T88)</f>
        <v>-12.79</v>
      </c>
      <c r="Z74" s="164">
        <f>-SUM(Debt_Schedule!U84:U88)</f>
        <v>-18.204999999999998</v>
      </c>
      <c r="AA74" s="164">
        <f>-SUM(Debt_Schedule!V84:V88)</f>
        <v>-20.54</v>
      </c>
      <c r="AB74" s="164">
        <f>-SUM(Debt_Schedule!W84:W88)</f>
        <v>-23.094999999999999</v>
      </c>
      <c r="AC74" s="165">
        <f>-SUM(Debt_Schedule!X84:X88)</f>
        <v>-16.13</v>
      </c>
    </row>
    <row r="75" spans="3:29">
      <c r="C75" s="906" t="s">
        <v>288</v>
      </c>
      <c r="D75" s="62"/>
      <c r="E75" s="63"/>
      <c r="F75" s="63"/>
      <c r="G75" s="63"/>
      <c r="H75" s="63"/>
      <c r="I75" s="164"/>
      <c r="J75" s="164"/>
      <c r="K75" s="1013"/>
      <c r="L75" s="1039"/>
      <c r="M75" s="164"/>
      <c r="N75" s="164"/>
      <c r="O75" s="164"/>
      <c r="P75" s="164"/>
      <c r="Q75" s="164"/>
      <c r="R75" s="164"/>
      <c r="S75" s="164"/>
      <c r="T75" s="164"/>
      <c r="U75" s="164"/>
      <c r="V75" s="164"/>
      <c r="W75" s="164"/>
      <c r="X75" s="164"/>
      <c r="Y75" s="164"/>
      <c r="Z75" s="164"/>
      <c r="AA75" s="164"/>
      <c r="AB75" s="164"/>
      <c r="AC75" s="165"/>
    </row>
    <row r="76" spans="3:29" s="26" customFormat="1">
      <c r="C76" s="910" t="s">
        <v>249</v>
      </c>
      <c r="D76" s="65"/>
      <c r="E76" s="104"/>
      <c r="F76" s="104"/>
      <c r="G76" s="104"/>
      <c r="H76" s="63"/>
      <c r="I76" s="166"/>
      <c r="J76" s="166"/>
      <c r="K76" s="1014"/>
      <c r="L76" s="227">
        <f t="shared" ref="L76:AC76" si="66">L73+L61+L47</f>
        <v>-1434.3171965443426</v>
      </c>
      <c r="M76" s="166">
        <f t="shared" si="66"/>
        <v>-294.93114094035678</v>
      </c>
      <c r="N76" s="166">
        <f t="shared" si="66"/>
        <v>-168.52798305653243</v>
      </c>
      <c r="O76" s="166">
        <f t="shared" si="66"/>
        <v>-174.95281186241724</v>
      </c>
      <c r="P76" s="166">
        <f t="shared" si="66"/>
        <v>-180.2152996320651</v>
      </c>
      <c r="Q76" s="166">
        <f t="shared" si="66"/>
        <v>-184.07584245133796</v>
      </c>
      <c r="R76" s="166">
        <f t="shared" si="66"/>
        <v>-184.51520049114291</v>
      </c>
      <c r="S76" s="166">
        <f t="shared" si="66"/>
        <v>-180.99385699385525</v>
      </c>
      <c r="T76" s="166">
        <f t="shared" si="66"/>
        <v>-204.47867629464909</v>
      </c>
      <c r="U76" s="166">
        <f t="shared" si="66"/>
        <v>-218.74382105260693</v>
      </c>
      <c r="V76" s="166">
        <f t="shared" si="66"/>
        <v>-75.646160157690417</v>
      </c>
      <c r="W76" s="166">
        <f t="shared" si="66"/>
        <v>-123.04913053025045</v>
      </c>
      <c r="X76" s="166">
        <f t="shared" si="66"/>
        <v>-163.12866242377328</v>
      </c>
      <c r="Y76" s="166">
        <f t="shared" si="66"/>
        <v>-197.29617291433948</v>
      </c>
      <c r="Z76" s="166">
        <f t="shared" si="66"/>
        <v>-257.66863260608227</v>
      </c>
      <c r="AA76" s="166">
        <f t="shared" si="66"/>
        <v>-305.91971095309384</v>
      </c>
      <c r="AB76" s="166">
        <f t="shared" si="66"/>
        <v>-364.3110059970079</v>
      </c>
      <c r="AC76" s="167">
        <f t="shared" si="66"/>
        <v>-416.88336474755164</v>
      </c>
    </row>
    <row r="77" spans="3:29" ht="25.5">
      <c r="C77" s="906" t="s">
        <v>301</v>
      </c>
      <c r="D77" s="62"/>
      <c r="E77" s="63"/>
      <c r="F77" s="63"/>
      <c r="G77" s="63"/>
      <c r="H77" s="63"/>
      <c r="I77" s="164"/>
      <c r="J77" s="164"/>
      <c r="K77" s="1013"/>
      <c r="L77" s="1039">
        <f>-Debt_Schedule!G107</f>
        <v>0</v>
      </c>
      <c r="M77" s="164">
        <f>-Debt_Schedule!H107</f>
        <v>0</v>
      </c>
      <c r="N77" s="164">
        <f>-Debt_Schedule!I107</f>
        <v>0</v>
      </c>
      <c r="O77" s="164">
        <f>-Debt_Schedule!J107</f>
        <v>0</v>
      </c>
      <c r="P77" s="164">
        <f>-Debt_Schedule!K107</f>
        <v>0</v>
      </c>
      <c r="Q77" s="164">
        <f>-Debt_Schedule!L107</f>
        <v>0</v>
      </c>
      <c r="R77" s="164">
        <f>-Debt_Schedule!M107</f>
        <v>0</v>
      </c>
      <c r="S77" s="164">
        <f>-Debt_Schedule!N107</f>
        <v>0</v>
      </c>
      <c r="T77" s="164">
        <f>-Debt_Schedule!O107</f>
        <v>0</v>
      </c>
      <c r="U77" s="164">
        <f>-Debt_Schedule!P107</f>
        <v>0</v>
      </c>
      <c r="V77" s="164">
        <f>-Debt_Schedule!Q107</f>
        <v>0</v>
      </c>
      <c r="W77" s="164">
        <f>-Debt_Schedule!R107</f>
        <v>0</v>
      </c>
      <c r="X77" s="164">
        <f>-Debt_Schedule!S107</f>
        <v>0</v>
      </c>
      <c r="Y77" s="164">
        <f>-Debt_Schedule!T107</f>
        <v>0</v>
      </c>
      <c r="Z77" s="164">
        <f>-Debt_Schedule!U107</f>
        <v>0</v>
      </c>
      <c r="AA77" s="164">
        <f>-Debt_Schedule!V107</f>
        <v>0</v>
      </c>
      <c r="AB77" s="164">
        <f>-Debt_Schedule!W107</f>
        <v>0</v>
      </c>
      <c r="AC77" s="165">
        <f>-Debt_Schedule!X107</f>
        <v>0</v>
      </c>
    </row>
    <row r="78" spans="3:29">
      <c r="C78" s="906" t="s">
        <v>309</v>
      </c>
      <c r="D78" s="62"/>
      <c r="E78" s="63"/>
      <c r="F78" s="63"/>
      <c r="G78" s="63"/>
      <c r="H78" s="63"/>
      <c r="I78" s="164"/>
      <c r="J78" s="164"/>
      <c r="K78" s="1013"/>
      <c r="L78" s="1039">
        <f>-Debt_Schedule!G127</f>
        <v>0</v>
      </c>
      <c r="M78" s="164">
        <f>-Debt_Schedule!H127</f>
        <v>0</v>
      </c>
      <c r="N78" s="164">
        <f>-Debt_Schedule!I127</f>
        <v>0</v>
      </c>
      <c r="O78" s="164">
        <f>-Debt_Schedule!J127</f>
        <v>0</v>
      </c>
      <c r="P78" s="164">
        <f>-Debt_Schedule!K127</f>
        <v>0</v>
      </c>
      <c r="Q78" s="164">
        <f>-Debt_Schedule!L127</f>
        <v>0</v>
      </c>
      <c r="R78" s="164">
        <f>-Debt_Schedule!M127</f>
        <v>0</v>
      </c>
      <c r="S78" s="164">
        <f>-Debt_Schedule!N127</f>
        <v>0</v>
      </c>
      <c r="T78" s="164">
        <f>-Debt_Schedule!O127</f>
        <v>0</v>
      </c>
      <c r="U78" s="164">
        <f>-Debt_Schedule!P127</f>
        <v>0</v>
      </c>
      <c r="V78" s="164">
        <f>-Debt_Schedule!Q127</f>
        <v>0</v>
      </c>
      <c r="W78" s="164">
        <f>-Debt_Schedule!R127</f>
        <v>0</v>
      </c>
      <c r="X78" s="164">
        <f>-Debt_Schedule!S127</f>
        <v>0</v>
      </c>
      <c r="Y78" s="164">
        <f>-Debt_Schedule!T127</f>
        <v>0</v>
      </c>
      <c r="Z78" s="164">
        <f>-Debt_Schedule!U127</f>
        <v>0</v>
      </c>
      <c r="AA78" s="164">
        <f>-Debt_Schedule!V127</f>
        <v>0</v>
      </c>
      <c r="AB78" s="164">
        <f>-Debt_Schedule!W127</f>
        <v>0</v>
      </c>
      <c r="AC78" s="165">
        <f>-Debt_Schedule!X127</f>
        <v>0</v>
      </c>
    </row>
    <row r="79" spans="3:29">
      <c r="C79" s="906" t="s">
        <v>310</v>
      </c>
      <c r="D79" s="62"/>
      <c r="E79" s="63"/>
      <c r="F79" s="63"/>
      <c r="G79" s="63"/>
      <c r="H79" s="63"/>
      <c r="I79" s="164"/>
      <c r="J79" s="164"/>
      <c r="K79" s="1013"/>
      <c r="L79" s="1039">
        <f>Debt_Schedule!G128</f>
        <v>0</v>
      </c>
      <c r="M79" s="164">
        <f>Debt_Schedule!H128</f>
        <v>0</v>
      </c>
      <c r="N79" s="164">
        <f>Debt_Schedule!I128</f>
        <v>0</v>
      </c>
      <c r="O79" s="164">
        <f>Debt_Schedule!J128</f>
        <v>0</v>
      </c>
      <c r="P79" s="164">
        <f>Debt_Schedule!K128</f>
        <v>0</v>
      </c>
      <c r="Q79" s="164">
        <f>Debt_Schedule!L128</f>
        <v>0</v>
      </c>
      <c r="R79" s="164">
        <f>Debt_Schedule!M128</f>
        <v>0</v>
      </c>
      <c r="S79" s="164">
        <f>Debt_Schedule!N128</f>
        <v>0</v>
      </c>
      <c r="T79" s="164">
        <f>Debt_Schedule!O128</f>
        <v>0</v>
      </c>
      <c r="U79" s="164">
        <f>Debt_Schedule!P128</f>
        <v>0</v>
      </c>
      <c r="V79" s="164">
        <f>Debt_Schedule!Q128</f>
        <v>0</v>
      </c>
      <c r="W79" s="164">
        <f>Debt_Schedule!R128</f>
        <v>0</v>
      </c>
      <c r="X79" s="164">
        <f>Debt_Schedule!S128</f>
        <v>0</v>
      </c>
      <c r="Y79" s="164">
        <f>Debt_Schedule!T128</f>
        <v>0</v>
      </c>
      <c r="Z79" s="164">
        <f>Debt_Schedule!U128</f>
        <v>0</v>
      </c>
      <c r="AA79" s="164">
        <f>Debt_Schedule!V128</f>
        <v>0</v>
      </c>
      <c r="AB79" s="164">
        <f>Debt_Schedule!W128</f>
        <v>0</v>
      </c>
      <c r="AC79" s="165">
        <f>Debt_Schedule!X128</f>
        <v>0</v>
      </c>
    </row>
    <row r="80" spans="3:29">
      <c r="C80" s="906" t="s">
        <v>250</v>
      </c>
      <c r="D80" s="62"/>
      <c r="E80" s="133"/>
      <c r="F80" s="63"/>
      <c r="G80" s="63"/>
      <c r="H80" s="63"/>
      <c r="I80" s="164"/>
      <c r="J80" s="164"/>
      <c r="K80" s="1013"/>
      <c r="L80" s="1039">
        <f t="shared" ref="L80:AC80" si="67">K16</f>
        <v>35.138100000000001</v>
      </c>
      <c r="M80" s="164">
        <f t="shared" si="67"/>
        <v>-1399.1790965443427</v>
      </c>
      <c r="N80" s="164">
        <f t="shared" si="67"/>
        <v>-1694.1102374846994</v>
      </c>
      <c r="O80" s="164">
        <f t="shared" si="67"/>
        <v>-1862.6382205412319</v>
      </c>
      <c r="P80" s="164">
        <f t="shared" si="67"/>
        <v>-2037.5910324036493</v>
      </c>
      <c r="Q80" s="164">
        <f t="shared" si="67"/>
        <v>-2217.8063320357141</v>
      </c>
      <c r="R80" s="164">
        <f t="shared" si="67"/>
        <v>-2401.882174487052</v>
      </c>
      <c r="S80" s="164">
        <f t="shared" si="67"/>
        <v>-2586.3973749781949</v>
      </c>
      <c r="T80" s="164">
        <f t="shared" si="67"/>
        <v>-2767.3912319720503</v>
      </c>
      <c r="U80" s="164">
        <f t="shared" si="67"/>
        <v>-2971.8699082666994</v>
      </c>
      <c r="V80" s="164">
        <f t="shared" si="67"/>
        <v>-3190.6137293193065</v>
      </c>
      <c r="W80" s="164">
        <f t="shared" si="67"/>
        <v>-3266.2598894769967</v>
      </c>
      <c r="X80" s="164">
        <f t="shared" si="67"/>
        <v>-3389.309020007247</v>
      </c>
      <c r="Y80" s="164">
        <f t="shared" si="67"/>
        <v>-3552.4376824310202</v>
      </c>
      <c r="Z80" s="164">
        <f t="shared" si="67"/>
        <v>-3749.7338553453596</v>
      </c>
      <c r="AA80" s="164">
        <f t="shared" si="67"/>
        <v>-4007.4024879514418</v>
      </c>
      <c r="AB80" s="164">
        <f t="shared" si="67"/>
        <v>-4313.322198904536</v>
      </c>
      <c r="AC80" s="165">
        <f t="shared" si="67"/>
        <v>-4677.6332049015436</v>
      </c>
    </row>
    <row r="81" spans="3:32" ht="13.5" thickBot="1">
      <c r="C81" s="911" t="s">
        <v>251</v>
      </c>
      <c r="D81" s="82"/>
      <c r="E81" s="113"/>
      <c r="F81" s="113"/>
      <c r="G81" s="113"/>
      <c r="H81" s="113"/>
      <c r="I81" s="168"/>
      <c r="J81" s="168"/>
      <c r="K81" s="1020"/>
      <c r="L81" s="1042">
        <f t="shared" ref="L81:AC81" si="68">SUM(L76:L80)</f>
        <v>-1399.1790965443427</v>
      </c>
      <c r="M81" s="168">
        <f t="shared" si="68"/>
        <v>-1694.1102374846994</v>
      </c>
      <c r="N81" s="168">
        <f t="shared" si="68"/>
        <v>-1862.6382205412319</v>
      </c>
      <c r="O81" s="168">
        <f t="shared" si="68"/>
        <v>-2037.5910324036493</v>
      </c>
      <c r="P81" s="168">
        <f t="shared" si="68"/>
        <v>-2217.8063320357141</v>
      </c>
      <c r="Q81" s="168">
        <f t="shared" si="68"/>
        <v>-2401.882174487052</v>
      </c>
      <c r="R81" s="168">
        <f t="shared" si="68"/>
        <v>-2586.3973749781949</v>
      </c>
      <c r="S81" s="168">
        <f t="shared" si="68"/>
        <v>-2767.3912319720503</v>
      </c>
      <c r="T81" s="168">
        <f t="shared" si="68"/>
        <v>-2971.8699082666994</v>
      </c>
      <c r="U81" s="168">
        <f t="shared" si="68"/>
        <v>-3190.6137293193065</v>
      </c>
      <c r="V81" s="168">
        <f t="shared" si="68"/>
        <v>-3266.2598894769967</v>
      </c>
      <c r="W81" s="168">
        <f t="shared" si="68"/>
        <v>-3389.309020007247</v>
      </c>
      <c r="X81" s="168">
        <f t="shared" si="68"/>
        <v>-3552.4376824310202</v>
      </c>
      <c r="Y81" s="168">
        <f t="shared" si="68"/>
        <v>-3749.7338553453596</v>
      </c>
      <c r="Z81" s="168">
        <f t="shared" si="68"/>
        <v>-4007.4024879514418</v>
      </c>
      <c r="AA81" s="168">
        <f t="shared" si="68"/>
        <v>-4313.322198904536</v>
      </c>
      <c r="AB81" s="168">
        <f t="shared" si="68"/>
        <v>-4677.6332049015436</v>
      </c>
      <c r="AC81" s="169">
        <f t="shared" si="68"/>
        <v>-5094.5165696490949</v>
      </c>
      <c r="AD81" s="26"/>
      <c r="AE81" s="26"/>
      <c r="AF81" s="26"/>
    </row>
    <row r="82" spans="3:32">
      <c r="C82" s="914"/>
      <c r="D82" s="62"/>
      <c r="E82" s="63"/>
      <c r="F82" s="63"/>
      <c r="G82" s="63"/>
      <c r="H82" s="105"/>
      <c r="I82" s="58"/>
      <c r="J82" s="58"/>
      <c r="M82" s="58"/>
      <c r="N82" s="58"/>
      <c r="O82" s="58"/>
      <c r="P82" s="58"/>
      <c r="Q82" s="58"/>
      <c r="R82" s="58"/>
      <c r="S82" s="58"/>
      <c r="T82" s="58"/>
      <c r="U82" s="58"/>
      <c r="V82" s="58"/>
      <c r="W82" s="58"/>
      <c r="X82" s="58"/>
      <c r="Y82" s="58"/>
      <c r="Z82" s="58"/>
      <c r="AA82" s="58"/>
      <c r="AB82" s="58"/>
      <c r="AC82" s="58"/>
    </row>
    <row r="83" spans="3:32" ht="13.5" thickBot="1">
      <c r="C83" s="914"/>
      <c r="D83" s="62"/>
      <c r="E83" s="63"/>
      <c r="F83" s="63"/>
      <c r="G83" s="63"/>
      <c r="H83" s="105"/>
      <c r="I83" s="161"/>
      <c r="J83" s="161"/>
      <c r="K83" s="1027"/>
      <c r="L83" s="1045"/>
      <c r="M83" s="161"/>
      <c r="N83" s="161"/>
      <c r="O83" s="161"/>
      <c r="P83" s="161"/>
      <c r="Q83" s="161"/>
      <c r="R83" s="161"/>
      <c r="S83" s="161"/>
      <c r="T83" s="161"/>
      <c r="U83" s="161"/>
      <c r="V83" s="161"/>
      <c r="W83" s="161"/>
      <c r="X83" s="161"/>
      <c r="Y83" s="161"/>
      <c r="Z83" s="161"/>
      <c r="AA83" s="161"/>
      <c r="AB83" s="161"/>
      <c r="AC83" s="161"/>
    </row>
    <row r="84" spans="3:32" s="112" customFormat="1">
      <c r="C84" s="915" t="s">
        <v>402</v>
      </c>
      <c r="D84" s="72"/>
      <c r="E84" s="106"/>
      <c r="F84" s="106"/>
      <c r="G84" s="106"/>
      <c r="H84" s="170"/>
      <c r="I84" s="197"/>
      <c r="J84" s="197">
        <f t="shared" ref="J84:AC84" si="69">J2</f>
        <v>44286</v>
      </c>
      <c r="K84" s="1022">
        <f t="shared" si="69"/>
        <v>44651</v>
      </c>
      <c r="L84" s="1038">
        <f t="shared" si="69"/>
        <v>45016</v>
      </c>
      <c r="M84" s="197">
        <f t="shared" si="69"/>
        <v>45382</v>
      </c>
      <c r="N84" s="197">
        <f t="shared" si="69"/>
        <v>45747</v>
      </c>
      <c r="O84" s="197">
        <f t="shared" si="69"/>
        <v>46112</v>
      </c>
      <c r="P84" s="197">
        <f t="shared" si="69"/>
        <v>46477</v>
      </c>
      <c r="Q84" s="197">
        <f t="shared" si="69"/>
        <v>46843</v>
      </c>
      <c r="R84" s="197">
        <f t="shared" si="69"/>
        <v>47208</v>
      </c>
      <c r="S84" s="197">
        <f t="shared" si="69"/>
        <v>47573</v>
      </c>
      <c r="T84" s="197">
        <f t="shared" si="69"/>
        <v>47938</v>
      </c>
      <c r="U84" s="197">
        <f t="shared" si="69"/>
        <v>48304</v>
      </c>
      <c r="V84" s="197">
        <f t="shared" si="69"/>
        <v>48669</v>
      </c>
      <c r="W84" s="197">
        <f t="shared" si="69"/>
        <v>49034</v>
      </c>
      <c r="X84" s="197">
        <f t="shared" si="69"/>
        <v>49399</v>
      </c>
      <c r="Y84" s="197">
        <f t="shared" si="69"/>
        <v>49765</v>
      </c>
      <c r="Z84" s="197">
        <f t="shared" si="69"/>
        <v>50130</v>
      </c>
      <c r="AA84" s="197">
        <f t="shared" si="69"/>
        <v>50495</v>
      </c>
      <c r="AB84" s="197">
        <f t="shared" si="69"/>
        <v>50860</v>
      </c>
      <c r="AC84" s="198">
        <f t="shared" si="69"/>
        <v>51226</v>
      </c>
    </row>
    <row r="85" spans="3:32" s="112" customFormat="1">
      <c r="C85" s="916" t="s">
        <v>315</v>
      </c>
      <c r="D85" s="62"/>
      <c r="E85" s="63"/>
      <c r="F85" s="63"/>
      <c r="G85" s="63"/>
      <c r="H85" s="105"/>
      <c r="I85" s="164"/>
      <c r="J85" s="164"/>
      <c r="K85" s="1013"/>
      <c r="L85" s="1039">
        <f t="shared" ref="L85:AC85" si="70">L48</f>
        <v>-411.41867043822509</v>
      </c>
      <c r="M85" s="164">
        <f t="shared" si="70"/>
        <v>-472.82901828711925</v>
      </c>
      <c r="N85" s="164">
        <f t="shared" si="70"/>
        <v>-93.151063384714263</v>
      </c>
      <c r="O85" s="164">
        <f t="shared" si="70"/>
        <v>163.52928850829491</v>
      </c>
      <c r="P85" s="164">
        <f t="shared" si="70"/>
        <v>145.47860087324395</v>
      </c>
      <c r="Q85" s="164">
        <f t="shared" si="70"/>
        <v>117.97675599432975</v>
      </c>
      <c r="R85" s="164">
        <f t="shared" si="70"/>
        <v>93.234003203612218</v>
      </c>
      <c r="S85" s="164">
        <f t="shared" si="70"/>
        <v>64.823346700899918</v>
      </c>
      <c r="T85" s="164">
        <f t="shared" si="70"/>
        <v>27.146527400106116</v>
      </c>
      <c r="U85" s="164">
        <f t="shared" si="70"/>
        <v>-13.205617357851713</v>
      </c>
      <c r="V85" s="164">
        <f t="shared" si="70"/>
        <v>-36.703956462935402</v>
      </c>
      <c r="W85" s="164">
        <f t="shared" si="70"/>
        <v>-78.481926835496353</v>
      </c>
      <c r="X85" s="164">
        <f t="shared" si="70"/>
        <v>-121.03645872901919</v>
      </c>
      <c r="Y85" s="164">
        <f t="shared" si="70"/>
        <v>-160.82896921958539</v>
      </c>
      <c r="Z85" s="164">
        <f t="shared" si="70"/>
        <v>-215.78642891132816</v>
      </c>
      <c r="AA85" s="164">
        <f t="shared" si="70"/>
        <v>-261.70250725833972</v>
      </c>
      <c r="AB85" s="164">
        <f t="shared" si="70"/>
        <v>-317.53880230225383</v>
      </c>
      <c r="AC85" s="165">
        <f t="shared" si="70"/>
        <v>-377.07616105279754</v>
      </c>
    </row>
    <row r="86" spans="3:32" s="112" customFormat="1">
      <c r="C86" s="916" t="s">
        <v>172</v>
      </c>
      <c r="D86" s="62"/>
      <c r="E86" s="63"/>
      <c r="F86" s="63"/>
      <c r="G86" s="63"/>
      <c r="H86" s="105"/>
      <c r="I86" s="164"/>
      <c r="J86" s="164"/>
      <c r="K86" s="1013"/>
      <c r="L86" s="1039">
        <f t="shared" ref="L86:AC86" si="71">L49</f>
        <v>0</v>
      </c>
      <c r="M86" s="164">
        <f t="shared" si="71"/>
        <v>0</v>
      </c>
      <c r="N86" s="164">
        <f t="shared" si="71"/>
        <v>0</v>
      </c>
      <c r="O86" s="164">
        <f t="shared" si="71"/>
        <v>0</v>
      </c>
      <c r="P86" s="164">
        <f t="shared" si="71"/>
        <v>0</v>
      </c>
      <c r="Q86" s="164">
        <f t="shared" si="71"/>
        <v>0</v>
      </c>
      <c r="R86" s="164">
        <f t="shared" si="71"/>
        <v>0</v>
      </c>
      <c r="S86" s="164">
        <f t="shared" si="71"/>
        <v>0</v>
      </c>
      <c r="T86" s="164">
        <f t="shared" si="71"/>
        <v>0</v>
      </c>
      <c r="U86" s="164">
        <f t="shared" si="71"/>
        <v>0</v>
      </c>
      <c r="V86" s="164">
        <f t="shared" si="71"/>
        <v>0</v>
      </c>
      <c r="W86" s="164">
        <f t="shared" si="71"/>
        <v>0</v>
      </c>
      <c r="X86" s="164">
        <f t="shared" si="71"/>
        <v>0</v>
      </c>
      <c r="Y86" s="164">
        <f t="shared" si="71"/>
        <v>0</v>
      </c>
      <c r="Z86" s="164">
        <f t="shared" si="71"/>
        <v>0</v>
      </c>
      <c r="AA86" s="164">
        <f t="shared" si="71"/>
        <v>0</v>
      </c>
      <c r="AB86" s="164">
        <f t="shared" si="71"/>
        <v>0</v>
      </c>
      <c r="AC86" s="165">
        <f t="shared" si="71"/>
        <v>0</v>
      </c>
    </row>
    <row r="87" spans="3:32" s="112" customFormat="1">
      <c r="C87" s="916" t="s">
        <v>326</v>
      </c>
      <c r="D87" s="62"/>
      <c r="E87" s="63"/>
      <c r="F87" s="63"/>
      <c r="G87" s="63"/>
      <c r="H87" s="105"/>
      <c r="I87" s="164"/>
      <c r="J87" s="164"/>
      <c r="K87" s="1013"/>
      <c r="L87" s="1039">
        <f t="shared" ref="L87:AC87" si="72">L50*0</f>
        <v>0</v>
      </c>
      <c r="M87" s="164">
        <f t="shared" si="72"/>
        <v>0</v>
      </c>
      <c r="N87" s="164">
        <f t="shared" si="72"/>
        <v>0</v>
      </c>
      <c r="O87" s="164">
        <f t="shared" si="72"/>
        <v>0</v>
      </c>
      <c r="P87" s="164">
        <f t="shared" si="72"/>
        <v>0</v>
      </c>
      <c r="Q87" s="164">
        <f t="shared" si="72"/>
        <v>0</v>
      </c>
      <c r="R87" s="164">
        <f t="shared" si="72"/>
        <v>0</v>
      </c>
      <c r="S87" s="164">
        <f t="shared" si="72"/>
        <v>0</v>
      </c>
      <c r="T87" s="164">
        <f t="shared" si="72"/>
        <v>0</v>
      </c>
      <c r="U87" s="164">
        <f t="shared" si="72"/>
        <v>0</v>
      </c>
      <c r="V87" s="164">
        <f t="shared" si="72"/>
        <v>0</v>
      </c>
      <c r="W87" s="164">
        <f t="shared" si="72"/>
        <v>0</v>
      </c>
      <c r="X87" s="164">
        <f t="shared" si="72"/>
        <v>0</v>
      </c>
      <c r="Y87" s="164">
        <f t="shared" si="72"/>
        <v>0</v>
      </c>
      <c r="Z87" s="164">
        <f t="shared" si="72"/>
        <v>0</v>
      </c>
      <c r="AA87" s="164">
        <f t="shared" si="72"/>
        <v>0</v>
      </c>
      <c r="AB87" s="164">
        <f t="shared" si="72"/>
        <v>0</v>
      </c>
      <c r="AC87" s="164">
        <f t="shared" si="72"/>
        <v>0</v>
      </c>
    </row>
    <row r="88" spans="3:32" s="112" customFormat="1" ht="25.5">
      <c r="C88" s="916" t="s">
        <v>327</v>
      </c>
      <c r="D88" s="62"/>
      <c r="E88" s="63"/>
      <c r="F88" s="63"/>
      <c r="G88" s="63"/>
      <c r="H88" s="105"/>
      <c r="I88" s="164"/>
      <c r="J88" s="164"/>
      <c r="K88" s="1013"/>
      <c r="L88" s="1039">
        <f>-((SUM('P&amp;L'!G97:G98)-'P&amp;L'!G99)-(SUM('P&amp;L'!F97:F98)-'P&amp;L'!F99)-('P&amp;L'!G103-'P&amp;L'!F103))</f>
        <v>-106.51927914862267</v>
      </c>
      <c r="M88" s="164">
        <f>-((SUM('P&amp;L'!H97:H98)-'P&amp;L'!H99)-(SUM('P&amp;L'!G97:G98)-'P&amp;L'!G99)-('P&amp;L'!H103-'P&amp;L'!G103))</f>
        <v>-1.4349427961744823</v>
      </c>
      <c r="N88" s="164">
        <f>-((SUM('P&amp;L'!I97:I98)-'P&amp;L'!I99)-(SUM('P&amp;L'!H97:H98)-'P&amp;L'!H99)-('P&amp;L'!I103-'P&amp;L'!H103))</f>
        <v>-9.693919958473316</v>
      </c>
      <c r="O88" s="164">
        <f>-((SUM('P&amp;L'!J97:J98)-'P&amp;L'!J99)-(SUM('P&amp;L'!I97:I98)-'P&amp;L'!I99)-('P&amp;L'!J103-'P&amp;L'!I103))</f>
        <v>-5.9147140772704461</v>
      </c>
      <c r="P88" s="164">
        <f>-((SUM('P&amp;L'!K97:K98)-'P&amp;L'!K99)-(SUM('P&amp;L'!J97:J98)-'P&amp;L'!J99)-('P&amp;L'!K103-'P&amp;L'!J103))</f>
        <v>-0.60165761679195384</v>
      </c>
      <c r="Q88" s="164">
        <f>-((SUM('P&amp;L'!L97:L98)-'P&amp;L'!L99)-(SUM('P&amp;L'!K97:K98)-'P&amp;L'!K99)-('P&amp;L'!L103-'P&amp;L'!K103))</f>
        <v>-0.60165761679218122</v>
      </c>
      <c r="R88" s="164">
        <f>-((SUM('P&amp;L'!M97:M98)-'P&amp;L'!M99)-(SUM('P&amp;L'!L97:L98)-'P&amp;L'!L99)-('P&amp;L'!M103-'P&amp;L'!L103))</f>
        <v>0</v>
      </c>
      <c r="S88" s="164">
        <f>-((SUM('P&amp;L'!N97:N98)-'P&amp;L'!N99)-(SUM('P&amp;L'!M97:M98)-'P&amp;L'!M99)-('P&amp;L'!N103-'P&amp;L'!M103))</f>
        <v>0</v>
      </c>
      <c r="T88" s="164">
        <f>-((SUM('P&amp;L'!O97:O98)-'P&amp;L'!O99)-(SUM('P&amp;L'!N97:N98)-'P&amp;L'!N99)-('P&amp;L'!O103-'P&amp;L'!N103))</f>
        <v>0</v>
      </c>
      <c r="U88" s="164">
        <f>-((SUM('P&amp;L'!P97:P98)-'P&amp;L'!P99)-(SUM('P&amp;L'!O97:O98)-'P&amp;L'!O99)-('P&amp;L'!P103-'P&amp;L'!O103))</f>
        <v>0</v>
      </c>
      <c r="V88" s="164">
        <f>-((SUM('P&amp;L'!Q97:Q98)-'P&amp;L'!Q99)-(SUM('P&amp;L'!P97:P98)-'P&amp;L'!P99)-('P&amp;L'!Q103-'P&amp;L'!P103))</f>
        <v>0</v>
      </c>
      <c r="W88" s="164">
        <f>-((SUM('P&amp;L'!R97:R98)-'P&amp;L'!R99)-(SUM('P&amp;L'!Q97:Q98)-'P&amp;L'!Q99)-('P&amp;L'!R103-'P&amp;L'!Q103))</f>
        <v>0</v>
      </c>
      <c r="X88" s="164">
        <f>-((SUM('P&amp;L'!S97:S98)-'P&amp;L'!S99)-(SUM('P&amp;L'!R97:R98)-'P&amp;L'!R99)-('P&amp;L'!S103-'P&amp;L'!R103))</f>
        <v>0</v>
      </c>
      <c r="Y88" s="164">
        <f>-((SUM('P&amp;L'!T97:T98)-'P&amp;L'!T99)-(SUM('P&amp;L'!S97:S98)-'P&amp;L'!S99)-('P&amp;L'!T103-'P&amp;L'!S103))</f>
        <v>0</v>
      </c>
      <c r="Z88" s="164">
        <f>-((SUM('P&amp;L'!U97:U98)-'P&amp;L'!U99)-(SUM('P&amp;L'!T97:T98)-'P&amp;L'!T99)-('P&amp;L'!U103-'P&amp;L'!T103))</f>
        <v>0</v>
      </c>
      <c r="AA88" s="164">
        <f>-((SUM('P&amp;L'!V97:V98)-'P&amp;L'!V99)-(SUM('P&amp;L'!U97:U98)-'P&amp;L'!U99)-('P&amp;L'!V103-'P&amp;L'!U103))</f>
        <v>0</v>
      </c>
      <c r="AB88" s="164">
        <f>-((SUM('P&amp;L'!W97:W98)-'P&amp;L'!W99)-(SUM('P&amp;L'!V97:V98)-'P&amp;L'!V99)-('P&amp;L'!W103-'P&amp;L'!V103))</f>
        <v>0</v>
      </c>
      <c r="AC88" s="165">
        <f>-((SUM('P&amp;L'!X97:X98)-'P&amp;L'!X99)-(SUM('P&amp;L'!W97:W98)-'P&amp;L'!W99)-('P&amp;L'!X103-'P&amp;L'!W103))</f>
        <v>0</v>
      </c>
    </row>
    <row r="89" spans="3:32" s="112" customFormat="1" ht="25.5">
      <c r="C89" s="916" t="s">
        <v>320</v>
      </c>
      <c r="D89" s="62"/>
      <c r="E89" s="63"/>
      <c r="F89" s="63"/>
      <c r="G89" s="63"/>
      <c r="H89" s="105"/>
      <c r="I89" s="164"/>
      <c r="J89" s="164"/>
      <c r="K89" s="1013"/>
      <c r="L89" s="1039">
        <f>-(Debt_Schedule!G89-Debt_Schedule!G42)</f>
        <v>241.995</v>
      </c>
      <c r="M89" s="164">
        <f>-(Debt_Schedule!H89-Debt_Schedule!H42)</f>
        <v>303.93</v>
      </c>
      <c r="N89" s="164">
        <f>-(Debt_Schedule!I89-Debt_Schedule!I42)</f>
        <v>175.04499999999999</v>
      </c>
      <c r="O89" s="164">
        <f>-(Debt_Schedule!J89-Debt_Schedule!J42)</f>
        <v>-27.68</v>
      </c>
      <c r="P89" s="164">
        <f>-(Debt_Schedule!K89-Debt_Schedule!K42)</f>
        <v>-25.024999999999999</v>
      </c>
      <c r="Q89" s="164">
        <f>-(Debt_Schedule!L89-Debt_Schedule!L42)</f>
        <v>-22.81</v>
      </c>
      <c r="R89" s="164">
        <f>-(Debt_Schedule!M89-Debt_Schedule!M42)</f>
        <v>-25.655000000000001</v>
      </c>
      <c r="S89" s="164">
        <f>-(Debt_Schedule!N89-Debt_Schedule!N42)</f>
        <v>-15.185</v>
      </c>
      <c r="T89" s="164">
        <f>-(Debt_Schedule!O89-Debt_Schedule!O42)</f>
        <v>-22.454999999999998</v>
      </c>
      <c r="U89" s="164">
        <f>-(Debt_Schedule!P89-Debt_Schedule!P42)</f>
        <v>-17.829999999999998</v>
      </c>
      <c r="V89" s="164">
        <f>-(Debt_Schedule!Q89-Debt_Schedule!Q42)</f>
        <v>-15.265000000000001</v>
      </c>
      <c r="W89" s="164">
        <f>-(Debt_Schedule!R89-Debt_Schedule!R42)</f>
        <v>-20.89</v>
      </c>
      <c r="X89" s="164">
        <f>-(Debt_Schedule!S89-Debt_Schedule!S42)</f>
        <v>-18.414999999999999</v>
      </c>
      <c r="Y89" s="164">
        <f>-(Debt_Schedule!T89-Debt_Schedule!T42)</f>
        <v>-12.79</v>
      </c>
      <c r="Z89" s="164">
        <f>-(Debt_Schedule!U89-Debt_Schedule!U42)</f>
        <v>-18.204999999999998</v>
      </c>
      <c r="AA89" s="164">
        <f>-(Debt_Schedule!V89-Debt_Schedule!V42)</f>
        <v>-20.54</v>
      </c>
      <c r="AB89" s="164">
        <f>-(Debt_Schedule!W89-Debt_Schedule!W42)</f>
        <v>-23.094999999999999</v>
      </c>
      <c r="AC89" s="165">
        <f>-(Debt_Schedule!X89-Debt_Schedule!X42)</f>
        <v>-16.13</v>
      </c>
    </row>
    <row r="90" spans="3:32" s="112" customFormat="1" ht="25.5">
      <c r="C90" s="916" t="s">
        <v>381</v>
      </c>
      <c r="D90" s="62"/>
      <c r="E90" s="63"/>
      <c r="F90" s="63"/>
      <c r="G90" s="63"/>
      <c r="H90" s="105"/>
      <c r="I90" s="199"/>
      <c r="J90" s="199"/>
      <c r="K90" s="1013"/>
      <c r="L90" s="1039"/>
      <c r="M90" s="164"/>
      <c r="N90" s="164"/>
      <c r="O90" s="164"/>
      <c r="P90" s="164"/>
      <c r="Q90" s="164"/>
      <c r="R90" s="164"/>
      <c r="S90" s="164"/>
      <c r="T90" s="164"/>
      <c r="U90" s="164"/>
      <c r="V90" s="164"/>
      <c r="W90" s="164"/>
      <c r="X90" s="164"/>
      <c r="Y90" s="164"/>
      <c r="Z90" s="164"/>
      <c r="AA90" s="164"/>
      <c r="AB90" s="164"/>
      <c r="AC90" s="165"/>
    </row>
    <row r="91" spans="3:32" s="112" customFormat="1" ht="25.5">
      <c r="C91" s="916" t="s">
        <v>380</v>
      </c>
      <c r="D91" s="62"/>
      <c r="E91" s="63"/>
      <c r="F91" s="63"/>
      <c r="G91" s="63"/>
      <c r="H91" s="105"/>
      <c r="I91" s="199"/>
      <c r="J91" s="199"/>
      <c r="K91" s="1023"/>
      <c r="L91" s="1040"/>
      <c r="M91" s="199"/>
      <c r="N91" s="206"/>
      <c r="O91" s="206"/>
      <c r="P91" s="206"/>
      <c r="Q91" s="206"/>
      <c r="R91" s="206"/>
      <c r="S91" s="206"/>
      <c r="T91" s="206"/>
      <c r="U91" s="206"/>
      <c r="V91" s="206"/>
      <c r="W91" s="206"/>
      <c r="X91" s="206"/>
      <c r="Y91" s="206"/>
      <c r="Z91" s="206"/>
      <c r="AA91" s="206"/>
      <c r="AB91" s="206"/>
      <c r="AC91" s="206"/>
    </row>
    <row r="92" spans="3:32" s="112" customFormat="1" ht="25.5">
      <c r="C92" s="916" t="s">
        <v>376</v>
      </c>
      <c r="D92" s="62"/>
      <c r="E92" s="63"/>
      <c r="F92" s="63"/>
      <c r="G92" s="63"/>
      <c r="H92" s="105"/>
      <c r="I92" s="199"/>
      <c r="J92" s="199"/>
      <c r="K92" s="1023"/>
      <c r="L92" s="1039">
        <f t="shared" ref="L92:AC92" si="73">-(L15-K15)</f>
        <v>0</v>
      </c>
      <c r="M92" s="164">
        <f t="shared" si="73"/>
        <v>0</v>
      </c>
      <c r="N92" s="164">
        <f t="shared" si="73"/>
        <v>0</v>
      </c>
      <c r="O92" s="164">
        <f t="shared" si="73"/>
        <v>0</v>
      </c>
      <c r="P92" s="164">
        <f t="shared" si="73"/>
        <v>0</v>
      </c>
      <c r="Q92" s="164">
        <f t="shared" si="73"/>
        <v>0</v>
      </c>
      <c r="R92" s="164">
        <f t="shared" si="73"/>
        <v>0</v>
      </c>
      <c r="S92" s="164">
        <f t="shared" si="73"/>
        <v>0</v>
      </c>
      <c r="T92" s="164">
        <f t="shared" si="73"/>
        <v>0</v>
      </c>
      <c r="U92" s="164">
        <f t="shared" si="73"/>
        <v>0</v>
      </c>
      <c r="V92" s="164">
        <f t="shared" si="73"/>
        <v>0</v>
      </c>
      <c r="W92" s="164">
        <f t="shared" si="73"/>
        <v>0</v>
      </c>
      <c r="X92" s="164">
        <f t="shared" si="73"/>
        <v>0</v>
      </c>
      <c r="Y92" s="164">
        <f t="shared" si="73"/>
        <v>0</v>
      </c>
      <c r="Z92" s="164">
        <f t="shared" si="73"/>
        <v>0</v>
      </c>
      <c r="AA92" s="164">
        <f t="shared" si="73"/>
        <v>0</v>
      </c>
      <c r="AB92" s="164">
        <f t="shared" si="73"/>
        <v>0</v>
      </c>
      <c r="AC92" s="164">
        <f t="shared" si="73"/>
        <v>0</v>
      </c>
    </row>
    <row r="93" spans="3:32" s="112" customFormat="1">
      <c r="C93" s="916" t="s">
        <v>397</v>
      </c>
      <c r="D93" s="65"/>
      <c r="E93" s="104"/>
      <c r="F93" s="104"/>
      <c r="G93" s="104"/>
      <c r="H93" s="105"/>
      <c r="I93" s="199"/>
      <c r="J93" s="199"/>
      <c r="K93" s="1023"/>
      <c r="L93" s="1040">
        <f t="shared" ref="L93:AC93" si="74">+(L31-K31+L33-K33+L34-K34+L39-K39+L41-K41)</f>
        <v>-59.297039999999996</v>
      </c>
      <c r="M93" s="199">
        <f t="shared" si="74"/>
        <v>-15.3384</v>
      </c>
      <c r="N93" s="199">
        <f t="shared" si="74"/>
        <v>-13.517300000000006</v>
      </c>
      <c r="O93" s="199">
        <f t="shared" si="74"/>
        <v>0</v>
      </c>
      <c r="P93" s="199">
        <f t="shared" si="74"/>
        <v>0</v>
      </c>
      <c r="Q93" s="199">
        <f t="shared" si="74"/>
        <v>0</v>
      </c>
      <c r="R93" s="199">
        <f t="shared" si="74"/>
        <v>0</v>
      </c>
      <c r="S93" s="199">
        <f t="shared" si="74"/>
        <v>0</v>
      </c>
      <c r="T93" s="199">
        <f t="shared" si="74"/>
        <v>0</v>
      </c>
      <c r="U93" s="199">
        <f t="shared" si="74"/>
        <v>0</v>
      </c>
      <c r="V93" s="199">
        <f t="shared" si="74"/>
        <v>0</v>
      </c>
      <c r="W93" s="199">
        <f t="shared" si="74"/>
        <v>0</v>
      </c>
      <c r="X93" s="199">
        <f t="shared" si="74"/>
        <v>0</v>
      </c>
      <c r="Y93" s="199">
        <f t="shared" si="74"/>
        <v>0</v>
      </c>
      <c r="Z93" s="199">
        <f t="shared" si="74"/>
        <v>0</v>
      </c>
      <c r="AA93" s="199">
        <f t="shared" si="74"/>
        <v>0</v>
      </c>
      <c r="AB93" s="199">
        <f t="shared" si="74"/>
        <v>0</v>
      </c>
      <c r="AC93" s="199">
        <f t="shared" si="74"/>
        <v>0</v>
      </c>
    </row>
    <row r="94" spans="3:32" s="112" customFormat="1" ht="25.5">
      <c r="C94" s="916" t="s">
        <v>316</v>
      </c>
      <c r="D94" s="62"/>
      <c r="E94" s="63"/>
      <c r="F94" s="63"/>
      <c r="G94" s="63"/>
      <c r="H94" s="105"/>
      <c r="I94" s="199"/>
      <c r="J94" s="199"/>
      <c r="K94" s="1013"/>
      <c r="L94" s="1039"/>
      <c r="M94" s="164"/>
      <c r="N94" s="164"/>
      <c r="O94" s="164"/>
      <c r="P94" s="164"/>
      <c r="Q94" s="164"/>
      <c r="R94" s="164"/>
      <c r="S94" s="164"/>
      <c r="T94" s="164"/>
      <c r="U94" s="164"/>
      <c r="V94" s="164"/>
      <c r="W94" s="164"/>
      <c r="X94" s="164"/>
      <c r="Y94" s="164"/>
      <c r="Z94" s="164"/>
      <c r="AA94" s="164"/>
      <c r="AB94" s="164"/>
      <c r="AC94" s="165"/>
    </row>
    <row r="95" spans="3:32" s="112" customFormat="1" ht="25.5">
      <c r="C95" s="916" t="s">
        <v>325</v>
      </c>
      <c r="D95" s="62"/>
      <c r="E95" s="63"/>
      <c r="F95" s="63"/>
      <c r="G95" s="63"/>
      <c r="H95" s="105"/>
      <c r="I95" s="199"/>
      <c r="J95" s="199"/>
      <c r="K95" s="1013"/>
      <c r="L95" s="1039"/>
      <c r="M95" s="164"/>
      <c r="N95" s="164"/>
      <c r="O95" s="164"/>
      <c r="P95" s="164"/>
      <c r="Q95" s="164"/>
      <c r="R95" s="164"/>
      <c r="S95" s="164"/>
      <c r="T95" s="164"/>
      <c r="U95" s="164"/>
      <c r="V95" s="164"/>
      <c r="W95" s="164"/>
      <c r="X95" s="164"/>
      <c r="Y95" s="164"/>
      <c r="Z95" s="164"/>
      <c r="AA95" s="164"/>
      <c r="AB95" s="164"/>
      <c r="AC95" s="165"/>
    </row>
    <row r="96" spans="3:32" s="112" customFormat="1" ht="25.5">
      <c r="C96" s="916" t="s">
        <v>362</v>
      </c>
      <c r="D96" s="65"/>
      <c r="E96" s="104"/>
      <c r="F96" s="104"/>
      <c r="G96" s="104"/>
      <c r="H96" s="105"/>
      <c r="I96" s="199"/>
      <c r="J96" s="199"/>
      <c r="K96" s="1023"/>
      <c r="L96" s="1039"/>
      <c r="M96" s="164"/>
      <c r="N96" s="164"/>
      <c r="O96" s="164"/>
      <c r="P96" s="164"/>
      <c r="Q96" s="164"/>
      <c r="R96" s="164"/>
      <c r="S96" s="164"/>
      <c r="T96" s="164"/>
      <c r="U96" s="164"/>
      <c r="V96" s="164"/>
      <c r="W96" s="164"/>
      <c r="X96" s="164"/>
      <c r="Y96" s="164"/>
      <c r="Z96" s="164"/>
      <c r="AA96" s="164"/>
      <c r="AB96" s="164"/>
      <c r="AC96" s="165"/>
    </row>
    <row r="97" spans="2:29" s="112" customFormat="1">
      <c r="C97" s="902" t="s">
        <v>319</v>
      </c>
      <c r="D97" s="62"/>
      <c r="E97" s="63"/>
      <c r="F97" s="63"/>
      <c r="G97" s="63"/>
      <c r="H97" s="105"/>
      <c r="I97" s="199"/>
      <c r="J97" s="199"/>
      <c r="K97" s="1013"/>
      <c r="L97" s="1039"/>
      <c r="M97" s="164"/>
      <c r="N97" s="164"/>
      <c r="O97" s="164"/>
      <c r="P97" s="164"/>
      <c r="Q97" s="164"/>
      <c r="R97" s="164"/>
      <c r="S97" s="164"/>
      <c r="T97" s="164"/>
      <c r="U97" s="164"/>
      <c r="V97" s="164"/>
      <c r="W97" s="164"/>
      <c r="X97" s="164"/>
      <c r="Y97" s="164"/>
      <c r="Z97" s="164"/>
      <c r="AA97" s="164"/>
      <c r="AB97" s="164"/>
      <c r="AC97" s="165"/>
    </row>
    <row r="98" spans="2:29" s="112" customFormat="1" ht="25.5">
      <c r="C98" s="902" t="s">
        <v>354</v>
      </c>
      <c r="D98" s="62"/>
      <c r="E98" s="63"/>
      <c r="F98" s="63"/>
      <c r="G98" s="63"/>
      <c r="H98" s="105"/>
      <c r="I98" s="199"/>
      <c r="J98" s="199"/>
      <c r="K98" s="1023"/>
      <c r="L98" s="1040">
        <f>-Debt_Schedule!G127+Debt_Schedule!G128</f>
        <v>0</v>
      </c>
      <c r="M98" s="199">
        <f>-Debt_Schedule!H127+Debt_Schedule!H128</f>
        <v>0</v>
      </c>
      <c r="N98" s="199">
        <f>-Debt_Schedule!I127+Debt_Schedule!I128</f>
        <v>0</v>
      </c>
      <c r="O98" s="199">
        <f>-Debt_Schedule!J127+Debt_Schedule!J128</f>
        <v>0</v>
      </c>
      <c r="P98" s="199">
        <f>-Debt_Schedule!K127+Debt_Schedule!K128</f>
        <v>0</v>
      </c>
      <c r="Q98" s="199">
        <f>-Debt_Schedule!L127+Debt_Schedule!L128</f>
        <v>0</v>
      </c>
      <c r="R98" s="199">
        <f>-Debt_Schedule!M127+Debt_Schedule!M128</f>
        <v>0</v>
      </c>
      <c r="S98" s="199">
        <f>-Debt_Schedule!N127+Debt_Schedule!N128</f>
        <v>0</v>
      </c>
      <c r="T98" s="199">
        <f>-Debt_Schedule!O127+Debt_Schedule!O128</f>
        <v>0</v>
      </c>
      <c r="U98" s="199">
        <f>-Debt_Schedule!P127+Debt_Schedule!P128</f>
        <v>0</v>
      </c>
      <c r="V98" s="199">
        <f>-Debt_Schedule!Q127+Debt_Schedule!Q128</f>
        <v>0</v>
      </c>
      <c r="W98" s="199">
        <f>-Debt_Schedule!R127+Debt_Schedule!R128</f>
        <v>0</v>
      </c>
      <c r="X98" s="199">
        <f>-Debt_Schedule!S127+Debt_Schedule!S128</f>
        <v>0</v>
      </c>
      <c r="Y98" s="199">
        <f>-Debt_Schedule!T127+Debt_Schedule!T128</f>
        <v>0</v>
      </c>
      <c r="Z98" s="199">
        <f>-Debt_Schedule!U127+Debt_Schedule!U128</f>
        <v>0</v>
      </c>
      <c r="AA98" s="199">
        <f>-Debt_Schedule!V127+Debt_Schedule!V128</f>
        <v>0</v>
      </c>
      <c r="AB98" s="199">
        <f>-Debt_Schedule!W127+Debt_Schedule!W128</f>
        <v>0</v>
      </c>
      <c r="AC98" s="199">
        <f>-Debt_Schedule!X127+Debt_Schedule!X128</f>
        <v>0</v>
      </c>
    </row>
    <row r="99" spans="2:29" s="112" customFormat="1">
      <c r="B99" s="62"/>
      <c r="C99" s="917" t="s">
        <v>318</v>
      </c>
      <c r="D99" s="62"/>
      <c r="E99" s="63"/>
      <c r="F99" s="63"/>
      <c r="G99" s="63"/>
      <c r="H99" s="104"/>
      <c r="I99" s="166"/>
      <c r="J99" s="166"/>
      <c r="K99" s="1014"/>
      <c r="L99" s="227">
        <f t="shared" ref="L99:AC99" si="75">IF(L109&gt;0,SUM(L85:L98),0)</f>
        <v>0</v>
      </c>
      <c r="M99" s="166">
        <f t="shared" si="75"/>
        <v>0</v>
      </c>
      <c r="N99" s="166">
        <f t="shared" si="75"/>
        <v>0</v>
      </c>
      <c r="O99" s="166">
        <f t="shared" si="75"/>
        <v>129.93457443102446</v>
      </c>
      <c r="P99" s="166">
        <f t="shared" si="75"/>
        <v>119.85194325645199</v>
      </c>
      <c r="Q99" s="166">
        <f t="shared" si="75"/>
        <v>94.565098377537566</v>
      </c>
      <c r="R99" s="166">
        <f t="shared" si="75"/>
        <v>67.579003203612217</v>
      </c>
      <c r="S99" s="166">
        <f t="shared" si="75"/>
        <v>49.638346700899916</v>
      </c>
      <c r="T99" s="166">
        <f t="shared" si="75"/>
        <v>4.6915274001061178</v>
      </c>
      <c r="U99" s="166">
        <f t="shared" si="75"/>
        <v>-31.035617357851713</v>
      </c>
      <c r="V99" s="166">
        <f t="shared" si="75"/>
        <v>0</v>
      </c>
      <c r="W99" s="166">
        <f t="shared" si="75"/>
        <v>0</v>
      </c>
      <c r="X99" s="166">
        <f t="shared" si="75"/>
        <v>0</v>
      </c>
      <c r="Y99" s="166">
        <f t="shared" si="75"/>
        <v>0</v>
      </c>
      <c r="Z99" s="166">
        <f t="shared" si="75"/>
        <v>0</v>
      </c>
      <c r="AA99" s="166">
        <f t="shared" si="75"/>
        <v>0</v>
      </c>
      <c r="AB99" s="166">
        <f t="shared" si="75"/>
        <v>0</v>
      </c>
      <c r="AC99" s="166">
        <f t="shared" si="75"/>
        <v>0</v>
      </c>
    </row>
    <row r="100" spans="2:29">
      <c r="C100" s="917" t="s">
        <v>317</v>
      </c>
      <c r="D100" s="62"/>
      <c r="E100" s="63"/>
      <c r="F100" s="63"/>
      <c r="G100" s="63"/>
      <c r="H100" s="105"/>
      <c r="I100" s="202"/>
      <c r="J100" s="202"/>
      <c r="K100" s="1028"/>
      <c r="L100" s="1046"/>
      <c r="M100" s="202"/>
      <c r="N100" s="202"/>
      <c r="O100" s="202"/>
      <c r="P100" s="202"/>
      <c r="Q100" s="202"/>
      <c r="R100" s="202"/>
      <c r="S100" s="202"/>
      <c r="T100" s="202"/>
      <c r="U100" s="202"/>
      <c r="V100" s="202"/>
      <c r="W100" s="202"/>
      <c r="X100" s="202"/>
      <c r="Y100" s="202"/>
      <c r="Z100" s="202"/>
      <c r="AA100" s="202"/>
      <c r="AB100" s="202"/>
      <c r="AC100" s="203"/>
    </row>
    <row r="101" spans="2:29">
      <c r="C101" s="917"/>
      <c r="D101" s="62"/>
      <c r="E101" s="63"/>
      <c r="F101" s="63"/>
      <c r="G101" s="63"/>
      <c r="H101" s="105"/>
      <c r="I101" s="202"/>
      <c r="J101" s="202"/>
      <c r="K101" s="1028"/>
      <c r="L101" s="1046"/>
      <c r="M101" s="202"/>
      <c r="N101" s="202"/>
      <c r="O101" s="202"/>
      <c r="P101" s="202"/>
      <c r="Q101" s="202"/>
      <c r="R101" s="202"/>
      <c r="S101" s="202"/>
      <c r="T101" s="202"/>
      <c r="U101" s="202"/>
      <c r="V101" s="202"/>
      <c r="W101" s="202"/>
      <c r="X101" s="202"/>
      <c r="Y101" s="202"/>
      <c r="Z101" s="202"/>
      <c r="AA101" s="202"/>
      <c r="AB101" s="202"/>
      <c r="AC101" s="202"/>
    </row>
    <row r="102" spans="2:29">
      <c r="C102" s="917" t="s">
        <v>368</v>
      </c>
      <c r="D102" s="65"/>
      <c r="E102" s="104"/>
      <c r="F102" s="104"/>
      <c r="G102" s="104"/>
      <c r="H102" s="115"/>
      <c r="I102" s="202"/>
      <c r="J102" s="202"/>
      <c r="K102" s="1028"/>
      <c r="L102" s="1046">
        <f t="shared" ref="L102:AC102" si="76">SUM(L103:L108)</f>
        <v>365.7484697720684</v>
      </c>
      <c r="M102" s="202">
        <f t="shared" si="76"/>
        <v>395.55780865766167</v>
      </c>
      <c r="N102" s="202">
        <f t="shared" si="76"/>
        <v>444.72836421177527</v>
      </c>
      <c r="O102" s="202">
        <f t="shared" si="76"/>
        <v>456.66539107603802</v>
      </c>
      <c r="P102" s="202">
        <f t="shared" si="76"/>
        <v>438.81608901639652</v>
      </c>
      <c r="Q102" s="202">
        <f t="shared" si="76"/>
        <v>417.38978695675496</v>
      </c>
      <c r="R102" s="202">
        <f t="shared" si="76"/>
        <v>395.92778695675497</v>
      </c>
      <c r="S102" s="202">
        <f t="shared" si="76"/>
        <v>374.46578695675498</v>
      </c>
      <c r="T102" s="202">
        <f t="shared" si="76"/>
        <v>353.00378695675499</v>
      </c>
      <c r="U102" s="202">
        <f t="shared" si="76"/>
        <v>331.54178695675495</v>
      </c>
      <c r="V102" s="202">
        <f t="shared" si="76"/>
        <v>320.81078695675495</v>
      </c>
      <c r="W102" s="202">
        <f t="shared" si="76"/>
        <v>320.81078695675495</v>
      </c>
      <c r="X102" s="202">
        <f t="shared" si="76"/>
        <v>320.81078695675495</v>
      </c>
      <c r="Y102" s="202">
        <f t="shared" si="76"/>
        <v>320.81078695675495</v>
      </c>
      <c r="Z102" s="202">
        <f t="shared" si="76"/>
        <v>320.81078695675495</v>
      </c>
      <c r="AA102" s="202">
        <f t="shared" si="76"/>
        <v>320.81078695675495</v>
      </c>
      <c r="AB102" s="202">
        <f t="shared" si="76"/>
        <v>320.81078695675495</v>
      </c>
      <c r="AC102" s="202">
        <f t="shared" si="76"/>
        <v>320.81078695675495</v>
      </c>
    </row>
    <row r="103" spans="2:29" ht="25.5" hidden="1">
      <c r="C103" s="902" t="s">
        <v>373</v>
      </c>
      <c r="D103" s="65"/>
      <c r="E103" s="104"/>
      <c r="F103" s="104"/>
      <c r="G103" s="104"/>
      <c r="H103" s="115"/>
      <c r="I103" s="204"/>
      <c r="J103" s="202"/>
      <c r="K103" s="1028"/>
      <c r="L103" s="1046"/>
      <c r="M103" s="202"/>
      <c r="N103" s="202"/>
      <c r="O103" s="202"/>
      <c r="P103" s="202"/>
      <c r="Q103" s="202"/>
      <c r="R103" s="202"/>
      <c r="S103" s="202"/>
      <c r="T103" s="202"/>
      <c r="U103" s="202"/>
      <c r="V103" s="202"/>
      <c r="W103" s="202"/>
      <c r="X103" s="202"/>
      <c r="Y103" s="202"/>
      <c r="Z103" s="202"/>
      <c r="AA103" s="202"/>
      <c r="AB103" s="202"/>
      <c r="AC103" s="203"/>
    </row>
    <row r="104" spans="2:29">
      <c r="B104" s="11">
        <f>SUM(I104:AC104)</f>
        <v>1456.1010000000006</v>
      </c>
      <c r="C104" s="902" t="s">
        <v>371</v>
      </c>
      <c r="D104" s="62"/>
      <c r="E104" s="63"/>
      <c r="F104" s="63"/>
      <c r="G104" s="63"/>
      <c r="H104" s="105"/>
      <c r="I104" s="204"/>
      <c r="J104" s="204"/>
      <c r="K104" s="1029"/>
      <c r="L104" s="1047">
        <f>Debt_Schedule!G9+Debt_Schedule!G18</f>
        <v>80.894500000000008</v>
      </c>
      <c r="M104" s="204">
        <f>Debt_Schedule!H9+Debt_Schedule!H18</f>
        <v>80.894500000000008</v>
      </c>
      <c r="N104" s="204">
        <f>Debt_Schedule!I9+Debt_Schedule!I18</f>
        <v>80.894500000000008</v>
      </c>
      <c r="O104" s="204">
        <f>Debt_Schedule!J9+Debt_Schedule!J18</f>
        <v>80.894500000000008</v>
      </c>
      <c r="P104" s="204">
        <f>Debt_Schedule!K9+Debt_Schedule!K18</f>
        <v>80.894500000000008</v>
      </c>
      <c r="Q104" s="204">
        <f>Debt_Schedule!L9+Debt_Schedule!L18</f>
        <v>80.894500000000008</v>
      </c>
      <c r="R104" s="204">
        <f>Debt_Schedule!M9+Debt_Schedule!M18</f>
        <v>80.894500000000008</v>
      </c>
      <c r="S104" s="204">
        <f>Debt_Schedule!N9+Debt_Schedule!N18</f>
        <v>80.894500000000008</v>
      </c>
      <c r="T104" s="204">
        <f>Debt_Schedule!O9+Debt_Schedule!O18</f>
        <v>80.894500000000008</v>
      </c>
      <c r="U104" s="204">
        <f>Debt_Schedule!P9+Debt_Schedule!P18</f>
        <v>80.894500000000008</v>
      </c>
      <c r="V104" s="204">
        <f>Debt_Schedule!Q9+Debt_Schedule!Q18</f>
        <v>80.894500000000008</v>
      </c>
      <c r="W104" s="204">
        <f>Debt_Schedule!R9+Debt_Schedule!R18</f>
        <v>80.894500000000008</v>
      </c>
      <c r="X104" s="204">
        <f>Debt_Schedule!S9+Debt_Schedule!S18</f>
        <v>80.894500000000008</v>
      </c>
      <c r="Y104" s="204">
        <f>Debt_Schedule!T9+Debt_Schedule!T18</f>
        <v>80.894500000000008</v>
      </c>
      <c r="Z104" s="204">
        <f>Debt_Schedule!U9+Debt_Schedule!U18</f>
        <v>80.894500000000008</v>
      </c>
      <c r="AA104" s="204">
        <f>Debt_Schedule!V9+Debt_Schedule!V18</f>
        <v>80.894500000000008</v>
      </c>
      <c r="AB104" s="204">
        <f>Debt_Schedule!W9+Debt_Schedule!W18</f>
        <v>80.894500000000008</v>
      </c>
      <c r="AC104" s="204">
        <f>Debt_Schedule!X9+Debt_Schedule!X18</f>
        <v>80.894500000000008</v>
      </c>
    </row>
    <row r="105" spans="2:29">
      <c r="B105" s="11">
        <f>SUM(I105:AC105)</f>
        <v>0</v>
      </c>
      <c r="C105" s="902" t="s">
        <v>395</v>
      </c>
      <c r="D105" s="62"/>
      <c r="E105" s="63"/>
      <c r="F105" s="63"/>
      <c r="G105" s="63"/>
      <c r="H105" s="105"/>
      <c r="I105" s="204"/>
      <c r="J105" s="204"/>
      <c r="K105" s="1029"/>
      <c r="L105" s="1047">
        <f>Debt_Schedule!G27</f>
        <v>0</v>
      </c>
      <c r="M105" s="204">
        <f>Debt_Schedule!H27</f>
        <v>0</v>
      </c>
      <c r="N105" s="204">
        <f>Debt_Schedule!I27</f>
        <v>0</v>
      </c>
      <c r="O105" s="204">
        <f>Debt_Schedule!J27</f>
        <v>0</v>
      </c>
      <c r="P105" s="204">
        <f>Debt_Schedule!K27</f>
        <v>0</v>
      </c>
      <c r="Q105" s="204">
        <f>Debt_Schedule!L27</f>
        <v>0</v>
      </c>
      <c r="R105" s="204">
        <f>Debt_Schedule!M27</f>
        <v>0</v>
      </c>
      <c r="S105" s="204">
        <f>Debt_Schedule!N27</f>
        <v>0</v>
      </c>
      <c r="T105" s="204">
        <f>Debt_Schedule!O27</f>
        <v>0</v>
      </c>
      <c r="U105" s="204">
        <f>Debt_Schedule!P27</f>
        <v>0</v>
      </c>
      <c r="V105" s="204">
        <f>Debt_Schedule!Q27</f>
        <v>0</v>
      </c>
      <c r="W105" s="204">
        <f>Debt_Schedule!R27</f>
        <v>0</v>
      </c>
      <c r="X105" s="204">
        <f>Debt_Schedule!S27</f>
        <v>0</v>
      </c>
      <c r="Y105" s="204">
        <f>Debt_Schedule!T27</f>
        <v>0</v>
      </c>
      <c r="Z105" s="204">
        <f>Debt_Schedule!U27</f>
        <v>0</v>
      </c>
      <c r="AA105" s="204">
        <f>Debt_Schedule!V27</f>
        <v>0</v>
      </c>
      <c r="AB105" s="204">
        <f>Debt_Schedule!W27</f>
        <v>0</v>
      </c>
      <c r="AC105" s="204">
        <f>Debt_Schedule!X27</f>
        <v>0</v>
      </c>
    </row>
    <row r="106" spans="2:29" ht="12" customHeight="1">
      <c r="B106" s="11">
        <f>SUM(I106:AC106)</f>
        <v>3987.295668000002</v>
      </c>
      <c r="C106" s="902" t="s">
        <v>369</v>
      </c>
      <c r="D106" s="62"/>
      <c r="E106" s="63"/>
      <c r="F106" s="63"/>
      <c r="G106" s="63"/>
      <c r="H106" s="105"/>
      <c r="I106" s="204"/>
      <c r="J106" s="204"/>
      <c r="K106" s="1029"/>
      <c r="L106" s="1047">
        <f>Debt_Schedule!G69</f>
        <v>221.51642600000002</v>
      </c>
      <c r="M106" s="204">
        <f>Debt_Schedule!H69</f>
        <v>221.51642600000002</v>
      </c>
      <c r="N106" s="204">
        <f>Debt_Schedule!I69</f>
        <v>221.51642600000002</v>
      </c>
      <c r="O106" s="204">
        <f>Debt_Schedule!J69</f>
        <v>221.51642600000002</v>
      </c>
      <c r="P106" s="204">
        <f>Debt_Schedule!K69</f>
        <v>221.51642600000002</v>
      </c>
      <c r="Q106" s="204">
        <f>Debt_Schedule!L69</f>
        <v>221.51642600000002</v>
      </c>
      <c r="R106" s="204">
        <f>Debt_Schedule!M69</f>
        <v>221.51642600000002</v>
      </c>
      <c r="S106" s="204">
        <f>Debt_Schedule!N69</f>
        <v>221.51642600000002</v>
      </c>
      <c r="T106" s="204">
        <f>Debt_Schedule!O69</f>
        <v>221.51642600000002</v>
      </c>
      <c r="U106" s="204">
        <f>Debt_Schedule!P69</f>
        <v>221.51642600000002</v>
      </c>
      <c r="V106" s="204">
        <f>Debt_Schedule!Q69</f>
        <v>221.51642600000002</v>
      </c>
      <c r="W106" s="204">
        <f>Debt_Schedule!R69</f>
        <v>221.51642600000002</v>
      </c>
      <c r="X106" s="204">
        <f>Debt_Schedule!S69</f>
        <v>221.51642600000002</v>
      </c>
      <c r="Y106" s="204">
        <f>Debt_Schedule!T69</f>
        <v>221.51642600000002</v>
      </c>
      <c r="Z106" s="204">
        <f>Debt_Schedule!U69</f>
        <v>221.51642600000002</v>
      </c>
      <c r="AA106" s="204">
        <f>Debt_Schedule!V69</f>
        <v>221.51642600000002</v>
      </c>
      <c r="AB106" s="204">
        <f>Debt_Schedule!W69</f>
        <v>221.51642600000002</v>
      </c>
      <c r="AC106" s="204">
        <f>Debt_Schedule!X69</f>
        <v>221.51642600000002</v>
      </c>
    </row>
    <row r="107" spans="2:29">
      <c r="B107" s="11">
        <f>SUM(I107:AC107)</f>
        <v>769.75850000000071</v>
      </c>
      <c r="C107" s="902" t="s">
        <v>370</v>
      </c>
      <c r="D107" s="62"/>
      <c r="E107" s="63"/>
      <c r="F107" s="63"/>
      <c r="G107" s="63"/>
      <c r="H107" s="105"/>
      <c r="I107" s="204"/>
      <c r="J107" s="204"/>
      <c r="K107" s="1029"/>
      <c r="L107" s="1047">
        <f>Debt_Schedule!G46</f>
        <v>47.103000000000002</v>
      </c>
      <c r="M107" s="204">
        <f>Debt_Schedule!H46</f>
        <v>76.75500000000001</v>
      </c>
      <c r="N107" s="204">
        <f>Debt_Schedule!I46</f>
        <v>124.70850000000002</v>
      </c>
      <c r="O107" s="204">
        <f>Debt_Schedule!J46</f>
        <v>135.85600000000002</v>
      </c>
      <c r="P107" s="204">
        <f>Debt_Schedule!K46</f>
        <v>117.971</v>
      </c>
      <c r="Q107" s="204">
        <f>Debt_Schedule!L46</f>
        <v>96.509000000000015</v>
      </c>
      <c r="R107" s="204">
        <f>Debt_Schedule!M46</f>
        <v>75.047000000000011</v>
      </c>
      <c r="S107" s="204">
        <f>Debt_Schedule!N46</f>
        <v>53.585000000000022</v>
      </c>
      <c r="T107" s="204">
        <f>Debt_Schedule!O46</f>
        <v>32.123000000000026</v>
      </c>
      <c r="U107" s="204">
        <f>Debt_Schedule!P46</f>
        <v>10.661000000000024</v>
      </c>
      <c r="V107" s="204">
        <f>Debt_Schedule!Q46</f>
        <v>-6.9999999999976137E-2</v>
      </c>
      <c r="W107" s="204">
        <f>Debt_Schedule!R46</f>
        <v>-6.9999999999976137E-2</v>
      </c>
      <c r="X107" s="204">
        <f>Debt_Schedule!S46</f>
        <v>-6.9999999999976137E-2</v>
      </c>
      <c r="Y107" s="204">
        <f>Debt_Schedule!T46</f>
        <v>-6.9999999999976137E-2</v>
      </c>
      <c r="Z107" s="204">
        <f>Debt_Schedule!U46</f>
        <v>-6.9999999999976137E-2</v>
      </c>
      <c r="AA107" s="204">
        <f>Debt_Schedule!V46</f>
        <v>-6.9999999999976137E-2</v>
      </c>
      <c r="AB107" s="204">
        <f>Debt_Schedule!W46</f>
        <v>-6.9999999999976137E-2</v>
      </c>
      <c r="AC107" s="204">
        <f>Debt_Schedule!X46</f>
        <v>-6.9999999999976137E-2</v>
      </c>
    </row>
    <row r="108" spans="2:29">
      <c r="C108" s="902" t="s">
        <v>372</v>
      </c>
      <c r="D108" s="62"/>
      <c r="E108" s="63"/>
      <c r="F108" s="63"/>
      <c r="G108" s="63"/>
      <c r="H108" s="105"/>
      <c r="I108" s="204"/>
      <c r="J108" s="204"/>
      <c r="K108" s="1029"/>
      <c r="L108" s="1047">
        <f>Debt_Schedule!G55+Debt_Schedule!G73+Debt_Schedule!G74+Debt_Schedule!G79+Debt_Schedule!G80</f>
        <v>16.23454377206836</v>
      </c>
      <c r="M108" s="204">
        <f>Debt_Schedule!H55+Debt_Schedule!H73+Debt_Schedule!H74+Debt_Schedule!H79+Debt_Schedule!H80</f>
        <v>16.39188265766164</v>
      </c>
      <c r="N108" s="204">
        <f>Debt_Schedule!I55+Debt_Schedule!I73+Debt_Schedule!I74+Debt_Schedule!I79+Debt_Schedule!I80</f>
        <v>17.608938211775264</v>
      </c>
      <c r="O108" s="204">
        <f>Debt_Schedule!J55+Debt_Schedule!J73+Debt_Schedule!J74+Debt_Schedule!J79+Debt_Schedule!J80</f>
        <v>18.398465076038015</v>
      </c>
      <c r="P108" s="204">
        <f>Debt_Schedule!K55+Debt_Schedule!K73+Debt_Schedule!K74+Debt_Schedule!K79+Debt_Schedule!K80</f>
        <v>18.434163016396468</v>
      </c>
      <c r="Q108" s="204">
        <f>Debt_Schedule!L55+Debt_Schedule!L73+Debt_Schedule!L74+Debt_Schedule!L79+Debt_Schedule!L80</f>
        <v>18.469860956754918</v>
      </c>
      <c r="R108" s="204">
        <f>Debt_Schedule!M55+Debt_Schedule!M73+Debt_Schedule!M74+Debt_Schedule!M79+Debt_Schedule!M80</f>
        <v>18.469860956754918</v>
      </c>
      <c r="S108" s="204">
        <f>Debt_Schedule!N55+Debt_Schedule!N73+Debt_Schedule!N74+Debt_Schedule!N79+Debt_Schedule!N80</f>
        <v>18.469860956754918</v>
      </c>
      <c r="T108" s="204">
        <f>Debt_Schedule!O55+Debt_Schedule!O73+Debt_Schedule!O74+Debt_Schedule!O79+Debt_Schedule!O80</f>
        <v>18.469860956754918</v>
      </c>
      <c r="U108" s="204">
        <f>Debt_Schedule!P55+Debt_Schedule!P73+Debt_Schedule!P74+Debt_Schedule!P79+Debt_Schedule!P80</f>
        <v>18.469860956754918</v>
      </c>
      <c r="V108" s="204">
        <f>Debt_Schedule!Q55+Debt_Schedule!Q73+Debt_Schedule!Q74+Debt_Schedule!Q79+Debt_Schedule!Q80</f>
        <v>18.469860956754918</v>
      </c>
      <c r="W108" s="204">
        <f>Debt_Schedule!R55+Debt_Schedule!R73+Debt_Schedule!R74+Debt_Schedule!R79+Debt_Schedule!R80</f>
        <v>18.469860956754918</v>
      </c>
      <c r="X108" s="204">
        <f>Debt_Schedule!S55+Debt_Schedule!S73+Debt_Schedule!S74+Debt_Schedule!S79+Debt_Schedule!S80</f>
        <v>18.469860956754918</v>
      </c>
      <c r="Y108" s="204">
        <f>Debt_Schedule!T55+Debt_Schedule!T73+Debt_Schedule!T74+Debt_Schedule!T79+Debt_Schedule!T80</f>
        <v>18.469860956754918</v>
      </c>
      <c r="Z108" s="204">
        <f>Debt_Schedule!U55+Debt_Schedule!U73+Debt_Schedule!U74+Debt_Schedule!U79+Debt_Schedule!U80</f>
        <v>18.469860956754918</v>
      </c>
      <c r="AA108" s="204">
        <f>Debt_Schedule!V55+Debt_Schedule!V73+Debt_Schedule!V74+Debt_Schedule!V79+Debt_Schedule!V80</f>
        <v>18.469860956754918</v>
      </c>
      <c r="AB108" s="204">
        <f>Debt_Schedule!W55+Debt_Schedule!W73+Debt_Schedule!W74+Debt_Schedule!W79+Debt_Schedule!W80</f>
        <v>18.469860956754918</v>
      </c>
      <c r="AC108" s="204">
        <f>Debt_Schedule!X55+Debt_Schedule!X73+Debt_Schedule!X74+Debt_Schedule!X79+Debt_Schedule!X80</f>
        <v>18.469860956754918</v>
      </c>
    </row>
    <row r="109" spans="2:29" s="26" customFormat="1">
      <c r="B109" s="11"/>
      <c r="C109" s="917" t="s">
        <v>311</v>
      </c>
      <c r="D109" s="65"/>
      <c r="E109" s="104"/>
      <c r="F109" s="104"/>
      <c r="G109" s="104"/>
      <c r="H109" s="115"/>
      <c r="I109" s="202"/>
      <c r="J109" s="202"/>
      <c r="K109" s="1028"/>
      <c r="L109" s="1046">
        <f t="shared" ref="L109:AC109" si="77">SUM(L110:L113)</f>
        <v>0</v>
      </c>
      <c r="M109" s="202">
        <f t="shared" si="77"/>
        <v>0</v>
      </c>
      <c r="N109" s="202">
        <f t="shared" si="77"/>
        <v>0</v>
      </c>
      <c r="O109" s="202">
        <f t="shared" si="77"/>
        <v>102.2</v>
      </c>
      <c r="P109" s="202">
        <f t="shared" si="77"/>
        <v>153.29999999999998</v>
      </c>
      <c r="Q109" s="202">
        <f t="shared" si="77"/>
        <v>153.29999999999998</v>
      </c>
      <c r="R109" s="202">
        <f t="shared" si="77"/>
        <v>153.29999999999998</v>
      </c>
      <c r="S109" s="202">
        <f t="shared" si="77"/>
        <v>153.29999999999998</v>
      </c>
      <c r="T109" s="202">
        <f t="shared" si="77"/>
        <v>153.29999999999998</v>
      </c>
      <c r="U109" s="202">
        <f t="shared" si="77"/>
        <v>153.29999999999998</v>
      </c>
      <c r="V109" s="202">
        <f t="shared" si="77"/>
        <v>0</v>
      </c>
      <c r="W109" s="202">
        <f t="shared" si="77"/>
        <v>0</v>
      </c>
      <c r="X109" s="202">
        <f t="shared" si="77"/>
        <v>0</v>
      </c>
      <c r="Y109" s="202">
        <f t="shared" si="77"/>
        <v>0</v>
      </c>
      <c r="Z109" s="202">
        <f t="shared" si="77"/>
        <v>0</v>
      </c>
      <c r="AA109" s="202">
        <f t="shared" si="77"/>
        <v>0</v>
      </c>
      <c r="AB109" s="202">
        <f t="shared" si="77"/>
        <v>0</v>
      </c>
      <c r="AC109" s="202">
        <f t="shared" si="77"/>
        <v>0</v>
      </c>
    </row>
    <row r="110" spans="2:29">
      <c r="B110" s="11">
        <f>SUM(I110:AC110)</f>
        <v>0</v>
      </c>
      <c r="C110" s="902" t="s">
        <v>276</v>
      </c>
      <c r="D110" s="62"/>
      <c r="E110" s="63"/>
      <c r="F110" s="63"/>
      <c r="G110" s="63"/>
      <c r="H110" s="105"/>
      <c r="I110" s="204"/>
      <c r="J110" s="204"/>
      <c r="K110" s="1029"/>
      <c r="L110" s="1047">
        <f>Debt_Schedule!G6+Debt_Schedule!G15</f>
        <v>0</v>
      </c>
      <c r="M110" s="204">
        <f>Debt_Schedule!H6+Debt_Schedule!H15</f>
        <v>0</v>
      </c>
      <c r="N110" s="204">
        <f>Debt_Schedule!I6+Debt_Schedule!I15</f>
        <v>0</v>
      </c>
      <c r="O110" s="204">
        <f>Debt_Schedule!J6+Debt_Schedule!J15</f>
        <v>0</v>
      </c>
      <c r="P110" s="204">
        <f>Debt_Schedule!K6+Debt_Schedule!K15</f>
        <v>0</v>
      </c>
      <c r="Q110" s="204">
        <f>Debt_Schedule!L6+Debt_Schedule!L15</f>
        <v>0</v>
      </c>
      <c r="R110" s="204">
        <f>Debt_Schedule!M6+Debt_Schedule!M15</f>
        <v>0</v>
      </c>
      <c r="S110" s="204">
        <f>Debt_Schedule!N6+Debt_Schedule!N15</f>
        <v>0</v>
      </c>
      <c r="T110" s="204">
        <f>Debt_Schedule!O6+Debt_Schedule!O15</f>
        <v>0</v>
      </c>
      <c r="U110" s="204">
        <f>Debt_Schedule!P6+Debt_Schedule!P15</f>
        <v>0</v>
      </c>
      <c r="V110" s="204">
        <f>Debt_Schedule!Q6+Debt_Schedule!Q15</f>
        <v>0</v>
      </c>
      <c r="W110" s="204">
        <f>Debt_Schedule!R6+Debt_Schedule!R15</f>
        <v>0</v>
      </c>
      <c r="X110" s="204">
        <f>Debt_Schedule!S6+Debt_Schedule!S15</f>
        <v>0</v>
      </c>
      <c r="Y110" s="204">
        <f>Debt_Schedule!T6+Debt_Schedule!T15</f>
        <v>0</v>
      </c>
      <c r="Z110" s="204">
        <f>Debt_Schedule!U6+Debt_Schedule!U15</f>
        <v>0</v>
      </c>
      <c r="AA110" s="204">
        <f>Debt_Schedule!V6+Debt_Schedule!V15</f>
        <v>0</v>
      </c>
      <c r="AB110" s="204">
        <f>Debt_Schedule!W6+Debt_Schedule!W15</f>
        <v>0</v>
      </c>
      <c r="AC110" s="204">
        <f>Debt_Schedule!X6+Debt_Schedule!X15</f>
        <v>0</v>
      </c>
    </row>
    <row r="111" spans="2:29">
      <c r="B111" s="11">
        <f>SUM(I111:AC111)</f>
        <v>0</v>
      </c>
      <c r="C111" s="902" t="s">
        <v>393</v>
      </c>
      <c r="D111" s="62"/>
      <c r="E111" s="63"/>
      <c r="F111" s="63"/>
      <c r="G111" s="63"/>
      <c r="H111" s="105"/>
      <c r="I111" s="204"/>
      <c r="J111" s="204"/>
      <c r="K111" s="1029"/>
      <c r="L111" s="1047">
        <f>Debt_Schedule!G24</f>
        <v>0</v>
      </c>
      <c r="M111" s="204">
        <f>Debt_Schedule!H24</f>
        <v>0</v>
      </c>
      <c r="N111" s="204">
        <f>Debt_Schedule!I24</f>
        <v>0</v>
      </c>
      <c r="O111" s="204">
        <f>Debt_Schedule!J24</f>
        <v>0</v>
      </c>
      <c r="P111" s="204">
        <f>Debt_Schedule!K24</f>
        <v>0</v>
      </c>
      <c r="Q111" s="204">
        <f>Debt_Schedule!L24</f>
        <v>0</v>
      </c>
      <c r="R111" s="204">
        <f>Debt_Schedule!M24</f>
        <v>0</v>
      </c>
      <c r="S111" s="204">
        <f>Debt_Schedule!N24</f>
        <v>0</v>
      </c>
      <c r="T111" s="204">
        <f>Debt_Schedule!O24</f>
        <v>0</v>
      </c>
      <c r="U111" s="204">
        <f>Debt_Schedule!P24</f>
        <v>0</v>
      </c>
      <c r="V111" s="204">
        <f>Debt_Schedule!Q24</f>
        <v>0</v>
      </c>
      <c r="W111" s="204">
        <f>Debt_Schedule!R24</f>
        <v>0</v>
      </c>
      <c r="X111" s="204">
        <f>Debt_Schedule!S24</f>
        <v>0</v>
      </c>
      <c r="Y111" s="204">
        <f>Debt_Schedule!T24</f>
        <v>0</v>
      </c>
      <c r="Z111" s="204">
        <f>Debt_Schedule!U24</f>
        <v>0</v>
      </c>
      <c r="AA111" s="204">
        <f>Debt_Schedule!V24</f>
        <v>0</v>
      </c>
      <c r="AB111" s="204">
        <f>Debt_Schedule!W24</f>
        <v>0</v>
      </c>
      <c r="AC111" s="204">
        <f>Debt_Schedule!X24</f>
        <v>0</v>
      </c>
    </row>
    <row r="112" spans="2:29" ht="25.5">
      <c r="B112" s="11">
        <f>SUM(I112:AC112)</f>
        <v>0</v>
      </c>
      <c r="C112" s="902" t="s">
        <v>375</v>
      </c>
      <c r="D112" s="62"/>
      <c r="E112" s="63"/>
      <c r="F112" s="63"/>
      <c r="G112" s="63"/>
      <c r="H112" s="105"/>
      <c r="I112" s="204"/>
      <c r="J112" s="451"/>
      <c r="K112" s="1029"/>
      <c r="L112" s="1047">
        <f>IF(Assumptions!$C$156=1,0,Debt_Schedule!G52)</f>
        <v>0</v>
      </c>
      <c r="M112" s="204">
        <f>IF(Assumptions!$C$156=1,0,Debt_Schedule!H52)</f>
        <v>0</v>
      </c>
      <c r="N112" s="204">
        <f>IF(Assumptions!$C$156=1,0,Debt_Schedule!I52)</f>
        <v>0</v>
      </c>
      <c r="O112" s="204">
        <f>IF(Assumptions!$C$156=1,0,Debt_Schedule!J52)</f>
        <v>0</v>
      </c>
      <c r="P112" s="204">
        <f>IF(Assumptions!$C$156=1,0,Debt_Schedule!K52)</f>
        <v>0</v>
      </c>
      <c r="Q112" s="204">
        <f>IF(Assumptions!$C$156=1,0,Debt_Schedule!L52)</f>
        <v>0</v>
      </c>
      <c r="R112" s="204">
        <f>IF(Assumptions!$C$156=1,0,Debt_Schedule!M52)</f>
        <v>0</v>
      </c>
      <c r="S112" s="204">
        <f>IF(Assumptions!$C$156=1,0,Debt_Schedule!N52)</f>
        <v>0</v>
      </c>
      <c r="T112" s="204">
        <f>IF(Assumptions!$C$156=1,0,Debt_Schedule!O52)</f>
        <v>0</v>
      </c>
      <c r="U112" s="204">
        <f>IF(Assumptions!$C$156=1,0,Debt_Schedule!P52)</f>
        <v>0</v>
      </c>
      <c r="V112" s="204">
        <f>IF(Assumptions!$C$156=1,0,Debt_Schedule!Q52)</f>
        <v>0</v>
      </c>
      <c r="W112" s="204">
        <f>IF(Assumptions!$C$156=1,0,Debt_Schedule!R52)</f>
        <v>0</v>
      </c>
      <c r="X112" s="204">
        <f>IF(Assumptions!$C$156=1,0,Debt_Schedule!S52)</f>
        <v>0</v>
      </c>
      <c r="Y112" s="204">
        <f>IF(Assumptions!$C$156=1,0,Debt_Schedule!T52)</f>
        <v>0</v>
      </c>
      <c r="Z112" s="204">
        <f>IF(Assumptions!$C$156=1,0,Debt_Schedule!U52)</f>
        <v>0</v>
      </c>
      <c r="AA112" s="204">
        <f>IF(Assumptions!$C$156=1,0,Debt_Schedule!V52)</f>
        <v>0</v>
      </c>
      <c r="AB112" s="204">
        <f>IF(Assumptions!$C$156=1,0,Debt_Schedule!W52)</f>
        <v>0</v>
      </c>
      <c r="AC112" s="204">
        <f>IF(Assumptions!$C$156=1,0,Debt_Schedule!X52)</f>
        <v>0</v>
      </c>
    </row>
    <row r="113" spans="2:29">
      <c r="B113" s="11">
        <f>SUM(I113:AC113)</f>
        <v>1021.9999999999998</v>
      </c>
      <c r="C113" s="902" t="s">
        <v>374</v>
      </c>
      <c r="D113" s="62"/>
      <c r="E113" s="63"/>
      <c r="F113" s="63"/>
      <c r="G113" s="63"/>
      <c r="H113" s="105"/>
      <c r="I113" s="204"/>
      <c r="J113" s="204"/>
      <c r="K113" s="1029"/>
      <c r="L113" s="1047">
        <f>Debt_Schedule!G43</f>
        <v>0</v>
      </c>
      <c r="M113" s="204">
        <f>Debt_Schedule!H43</f>
        <v>0</v>
      </c>
      <c r="N113" s="204">
        <f>Debt_Schedule!I43</f>
        <v>0</v>
      </c>
      <c r="O113" s="204">
        <f>Debt_Schedule!J43</f>
        <v>102.2</v>
      </c>
      <c r="P113" s="204">
        <f>Debt_Schedule!K43</f>
        <v>153.29999999999998</v>
      </c>
      <c r="Q113" s="204">
        <f>Debt_Schedule!L43</f>
        <v>153.29999999999998</v>
      </c>
      <c r="R113" s="204">
        <f>Debt_Schedule!M43</f>
        <v>153.29999999999998</v>
      </c>
      <c r="S113" s="204">
        <f>Debt_Schedule!N43</f>
        <v>153.29999999999998</v>
      </c>
      <c r="T113" s="204">
        <f>Debt_Schedule!O43</f>
        <v>153.29999999999998</v>
      </c>
      <c r="U113" s="204">
        <f>Debt_Schedule!P43</f>
        <v>153.29999999999998</v>
      </c>
      <c r="V113" s="204">
        <f>Debt_Schedule!Q43</f>
        <v>0</v>
      </c>
      <c r="W113" s="204">
        <f>Debt_Schedule!R43</f>
        <v>0</v>
      </c>
      <c r="X113" s="204">
        <f>Debt_Schedule!S43</f>
        <v>0</v>
      </c>
      <c r="Y113" s="204">
        <f>Debt_Schedule!T43</f>
        <v>0</v>
      </c>
      <c r="Z113" s="204">
        <f>Debt_Schedule!U43</f>
        <v>0</v>
      </c>
      <c r="AA113" s="204">
        <f>Debt_Schedule!V43</f>
        <v>0</v>
      </c>
      <c r="AB113" s="204">
        <f>Debt_Schedule!W43</f>
        <v>0</v>
      </c>
      <c r="AC113" s="204">
        <f>Debt_Schedule!X43</f>
        <v>0</v>
      </c>
    </row>
    <row r="114" spans="2:29">
      <c r="C114" s="917" t="s">
        <v>279</v>
      </c>
      <c r="D114" s="62"/>
      <c r="E114" s="63"/>
      <c r="F114" s="63"/>
      <c r="G114" s="63"/>
      <c r="H114" s="115"/>
      <c r="I114" s="202"/>
      <c r="J114" s="202"/>
      <c r="K114" s="1028"/>
      <c r="L114" s="1046">
        <f t="shared" ref="L114:AC114" si="78">IF(L109&gt;0,SUM(L102,L109),0)</f>
        <v>0</v>
      </c>
      <c r="M114" s="202">
        <f t="shared" si="78"/>
        <v>0</v>
      </c>
      <c r="N114" s="202">
        <f t="shared" si="78"/>
        <v>0</v>
      </c>
      <c r="O114" s="202">
        <f t="shared" si="78"/>
        <v>558.86539107603801</v>
      </c>
      <c r="P114" s="202">
        <f t="shared" si="78"/>
        <v>592.11608901639647</v>
      </c>
      <c r="Q114" s="202">
        <f t="shared" si="78"/>
        <v>570.68978695675492</v>
      </c>
      <c r="R114" s="202">
        <f t="shared" si="78"/>
        <v>549.22778695675493</v>
      </c>
      <c r="S114" s="202">
        <f t="shared" si="78"/>
        <v>527.76578695675494</v>
      </c>
      <c r="T114" s="202">
        <f t="shared" si="78"/>
        <v>506.30378695675495</v>
      </c>
      <c r="U114" s="202">
        <f t="shared" si="78"/>
        <v>484.84178695675496</v>
      </c>
      <c r="V114" s="202">
        <f t="shared" si="78"/>
        <v>0</v>
      </c>
      <c r="W114" s="202">
        <f t="shared" si="78"/>
        <v>0</v>
      </c>
      <c r="X114" s="202">
        <f t="shared" si="78"/>
        <v>0</v>
      </c>
      <c r="Y114" s="202">
        <f t="shared" si="78"/>
        <v>0</v>
      </c>
      <c r="Z114" s="202">
        <f t="shared" si="78"/>
        <v>0</v>
      </c>
      <c r="AA114" s="202">
        <f t="shared" si="78"/>
        <v>0</v>
      </c>
      <c r="AB114" s="202">
        <f t="shared" si="78"/>
        <v>0</v>
      </c>
      <c r="AC114" s="202">
        <f t="shared" si="78"/>
        <v>0</v>
      </c>
    </row>
    <row r="115" spans="2:29" s="399" customFormat="1">
      <c r="C115" s="918" t="s">
        <v>323</v>
      </c>
      <c r="D115" s="397"/>
      <c r="E115" s="397"/>
      <c r="F115" s="397"/>
      <c r="G115" s="397"/>
      <c r="H115" s="398"/>
      <c r="I115" s="398"/>
      <c r="J115" s="398"/>
      <c r="K115" s="1030"/>
      <c r="L115" s="1048" t="str">
        <f t="shared" ref="L115:AC115" si="79">IFERROR(L99/L114,"")</f>
        <v/>
      </c>
      <c r="M115" s="398" t="str">
        <f t="shared" si="79"/>
        <v/>
      </c>
      <c r="N115" s="398" t="str">
        <f t="shared" si="79"/>
        <v/>
      </c>
      <c r="O115" s="398">
        <f t="shared" si="79"/>
        <v>0.23249708517617948</v>
      </c>
      <c r="P115" s="398">
        <f t="shared" si="79"/>
        <v>0.20241291442619985</v>
      </c>
      <c r="Q115" s="398">
        <f t="shared" si="79"/>
        <v>0.16570315526726503</v>
      </c>
      <c r="R115" s="398">
        <f t="shared" si="79"/>
        <v>0.12304367114792983</v>
      </c>
      <c r="S115" s="398">
        <f t="shared" si="79"/>
        <v>9.4053741124691878E-2</v>
      </c>
      <c r="T115" s="398">
        <f t="shared" si="79"/>
        <v>9.2662301190862637E-3</v>
      </c>
      <c r="U115" s="398">
        <f t="shared" si="79"/>
        <v>-6.4011845085910277E-2</v>
      </c>
      <c r="V115" s="398" t="str">
        <f t="shared" si="79"/>
        <v/>
      </c>
      <c r="W115" s="398" t="str">
        <f t="shared" si="79"/>
        <v/>
      </c>
      <c r="X115" s="398" t="str">
        <f t="shared" si="79"/>
        <v/>
      </c>
      <c r="Y115" s="398" t="str">
        <f t="shared" si="79"/>
        <v/>
      </c>
      <c r="Z115" s="398" t="str">
        <f t="shared" si="79"/>
        <v/>
      </c>
      <c r="AA115" s="398" t="str">
        <f t="shared" si="79"/>
        <v/>
      </c>
      <c r="AB115" s="398" t="str">
        <f t="shared" si="79"/>
        <v/>
      </c>
      <c r="AC115" s="398" t="str">
        <f t="shared" si="79"/>
        <v/>
      </c>
    </row>
    <row r="116" spans="2:29" s="399" customFormat="1">
      <c r="C116" s="918" t="s">
        <v>321</v>
      </c>
      <c r="D116" s="397"/>
      <c r="E116" s="397"/>
      <c r="F116" s="397"/>
      <c r="G116" s="397"/>
      <c r="H116" s="400"/>
      <c r="I116" s="398">
        <f>SUM(J99:Y99)/SUM(J114:Y114)</f>
        <v>0.11484080425326415</v>
      </c>
      <c r="J116" s="401"/>
      <c r="K116" s="1028"/>
      <c r="L116" s="1046"/>
      <c r="M116" s="401"/>
      <c r="N116" s="401"/>
      <c r="O116" s="401"/>
      <c r="P116" s="401"/>
      <c r="Q116" s="401"/>
      <c r="R116" s="401"/>
      <c r="S116" s="401"/>
      <c r="T116" s="401"/>
      <c r="U116" s="401"/>
      <c r="V116" s="401"/>
      <c r="W116" s="401"/>
      <c r="X116" s="401"/>
      <c r="Y116" s="401"/>
      <c r="Z116" s="401"/>
      <c r="AA116" s="401"/>
      <c r="AB116" s="401"/>
      <c r="AC116" s="402"/>
    </row>
    <row r="117" spans="2:29" s="399" customFormat="1" ht="13.5" thickBot="1">
      <c r="C117" s="919" t="s">
        <v>322</v>
      </c>
      <c r="D117" s="403"/>
      <c r="E117" s="403"/>
      <c r="F117" s="403"/>
      <c r="G117" s="403"/>
      <c r="H117" s="404"/>
      <c r="I117" s="405">
        <f>MIN(K115:Y115)</f>
        <v>-6.4011845085910277E-2</v>
      </c>
      <c r="J117" s="406"/>
      <c r="K117" s="1031"/>
      <c r="L117" s="1049"/>
      <c r="M117" s="406"/>
      <c r="N117" s="406"/>
      <c r="O117" s="406"/>
      <c r="P117" s="406"/>
      <c r="Q117" s="406"/>
      <c r="R117" s="406"/>
      <c r="S117" s="406"/>
      <c r="T117" s="406"/>
      <c r="U117" s="406"/>
      <c r="V117" s="406"/>
      <c r="W117" s="406"/>
      <c r="X117" s="406"/>
      <c r="Y117" s="406"/>
      <c r="Z117" s="406"/>
      <c r="AA117" s="406"/>
      <c r="AB117" s="406"/>
      <c r="AC117" s="407"/>
    </row>
    <row r="118" spans="2:29">
      <c r="C118" s="920"/>
      <c r="D118" s="62"/>
      <c r="E118" s="63"/>
      <c r="F118" s="63"/>
      <c r="G118" s="63"/>
      <c r="H118" s="105"/>
      <c r="I118" s="202"/>
      <c r="J118" s="202"/>
      <c r="K118" s="1028"/>
      <c r="L118" s="1046"/>
      <c r="M118" s="202"/>
      <c r="N118" s="202"/>
      <c r="O118" s="202"/>
      <c r="P118" s="202"/>
      <c r="Q118" s="202"/>
      <c r="R118" s="202"/>
      <c r="S118" s="202"/>
      <c r="T118" s="202"/>
      <c r="U118" s="202"/>
      <c r="V118" s="202"/>
      <c r="W118" s="202"/>
      <c r="X118" s="202"/>
      <c r="Y118" s="202"/>
      <c r="Z118" s="202"/>
      <c r="AA118" s="202"/>
      <c r="AB118" s="202"/>
      <c r="AC118" s="202"/>
    </row>
    <row r="119" spans="2:29" hidden="1">
      <c r="C119" s="920"/>
      <c r="D119" s="62"/>
      <c r="E119" s="63"/>
      <c r="F119" s="63"/>
      <c r="G119" s="63"/>
      <c r="H119" s="105"/>
      <c r="I119" s="202"/>
      <c r="J119" s="202"/>
      <c r="K119" s="1028"/>
      <c r="L119" s="1046"/>
      <c r="M119" s="202"/>
      <c r="N119" s="202"/>
      <c r="O119" s="202"/>
      <c r="P119" s="202"/>
      <c r="Q119" s="202"/>
      <c r="R119" s="202"/>
      <c r="S119" s="202"/>
      <c r="T119" s="202"/>
      <c r="U119" s="202"/>
      <c r="V119" s="202"/>
      <c r="W119" s="202"/>
      <c r="X119" s="202"/>
      <c r="Y119" s="202"/>
      <c r="Z119" s="202"/>
      <c r="AA119" s="202"/>
      <c r="AB119" s="202"/>
      <c r="AC119" s="202"/>
    </row>
    <row r="120" spans="2:29" hidden="1">
      <c r="C120" s="920"/>
      <c r="D120" s="62"/>
      <c r="E120" s="63"/>
      <c r="F120" s="63"/>
      <c r="G120" s="63"/>
      <c r="H120" s="105"/>
      <c r="I120" s="202"/>
      <c r="J120" s="202"/>
      <c r="K120" s="1028"/>
      <c r="L120" s="1046"/>
      <c r="M120" s="202"/>
      <c r="N120" s="202"/>
      <c r="O120" s="202"/>
      <c r="P120" s="202"/>
      <c r="Q120" s="202"/>
      <c r="R120" s="202"/>
      <c r="S120" s="202"/>
      <c r="T120" s="202"/>
      <c r="U120" s="202"/>
      <c r="V120" s="202"/>
      <c r="W120" s="202"/>
      <c r="X120" s="202"/>
      <c r="Y120" s="202"/>
      <c r="Z120" s="202"/>
      <c r="AA120" s="202"/>
      <c r="AB120" s="202"/>
      <c r="AC120" s="202"/>
    </row>
    <row r="121" spans="2:29" hidden="1">
      <c r="C121" s="920"/>
      <c r="D121" s="62"/>
      <c r="E121" s="63"/>
      <c r="F121" s="63"/>
      <c r="G121" s="63"/>
      <c r="H121" s="105"/>
      <c r="I121" s="202"/>
      <c r="J121" s="202"/>
      <c r="K121" s="1028"/>
      <c r="L121" s="1046"/>
      <c r="M121" s="202"/>
      <c r="N121" s="202"/>
      <c r="O121" s="202"/>
      <c r="P121" s="202"/>
      <c r="Q121" s="202"/>
      <c r="R121" s="202"/>
      <c r="S121" s="202"/>
      <c r="T121" s="202"/>
      <c r="U121" s="202"/>
      <c r="V121" s="202"/>
      <c r="W121" s="202"/>
      <c r="X121" s="202"/>
      <c r="Y121" s="202"/>
      <c r="Z121" s="202"/>
      <c r="AA121" s="202"/>
      <c r="AB121" s="202"/>
      <c r="AC121" s="202"/>
    </row>
    <row r="122" spans="2:29" hidden="1">
      <c r="C122" s="920"/>
      <c r="D122" s="62"/>
      <c r="E122" s="63"/>
      <c r="F122" s="63"/>
      <c r="G122" s="63"/>
      <c r="H122" s="105"/>
      <c r="I122" s="202"/>
      <c r="J122" s="202"/>
      <c r="K122" s="1028"/>
      <c r="L122" s="1046"/>
      <c r="M122" s="202"/>
      <c r="N122" s="202"/>
      <c r="O122" s="202"/>
      <c r="P122" s="202"/>
      <c r="Q122" s="202"/>
      <c r="R122" s="202"/>
      <c r="S122" s="202"/>
      <c r="T122" s="202"/>
      <c r="U122" s="202"/>
      <c r="V122" s="202"/>
      <c r="W122" s="202"/>
      <c r="X122" s="202"/>
      <c r="Y122" s="202"/>
      <c r="Z122" s="202"/>
      <c r="AA122" s="202"/>
      <c r="AB122" s="202"/>
      <c r="AC122" s="202"/>
    </row>
    <row r="123" spans="2:29" hidden="1">
      <c r="C123" s="920"/>
      <c r="D123" s="62"/>
      <c r="E123" s="63"/>
      <c r="F123" s="63"/>
      <c r="G123" s="63"/>
      <c r="H123" s="105"/>
      <c r="I123" s="202"/>
      <c r="J123" s="202"/>
      <c r="K123" s="1028"/>
      <c r="L123" s="1046"/>
      <c r="M123" s="202"/>
      <c r="N123" s="202"/>
      <c r="O123" s="202"/>
      <c r="P123" s="202"/>
      <c r="Q123" s="202"/>
      <c r="R123" s="202"/>
      <c r="S123" s="202"/>
      <c r="T123" s="202"/>
      <c r="U123" s="202"/>
      <c r="V123" s="202"/>
      <c r="W123" s="202"/>
      <c r="X123" s="202"/>
      <c r="Y123" s="202"/>
      <c r="Z123" s="202"/>
      <c r="AA123" s="202"/>
      <c r="AB123" s="202"/>
      <c r="AC123" s="202"/>
    </row>
    <row r="124" spans="2:29" hidden="1">
      <c r="C124" s="920"/>
      <c r="D124" s="62"/>
      <c r="E124" s="63"/>
      <c r="F124" s="63"/>
      <c r="G124" s="63"/>
      <c r="H124" s="287"/>
      <c r="I124" s="202"/>
      <c r="J124" s="202"/>
      <c r="K124" s="1028"/>
      <c r="L124" s="1046"/>
      <c r="M124" s="202"/>
      <c r="N124" s="202"/>
      <c r="O124" s="202"/>
      <c r="P124" s="202"/>
      <c r="Q124" s="202"/>
      <c r="R124" s="202"/>
      <c r="S124" s="202"/>
      <c r="T124" s="202"/>
      <c r="U124" s="202"/>
      <c r="V124" s="202"/>
      <c r="W124" s="202"/>
      <c r="X124" s="202"/>
      <c r="Y124" s="202"/>
      <c r="Z124" s="202"/>
      <c r="AA124" s="202"/>
      <c r="AB124" s="202"/>
      <c r="AC124" s="202"/>
    </row>
    <row r="125" spans="2:29" hidden="1">
      <c r="C125" s="920"/>
      <c r="D125" s="62"/>
      <c r="E125" s="63"/>
      <c r="F125" s="63"/>
      <c r="G125" s="63"/>
      <c r="H125" s="287"/>
      <c r="I125" s="280"/>
      <c r="J125" s="202"/>
      <c r="K125" s="1028"/>
      <c r="L125" s="1046"/>
      <c r="M125" s="202"/>
      <c r="N125" s="202"/>
      <c r="O125" s="202"/>
      <c r="P125" s="202"/>
      <c r="Q125" s="202"/>
      <c r="R125" s="202"/>
      <c r="S125" s="202"/>
      <c r="T125" s="202"/>
      <c r="U125" s="202"/>
      <c r="V125" s="202"/>
      <c r="W125" s="202"/>
      <c r="X125" s="202"/>
      <c r="Y125" s="202"/>
      <c r="Z125" s="202"/>
      <c r="AA125" s="202"/>
      <c r="AB125" s="202"/>
      <c r="AC125" s="202"/>
    </row>
    <row r="126" spans="2:29" hidden="1">
      <c r="C126" s="920"/>
      <c r="D126" s="62"/>
      <c r="E126" s="63"/>
      <c r="F126" s="63"/>
      <c r="G126" s="63"/>
      <c r="H126" s="287"/>
      <c r="I126" s="205"/>
      <c r="J126" s="205"/>
      <c r="K126" s="1030"/>
      <c r="L126" s="1048"/>
      <c r="M126" s="205"/>
      <c r="N126" s="205"/>
      <c r="O126" s="205"/>
      <c r="P126" s="205"/>
      <c r="Q126" s="205"/>
      <c r="R126" s="205"/>
      <c r="S126" s="205"/>
      <c r="T126" s="205"/>
      <c r="U126" s="205"/>
      <c r="V126" s="205"/>
      <c r="W126" s="205"/>
      <c r="X126" s="205"/>
      <c r="Y126" s="205"/>
      <c r="Z126" s="202"/>
      <c r="AA126" s="202"/>
      <c r="AB126" s="202"/>
      <c r="AC126" s="202"/>
    </row>
    <row r="127" spans="2:29" hidden="1">
      <c r="C127" s="920"/>
      <c r="D127" s="62"/>
      <c r="E127" s="63"/>
      <c r="F127" s="63"/>
      <c r="G127" s="63"/>
      <c r="H127" s="287"/>
      <c r="I127" s="398"/>
      <c r="J127" s="202"/>
      <c r="K127" s="1028"/>
      <c r="L127" s="1046"/>
      <c r="M127" s="202"/>
      <c r="N127" s="202"/>
      <c r="O127" s="202"/>
      <c r="P127" s="202"/>
      <c r="Q127" s="202"/>
      <c r="R127" s="202"/>
      <c r="S127" s="202"/>
      <c r="T127" s="202"/>
      <c r="U127" s="202"/>
      <c r="V127" s="202"/>
      <c r="W127" s="202"/>
      <c r="X127" s="202"/>
      <c r="Y127" s="202"/>
      <c r="Z127" s="202"/>
      <c r="AA127" s="202"/>
      <c r="AB127" s="202"/>
      <c r="AC127" s="202"/>
    </row>
    <row r="128" spans="2:29" ht="13.5" hidden="1" thickBot="1">
      <c r="C128" s="920"/>
      <c r="D128" s="62"/>
      <c r="E128" s="63"/>
      <c r="F128" s="63"/>
      <c r="G128" s="63"/>
      <c r="H128" s="287"/>
      <c r="I128" s="405"/>
      <c r="J128" s="202"/>
      <c r="K128" s="1028"/>
      <c r="L128" s="1046"/>
      <c r="M128" s="202"/>
      <c r="N128" s="202"/>
      <c r="O128" s="202"/>
      <c r="P128" s="202"/>
      <c r="Q128" s="202"/>
      <c r="R128" s="202"/>
      <c r="S128" s="202"/>
      <c r="T128" s="202"/>
      <c r="U128" s="202"/>
      <c r="V128" s="202"/>
      <c r="W128" s="202"/>
      <c r="X128" s="202"/>
      <c r="Y128" s="202"/>
      <c r="Z128" s="202"/>
      <c r="AA128" s="202"/>
      <c r="AB128" s="202"/>
      <c r="AC128" s="202"/>
    </row>
    <row r="129" spans="3:29" hidden="1">
      <c r="C129" s="914"/>
      <c r="D129" s="62"/>
      <c r="E129" s="63"/>
      <c r="F129" s="63"/>
      <c r="G129" s="63"/>
      <c r="H129" s="105"/>
      <c r="I129" s="161"/>
      <c r="J129" s="161"/>
      <c r="K129" s="1027"/>
      <c r="L129" s="1045"/>
      <c r="M129" s="161"/>
      <c r="N129" s="161"/>
      <c r="O129" s="161"/>
      <c r="P129" s="161"/>
      <c r="Q129" s="161"/>
      <c r="R129" s="161"/>
      <c r="S129" s="161"/>
      <c r="T129" s="161"/>
      <c r="U129" s="161"/>
      <c r="V129" s="161"/>
      <c r="W129" s="161"/>
      <c r="X129" s="161"/>
      <c r="Y129" s="161"/>
      <c r="Z129" s="161"/>
      <c r="AA129" s="161"/>
      <c r="AB129" s="161"/>
      <c r="AC129" s="161"/>
    </row>
    <row r="130" spans="3:29" hidden="1">
      <c r="C130" s="920"/>
      <c r="D130" s="62"/>
      <c r="E130" s="63"/>
      <c r="F130" s="63"/>
      <c r="G130" s="63"/>
      <c r="H130" s="105"/>
      <c r="I130" s="161"/>
      <c r="J130" s="161"/>
      <c r="K130" s="1027"/>
      <c r="L130" s="1045"/>
      <c r="M130" s="161"/>
      <c r="N130" s="161"/>
      <c r="O130" s="161"/>
      <c r="P130" s="161"/>
      <c r="Q130" s="161"/>
      <c r="R130" s="161"/>
      <c r="S130" s="161"/>
      <c r="T130" s="161"/>
      <c r="U130" s="161"/>
      <c r="V130" s="161"/>
      <c r="W130" s="161"/>
      <c r="X130" s="161"/>
      <c r="Y130" s="161"/>
      <c r="Z130" s="161"/>
      <c r="AA130" s="161"/>
      <c r="AB130" s="161"/>
      <c r="AC130" s="161"/>
    </row>
    <row r="131" spans="3:29" hidden="1">
      <c r="C131" s="920"/>
      <c r="D131" s="62"/>
      <c r="E131" s="63"/>
      <c r="F131" s="63"/>
      <c r="G131" s="63"/>
      <c r="H131" s="105"/>
      <c r="I131" s="161"/>
      <c r="J131" s="161"/>
      <c r="K131" s="1027"/>
      <c r="L131" s="1045"/>
      <c r="M131" s="161"/>
      <c r="N131" s="161"/>
      <c r="O131" s="161"/>
      <c r="P131" s="161"/>
      <c r="Q131" s="161"/>
      <c r="R131" s="161"/>
      <c r="S131" s="161"/>
      <c r="T131" s="161"/>
      <c r="U131" s="161"/>
      <c r="V131" s="161"/>
      <c r="W131" s="161"/>
      <c r="X131" s="161"/>
      <c r="Y131" s="161"/>
      <c r="Z131" s="161"/>
      <c r="AA131" s="161"/>
      <c r="AB131" s="161"/>
      <c r="AC131" s="161"/>
    </row>
    <row r="132" spans="3:29" hidden="1">
      <c r="C132" s="920"/>
      <c r="D132" s="62"/>
      <c r="E132" s="63"/>
      <c r="F132" s="63"/>
      <c r="G132" s="63"/>
      <c r="H132" s="105"/>
      <c r="I132" s="161"/>
      <c r="J132" s="161"/>
      <c r="K132" s="1027"/>
      <c r="L132" s="1045"/>
      <c r="M132" s="161"/>
      <c r="N132" s="161"/>
      <c r="O132" s="161"/>
      <c r="P132" s="161"/>
      <c r="Q132" s="161"/>
      <c r="R132" s="161"/>
      <c r="S132" s="161"/>
      <c r="T132" s="161"/>
      <c r="U132" s="161"/>
      <c r="V132" s="161"/>
      <c r="W132" s="161"/>
      <c r="X132" s="161"/>
      <c r="Y132" s="161"/>
      <c r="Z132" s="161"/>
      <c r="AA132" s="161"/>
      <c r="AB132" s="161"/>
      <c r="AC132" s="161"/>
    </row>
    <row r="133" spans="3:29" hidden="1">
      <c r="C133" s="914"/>
      <c r="D133" s="62"/>
      <c r="E133" s="63"/>
      <c r="F133" s="63"/>
      <c r="G133" s="63"/>
      <c r="H133" s="105"/>
      <c r="I133" s="161"/>
      <c r="J133" s="161"/>
      <c r="K133" s="1027"/>
      <c r="L133" s="1045"/>
      <c r="M133" s="161"/>
      <c r="N133" s="161"/>
      <c r="O133" s="161"/>
      <c r="P133" s="161"/>
      <c r="Q133" s="161"/>
      <c r="R133" s="161"/>
      <c r="S133" s="161"/>
      <c r="T133" s="161"/>
      <c r="U133" s="161"/>
      <c r="V133" s="161"/>
      <c r="W133" s="161"/>
      <c r="X133" s="161"/>
      <c r="Y133" s="161"/>
      <c r="Z133" s="161"/>
      <c r="AA133" s="161"/>
      <c r="AB133" s="161"/>
      <c r="AC133" s="161"/>
    </row>
    <row r="134" spans="3:29" hidden="1">
      <c r="C134" s="914"/>
      <c r="D134" s="62"/>
      <c r="E134" s="63"/>
      <c r="F134" s="63"/>
      <c r="G134" s="63"/>
      <c r="H134" s="105"/>
      <c r="I134" s="58"/>
      <c r="J134" s="58"/>
      <c r="M134" s="58"/>
      <c r="N134" s="58"/>
      <c r="O134" s="58"/>
      <c r="P134" s="58"/>
      <c r="Q134" s="58"/>
      <c r="R134" s="58"/>
      <c r="S134" s="58"/>
      <c r="T134" s="108"/>
      <c r="U134" s="108"/>
      <c r="V134" s="108"/>
      <c r="W134" s="108"/>
      <c r="X134" s="108"/>
      <c r="Y134" s="108"/>
      <c r="Z134" s="108"/>
      <c r="AA134" s="108"/>
      <c r="AB134" s="108"/>
      <c r="AC134" s="108"/>
    </row>
    <row r="135" spans="3:29" s="27" customFormat="1">
      <c r="C135" s="921"/>
      <c r="D135" s="81"/>
      <c r="E135" s="81"/>
      <c r="F135" s="81"/>
      <c r="G135" s="81"/>
      <c r="H135" s="102"/>
      <c r="I135" s="18"/>
      <c r="J135" s="18"/>
      <c r="K135" s="278"/>
      <c r="L135" s="226"/>
      <c r="M135" s="18"/>
      <c r="N135" s="18"/>
      <c r="O135" s="18"/>
      <c r="P135" s="18"/>
      <c r="Q135" s="18"/>
      <c r="R135" s="18"/>
      <c r="S135" s="18"/>
    </row>
    <row r="136" spans="3:29" s="27" customFormat="1" ht="13.5" thickBot="1">
      <c r="C136" s="922"/>
      <c r="D136" s="18"/>
      <c r="E136" s="231"/>
      <c r="F136" s="231"/>
      <c r="G136" s="231"/>
      <c r="H136" s="231"/>
      <c r="I136" s="18"/>
      <c r="J136" s="18"/>
      <c r="K136" s="278"/>
      <c r="L136" s="226"/>
      <c r="M136" s="18"/>
      <c r="N136" s="18"/>
      <c r="O136" s="18"/>
      <c r="P136" s="18"/>
      <c r="Q136" s="18"/>
      <c r="R136" s="18"/>
      <c r="S136" s="18"/>
      <c r="T136" s="18"/>
      <c r="U136" s="18"/>
      <c r="V136" s="18"/>
      <c r="W136" s="18"/>
      <c r="X136" s="18"/>
      <c r="Y136" s="18"/>
      <c r="Z136" s="18"/>
      <c r="AA136" s="18"/>
      <c r="AB136" s="18"/>
      <c r="AC136" s="18"/>
    </row>
    <row r="137" spans="3:29">
      <c r="C137" s="923" t="s">
        <v>83</v>
      </c>
      <c r="D137" s="197">
        <f>EDATE(E137,-12)</f>
        <v>42094</v>
      </c>
      <c r="E137" s="197">
        <f>EDATE(F137,-12)</f>
        <v>42460</v>
      </c>
      <c r="F137" s="197">
        <f>EDATE(G137,-12)</f>
        <v>42825</v>
      </c>
      <c r="G137" s="197">
        <f>EDATE(H137,-12)</f>
        <v>43190</v>
      </c>
      <c r="H137" s="197">
        <f>EDATE(I137,-12)</f>
        <v>43555</v>
      </c>
      <c r="I137" s="197">
        <f t="shared" ref="I137:AC137" si="80">I2</f>
        <v>43921</v>
      </c>
      <c r="J137" s="197">
        <f t="shared" si="80"/>
        <v>44286</v>
      </c>
      <c r="K137" s="1022">
        <f t="shared" si="80"/>
        <v>44651</v>
      </c>
      <c r="L137" s="1038">
        <f t="shared" si="80"/>
        <v>45016</v>
      </c>
      <c r="M137" s="197">
        <f t="shared" si="80"/>
        <v>45382</v>
      </c>
      <c r="N137" s="197">
        <f t="shared" si="80"/>
        <v>45747</v>
      </c>
      <c r="O137" s="197">
        <f t="shared" si="80"/>
        <v>46112</v>
      </c>
      <c r="P137" s="197">
        <f t="shared" si="80"/>
        <v>46477</v>
      </c>
      <c r="Q137" s="197">
        <f t="shared" si="80"/>
        <v>46843</v>
      </c>
      <c r="R137" s="197">
        <f t="shared" si="80"/>
        <v>47208</v>
      </c>
      <c r="S137" s="197">
        <f t="shared" si="80"/>
        <v>47573</v>
      </c>
      <c r="T137" s="197">
        <f t="shared" si="80"/>
        <v>47938</v>
      </c>
      <c r="U137" s="197">
        <f t="shared" si="80"/>
        <v>48304</v>
      </c>
      <c r="V137" s="197">
        <f t="shared" si="80"/>
        <v>48669</v>
      </c>
      <c r="W137" s="197">
        <f t="shared" si="80"/>
        <v>49034</v>
      </c>
      <c r="X137" s="197">
        <f t="shared" si="80"/>
        <v>49399</v>
      </c>
      <c r="Y137" s="197">
        <f t="shared" si="80"/>
        <v>49765</v>
      </c>
      <c r="Z137" s="197">
        <f t="shared" si="80"/>
        <v>50130</v>
      </c>
      <c r="AA137" s="197">
        <f t="shared" si="80"/>
        <v>50495</v>
      </c>
      <c r="AB137" s="197">
        <f t="shared" si="80"/>
        <v>50860</v>
      </c>
      <c r="AC137" s="197">
        <f t="shared" si="80"/>
        <v>51226</v>
      </c>
    </row>
    <row r="138" spans="3:29">
      <c r="C138" s="924" t="s">
        <v>196</v>
      </c>
      <c r="D138" s="177"/>
      <c r="E138" s="178"/>
      <c r="F138" s="178"/>
      <c r="G138" s="178"/>
      <c r="H138" s="178"/>
      <c r="I138" s="179"/>
      <c r="J138" s="179"/>
      <c r="K138" s="1032"/>
      <c r="L138" s="1050"/>
      <c r="M138" s="179"/>
      <c r="N138" s="179"/>
      <c r="O138" s="179"/>
      <c r="P138" s="179"/>
      <c r="Q138" s="179"/>
      <c r="R138" s="179"/>
      <c r="S138" s="179"/>
      <c r="T138" s="179"/>
      <c r="U138" s="179"/>
      <c r="V138" s="179"/>
      <c r="W138" s="179"/>
      <c r="X138" s="179"/>
      <c r="Y138" s="179"/>
      <c r="Z138" s="179"/>
      <c r="AA138" s="179"/>
      <c r="AB138" s="179"/>
      <c r="AC138" s="179"/>
    </row>
    <row r="139" spans="3:29">
      <c r="C139" s="925" t="s">
        <v>45</v>
      </c>
      <c r="D139" s="181">
        <v>1239</v>
      </c>
      <c r="E139" s="174">
        <v>2558.61</v>
      </c>
      <c r="F139" s="174">
        <v>2608.15</v>
      </c>
      <c r="G139" s="174">
        <v>3028.13</v>
      </c>
      <c r="H139" s="182">
        <v>1408.07</v>
      </c>
      <c r="I139" s="173">
        <f>'P&amp;L'!D70</f>
        <v>1599.46</v>
      </c>
      <c r="J139" s="173">
        <f>'P&amp;L'!E70</f>
        <v>1512.84</v>
      </c>
      <c r="K139" s="173">
        <f>'P&amp;L'!F70</f>
        <v>2679.5433000000003</v>
      </c>
      <c r="L139" s="242">
        <f>'P&amp;L'!G8</f>
        <v>4180.7631771028418</v>
      </c>
      <c r="M139" s="173">
        <f>'P&amp;L'!H8</f>
        <v>4214.9665629076371</v>
      </c>
      <c r="N139" s="173">
        <f>'P&amp;L'!I8</f>
        <v>4588.1715165123496</v>
      </c>
      <c r="O139" s="173">
        <f>'P&amp;L'!J8</f>
        <v>4807.8601219064767</v>
      </c>
      <c r="P139" s="173">
        <f>'P&amp;L'!K8</f>
        <v>4807.8601219064767</v>
      </c>
      <c r="Q139" s="173">
        <f>'P&amp;L'!L8</f>
        <v>4807.8601219064767</v>
      </c>
      <c r="R139" s="173">
        <f>'P&amp;L'!M8</f>
        <v>4807.8601219064767</v>
      </c>
      <c r="S139" s="173">
        <f>'P&amp;L'!N8</f>
        <v>4807.8601219064767</v>
      </c>
      <c r="T139" s="173">
        <f>'P&amp;L'!O8</f>
        <v>4807.8601219064767</v>
      </c>
      <c r="U139" s="173">
        <f>'P&amp;L'!P8</f>
        <v>4807.8601219064767</v>
      </c>
      <c r="V139" s="173">
        <f>'P&amp;L'!Q8</f>
        <v>4807.8601219064767</v>
      </c>
      <c r="W139" s="173">
        <f>'P&amp;L'!R8</f>
        <v>4807.8601219064767</v>
      </c>
      <c r="X139" s="173">
        <f>'P&amp;L'!S8</f>
        <v>4807.8601219064767</v>
      </c>
      <c r="Y139" s="173">
        <f>'P&amp;L'!T8</f>
        <v>4807.8601219064767</v>
      </c>
      <c r="Z139" s="173">
        <f>'P&amp;L'!U8</f>
        <v>4807.8601219064767</v>
      </c>
      <c r="AA139" s="173">
        <f>'P&amp;L'!V8</f>
        <v>4807.8601219064767</v>
      </c>
      <c r="AB139" s="173">
        <f>'P&amp;L'!W8</f>
        <v>4807.8601219064767</v>
      </c>
      <c r="AC139" s="173">
        <f>'P&amp;L'!X8</f>
        <v>4807.8601219064767</v>
      </c>
    </row>
    <row r="140" spans="3:29" s="84" customFormat="1">
      <c r="C140" s="926" t="s">
        <v>199</v>
      </c>
      <c r="D140" s="184">
        <v>744</v>
      </c>
      <c r="E140" s="185">
        <v>1879</v>
      </c>
      <c r="F140" s="185">
        <v>1777</v>
      </c>
      <c r="G140" s="185">
        <v>2163</v>
      </c>
      <c r="H140" s="186">
        <v>1074</v>
      </c>
      <c r="I140" s="187">
        <f>SUM('P&amp;L'!D6)</f>
        <v>0</v>
      </c>
      <c r="J140" s="187">
        <f>SUM('P&amp;L'!E6)</f>
        <v>0</v>
      </c>
      <c r="K140" s="1034">
        <f>SUM('P&amp;L'!F6)</f>
        <v>0</v>
      </c>
      <c r="L140" s="1051">
        <f>SUM('P&amp;L'!G6)</f>
        <v>3494.6506720361749</v>
      </c>
      <c r="M140" s="187">
        <f>SUM('P&amp;L'!H6)</f>
        <v>3522.934562907637</v>
      </c>
      <c r="N140" s="187">
        <f>SUM('P&amp;L'!I6)</f>
        <v>3831.549863179016</v>
      </c>
      <c r="O140" s="187">
        <f>SUM('P&amp;L'!J6)</f>
        <v>3959.39306113981</v>
      </c>
      <c r="P140" s="187">
        <f>SUM('P&amp;L'!K6)</f>
        <v>3959.39306113981</v>
      </c>
      <c r="Q140" s="187">
        <f>SUM('P&amp;L'!L6)</f>
        <v>3959.39306113981</v>
      </c>
      <c r="R140" s="187">
        <f>SUM('P&amp;L'!M6)</f>
        <v>3959.39306113981</v>
      </c>
      <c r="S140" s="187">
        <f>SUM('P&amp;L'!N6)</f>
        <v>3959.39306113981</v>
      </c>
      <c r="T140" s="187">
        <f>SUM('P&amp;L'!O6)</f>
        <v>3959.39306113981</v>
      </c>
      <c r="U140" s="187">
        <f>SUM('P&amp;L'!P6)</f>
        <v>3959.39306113981</v>
      </c>
      <c r="V140" s="187">
        <f>SUM('P&amp;L'!Q6)</f>
        <v>3959.39306113981</v>
      </c>
      <c r="W140" s="187">
        <f>SUM('P&amp;L'!R6)</f>
        <v>3959.39306113981</v>
      </c>
      <c r="X140" s="187">
        <f>SUM('P&amp;L'!S6)</f>
        <v>3959.39306113981</v>
      </c>
      <c r="Y140" s="187">
        <f>SUM('P&amp;L'!T6)</f>
        <v>3959.39306113981</v>
      </c>
      <c r="Z140" s="187">
        <f>SUM('P&amp;L'!U6)</f>
        <v>3959.39306113981</v>
      </c>
      <c r="AA140" s="187">
        <f>SUM('P&amp;L'!V6)</f>
        <v>3959.39306113981</v>
      </c>
      <c r="AB140" s="187">
        <f>SUM('P&amp;L'!W6)</f>
        <v>3959.39306113981</v>
      </c>
      <c r="AC140" s="187">
        <f>SUM('P&amp;L'!X6)</f>
        <v>3959.39306113981</v>
      </c>
    </row>
    <row r="141" spans="3:29">
      <c r="C141" s="925" t="s">
        <v>81</v>
      </c>
      <c r="D141" s="181">
        <v>5</v>
      </c>
      <c r="E141" s="174">
        <v>24.64</v>
      </c>
      <c r="F141" s="174">
        <v>32.090000000000003</v>
      </c>
      <c r="G141" s="174">
        <v>29.89</v>
      </c>
      <c r="H141" s="182">
        <v>23.56</v>
      </c>
      <c r="I141" s="173">
        <f>'P&amp;L'!D72</f>
        <v>26.710599999999999</v>
      </c>
      <c r="J141" s="173">
        <f>'P&amp;L'!E72</f>
        <v>1.4237</v>
      </c>
      <c r="K141" s="1033">
        <f>'P&amp;L'!F72</f>
        <v>0</v>
      </c>
      <c r="L141" s="242">
        <f>'P&amp;L'!G72</f>
        <v>0</v>
      </c>
      <c r="M141" s="173">
        <f>'P&amp;L'!H72</f>
        <v>0</v>
      </c>
      <c r="N141" s="173">
        <f>'P&amp;L'!I72</f>
        <v>0</v>
      </c>
      <c r="O141" s="173">
        <f>'P&amp;L'!J72</f>
        <v>0</v>
      </c>
      <c r="P141" s="173">
        <f>'P&amp;L'!K72</f>
        <v>0</v>
      </c>
      <c r="Q141" s="173">
        <f>'P&amp;L'!L72</f>
        <v>0</v>
      </c>
      <c r="R141" s="173">
        <f>'P&amp;L'!M72</f>
        <v>0</v>
      </c>
      <c r="S141" s="173">
        <f>'P&amp;L'!N72</f>
        <v>0</v>
      </c>
      <c r="T141" s="173">
        <f>'P&amp;L'!O72</f>
        <v>0</v>
      </c>
      <c r="U141" s="173">
        <f>'P&amp;L'!P72</f>
        <v>0</v>
      </c>
      <c r="V141" s="173">
        <f>'P&amp;L'!Q72</f>
        <v>0</v>
      </c>
      <c r="W141" s="173">
        <f>'P&amp;L'!R72</f>
        <v>0</v>
      </c>
      <c r="X141" s="173">
        <f>'P&amp;L'!S72</f>
        <v>0</v>
      </c>
      <c r="Y141" s="173">
        <f>'P&amp;L'!T72</f>
        <v>0</v>
      </c>
      <c r="Z141" s="173">
        <f>'P&amp;L'!U72</f>
        <v>0</v>
      </c>
      <c r="AA141" s="173">
        <f>'P&amp;L'!V72</f>
        <v>0</v>
      </c>
      <c r="AB141" s="173">
        <f>'P&amp;L'!W72</f>
        <v>0</v>
      </c>
      <c r="AC141" s="173">
        <f>'P&amp;L'!X72</f>
        <v>0</v>
      </c>
    </row>
    <row r="142" spans="3:29">
      <c r="C142" s="925" t="s">
        <v>349</v>
      </c>
      <c r="D142" s="181">
        <v>186</v>
      </c>
      <c r="E142" s="174">
        <f>140.7+4.8</f>
        <v>145.5</v>
      </c>
      <c r="F142" s="174">
        <f>126.64+1.06</f>
        <v>127.7</v>
      </c>
      <c r="G142" s="174">
        <v>212</v>
      </c>
      <c r="H142" s="182">
        <v>176.75</v>
      </c>
      <c r="I142" s="173">
        <f>'P&amp;L'!D71</f>
        <v>49.746600000000001</v>
      </c>
      <c r="J142" s="173">
        <f>'P&amp;L'!E71</f>
        <v>15.137</v>
      </c>
      <c r="K142" s="1033">
        <f>'P&amp;L'!F71</f>
        <v>1.8657000000000004</v>
      </c>
      <c r="L142" s="242">
        <f>'P&amp;L'!G71</f>
        <v>37.715359883747183</v>
      </c>
      <c r="M142" s="173">
        <f>'P&amp;L'!H71</f>
        <v>45.258431860496621</v>
      </c>
      <c r="N142" s="173">
        <f>'P&amp;L'!I71</f>
        <v>52.801503837246045</v>
      </c>
      <c r="O142" s="173">
        <f>'P&amp;L'!J71</f>
        <v>60.344575813995483</v>
      </c>
      <c r="P142" s="173">
        <f>'P&amp;L'!K71</f>
        <v>67.887647790744921</v>
      </c>
      <c r="Q142" s="173">
        <f>'P&amp;L'!L71</f>
        <v>75.430719767494367</v>
      </c>
      <c r="R142" s="173">
        <f>'P&amp;L'!M71</f>
        <v>75.430719767494367</v>
      </c>
      <c r="S142" s="173">
        <f>'P&amp;L'!N71</f>
        <v>75.430719767494367</v>
      </c>
      <c r="T142" s="173">
        <f>'P&amp;L'!O71</f>
        <v>75.430719767494367</v>
      </c>
      <c r="U142" s="173">
        <f>'P&amp;L'!P71</f>
        <v>75.430719767494367</v>
      </c>
      <c r="V142" s="173">
        <f>'P&amp;L'!Q71</f>
        <v>75.430719767494367</v>
      </c>
      <c r="W142" s="173">
        <f>'P&amp;L'!R71</f>
        <v>75.430719767494367</v>
      </c>
      <c r="X142" s="173">
        <f>'P&amp;L'!S71</f>
        <v>75.430719767494367</v>
      </c>
      <c r="Y142" s="173">
        <f>'P&amp;L'!T71</f>
        <v>75.430719767494367</v>
      </c>
      <c r="Z142" s="173">
        <f>'P&amp;L'!U71</f>
        <v>75.430719767494367</v>
      </c>
      <c r="AA142" s="173">
        <f>'P&amp;L'!V71</f>
        <v>75.430719767494367</v>
      </c>
      <c r="AB142" s="173">
        <f>'P&amp;L'!W71</f>
        <v>75.430719767494367</v>
      </c>
      <c r="AC142" s="173">
        <f>'P&amp;L'!X71</f>
        <v>75.430719767494367</v>
      </c>
    </row>
    <row r="143" spans="3:29">
      <c r="C143" s="924" t="s">
        <v>65</v>
      </c>
      <c r="D143" s="181"/>
      <c r="E143" s="174"/>
      <c r="F143" s="174"/>
      <c r="G143" s="174"/>
      <c r="H143" s="182"/>
      <c r="I143" s="173"/>
      <c r="J143" s="173"/>
      <c r="K143" s="1033"/>
      <c r="L143" s="242"/>
      <c r="M143" s="173"/>
      <c r="N143" s="173"/>
      <c r="O143" s="173"/>
      <c r="P143" s="173"/>
      <c r="Q143" s="173"/>
      <c r="R143" s="173"/>
      <c r="S143" s="173"/>
      <c r="T143" s="173"/>
      <c r="U143" s="173"/>
      <c r="V143" s="173"/>
      <c r="W143" s="173"/>
      <c r="X143" s="173"/>
      <c r="Y143" s="173"/>
      <c r="Z143" s="173"/>
      <c r="AA143" s="173"/>
      <c r="AB143" s="173"/>
      <c r="AC143" s="173"/>
    </row>
    <row r="144" spans="3:29">
      <c r="C144" s="925" t="s">
        <v>197</v>
      </c>
      <c r="D144" s="181">
        <v>674</v>
      </c>
      <c r="E144" s="174">
        <v>842.61</v>
      </c>
      <c r="F144" s="174">
        <v>278.13</v>
      </c>
      <c r="G144" s="174">
        <v>362</v>
      </c>
      <c r="H144" s="174">
        <v>176</v>
      </c>
      <c r="I144" s="173">
        <v>0</v>
      </c>
      <c r="J144" s="173">
        <f>I144</f>
        <v>0</v>
      </c>
      <c r="K144" s="1033">
        <f>J144</f>
        <v>0</v>
      </c>
      <c r="L144" s="242">
        <f t="shared" ref="L144:W144" si="81">K144</f>
        <v>0</v>
      </c>
      <c r="M144" s="173">
        <f t="shared" si="81"/>
        <v>0</v>
      </c>
      <c r="N144" s="173">
        <f t="shared" si="81"/>
        <v>0</v>
      </c>
      <c r="O144" s="173">
        <f t="shared" si="81"/>
        <v>0</v>
      </c>
      <c r="P144" s="173">
        <f t="shared" si="81"/>
        <v>0</v>
      </c>
      <c r="Q144" s="173">
        <f t="shared" si="81"/>
        <v>0</v>
      </c>
      <c r="R144" s="173">
        <f t="shared" si="81"/>
        <v>0</v>
      </c>
      <c r="S144" s="173">
        <f t="shared" si="81"/>
        <v>0</v>
      </c>
      <c r="T144" s="173">
        <f t="shared" si="81"/>
        <v>0</v>
      </c>
      <c r="U144" s="173">
        <f t="shared" si="81"/>
        <v>0</v>
      </c>
      <c r="V144" s="173">
        <f t="shared" si="81"/>
        <v>0</v>
      </c>
      <c r="W144" s="173">
        <f t="shared" si="81"/>
        <v>0</v>
      </c>
      <c r="X144" s="173">
        <f t="shared" ref="X144:AC148" si="82">W144</f>
        <v>0</v>
      </c>
      <c r="Y144" s="173">
        <f t="shared" si="82"/>
        <v>0</v>
      </c>
      <c r="Z144" s="173">
        <f t="shared" si="82"/>
        <v>0</v>
      </c>
      <c r="AA144" s="173">
        <f t="shared" si="82"/>
        <v>0</v>
      </c>
      <c r="AB144" s="173">
        <f t="shared" si="82"/>
        <v>0</v>
      </c>
      <c r="AC144" s="173">
        <f t="shared" si="82"/>
        <v>0</v>
      </c>
    </row>
    <row r="145" spans="3:29" s="84" customFormat="1">
      <c r="C145" s="926" t="s">
        <v>200</v>
      </c>
      <c r="D145" s="184"/>
      <c r="E145" s="185">
        <v>309</v>
      </c>
      <c r="F145" s="185">
        <v>80</v>
      </c>
      <c r="G145" s="185">
        <v>103</v>
      </c>
      <c r="H145" s="185">
        <v>47</v>
      </c>
      <c r="I145" s="173">
        <v>0</v>
      </c>
      <c r="J145" s="173">
        <f t="shared" ref="J145:W148" si="83">I145</f>
        <v>0</v>
      </c>
      <c r="K145" s="1033">
        <f>J145</f>
        <v>0</v>
      </c>
      <c r="L145" s="242">
        <f t="shared" si="83"/>
        <v>0</v>
      </c>
      <c r="M145" s="173">
        <f t="shared" si="83"/>
        <v>0</v>
      </c>
      <c r="N145" s="173">
        <f t="shared" si="83"/>
        <v>0</v>
      </c>
      <c r="O145" s="173">
        <f t="shared" si="83"/>
        <v>0</v>
      </c>
      <c r="P145" s="173">
        <f t="shared" si="83"/>
        <v>0</v>
      </c>
      <c r="Q145" s="173">
        <f t="shared" si="83"/>
        <v>0</v>
      </c>
      <c r="R145" s="173">
        <f t="shared" si="83"/>
        <v>0</v>
      </c>
      <c r="S145" s="173">
        <f t="shared" si="83"/>
        <v>0</v>
      </c>
      <c r="T145" s="173">
        <f t="shared" si="83"/>
        <v>0</v>
      </c>
      <c r="U145" s="173">
        <f t="shared" si="83"/>
        <v>0</v>
      </c>
      <c r="V145" s="173">
        <f t="shared" si="83"/>
        <v>0</v>
      </c>
      <c r="W145" s="173">
        <f t="shared" si="83"/>
        <v>0</v>
      </c>
      <c r="X145" s="173">
        <f t="shared" si="82"/>
        <v>0</v>
      </c>
      <c r="Y145" s="173">
        <f t="shared" si="82"/>
        <v>0</v>
      </c>
      <c r="Z145" s="173">
        <f t="shared" si="82"/>
        <v>0</v>
      </c>
      <c r="AA145" s="173">
        <f t="shared" si="82"/>
        <v>0</v>
      </c>
      <c r="AB145" s="173">
        <f t="shared" si="82"/>
        <v>0</v>
      </c>
      <c r="AC145" s="173">
        <f t="shared" si="82"/>
        <v>0</v>
      </c>
    </row>
    <row r="146" spans="3:29">
      <c r="C146" s="925" t="s">
        <v>198</v>
      </c>
      <c r="D146" s="181">
        <v>114</v>
      </c>
      <c r="E146" s="174">
        <v>117.71</v>
      </c>
      <c r="F146" s="174">
        <v>125</v>
      </c>
      <c r="G146" s="174">
        <v>139</v>
      </c>
      <c r="H146" s="182">
        <v>71</v>
      </c>
      <c r="I146" s="173">
        <v>0</v>
      </c>
      <c r="J146" s="173">
        <f t="shared" si="83"/>
        <v>0</v>
      </c>
      <c r="K146" s="1033">
        <f>J146</f>
        <v>0</v>
      </c>
      <c r="L146" s="242">
        <f t="shared" si="83"/>
        <v>0</v>
      </c>
      <c r="M146" s="173">
        <f t="shared" si="83"/>
        <v>0</v>
      </c>
      <c r="N146" s="173">
        <f t="shared" si="83"/>
        <v>0</v>
      </c>
      <c r="O146" s="173">
        <f t="shared" si="83"/>
        <v>0</v>
      </c>
      <c r="P146" s="173">
        <f t="shared" si="83"/>
        <v>0</v>
      </c>
      <c r="Q146" s="173">
        <f t="shared" si="83"/>
        <v>0</v>
      </c>
      <c r="R146" s="173">
        <f t="shared" si="83"/>
        <v>0</v>
      </c>
      <c r="S146" s="173">
        <f t="shared" si="83"/>
        <v>0</v>
      </c>
      <c r="T146" s="173">
        <f t="shared" si="83"/>
        <v>0</v>
      </c>
      <c r="U146" s="173">
        <f t="shared" si="83"/>
        <v>0</v>
      </c>
      <c r="V146" s="173">
        <f t="shared" si="83"/>
        <v>0</v>
      </c>
      <c r="W146" s="173">
        <f t="shared" si="83"/>
        <v>0</v>
      </c>
      <c r="X146" s="173">
        <f t="shared" si="82"/>
        <v>0</v>
      </c>
      <c r="Y146" s="173">
        <f t="shared" si="82"/>
        <v>0</v>
      </c>
      <c r="Z146" s="173">
        <f t="shared" si="82"/>
        <v>0</v>
      </c>
      <c r="AA146" s="173">
        <f t="shared" si="82"/>
        <v>0</v>
      </c>
      <c r="AB146" s="173">
        <f t="shared" si="82"/>
        <v>0</v>
      </c>
      <c r="AC146" s="173">
        <f t="shared" si="82"/>
        <v>0</v>
      </c>
    </row>
    <row r="147" spans="3:29">
      <c r="C147" s="927" t="s">
        <v>171</v>
      </c>
      <c r="D147" s="91">
        <v>293</v>
      </c>
      <c r="E147" s="174">
        <f>251+25.16</f>
        <v>276.16000000000003</v>
      </c>
      <c r="F147" s="174">
        <f>72.93+27.06+93.28</f>
        <v>193.27</v>
      </c>
      <c r="G147" s="174">
        <f>134.75</f>
        <v>134.75</v>
      </c>
      <c r="H147" s="182">
        <v>55.94</v>
      </c>
      <c r="I147" s="173">
        <v>0</v>
      </c>
      <c r="J147" s="173">
        <f t="shared" si="83"/>
        <v>0</v>
      </c>
      <c r="K147" s="1033">
        <f>J147</f>
        <v>0</v>
      </c>
      <c r="L147" s="242">
        <f t="shared" si="83"/>
        <v>0</v>
      </c>
      <c r="M147" s="173">
        <f t="shared" si="83"/>
        <v>0</v>
      </c>
      <c r="N147" s="173">
        <f t="shared" si="83"/>
        <v>0</v>
      </c>
      <c r="O147" s="173">
        <f t="shared" si="83"/>
        <v>0</v>
      </c>
      <c r="P147" s="173">
        <f t="shared" si="83"/>
        <v>0</v>
      </c>
      <c r="Q147" s="173">
        <f t="shared" si="83"/>
        <v>0</v>
      </c>
      <c r="R147" s="173">
        <f t="shared" si="83"/>
        <v>0</v>
      </c>
      <c r="S147" s="173">
        <f t="shared" si="83"/>
        <v>0</v>
      </c>
      <c r="T147" s="173">
        <f t="shared" si="83"/>
        <v>0</v>
      </c>
      <c r="U147" s="173">
        <f t="shared" si="83"/>
        <v>0</v>
      </c>
      <c r="V147" s="173">
        <f t="shared" si="83"/>
        <v>0</v>
      </c>
      <c r="W147" s="173">
        <f t="shared" si="83"/>
        <v>0</v>
      </c>
      <c r="X147" s="173">
        <f t="shared" si="82"/>
        <v>0</v>
      </c>
      <c r="Y147" s="173">
        <f t="shared" si="82"/>
        <v>0</v>
      </c>
      <c r="Z147" s="173">
        <f t="shared" si="82"/>
        <v>0</v>
      </c>
      <c r="AA147" s="173">
        <f t="shared" si="82"/>
        <v>0</v>
      </c>
      <c r="AB147" s="173">
        <f t="shared" si="82"/>
        <v>0</v>
      </c>
      <c r="AC147" s="173">
        <f t="shared" si="82"/>
        <v>0</v>
      </c>
    </row>
    <row r="148" spans="3:29">
      <c r="C148" s="928" t="s">
        <v>201</v>
      </c>
      <c r="D148" s="91">
        <v>8</v>
      </c>
      <c r="E148" s="174">
        <v>10.27</v>
      </c>
      <c r="F148" s="174">
        <v>18.649999999999999</v>
      </c>
      <c r="G148" s="174">
        <v>17</v>
      </c>
      <c r="H148" s="182">
        <v>28</v>
      </c>
      <c r="I148" s="173">
        <v>0</v>
      </c>
      <c r="J148" s="173">
        <f t="shared" si="83"/>
        <v>0</v>
      </c>
      <c r="K148" s="1033">
        <f>J148</f>
        <v>0</v>
      </c>
      <c r="L148" s="242">
        <f t="shared" si="83"/>
        <v>0</v>
      </c>
      <c r="M148" s="173">
        <f t="shared" si="83"/>
        <v>0</v>
      </c>
      <c r="N148" s="173">
        <f t="shared" si="83"/>
        <v>0</v>
      </c>
      <c r="O148" s="173">
        <f t="shared" si="83"/>
        <v>0</v>
      </c>
      <c r="P148" s="173">
        <f t="shared" si="83"/>
        <v>0</v>
      </c>
      <c r="Q148" s="173">
        <f t="shared" si="83"/>
        <v>0</v>
      </c>
      <c r="R148" s="173">
        <f t="shared" si="83"/>
        <v>0</v>
      </c>
      <c r="S148" s="173">
        <f t="shared" si="83"/>
        <v>0</v>
      </c>
      <c r="T148" s="173">
        <f t="shared" si="83"/>
        <v>0</v>
      </c>
      <c r="U148" s="173">
        <f t="shared" si="83"/>
        <v>0</v>
      </c>
      <c r="V148" s="173">
        <f t="shared" si="83"/>
        <v>0</v>
      </c>
      <c r="W148" s="173">
        <f t="shared" si="83"/>
        <v>0</v>
      </c>
      <c r="X148" s="173">
        <f t="shared" si="82"/>
        <v>0</v>
      </c>
      <c r="Y148" s="173">
        <f t="shared" si="82"/>
        <v>0</v>
      </c>
      <c r="Z148" s="173">
        <f t="shared" si="82"/>
        <v>0</v>
      </c>
      <c r="AA148" s="173">
        <f t="shared" si="82"/>
        <v>0</v>
      </c>
      <c r="AB148" s="173">
        <f t="shared" si="82"/>
        <v>0</v>
      </c>
      <c r="AC148" s="173">
        <f t="shared" si="82"/>
        <v>0</v>
      </c>
    </row>
    <row r="149" spans="3:29">
      <c r="C149" s="928" t="s">
        <v>226</v>
      </c>
      <c r="D149" s="91"/>
      <c r="E149" s="174">
        <v>2.12</v>
      </c>
      <c r="F149" s="174">
        <v>2.0099999999999998</v>
      </c>
      <c r="G149" s="174">
        <v>1.1200000000000001</v>
      </c>
      <c r="H149" s="182">
        <v>0.96750000000000003</v>
      </c>
      <c r="I149" s="173">
        <f>'P&amp;L'!D73</f>
        <v>28.590000000000003</v>
      </c>
      <c r="J149" s="173">
        <f>'P&amp;L'!E73</f>
        <v>45.502000000000002</v>
      </c>
      <c r="K149" s="1033">
        <f>'P&amp;L'!F73</f>
        <v>10.92</v>
      </c>
      <c r="L149" s="242">
        <f>'P&amp;L'!G73</f>
        <v>8.4801000000000002</v>
      </c>
      <c r="M149" s="173">
        <f>'P&amp;L'!H73</f>
        <v>8.4801000000000002</v>
      </c>
      <c r="N149" s="173">
        <f>'P&amp;L'!I73</f>
        <v>8.4801000000000002</v>
      </c>
      <c r="O149" s="173">
        <f>'P&amp;L'!J73</f>
        <v>8.4801000000000002</v>
      </c>
      <c r="P149" s="173">
        <f>'P&amp;L'!K73</f>
        <v>8.4801000000000002</v>
      </c>
      <c r="Q149" s="173">
        <f>'P&amp;L'!L73</f>
        <v>8.4801000000000002</v>
      </c>
      <c r="R149" s="173">
        <f>'P&amp;L'!M73</f>
        <v>8.4801000000000002</v>
      </c>
      <c r="S149" s="173">
        <f>'P&amp;L'!N73</f>
        <v>8.4801000000000002</v>
      </c>
      <c r="T149" s="173">
        <f>'P&amp;L'!O73</f>
        <v>8.4801000000000002</v>
      </c>
      <c r="U149" s="173">
        <f>'P&amp;L'!P73</f>
        <v>8.4801000000000002</v>
      </c>
      <c r="V149" s="173">
        <f>'P&amp;L'!Q73</f>
        <v>8.4801000000000002</v>
      </c>
      <c r="W149" s="173">
        <f>'P&amp;L'!R73</f>
        <v>8.4801000000000002</v>
      </c>
      <c r="X149" s="173">
        <f>'P&amp;L'!S73</f>
        <v>8.4801000000000002</v>
      </c>
      <c r="Y149" s="173">
        <f>'P&amp;L'!T73</f>
        <v>8.4801000000000002</v>
      </c>
      <c r="Z149" s="173">
        <f>'P&amp;L'!U73</f>
        <v>8.4801000000000002</v>
      </c>
      <c r="AA149" s="173">
        <f>'P&amp;L'!V73</f>
        <v>8.4801000000000002</v>
      </c>
      <c r="AB149" s="173">
        <f>'P&amp;L'!W73</f>
        <v>8.4801000000000002</v>
      </c>
      <c r="AC149" s="173">
        <f>'P&amp;L'!X73</f>
        <v>8.4801000000000002</v>
      </c>
    </row>
    <row r="150" spans="3:29">
      <c r="C150" s="928" t="s">
        <v>227</v>
      </c>
      <c r="D150" s="188">
        <f t="shared" ref="D150:AC150" si="84">SUM(D139,D141:D142,D144,D146:D149)</f>
        <v>2519</v>
      </c>
      <c r="E150" s="188">
        <f t="shared" si="84"/>
        <v>3977.62</v>
      </c>
      <c r="F150" s="188">
        <f t="shared" si="84"/>
        <v>3385.0000000000005</v>
      </c>
      <c r="G150" s="188">
        <f t="shared" si="84"/>
        <v>3923.89</v>
      </c>
      <c r="H150" s="188">
        <f t="shared" si="84"/>
        <v>1940.2874999999999</v>
      </c>
      <c r="I150" s="189">
        <f t="shared" si="84"/>
        <v>1704.5071999999998</v>
      </c>
      <c r="J150" s="189">
        <f t="shared" si="84"/>
        <v>1574.9026999999999</v>
      </c>
      <c r="K150" s="1035">
        <f t="shared" si="84"/>
        <v>2692.3290000000002</v>
      </c>
      <c r="L150" s="1052">
        <f t="shared" si="84"/>
        <v>4226.9586369865892</v>
      </c>
      <c r="M150" s="189">
        <f t="shared" si="84"/>
        <v>4268.7050947681337</v>
      </c>
      <c r="N150" s="189">
        <f t="shared" si="84"/>
        <v>4649.4531203495953</v>
      </c>
      <c r="O150" s="189">
        <f t="shared" si="84"/>
        <v>4876.6847977204716</v>
      </c>
      <c r="P150" s="189">
        <f t="shared" si="84"/>
        <v>4884.2278696972216</v>
      </c>
      <c r="Q150" s="189">
        <f t="shared" si="84"/>
        <v>4891.7709416739708</v>
      </c>
      <c r="R150" s="189">
        <f t="shared" si="84"/>
        <v>4891.7709416739708</v>
      </c>
      <c r="S150" s="189">
        <f t="shared" si="84"/>
        <v>4891.7709416739708</v>
      </c>
      <c r="T150" s="189">
        <f t="shared" si="84"/>
        <v>4891.7709416739708</v>
      </c>
      <c r="U150" s="189">
        <f t="shared" si="84"/>
        <v>4891.7709416739708</v>
      </c>
      <c r="V150" s="189">
        <f t="shared" si="84"/>
        <v>4891.7709416739708</v>
      </c>
      <c r="W150" s="189">
        <f t="shared" si="84"/>
        <v>4891.7709416739708</v>
      </c>
      <c r="X150" s="189">
        <f t="shared" si="84"/>
        <v>4891.7709416739708</v>
      </c>
      <c r="Y150" s="189">
        <f t="shared" si="84"/>
        <v>4891.7709416739708</v>
      </c>
      <c r="Z150" s="189">
        <f t="shared" si="84"/>
        <v>4891.7709416739708</v>
      </c>
      <c r="AA150" s="189">
        <f t="shared" si="84"/>
        <v>4891.7709416739708</v>
      </c>
      <c r="AB150" s="189">
        <f t="shared" si="84"/>
        <v>4891.7709416739708</v>
      </c>
      <c r="AC150" s="189">
        <f t="shared" si="84"/>
        <v>4891.7709416739708</v>
      </c>
    </row>
    <row r="151" spans="3:29">
      <c r="C151" s="928" t="s">
        <v>228</v>
      </c>
      <c r="D151" s="91">
        <v>40</v>
      </c>
      <c r="E151" s="174">
        <v>31.93</v>
      </c>
      <c r="F151" s="174">
        <v>35.270000000000003</v>
      </c>
      <c r="G151" s="174">
        <v>44.97</v>
      </c>
      <c r="H151" s="174">
        <v>26.47</v>
      </c>
      <c r="I151" s="189">
        <f>'P&amp;L'!D74</f>
        <v>28.984000000000002</v>
      </c>
      <c r="J151" s="189">
        <f>'P&amp;L'!E74</f>
        <v>24.279499999999999</v>
      </c>
      <c r="K151" s="1035">
        <f>'P&amp;L'!F74</f>
        <v>30.319099999999999</v>
      </c>
      <c r="L151" s="1052">
        <f>'P&amp;L'!G74</f>
        <v>0.11472</v>
      </c>
      <c r="M151" s="189">
        <f>'P&amp;L'!H74</f>
        <v>0.11472</v>
      </c>
      <c r="N151" s="189">
        <f>'P&amp;L'!I74</f>
        <v>0.11472</v>
      </c>
      <c r="O151" s="189">
        <f>'P&amp;L'!J74</f>
        <v>0.11472</v>
      </c>
      <c r="P151" s="189">
        <f>'P&amp;L'!K74</f>
        <v>0.11472</v>
      </c>
      <c r="Q151" s="189">
        <f>'P&amp;L'!L74</f>
        <v>0.11472</v>
      </c>
      <c r="R151" s="189">
        <f>'P&amp;L'!M74</f>
        <v>0.11472</v>
      </c>
      <c r="S151" s="189">
        <f>'P&amp;L'!N74</f>
        <v>0.11472</v>
      </c>
      <c r="T151" s="189">
        <f>'P&amp;L'!O74</f>
        <v>0.11472</v>
      </c>
      <c r="U151" s="189">
        <f>'P&amp;L'!P74</f>
        <v>0.11472</v>
      </c>
      <c r="V151" s="189">
        <f>'P&amp;L'!Q74</f>
        <v>0.11472</v>
      </c>
      <c r="W151" s="189">
        <f>'P&amp;L'!R74</f>
        <v>0.11472</v>
      </c>
      <c r="X151" s="189">
        <f>'P&amp;L'!S74</f>
        <v>0.11472</v>
      </c>
      <c r="Y151" s="189">
        <f>'P&amp;L'!T74</f>
        <v>0.11472</v>
      </c>
      <c r="Z151" s="189">
        <f>'P&amp;L'!U74</f>
        <v>0.11472</v>
      </c>
      <c r="AA151" s="189">
        <f>'P&amp;L'!V74</f>
        <v>0.11472</v>
      </c>
      <c r="AB151" s="189">
        <f>'P&amp;L'!W74</f>
        <v>0.11472</v>
      </c>
      <c r="AC151" s="189">
        <f>'P&amp;L'!X74</f>
        <v>0.11472</v>
      </c>
    </row>
    <row r="152" spans="3:29">
      <c r="C152" s="923" t="s">
        <v>202</v>
      </c>
      <c r="D152" s="189"/>
      <c r="E152" s="188"/>
      <c r="F152" s="188"/>
      <c r="G152" s="174"/>
      <c r="H152" s="182"/>
      <c r="I152" s="173"/>
      <c r="J152" s="173"/>
      <c r="K152" s="1033"/>
      <c r="L152" s="242"/>
      <c r="M152" s="173"/>
      <c r="N152" s="173"/>
      <c r="O152" s="173"/>
      <c r="P152" s="173"/>
      <c r="Q152" s="173"/>
      <c r="R152" s="173"/>
      <c r="S152" s="173"/>
      <c r="T152" s="175"/>
      <c r="U152" s="175"/>
      <c r="V152" s="175"/>
      <c r="W152" s="175"/>
      <c r="X152" s="175"/>
      <c r="Y152" s="175"/>
      <c r="Z152" s="175"/>
      <c r="AA152" s="175"/>
      <c r="AB152" s="175"/>
      <c r="AC152" s="175"/>
    </row>
    <row r="153" spans="3:29" s="27" customFormat="1">
      <c r="C153" s="924" t="s">
        <v>205</v>
      </c>
      <c r="D153" s="190"/>
      <c r="E153" s="188"/>
      <c r="F153" s="188"/>
      <c r="G153" s="174"/>
      <c r="H153" s="182"/>
      <c r="I153" s="173"/>
      <c r="J153" s="173"/>
      <c r="K153" s="1033"/>
      <c r="L153" s="242"/>
      <c r="M153" s="173"/>
      <c r="N153" s="173"/>
      <c r="O153" s="173"/>
      <c r="P153" s="173"/>
      <c r="Q153" s="173"/>
      <c r="R153" s="173"/>
      <c r="S153" s="173"/>
      <c r="T153" s="175"/>
      <c r="U153" s="175"/>
      <c r="V153" s="175"/>
      <c r="W153" s="175"/>
      <c r="X153" s="175"/>
      <c r="Y153" s="175"/>
      <c r="Z153" s="175"/>
      <c r="AA153" s="175"/>
      <c r="AB153" s="175"/>
      <c r="AC153" s="175"/>
    </row>
    <row r="154" spans="3:29">
      <c r="C154" s="927" t="s">
        <v>203</v>
      </c>
      <c r="D154" s="91">
        <v>453</v>
      </c>
      <c r="E154" s="174">
        <v>1014</v>
      </c>
      <c r="F154" s="174">
        <v>989</v>
      </c>
      <c r="G154" s="174">
        <v>1220</v>
      </c>
      <c r="H154" s="182">
        <v>593</v>
      </c>
      <c r="I154" s="173">
        <f>'P&amp;L'!D77</f>
        <v>729.03</v>
      </c>
      <c r="J154" s="173">
        <f>'P&amp;L'!E77</f>
        <v>681.66629999999998</v>
      </c>
      <c r="K154" s="1033">
        <f>'P&amp;L'!F77</f>
        <v>1288.9317999999998</v>
      </c>
      <c r="L154" s="242">
        <f>'P&amp;L'!G77</f>
        <v>2027.2884859788805</v>
      </c>
      <c r="M154" s="173">
        <f>'P&amp;L'!H77</f>
        <v>2038.494359066339</v>
      </c>
      <c r="N154" s="173">
        <f>'P&amp;L'!I77</f>
        <v>2072.0976240033774</v>
      </c>
      <c r="O154" s="173">
        <f>'P&amp;L'!J77</f>
        <v>2132.1198484335623</v>
      </c>
      <c r="P154" s="173">
        <f>'P&amp;L'!K77</f>
        <v>2132.1198484335623</v>
      </c>
      <c r="Q154" s="173">
        <f>'P&amp;L'!L77</f>
        <v>2132.1198484335623</v>
      </c>
      <c r="R154" s="173">
        <f>'P&amp;L'!M77</f>
        <v>2132.1198484335623</v>
      </c>
      <c r="S154" s="173">
        <f>'P&amp;L'!N77</f>
        <v>2132.1198484335623</v>
      </c>
      <c r="T154" s="173">
        <f>'P&amp;L'!O77</f>
        <v>2132.1198484335623</v>
      </c>
      <c r="U154" s="173">
        <f>'P&amp;L'!P77</f>
        <v>2132.1198484335623</v>
      </c>
      <c r="V154" s="173">
        <f>'P&amp;L'!Q77</f>
        <v>2132.1198484335623</v>
      </c>
      <c r="W154" s="173">
        <f>'P&amp;L'!R77</f>
        <v>2132.1198484335623</v>
      </c>
      <c r="X154" s="173">
        <f>'P&amp;L'!S77</f>
        <v>2132.1198484335623</v>
      </c>
      <c r="Y154" s="173">
        <f>'P&amp;L'!T77</f>
        <v>2132.1198484335623</v>
      </c>
      <c r="Z154" s="173">
        <f>'P&amp;L'!U77</f>
        <v>2132.1198484335623</v>
      </c>
      <c r="AA154" s="173">
        <f>'P&amp;L'!V77</f>
        <v>2132.1198484335623</v>
      </c>
      <c r="AB154" s="173">
        <f>'P&amp;L'!W77</f>
        <v>2132.1198484335623</v>
      </c>
      <c r="AC154" s="173">
        <f>'P&amp;L'!X77</f>
        <v>2132.1198484335623</v>
      </c>
    </row>
    <row r="155" spans="3:29">
      <c r="C155" s="927" t="s">
        <v>41</v>
      </c>
      <c r="D155" s="91">
        <v>39</v>
      </c>
      <c r="E155" s="174">
        <v>50</v>
      </c>
      <c r="F155" s="174">
        <v>58</v>
      </c>
      <c r="G155" s="174">
        <v>54</v>
      </c>
      <c r="H155" s="182">
        <v>21.6</v>
      </c>
      <c r="I155" s="173">
        <f>'P&amp;L'!D78</f>
        <v>21.68</v>
      </c>
      <c r="J155" s="173">
        <f>'P&amp;L'!E78</f>
        <v>25.092700000000001</v>
      </c>
      <c r="K155" s="1033">
        <f>'P&amp;L'!F78</f>
        <v>36.546900000000001</v>
      </c>
      <c r="L155" s="242">
        <f>'P&amp;L'!G78</f>
        <v>44.611517798837475</v>
      </c>
      <c r="M155" s="173">
        <f>'P&amp;L'!H78</f>
        <v>45.068584318604962</v>
      </c>
      <c r="N155" s="173">
        <f>'P&amp;L'!I78</f>
        <v>49.308175038372461</v>
      </c>
      <c r="O155" s="173">
        <f>'P&amp;L'!J78</f>
        <v>51.978769758139954</v>
      </c>
      <c r="P155" s="173">
        <f>'P&amp;L'!K78</f>
        <v>52.05420047790745</v>
      </c>
      <c r="Q155" s="173">
        <f>'P&amp;L'!L78</f>
        <v>52.129631197674939</v>
      </c>
      <c r="R155" s="173">
        <f>'P&amp;L'!M78</f>
        <v>52.129631197674939</v>
      </c>
      <c r="S155" s="173">
        <f>'P&amp;L'!N78</f>
        <v>52.129631197674939</v>
      </c>
      <c r="T155" s="173">
        <f>'P&amp;L'!O78</f>
        <v>52.129631197674939</v>
      </c>
      <c r="U155" s="173">
        <f>'P&amp;L'!P78</f>
        <v>52.129631197674939</v>
      </c>
      <c r="V155" s="173">
        <f>'P&amp;L'!Q78</f>
        <v>52.129631197674939</v>
      </c>
      <c r="W155" s="173">
        <f>'P&amp;L'!R78</f>
        <v>52.129631197674939</v>
      </c>
      <c r="X155" s="173">
        <f>'P&amp;L'!S78</f>
        <v>52.129631197674939</v>
      </c>
      <c r="Y155" s="173">
        <f>'P&amp;L'!T78</f>
        <v>52.129631197674939</v>
      </c>
      <c r="Z155" s="173">
        <f>'P&amp;L'!U78</f>
        <v>52.129631197674939</v>
      </c>
      <c r="AA155" s="173">
        <f>'P&amp;L'!V78</f>
        <v>52.129631197674939</v>
      </c>
      <c r="AB155" s="173">
        <f>'P&amp;L'!W78</f>
        <v>52.129631197674939</v>
      </c>
      <c r="AC155" s="173">
        <f>'P&amp;L'!X78</f>
        <v>52.129631197674939</v>
      </c>
    </row>
    <row r="156" spans="3:29">
      <c r="C156" s="927" t="s">
        <v>171</v>
      </c>
      <c r="D156" s="91">
        <f>599-SUM(D154:D155)</f>
        <v>107</v>
      </c>
      <c r="E156" s="174">
        <f>1154-SUM(E154:E155)</f>
        <v>90</v>
      </c>
      <c r="F156" s="174">
        <f>1165-SUM(F154:F155)</f>
        <v>118</v>
      </c>
      <c r="G156" s="174">
        <f>1381-SUM(G154:G155)</f>
        <v>107</v>
      </c>
      <c r="H156" s="182">
        <f>709-SUM(H154:H155)</f>
        <v>94.399999999999977</v>
      </c>
      <c r="I156" s="173">
        <f>'P&amp;L'!D79</f>
        <v>29.9</v>
      </c>
      <c r="J156" s="173">
        <f>'P&amp;L'!E79</f>
        <v>68.854699999999994</v>
      </c>
      <c r="K156" s="1033">
        <f>'P&amp;L'!F79+'P&amp;L'!F81</f>
        <v>15.211500000000008</v>
      </c>
      <c r="L156" s="242">
        <f>'P&amp;L'!G79+'P&amp;L'!G81</f>
        <v>151.81111678472342</v>
      </c>
      <c r="M156" s="173">
        <f>'P&amp;L'!H79+'P&amp;L'!H81</f>
        <v>156.67627110590345</v>
      </c>
      <c r="N156" s="173">
        <f>'P&amp;L'!I79+'P&amp;L'!I81</f>
        <v>172.19161139010293</v>
      </c>
      <c r="O156" s="173">
        <f>'P&amp;L'!J79+'P&amp;L'!J81</f>
        <v>183.28924056613988</v>
      </c>
      <c r="P156" s="173">
        <f>'P&amp;L'!K79+'P&amp;L'!K81</f>
        <v>187.07984994715912</v>
      </c>
      <c r="Q156" s="173">
        <f>'P&amp;L'!L79+'P&amp;L'!L81</f>
        <v>190.87045932817838</v>
      </c>
      <c r="R156" s="173">
        <f>'P&amp;L'!M79+'P&amp;L'!M81</f>
        <v>190.87045932817838</v>
      </c>
      <c r="S156" s="173">
        <f>'P&amp;L'!N79+'P&amp;L'!N81</f>
        <v>190.87045932817838</v>
      </c>
      <c r="T156" s="173">
        <f>'P&amp;L'!O79+'P&amp;L'!O81</f>
        <v>190.87045932817838</v>
      </c>
      <c r="U156" s="173">
        <f>'P&amp;L'!P79+'P&amp;L'!P81</f>
        <v>190.87045932817838</v>
      </c>
      <c r="V156" s="173">
        <f>'P&amp;L'!Q79+'P&amp;L'!Q81</f>
        <v>190.87045932817838</v>
      </c>
      <c r="W156" s="173">
        <f>'P&amp;L'!R79+'P&amp;L'!R81</f>
        <v>190.87045932817838</v>
      </c>
      <c r="X156" s="173">
        <f>'P&amp;L'!S79+'P&amp;L'!S81</f>
        <v>190.87045932817838</v>
      </c>
      <c r="Y156" s="173">
        <f>'P&amp;L'!T79+'P&amp;L'!T81</f>
        <v>190.87045932817838</v>
      </c>
      <c r="Z156" s="173">
        <f>'P&amp;L'!U79+'P&amp;L'!U81</f>
        <v>190.87045932817838</v>
      </c>
      <c r="AA156" s="173">
        <f>'P&amp;L'!V79+'P&amp;L'!V81</f>
        <v>190.87045932817838</v>
      </c>
      <c r="AB156" s="173">
        <f>'P&amp;L'!W79+'P&amp;L'!W81</f>
        <v>190.87045932817838</v>
      </c>
      <c r="AC156" s="173">
        <f>'P&amp;L'!X79+'P&amp;L'!X81</f>
        <v>190.87045932817838</v>
      </c>
    </row>
    <row r="157" spans="3:29">
      <c r="C157" s="928" t="s">
        <v>204</v>
      </c>
      <c r="D157" s="91"/>
      <c r="E157" s="174"/>
      <c r="F157" s="174"/>
      <c r="G157" s="174"/>
      <c r="H157" s="182"/>
      <c r="I157" s="173"/>
      <c r="J157" s="173"/>
      <c r="K157" s="1033"/>
      <c r="L157" s="242"/>
      <c r="M157" s="173"/>
      <c r="N157" s="173"/>
      <c r="O157" s="173"/>
      <c r="P157" s="173"/>
      <c r="Q157" s="173"/>
      <c r="R157" s="173"/>
      <c r="S157" s="173"/>
      <c r="T157" s="173"/>
      <c r="U157" s="173"/>
      <c r="V157" s="173"/>
      <c r="W157" s="173"/>
      <c r="X157" s="173"/>
      <c r="Y157" s="173"/>
      <c r="Z157" s="173"/>
      <c r="AA157" s="173"/>
      <c r="AB157" s="173"/>
      <c r="AC157" s="173"/>
    </row>
    <row r="158" spans="3:29">
      <c r="C158" s="927" t="s">
        <v>197</v>
      </c>
      <c r="D158" s="91">
        <v>712</v>
      </c>
      <c r="E158" s="174">
        <v>540</v>
      </c>
      <c r="F158" s="174">
        <v>181</v>
      </c>
      <c r="G158" s="174">
        <v>217</v>
      </c>
      <c r="H158" s="182">
        <v>139</v>
      </c>
      <c r="I158" s="173">
        <v>0</v>
      </c>
      <c r="J158" s="173">
        <v>0</v>
      </c>
      <c r="K158" s="1033">
        <v>0</v>
      </c>
      <c r="L158" s="242">
        <v>0</v>
      </c>
      <c r="M158" s="173">
        <v>0</v>
      </c>
      <c r="N158" s="173">
        <v>0</v>
      </c>
      <c r="O158" s="173">
        <v>0</v>
      </c>
      <c r="P158" s="173">
        <v>0</v>
      </c>
      <c r="Q158" s="173">
        <v>0</v>
      </c>
      <c r="R158" s="173">
        <v>0</v>
      </c>
      <c r="S158" s="173">
        <v>0</v>
      </c>
      <c r="T158" s="173">
        <v>0</v>
      </c>
      <c r="U158" s="173">
        <v>0</v>
      </c>
      <c r="V158" s="173">
        <v>0</v>
      </c>
      <c r="W158" s="173">
        <v>0</v>
      </c>
      <c r="X158" s="173">
        <v>0</v>
      </c>
      <c r="Y158" s="173">
        <v>0</v>
      </c>
      <c r="Z158" s="173">
        <v>0</v>
      </c>
      <c r="AA158" s="173">
        <v>0</v>
      </c>
      <c r="AB158" s="173">
        <v>0</v>
      </c>
      <c r="AC158" s="173">
        <v>0</v>
      </c>
    </row>
    <row r="159" spans="3:29">
      <c r="C159" s="927" t="s">
        <v>206</v>
      </c>
      <c r="D159" s="91">
        <v>75</v>
      </c>
      <c r="E159" s="174">
        <v>90</v>
      </c>
      <c r="F159" s="174">
        <v>78.67</v>
      </c>
      <c r="G159" s="174">
        <v>85</v>
      </c>
      <c r="H159" s="182">
        <v>46</v>
      </c>
      <c r="I159" s="173">
        <v>0</v>
      </c>
      <c r="J159" s="173">
        <v>0</v>
      </c>
      <c r="K159" s="1033">
        <v>0</v>
      </c>
      <c r="L159" s="242">
        <v>0</v>
      </c>
      <c r="M159" s="173">
        <v>0</v>
      </c>
      <c r="N159" s="173">
        <v>0</v>
      </c>
      <c r="O159" s="173">
        <v>0</v>
      </c>
      <c r="P159" s="173">
        <v>0</v>
      </c>
      <c r="Q159" s="173">
        <v>0</v>
      </c>
      <c r="R159" s="173">
        <v>0</v>
      </c>
      <c r="S159" s="173">
        <v>0</v>
      </c>
      <c r="T159" s="173">
        <v>0</v>
      </c>
      <c r="U159" s="173">
        <v>0</v>
      </c>
      <c r="V159" s="173">
        <v>0</v>
      </c>
      <c r="W159" s="173">
        <v>0</v>
      </c>
      <c r="X159" s="173">
        <v>0</v>
      </c>
      <c r="Y159" s="173">
        <v>0</v>
      </c>
      <c r="Z159" s="173">
        <v>0</v>
      </c>
      <c r="AA159" s="173">
        <v>0</v>
      </c>
      <c r="AB159" s="173">
        <v>0</v>
      </c>
      <c r="AC159" s="173">
        <v>0</v>
      </c>
    </row>
    <row r="160" spans="3:29">
      <c r="C160" s="927" t="s">
        <v>41</v>
      </c>
      <c r="D160" s="91">
        <v>12</v>
      </c>
      <c r="E160" s="174">
        <v>38</v>
      </c>
      <c r="F160" s="174">
        <v>15.28</v>
      </c>
      <c r="G160" s="174">
        <v>16</v>
      </c>
      <c r="H160" s="182">
        <v>9</v>
      </c>
      <c r="I160" s="173">
        <v>0</v>
      </c>
      <c r="J160" s="173">
        <v>0</v>
      </c>
      <c r="K160" s="1033">
        <v>0</v>
      </c>
      <c r="L160" s="242">
        <v>0</v>
      </c>
      <c r="M160" s="173">
        <v>0</v>
      </c>
      <c r="N160" s="173">
        <v>0</v>
      </c>
      <c r="O160" s="173">
        <v>0</v>
      </c>
      <c r="P160" s="173">
        <v>0</v>
      </c>
      <c r="Q160" s="173">
        <v>0</v>
      </c>
      <c r="R160" s="173">
        <v>0</v>
      </c>
      <c r="S160" s="173">
        <v>0</v>
      </c>
      <c r="T160" s="173">
        <v>0</v>
      </c>
      <c r="U160" s="173">
        <v>0</v>
      </c>
      <c r="V160" s="173">
        <v>0</v>
      </c>
      <c r="W160" s="173">
        <v>0</v>
      </c>
      <c r="X160" s="173">
        <v>0</v>
      </c>
      <c r="Y160" s="173">
        <v>0</v>
      </c>
      <c r="Z160" s="173">
        <v>0</v>
      </c>
      <c r="AA160" s="173">
        <v>0</v>
      </c>
      <c r="AB160" s="173">
        <v>0</v>
      </c>
      <c r="AC160" s="173">
        <v>0</v>
      </c>
    </row>
    <row r="161" spans="1:29">
      <c r="C161" s="927" t="s">
        <v>171</v>
      </c>
      <c r="D161" s="91">
        <v>267</v>
      </c>
      <c r="E161" s="174">
        <v>241</v>
      </c>
      <c r="F161" s="174">
        <f>108.15+78.21</f>
        <v>186.36</v>
      </c>
      <c r="G161" s="174">
        <v>140</v>
      </c>
      <c r="H161" s="182">
        <v>65</v>
      </c>
      <c r="I161" s="173">
        <v>0</v>
      </c>
      <c r="J161" s="173">
        <v>0</v>
      </c>
      <c r="K161" s="1033">
        <v>0</v>
      </c>
      <c r="L161" s="242">
        <v>0</v>
      </c>
      <c r="M161" s="173">
        <v>0</v>
      </c>
      <c r="N161" s="173">
        <v>0</v>
      </c>
      <c r="O161" s="173">
        <v>0</v>
      </c>
      <c r="P161" s="173">
        <v>0</v>
      </c>
      <c r="Q161" s="173">
        <v>0</v>
      </c>
      <c r="R161" s="173">
        <v>0</v>
      </c>
      <c r="S161" s="173">
        <v>0</v>
      </c>
      <c r="T161" s="173">
        <v>0</v>
      </c>
      <c r="U161" s="173">
        <v>0</v>
      </c>
      <c r="V161" s="173">
        <v>0</v>
      </c>
      <c r="W161" s="173">
        <v>0</v>
      </c>
      <c r="X161" s="173">
        <v>0</v>
      </c>
      <c r="Y161" s="173">
        <v>0</v>
      </c>
      <c r="Z161" s="173">
        <v>0</v>
      </c>
      <c r="AA161" s="173">
        <v>0</v>
      </c>
      <c r="AB161" s="173">
        <v>0</v>
      </c>
      <c r="AC161" s="173">
        <v>0</v>
      </c>
    </row>
    <row r="162" spans="1:29">
      <c r="C162" s="928" t="s">
        <v>230</v>
      </c>
      <c r="D162" s="91"/>
      <c r="E162" s="174">
        <v>-60.08</v>
      </c>
      <c r="F162" s="174">
        <v>13.09</v>
      </c>
      <c r="G162" s="174">
        <v>66.040000000000006</v>
      </c>
      <c r="H162" s="182">
        <v>35.479999999999997</v>
      </c>
      <c r="I162" s="173">
        <v>0</v>
      </c>
      <c r="J162" s="173">
        <v>0</v>
      </c>
      <c r="K162" s="1033">
        <v>0</v>
      </c>
      <c r="L162" s="242">
        <v>0</v>
      </c>
      <c r="M162" s="173">
        <v>0</v>
      </c>
      <c r="N162" s="173">
        <v>0</v>
      </c>
      <c r="O162" s="173">
        <v>0</v>
      </c>
      <c r="P162" s="173">
        <v>0</v>
      </c>
      <c r="Q162" s="173">
        <v>0</v>
      </c>
      <c r="R162" s="173">
        <v>0</v>
      </c>
      <c r="S162" s="173">
        <v>0</v>
      </c>
      <c r="T162" s="173">
        <v>0</v>
      </c>
      <c r="U162" s="173">
        <v>0</v>
      </c>
      <c r="V162" s="173">
        <v>0</v>
      </c>
      <c r="W162" s="173">
        <v>0</v>
      </c>
      <c r="X162" s="173">
        <v>0</v>
      </c>
      <c r="Y162" s="173">
        <v>0</v>
      </c>
      <c r="Z162" s="173">
        <v>0</v>
      </c>
      <c r="AA162" s="173">
        <v>0</v>
      </c>
      <c r="AB162" s="173">
        <v>0</v>
      </c>
      <c r="AC162" s="173">
        <v>0</v>
      </c>
    </row>
    <row r="163" spans="1:29">
      <c r="C163" s="928" t="s">
        <v>229</v>
      </c>
      <c r="D163" s="91"/>
      <c r="E163" s="174">
        <v>864</v>
      </c>
      <c r="F163" s="174">
        <v>840.68</v>
      </c>
      <c r="G163" s="174">
        <v>1002.42</v>
      </c>
      <c r="H163" s="182">
        <v>599.94000000000005</v>
      </c>
      <c r="I163" s="173">
        <f>'P&amp;L'!D80</f>
        <v>701.2</v>
      </c>
      <c r="J163" s="173">
        <f>'P&amp;L'!E80</f>
        <v>587.48779999999999</v>
      </c>
      <c r="K163" s="1033">
        <f>'P&amp;L'!F80</f>
        <v>1226.8576</v>
      </c>
      <c r="L163" s="242">
        <f>'P&amp;L'!G80</f>
        <v>1659.4464151346347</v>
      </c>
      <c r="M163" s="173">
        <f>'P&amp;L'!H80</f>
        <v>1668.7660238911199</v>
      </c>
      <c r="N163" s="173">
        <f>'P&amp;L'!I80</f>
        <v>1696.4107714336251</v>
      </c>
      <c r="O163" s="173">
        <f>'P&amp;L'!J80</f>
        <v>1745.6710312887044</v>
      </c>
      <c r="P163" s="173">
        <f>'P&amp;L'!K80</f>
        <v>1745.8221984281781</v>
      </c>
      <c r="Q163" s="173">
        <f>'P&amp;L'!L80</f>
        <v>1745.9733655676519</v>
      </c>
      <c r="R163" s="173">
        <f>'P&amp;L'!M80</f>
        <v>1745.9733655676519</v>
      </c>
      <c r="S163" s="173">
        <f>'P&amp;L'!N80</f>
        <v>1745.9733655676519</v>
      </c>
      <c r="T163" s="173">
        <f>'P&amp;L'!O80</f>
        <v>1745.9733655676519</v>
      </c>
      <c r="U163" s="173">
        <f>'P&amp;L'!P80</f>
        <v>1745.9733655676519</v>
      </c>
      <c r="V163" s="173">
        <f>'P&amp;L'!Q80</f>
        <v>1745.9733655676519</v>
      </c>
      <c r="W163" s="173">
        <f>'P&amp;L'!R80</f>
        <v>1745.9733655676519</v>
      </c>
      <c r="X163" s="173">
        <f>'P&amp;L'!S80</f>
        <v>1745.9733655676519</v>
      </c>
      <c r="Y163" s="173">
        <f>'P&amp;L'!T80</f>
        <v>1745.9733655676519</v>
      </c>
      <c r="Z163" s="173">
        <f>'P&amp;L'!U80</f>
        <v>1745.9733655676519</v>
      </c>
      <c r="AA163" s="173">
        <f>'P&amp;L'!V80</f>
        <v>1745.9733655676519</v>
      </c>
      <c r="AB163" s="173">
        <f>'P&amp;L'!W80</f>
        <v>1745.9733655676519</v>
      </c>
      <c r="AC163" s="173">
        <f>'P&amp;L'!X80</f>
        <v>1745.9733655676519</v>
      </c>
    </row>
    <row r="164" spans="1:29">
      <c r="C164" s="928" t="s">
        <v>84</v>
      </c>
      <c r="D164" s="91"/>
      <c r="E164" s="192"/>
      <c r="F164" s="951"/>
      <c r="G164" s="951"/>
      <c r="H164" s="951"/>
      <c r="I164" s="951"/>
      <c r="J164" s="951"/>
      <c r="K164" s="1036"/>
      <c r="L164" s="1053"/>
      <c r="M164" s="951"/>
      <c r="N164" s="951"/>
      <c r="O164" s="951"/>
      <c r="P164" s="951"/>
      <c r="Q164" s="951"/>
      <c r="R164" s="951"/>
      <c r="S164" s="173"/>
      <c r="T164" s="173"/>
      <c r="U164" s="173"/>
      <c r="V164" s="173"/>
      <c r="W164" s="173"/>
      <c r="X164" s="173"/>
      <c r="Y164" s="173"/>
      <c r="Z164" s="173"/>
      <c r="AA164" s="173"/>
      <c r="AB164" s="173"/>
      <c r="AC164" s="173"/>
    </row>
    <row r="165" spans="1:29">
      <c r="C165" s="927" t="s">
        <v>210</v>
      </c>
      <c r="D165" s="91">
        <v>138</v>
      </c>
      <c r="E165" s="174">
        <v>147</v>
      </c>
      <c r="F165" s="174">
        <v>154</v>
      </c>
      <c r="G165" s="174">
        <v>173.5</v>
      </c>
      <c r="H165" s="174">
        <v>157</v>
      </c>
      <c r="I165" s="173">
        <f>'P&amp;L'!D83</f>
        <v>105.327</v>
      </c>
      <c r="J165" s="173">
        <f>'P&amp;L'!E83</f>
        <v>96.795199999999994</v>
      </c>
      <c r="K165" s="1033">
        <f>'P&amp;L'!F83</f>
        <v>94.402600000000007</v>
      </c>
      <c r="L165" s="242">
        <f>'P&amp;L'!G83</f>
        <v>173.51</v>
      </c>
      <c r="M165" s="173">
        <f>'P&amp;L'!H83</f>
        <v>186.52324999999999</v>
      </c>
      <c r="N165" s="173">
        <f>'P&amp;L'!I83</f>
        <v>200.51249374999998</v>
      </c>
      <c r="O165" s="173">
        <f>'P&amp;L'!J83</f>
        <v>215.55093078124997</v>
      </c>
      <c r="P165" s="173">
        <f>'P&amp;L'!K83</f>
        <v>231.7172505898437</v>
      </c>
      <c r="Q165" s="173">
        <f>'P&amp;L'!L83</f>
        <v>249.09604438408198</v>
      </c>
      <c r="R165" s="173">
        <f>'P&amp;L'!M83</f>
        <v>267.77824771288812</v>
      </c>
      <c r="S165" s="173">
        <f>'P&amp;L'!N83</f>
        <v>287.86161629135472</v>
      </c>
      <c r="T165" s="173">
        <f>'P&amp;L'!O83</f>
        <v>309.45123751320631</v>
      </c>
      <c r="U165" s="173">
        <f>'P&amp;L'!P83</f>
        <v>332.66008032669674</v>
      </c>
      <c r="V165" s="173">
        <f>'P&amp;L'!Q83</f>
        <v>357.60958635119897</v>
      </c>
      <c r="W165" s="173">
        <f>'P&amp;L'!R83</f>
        <v>384.43030532753886</v>
      </c>
      <c r="X165" s="173">
        <f>'P&amp;L'!S83</f>
        <v>413.26257822710426</v>
      </c>
      <c r="Y165" s="173">
        <f>'P&amp;L'!T83</f>
        <v>444.25727159413708</v>
      </c>
      <c r="Z165" s="173">
        <f>'P&amp;L'!U83</f>
        <v>477.57656696369736</v>
      </c>
      <c r="AA165" s="173">
        <f>'P&amp;L'!V83</f>
        <v>513.39480948597463</v>
      </c>
      <c r="AB165" s="173">
        <f>'P&amp;L'!W83</f>
        <v>551.89942019742273</v>
      </c>
      <c r="AC165" s="173">
        <f>'P&amp;L'!X83</f>
        <v>593.2918767122294</v>
      </c>
    </row>
    <row r="166" spans="1:29">
      <c r="C166" s="927" t="s">
        <v>209</v>
      </c>
      <c r="D166" s="91">
        <v>148</v>
      </c>
      <c r="E166" s="174">
        <f>497+10.97</f>
        <v>507.97</v>
      </c>
      <c r="F166" s="174">
        <f>340+14.39</f>
        <v>354.39</v>
      </c>
      <c r="G166" s="174">
        <f>365+8.82</f>
        <v>373.82</v>
      </c>
      <c r="H166" s="174">
        <f>153+11.1</f>
        <v>164.1</v>
      </c>
      <c r="I166" s="173">
        <f>'P&amp;L'!D84</f>
        <v>101.306</v>
      </c>
      <c r="J166" s="173">
        <f>'P&amp;L'!E84</f>
        <v>101.0568</v>
      </c>
      <c r="K166" s="1033">
        <f>'P&amp;L'!F84</f>
        <v>121.8061</v>
      </c>
      <c r="L166" s="242">
        <f>'P&amp;L'!G84</f>
        <v>198.84647249418734</v>
      </c>
      <c r="M166" s="173">
        <f>'P&amp;L'!H84</f>
        <v>200.92292159302482</v>
      </c>
      <c r="N166" s="173">
        <f>'P&amp;L'!I84</f>
        <v>219.84167519186232</v>
      </c>
      <c r="O166" s="173">
        <f>'P&amp;L'!J84</f>
        <v>231.77421879069976</v>
      </c>
      <c r="P166" s="173">
        <f>'P&amp;L'!K84</f>
        <v>232.15137238953724</v>
      </c>
      <c r="Q166" s="173">
        <f>'P&amp;L'!L84</f>
        <v>232.52852598837472</v>
      </c>
      <c r="R166" s="173">
        <f>'P&amp;L'!M84</f>
        <v>232.52852598837472</v>
      </c>
      <c r="S166" s="173">
        <f>'P&amp;L'!N84</f>
        <v>232.52852598837472</v>
      </c>
      <c r="T166" s="173">
        <f>'P&amp;L'!O84</f>
        <v>232.52852598837472</v>
      </c>
      <c r="U166" s="173">
        <f>'P&amp;L'!P84</f>
        <v>232.52852598837472</v>
      </c>
      <c r="V166" s="173">
        <f>'P&amp;L'!Q84</f>
        <v>232.52852598837472</v>
      </c>
      <c r="W166" s="173">
        <f>'P&amp;L'!R84</f>
        <v>232.52852598837472</v>
      </c>
      <c r="X166" s="173">
        <f>'P&amp;L'!S84</f>
        <v>232.52852598837472</v>
      </c>
      <c r="Y166" s="173">
        <f>'P&amp;L'!T84</f>
        <v>232.52852598837472</v>
      </c>
      <c r="Z166" s="173">
        <f>'P&amp;L'!U84</f>
        <v>232.52852598837472</v>
      </c>
      <c r="AA166" s="173">
        <f>'P&amp;L'!V84</f>
        <v>232.52852598837472</v>
      </c>
      <c r="AB166" s="173">
        <f>'P&amp;L'!W84</f>
        <v>232.52852598837472</v>
      </c>
      <c r="AC166" s="173">
        <f>'P&amp;L'!X84</f>
        <v>232.52852598837472</v>
      </c>
    </row>
    <row r="167" spans="1:29">
      <c r="C167" s="927" t="s">
        <v>401</v>
      </c>
      <c r="D167" s="91"/>
      <c r="E167" s="174"/>
      <c r="F167" s="174"/>
      <c r="G167" s="174"/>
      <c r="H167" s="174"/>
      <c r="I167" s="173">
        <v>7.67</v>
      </c>
      <c r="J167" s="173">
        <v>8.6710999999999991</v>
      </c>
      <c r="K167" s="1033">
        <v>12.874599999999999</v>
      </c>
      <c r="L167" s="242">
        <f>30*1</f>
        <v>30</v>
      </c>
      <c r="M167" s="1005">
        <f>30*1</f>
        <v>30</v>
      </c>
      <c r="N167" s="939">
        <v>18.149999999999999</v>
      </c>
      <c r="O167" s="939">
        <v>17.350000000000001</v>
      </c>
      <c r="P167" s="939">
        <v>17.75</v>
      </c>
      <c r="Q167" s="939">
        <v>17.75</v>
      </c>
      <c r="R167" s="939">
        <v>17.75</v>
      </c>
      <c r="S167" s="939">
        <v>17.75</v>
      </c>
      <c r="T167" s="939">
        <v>17.75</v>
      </c>
      <c r="U167" s="939">
        <v>17.75</v>
      </c>
      <c r="V167" s="939">
        <v>17.75</v>
      </c>
      <c r="W167" s="939">
        <v>17.75</v>
      </c>
      <c r="X167" s="939">
        <v>17.75</v>
      </c>
      <c r="Y167" s="939">
        <v>17.75</v>
      </c>
      <c r="Z167" s="939">
        <v>17.75</v>
      </c>
      <c r="AA167" s="939">
        <v>17.75</v>
      </c>
      <c r="AB167" s="939">
        <v>17.75</v>
      </c>
      <c r="AC167" s="939">
        <v>17.75</v>
      </c>
    </row>
    <row r="168" spans="1:29">
      <c r="C168" s="927" t="s">
        <v>610</v>
      </c>
      <c r="D168" s="91"/>
      <c r="E168" s="174"/>
      <c r="F168" s="174"/>
      <c r="G168" s="174"/>
      <c r="H168" s="174"/>
      <c r="I168" s="173"/>
      <c r="J168" s="173"/>
      <c r="K168" s="1033"/>
      <c r="L168" s="242">
        <f>((139+87.5+395)*0.3+45)</f>
        <v>231.45</v>
      </c>
      <c r="M168" s="1005">
        <f>((139+87.5+395)*0.4+45)</f>
        <v>293.60000000000002</v>
      </c>
      <c r="N168" s="1005">
        <f>(139+87.5+395)*0.3</f>
        <v>186.45</v>
      </c>
      <c r="O168" s="939">
        <f t="shared" ref="O168:AC168" si="85">O229*0</f>
        <v>0</v>
      </c>
      <c r="P168" s="939">
        <f t="shared" si="85"/>
        <v>0</v>
      </c>
      <c r="Q168" s="939">
        <f t="shared" si="85"/>
        <v>0</v>
      </c>
      <c r="R168" s="939">
        <f t="shared" si="85"/>
        <v>0</v>
      </c>
      <c r="S168" s="939">
        <f t="shared" si="85"/>
        <v>0</v>
      </c>
      <c r="T168" s="939">
        <f t="shared" si="85"/>
        <v>0</v>
      </c>
      <c r="U168" s="939">
        <f t="shared" si="85"/>
        <v>0</v>
      </c>
      <c r="V168" s="939">
        <f t="shared" si="85"/>
        <v>0</v>
      </c>
      <c r="W168" s="939">
        <f t="shared" si="85"/>
        <v>0</v>
      </c>
      <c r="X168" s="939">
        <f t="shared" si="85"/>
        <v>0</v>
      </c>
      <c r="Y168" s="939">
        <f t="shared" si="85"/>
        <v>0</v>
      </c>
      <c r="Z168" s="939">
        <f t="shared" si="85"/>
        <v>0</v>
      </c>
      <c r="AA168" s="939">
        <f t="shared" si="85"/>
        <v>0</v>
      </c>
      <c r="AB168" s="939">
        <f t="shared" si="85"/>
        <v>0</v>
      </c>
      <c r="AC168" s="939">
        <f t="shared" si="85"/>
        <v>0</v>
      </c>
    </row>
    <row r="169" spans="1:29">
      <c r="C169" s="927" t="s">
        <v>399</v>
      </c>
      <c r="D169" s="91"/>
      <c r="E169" s="174"/>
      <c r="F169" s="174"/>
      <c r="G169" s="174"/>
      <c r="H169" s="174"/>
      <c r="I169" s="173">
        <v>5.08</v>
      </c>
      <c r="J169" s="173">
        <v>6.25</v>
      </c>
      <c r="K169" s="1033">
        <v>7.5987</v>
      </c>
      <c r="L169" s="242">
        <v>11</v>
      </c>
      <c r="M169" s="939">
        <v>11</v>
      </c>
      <c r="N169" s="939">
        <v>11</v>
      </c>
      <c r="O169" s="939">
        <v>11</v>
      </c>
      <c r="P169" s="939">
        <v>11</v>
      </c>
      <c r="Q169" s="939">
        <v>11</v>
      </c>
      <c r="R169" s="939">
        <v>11</v>
      </c>
      <c r="S169" s="939">
        <v>11</v>
      </c>
      <c r="T169" s="939">
        <v>11</v>
      </c>
      <c r="U169" s="939">
        <v>11</v>
      </c>
      <c r="V169" s="939">
        <v>11</v>
      </c>
      <c r="W169" s="939">
        <v>11</v>
      </c>
      <c r="X169" s="939">
        <v>11</v>
      </c>
      <c r="Y169" s="939">
        <v>11</v>
      </c>
      <c r="Z169" s="939">
        <v>11</v>
      </c>
      <c r="AA169" s="939">
        <v>11</v>
      </c>
      <c r="AB169" s="939">
        <v>11</v>
      </c>
      <c r="AC169" s="939">
        <v>11</v>
      </c>
    </row>
    <row r="170" spans="1:29">
      <c r="C170" s="927" t="s">
        <v>400</v>
      </c>
      <c r="D170" s="91"/>
      <c r="E170" s="174"/>
      <c r="F170" s="174"/>
      <c r="G170" s="174"/>
      <c r="H170" s="174"/>
      <c r="I170" s="173">
        <v>0</v>
      </c>
      <c r="J170" s="173">
        <v>0</v>
      </c>
      <c r="K170" s="1033">
        <v>12.0442</v>
      </c>
      <c r="L170" s="242">
        <v>16.100000000000001</v>
      </c>
      <c r="M170" s="939">
        <v>8.9499999999999993</v>
      </c>
      <c r="N170" s="939">
        <v>7.45</v>
      </c>
      <c r="O170" s="939">
        <v>7.1</v>
      </c>
      <c r="P170" s="939">
        <v>3.1</v>
      </c>
      <c r="Q170" s="939">
        <v>7.2</v>
      </c>
      <c r="R170" s="939">
        <v>4.45</v>
      </c>
      <c r="S170" s="939">
        <v>3.35</v>
      </c>
      <c r="T170" s="939">
        <v>9.35</v>
      </c>
      <c r="U170" s="939">
        <v>15.7</v>
      </c>
      <c r="V170" s="939">
        <v>2.7</v>
      </c>
      <c r="W170" s="939">
        <v>5.3</v>
      </c>
      <c r="X170" s="939">
        <v>5.8</v>
      </c>
      <c r="Y170" s="939">
        <v>0.45</v>
      </c>
      <c r="Z170" s="939">
        <v>6.95</v>
      </c>
      <c r="AA170" s="939">
        <v>0.85</v>
      </c>
      <c r="AB170" s="939">
        <v>0.85</v>
      </c>
      <c r="AC170" s="939">
        <v>0.45</v>
      </c>
    </row>
    <row r="171" spans="1:29">
      <c r="C171" s="927"/>
      <c r="D171" s="91"/>
      <c r="E171" s="174"/>
      <c r="F171" s="174"/>
      <c r="G171" s="174"/>
      <c r="H171" s="174"/>
      <c r="I171" s="173"/>
      <c r="J171" s="173"/>
      <c r="K171" s="1033"/>
      <c r="L171" s="242"/>
      <c r="M171" s="173"/>
      <c r="N171" s="173"/>
      <c r="O171" s="173"/>
      <c r="P171" s="173"/>
      <c r="Q171" s="173"/>
      <c r="R171" s="173"/>
      <c r="S171" s="173"/>
      <c r="T171" s="173"/>
      <c r="U171" s="173"/>
      <c r="V171" s="173"/>
      <c r="W171" s="173"/>
      <c r="X171" s="173"/>
      <c r="Y171" s="173"/>
      <c r="Z171" s="173"/>
      <c r="AA171" s="173"/>
      <c r="AB171" s="173"/>
      <c r="AC171" s="173"/>
    </row>
    <row r="172" spans="1:29">
      <c r="C172" s="927" t="s">
        <v>84</v>
      </c>
      <c r="D172" s="91">
        <f>323-D166</f>
        <v>175</v>
      </c>
      <c r="E172" s="174">
        <f>691-E166</f>
        <v>183.02999999999997</v>
      </c>
      <c r="F172" s="174">
        <f>521-F166</f>
        <v>166.61</v>
      </c>
      <c r="G172" s="174">
        <f>513.44-G166</f>
        <v>139.62000000000006</v>
      </c>
      <c r="H172" s="174">
        <f>317-H166</f>
        <v>152.9</v>
      </c>
      <c r="I172" s="173">
        <f>'P&amp;L'!D85-I167-I169-I170</f>
        <v>107.02639999999995</v>
      </c>
      <c r="J172" s="173">
        <f>'P&amp;L'!E85-J167-J169-J170</f>
        <v>102.18517810000002</v>
      </c>
      <c r="K172" s="1033">
        <f>'P&amp;L'!F85-K167-K169-K170</f>
        <v>63.749457332999953</v>
      </c>
      <c r="L172" s="242">
        <f>89.74</f>
        <v>89.74</v>
      </c>
      <c r="M172" s="939">
        <f>L172*1.07</f>
        <v>96.021799999999999</v>
      </c>
      <c r="N172" s="939">
        <f>M172*1.07</f>
        <v>102.74332600000001</v>
      </c>
      <c r="O172" s="939">
        <f t="shared" ref="O172:AC172" si="86">N172*1.07</f>
        <v>109.93535882000002</v>
      </c>
      <c r="P172" s="939">
        <f t="shared" si="86"/>
        <v>117.63083393740003</v>
      </c>
      <c r="Q172" s="939">
        <f t="shared" si="86"/>
        <v>125.86499231301804</v>
      </c>
      <c r="R172" s="939">
        <f t="shared" si="86"/>
        <v>134.67554177492931</v>
      </c>
      <c r="S172" s="939">
        <f t="shared" si="86"/>
        <v>144.10282969917438</v>
      </c>
      <c r="T172" s="939">
        <f t="shared" si="86"/>
        <v>154.19002777811659</v>
      </c>
      <c r="U172" s="939">
        <f t="shared" si="86"/>
        <v>164.98332972258476</v>
      </c>
      <c r="V172" s="939">
        <f t="shared" si="86"/>
        <v>176.5321628031657</v>
      </c>
      <c r="W172" s="939">
        <f t="shared" si="86"/>
        <v>188.88941419938732</v>
      </c>
      <c r="X172" s="939">
        <f t="shared" si="86"/>
        <v>202.11167319334444</v>
      </c>
      <c r="Y172" s="939">
        <f t="shared" si="86"/>
        <v>216.25949031687855</v>
      </c>
      <c r="Z172" s="939">
        <f t="shared" si="86"/>
        <v>231.39765463906008</v>
      </c>
      <c r="AA172" s="939">
        <f t="shared" si="86"/>
        <v>247.59549046379431</v>
      </c>
      <c r="AB172" s="939">
        <f t="shared" si="86"/>
        <v>264.92717479625992</v>
      </c>
      <c r="AC172" s="939">
        <f t="shared" si="86"/>
        <v>283.47207703199814</v>
      </c>
    </row>
    <row r="173" spans="1:29">
      <c r="C173" s="927" t="s">
        <v>350</v>
      </c>
      <c r="D173" s="91"/>
      <c r="E173" s="174"/>
      <c r="F173" s="174"/>
      <c r="G173" s="174"/>
      <c r="H173" s="174"/>
      <c r="I173" s="173">
        <f>'P&amp;L'!D86</f>
        <v>13.950100000000001</v>
      </c>
      <c r="J173" s="173">
        <f>'P&amp;L'!E86</f>
        <v>2.6711999999999998</v>
      </c>
      <c r="K173" s="1033">
        <f>'P&amp;L'!F86</f>
        <v>1.8167</v>
      </c>
      <c r="L173" s="242">
        <f>'P&amp;L'!G86</f>
        <v>0</v>
      </c>
      <c r="M173" s="173">
        <f>'P&amp;L'!H86</f>
        <v>0</v>
      </c>
      <c r="N173" s="173">
        <f>'P&amp;L'!I86</f>
        <v>0</v>
      </c>
      <c r="O173" s="173">
        <f>'P&amp;L'!J86</f>
        <v>0</v>
      </c>
      <c r="P173" s="173">
        <f>'P&amp;L'!K86</f>
        <v>0</v>
      </c>
      <c r="Q173" s="173">
        <f>'P&amp;L'!L86</f>
        <v>0</v>
      </c>
      <c r="R173" s="173">
        <f>'P&amp;L'!M86</f>
        <v>0</v>
      </c>
      <c r="S173" s="173">
        <f>'P&amp;L'!N86</f>
        <v>0</v>
      </c>
      <c r="T173" s="173">
        <f>'P&amp;L'!O86</f>
        <v>0</v>
      </c>
      <c r="U173" s="173">
        <f>'P&amp;L'!P86</f>
        <v>0</v>
      </c>
      <c r="V173" s="173">
        <f>'P&amp;L'!Q86</f>
        <v>0</v>
      </c>
      <c r="W173" s="173">
        <f>'P&amp;L'!R86</f>
        <v>0</v>
      </c>
      <c r="X173" s="173">
        <f>'P&amp;L'!S86</f>
        <v>0</v>
      </c>
      <c r="Y173" s="173">
        <f>'P&amp;L'!T86</f>
        <v>0</v>
      </c>
      <c r="Z173" s="173">
        <f>'P&amp;L'!U86</f>
        <v>0</v>
      </c>
      <c r="AA173" s="173">
        <f>'P&amp;L'!V86</f>
        <v>0</v>
      </c>
      <c r="AB173" s="173">
        <f>'P&amp;L'!W86</f>
        <v>0</v>
      </c>
      <c r="AC173" s="173">
        <f>'P&amp;L'!X86</f>
        <v>0</v>
      </c>
    </row>
    <row r="174" spans="1:29" ht="25.5">
      <c r="C174" s="927" t="s">
        <v>348</v>
      </c>
      <c r="D174" s="91"/>
      <c r="E174" s="174"/>
      <c r="F174" s="174"/>
      <c r="G174" s="174"/>
      <c r="H174" s="174"/>
      <c r="I174" s="173">
        <f>'P&amp;L'!D87</f>
        <v>6.1771000000000003</v>
      </c>
      <c r="J174" s="173">
        <f>'P&amp;L'!E87</f>
        <v>0.76090000000000002</v>
      </c>
      <c r="K174" s="1033">
        <f>'P&amp;L'!F87</f>
        <v>0</v>
      </c>
      <c r="L174" s="242">
        <f>'P&amp;L'!G87</f>
        <v>4.6880192335497748</v>
      </c>
      <c r="M174" s="173">
        <f>'P&amp;L'!H87</f>
        <v>5.6256230802597296</v>
      </c>
      <c r="N174" s="173">
        <f>'P&amp;L'!I87</f>
        <v>6.5632269269696835</v>
      </c>
      <c r="O174" s="173">
        <f>'P&amp;L'!J87</f>
        <v>7.5008307736796382</v>
      </c>
      <c r="P174" s="173">
        <f>'P&amp;L'!K87</f>
        <v>8.438434620389593</v>
      </c>
      <c r="Q174" s="173">
        <f>'P&amp;L'!L87</f>
        <v>9.3760384670995496</v>
      </c>
      <c r="R174" s="173">
        <f>'P&amp;L'!M87</f>
        <v>9.3760384670995496</v>
      </c>
      <c r="S174" s="173">
        <f>'P&amp;L'!N87</f>
        <v>9.3760384670995496</v>
      </c>
      <c r="T174" s="173">
        <f>'P&amp;L'!O87</f>
        <v>9.3760384670995496</v>
      </c>
      <c r="U174" s="173">
        <f>'P&amp;L'!P87</f>
        <v>9.3760384670995496</v>
      </c>
      <c r="V174" s="173">
        <f>'P&amp;L'!Q87</f>
        <v>9.3760384670995496</v>
      </c>
      <c r="W174" s="173">
        <f>'P&amp;L'!R87</f>
        <v>9.3760384670995496</v>
      </c>
      <c r="X174" s="173">
        <f>'P&amp;L'!S87</f>
        <v>9.3760384670995496</v>
      </c>
      <c r="Y174" s="173">
        <f>'P&amp;L'!T87</f>
        <v>9.3760384670995496</v>
      </c>
      <c r="Z174" s="173">
        <f>'P&amp;L'!U87</f>
        <v>9.3760384670995496</v>
      </c>
      <c r="AA174" s="173">
        <f>'P&amp;L'!V87</f>
        <v>9.3760384670995496</v>
      </c>
      <c r="AB174" s="173">
        <f>'P&amp;L'!W87</f>
        <v>9.3760384670995496</v>
      </c>
      <c r="AC174" s="173">
        <f>'P&amp;L'!X87</f>
        <v>9.3760384670995496</v>
      </c>
    </row>
    <row r="175" spans="1:29" ht="12" customHeight="1">
      <c r="C175" s="927" t="s">
        <v>231</v>
      </c>
      <c r="D175" s="91"/>
      <c r="E175" s="174">
        <v>7.79</v>
      </c>
      <c r="F175" s="174">
        <v>8.7899999999999991</v>
      </c>
      <c r="G175" s="174">
        <v>2.2799999999999998</v>
      </c>
      <c r="H175" s="174">
        <v>0</v>
      </c>
      <c r="I175" s="173">
        <v>0</v>
      </c>
      <c r="J175" s="173">
        <v>0</v>
      </c>
      <c r="K175" s="1033">
        <v>0</v>
      </c>
      <c r="L175" s="242">
        <v>0</v>
      </c>
      <c r="M175" s="173">
        <v>0</v>
      </c>
      <c r="N175" s="173">
        <v>0</v>
      </c>
      <c r="O175" s="173">
        <v>0</v>
      </c>
      <c r="P175" s="173">
        <v>0</v>
      </c>
      <c r="Q175" s="173">
        <v>0</v>
      </c>
      <c r="R175" s="173">
        <v>0</v>
      </c>
      <c r="S175" s="173">
        <v>0</v>
      </c>
      <c r="T175" s="173">
        <v>0</v>
      </c>
      <c r="U175" s="173">
        <v>0</v>
      </c>
      <c r="V175" s="173">
        <v>0</v>
      </c>
      <c r="W175" s="173">
        <v>0</v>
      </c>
      <c r="X175" s="173">
        <v>0</v>
      </c>
      <c r="Y175" s="173">
        <v>0</v>
      </c>
      <c r="Z175" s="173">
        <v>0</v>
      </c>
      <c r="AA175" s="173">
        <v>0</v>
      </c>
      <c r="AB175" s="173">
        <v>0</v>
      </c>
      <c r="AC175" s="173">
        <v>0</v>
      </c>
    </row>
    <row r="176" spans="1:29" s="26" customFormat="1">
      <c r="A176" s="22"/>
      <c r="B176" s="22"/>
      <c r="C176" s="928" t="s">
        <v>85</v>
      </c>
      <c r="D176" s="193">
        <f t="shared" ref="D176:AC176" si="87">D150-SUM(D154:D175)+D151</f>
        <v>433</v>
      </c>
      <c r="E176" s="193">
        <f t="shared" si="87"/>
        <v>296.83999999999986</v>
      </c>
      <c r="F176" s="193">
        <f t="shared" si="87"/>
        <v>256.40000000000055</v>
      </c>
      <c r="G176" s="193">
        <f t="shared" si="87"/>
        <v>372.17999999999961</v>
      </c>
      <c r="H176" s="193">
        <f t="shared" si="87"/>
        <v>-110.66250000000016</v>
      </c>
      <c r="I176" s="189">
        <f t="shared" si="87"/>
        <v>-94.855400000000287</v>
      </c>
      <c r="J176" s="189">
        <f t="shared" si="87"/>
        <v>-82.309678100000255</v>
      </c>
      <c r="K176" s="1035">
        <f t="shared" si="87"/>
        <v>-159.19205733299958</v>
      </c>
      <c r="L176" s="1052">
        <f t="shared" si="87"/>
        <v>-411.41867043822509</v>
      </c>
      <c r="M176" s="189">
        <f t="shared" si="87"/>
        <v>-472.82901828711925</v>
      </c>
      <c r="N176" s="189">
        <f t="shared" si="87"/>
        <v>-93.151063384714263</v>
      </c>
      <c r="O176" s="189">
        <f t="shared" si="87"/>
        <v>163.52928850829491</v>
      </c>
      <c r="P176" s="189">
        <f t="shared" si="87"/>
        <v>145.47860087324395</v>
      </c>
      <c r="Q176" s="189">
        <f t="shared" si="87"/>
        <v>117.97675599432975</v>
      </c>
      <c r="R176" s="189">
        <f t="shared" si="87"/>
        <v>93.234003203612218</v>
      </c>
      <c r="S176" s="189">
        <f t="shared" si="87"/>
        <v>64.823346700899918</v>
      </c>
      <c r="T176" s="189">
        <f t="shared" si="87"/>
        <v>27.146527400106116</v>
      </c>
      <c r="U176" s="189">
        <f t="shared" si="87"/>
        <v>-13.205617357851713</v>
      </c>
      <c r="V176" s="189">
        <f t="shared" si="87"/>
        <v>-36.703956462935402</v>
      </c>
      <c r="W176" s="189">
        <f t="shared" si="87"/>
        <v>-78.481926835496353</v>
      </c>
      <c r="X176" s="189">
        <f t="shared" si="87"/>
        <v>-121.03645872901919</v>
      </c>
      <c r="Y176" s="189">
        <f t="shared" si="87"/>
        <v>-160.82896921958539</v>
      </c>
      <c r="Z176" s="189">
        <f t="shared" si="87"/>
        <v>-215.78642891132816</v>
      </c>
      <c r="AA176" s="189">
        <f t="shared" si="87"/>
        <v>-261.70250725833972</v>
      </c>
      <c r="AB176" s="189">
        <f t="shared" si="87"/>
        <v>-317.53880230225383</v>
      </c>
      <c r="AC176" s="189">
        <f t="shared" si="87"/>
        <v>-377.07616105279754</v>
      </c>
    </row>
    <row r="177" spans="3:29">
      <c r="C177" s="927" t="s">
        <v>225</v>
      </c>
      <c r="D177" s="191"/>
      <c r="E177" s="194">
        <v>328.89</v>
      </c>
      <c r="F177" s="194">
        <v>324.89999999999998</v>
      </c>
      <c r="G177" s="194">
        <v>308.20999999999998</v>
      </c>
      <c r="H177" s="194">
        <v>308</v>
      </c>
      <c r="I177" s="173">
        <f>'P&amp;L'!D91</f>
        <v>328.8</v>
      </c>
      <c r="J177" s="173">
        <f>'P&amp;L'!E91</f>
        <v>347.79250000000002</v>
      </c>
      <c r="K177" s="1033">
        <f>'P&amp;L'!F91</f>
        <v>368.92779999999999</v>
      </c>
      <c r="L177" s="242">
        <f>'P&amp;L'!G91</f>
        <v>371.02581251006842</v>
      </c>
      <c r="M177" s="173">
        <f>'P&amp;L'!H91</f>
        <v>400.83515139566168</v>
      </c>
      <c r="N177" s="173">
        <f>'P&amp;L'!I91</f>
        <v>450.00570694977529</v>
      </c>
      <c r="O177" s="173">
        <f>'P&amp;L'!J91</f>
        <v>461.94273381403809</v>
      </c>
      <c r="P177" s="173">
        <f>'P&amp;L'!K91</f>
        <v>444.09343175439653</v>
      </c>
      <c r="Q177" s="173">
        <f>'P&amp;L'!L91</f>
        <v>422.66712969475498</v>
      </c>
      <c r="R177" s="173">
        <f>'P&amp;L'!M91</f>
        <v>401.20512969475499</v>
      </c>
      <c r="S177" s="173">
        <f>'P&amp;L'!N91</f>
        <v>379.743129694755</v>
      </c>
      <c r="T177" s="173">
        <f>'P&amp;L'!O91</f>
        <v>358.28112969475501</v>
      </c>
      <c r="U177" s="173">
        <f>'P&amp;L'!P91</f>
        <v>336.81912969475502</v>
      </c>
      <c r="V177" s="173">
        <f>'P&amp;L'!Q91</f>
        <v>326.08812969475503</v>
      </c>
      <c r="W177" s="173">
        <f>'P&amp;L'!R91</f>
        <v>326.08812969475503</v>
      </c>
      <c r="X177" s="173">
        <f>'P&amp;L'!S91</f>
        <v>326.08812969475503</v>
      </c>
      <c r="Y177" s="173">
        <f>'P&amp;L'!T91</f>
        <v>326.08812969475503</v>
      </c>
      <c r="Z177" s="173">
        <f>'P&amp;L'!U91</f>
        <v>326.08812969475503</v>
      </c>
      <c r="AA177" s="173">
        <f>'P&amp;L'!V91</f>
        <v>326.08812969475503</v>
      </c>
      <c r="AB177" s="173">
        <f>'P&amp;L'!W91</f>
        <v>326.08812969475503</v>
      </c>
      <c r="AC177" s="173">
        <f>'P&amp;L'!X91</f>
        <v>326.08812969475503</v>
      </c>
    </row>
    <row r="178" spans="3:29">
      <c r="C178" s="927" t="s">
        <v>86</v>
      </c>
      <c r="D178" s="191"/>
      <c r="E178" s="194">
        <v>92.65</v>
      </c>
      <c r="F178" s="194">
        <v>89.2</v>
      </c>
      <c r="G178" s="194">
        <v>89.28</v>
      </c>
      <c r="H178" s="194">
        <v>88.83</v>
      </c>
      <c r="I178" s="173">
        <f>'P&amp;L'!D90</f>
        <v>82.1</v>
      </c>
      <c r="J178" s="173">
        <f>'P&amp;L'!E90</f>
        <v>82.238299999999995</v>
      </c>
      <c r="K178" s="1033">
        <f>'P&amp;L'!F90</f>
        <v>82.085099999999997</v>
      </c>
      <c r="L178" s="242">
        <f>'P&amp;L'!G90</f>
        <v>82.933301178000093</v>
      </c>
      <c r="M178" s="173">
        <f>'P&amp;L'!H90</f>
        <v>84.276973689999863</v>
      </c>
      <c r="N178" s="173">
        <f>'P&amp;L'!I90</f>
        <v>87.350333456000087</v>
      </c>
      <c r="O178" s="173">
        <f>'P&amp;L'!J90</f>
        <v>88.305537384000061</v>
      </c>
      <c r="P178" s="173">
        <f>'P&amp;L'!K90</f>
        <v>89.219408989000016</v>
      </c>
      <c r="Q178" s="173">
        <f>'P&amp;L'!L90</f>
        <v>89.941341595000011</v>
      </c>
      <c r="R178" s="173">
        <f>'P&amp;L'!M90</f>
        <v>90.013246444999965</v>
      </c>
      <c r="S178" s="173">
        <f>'P&amp;L'!N90</f>
        <v>84.275668942999999</v>
      </c>
      <c r="T178" s="173">
        <f>'P&amp;L'!O90</f>
        <v>66.568704859999997</v>
      </c>
      <c r="U178" s="173">
        <f>'P&amp;L'!P90</f>
        <v>66.869487808000002</v>
      </c>
      <c r="V178" s="173">
        <f>'P&amp;L'!Q90</f>
        <v>67.440682204999916</v>
      </c>
      <c r="W178" s="173">
        <f>'P&amp;L'!R90</f>
        <v>61.153804808000054</v>
      </c>
      <c r="X178" s="173">
        <f>'P&amp;L'!S90</f>
        <v>35.152293851999886</v>
      </c>
      <c r="Y178" s="173">
        <f>'P&amp;L'!T90</f>
        <v>33.734887232000212</v>
      </c>
      <c r="Z178" s="173">
        <f>'P&amp;L'!U90</f>
        <v>33.567127543999888</v>
      </c>
      <c r="AA178" s="173">
        <f>'P&amp;L'!V90</f>
        <v>34.472994086999904</v>
      </c>
      <c r="AB178" s="173">
        <f>'P&amp;L'!W90</f>
        <v>35.120107088000104</v>
      </c>
      <c r="AC178" s="173">
        <f>'P&amp;L'!X90</f>
        <v>35.605998172999861</v>
      </c>
    </row>
    <row r="179" spans="3:29">
      <c r="C179" s="927" t="s">
        <v>232</v>
      </c>
      <c r="D179" s="191"/>
      <c r="E179" s="194">
        <v>0</v>
      </c>
      <c r="F179" s="194">
        <v>0</v>
      </c>
      <c r="G179" s="194">
        <v>0</v>
      </c>
      <c r="H179" s="194">
        <v>0</v>
      </c>
      <c r="I179" s="173">
        <f>'P&amp;L'!D93</f>
        <v>-33.46</v>
      </c>
      <c r="J179" s="173">
        <f>'P&amp;L'!E93</f>
        <v>103.06</v>
      </c>
      <c r="K179" s="1033">
        <f>'P&amp;L'!F93</f>
        <v>101.2964231</v>
      </c>
      <c r="L179" s="242">
        <f>'P&amp;L'!G93</f>
        <v>0</v>
      </c>
      <c r="M179" s="173">
        <f>'P&amp;L'!H93</f>
        <v>0</v>
      </c>
      <c r="N179" s="173">
        <f>'P&amp;L'!I93</f>
        <v>0</v>
      </c>
      <c r="O179" s="173">
        <f>'P&amp;L'!J93</f>
        <v>0</v>
      </c>
      <c r="P179" s="173">
        <f>'P&amp;L'!K93</f>
        <v>0</v>
      </c>
      <c r="Q179" s="173">
        <f>'P&amp;L'!L93</f>
        <v>0</v>
      </c>
      <c r="R179" s="173">
        <f>'P&amp;L'!M93</f>
        <v>0</v>
      </c>
      <c r="S179" s="173">
        <f>'P&amp;L'!N93</f>
        <v>0</v>
      </c>
      <c r="T179" s="173">
        <f>'P&amp;L'!O93</f>
        <v>0</v>
      </c>
      <c r="U179" s="173">
        <f>'P&amp;L'!P93</f>
        <v>0</v>
      </c>
      <c r="V179" s="173">
        <f>'P&amp;L'!Q93</f>
        <v>0</v>
      </c>
      <c r="W179" s="173">
        <f>'P&amp;L'!R93</f>
        <v>0</v>
      </c>
      <c r="X179" s="173">
        <f>'P&amp;L'!S93</f>
        <v>0</v>
      </c>
      <c r="Y179" s="173">
        <f>'P&amp;L'!T93</f>
        <v>0</v>
      </c>
      <c r="Z179" s="173">
        <f>'P&amp;L'!U93</f>
        <v>0</v>
      </c>
      <c r="AA179" s="173">
        <f>'P&amp;L'!V93</f>
        <v>0</v>
      </c>
      <c r="AB179" s="173">
        <f>'P&amp;L'!W93</f>
        <v>0</v>
      </c>
      <c r="AC179" s="173">
        <f>'P&amp;L'!X93</f>
        <v>0</v>
      </c>
    </row>
    <row r="180" spans="3:29">
      <c r="C180" s="927" t="s">
        <v>233</v>
      </c>
      <c r="D180" s="191"/>
      <c r="E180" s="194">
        <v>-33.79</v>
      </c>
      <c r="F180" s="194">
        <f>-30-6.29</f>
        <v>-36.29</v>
      </c>
      <c r="G180" s="194">
        <f>0.57-5.59</f>
        <v>-5.0199999999999996</v>
      </c>
      <c r="H180" s="194">
        <v>-36.159999999999997</v>
      </c>
      <c r="I180" s="173"/>
      <c r="J180" s="173"/>
      <c r="K180" s="1033"/>
      <c r="L180" s="242">
        <f>Tax!G62</f>
        <v>-14.592873397240357</v>
      </c>
      <c r="M180" s="173">
        <f>Tax!H62</f>
        <v>-9.1699862007935469</v>
      </c>
      <c r="N180" s="173">
        <f>Tax!I62</f>
        <v>-9.935790483440659</v>
      </c>
      <c r="O180" s="173">
        <f>Tax!J62</f>
        <v>-17.432583814114583</v>
      </c>
      <c r="P180" s="173">
        <f>Tax!K62</f>
        <v>-18.431573119552347</v>
      </c>
      <c r="Q180" s="173">
        <f>Tax!L62</f>
        <v>-19.37988370577315</v>
      </c>
      <c r="R180" s="173">
        <f>Tax!M62</f>
        <v>-19.849533420205702</v>
      </c>
      <c r="S180" s="173">
        <f>Tax!N62</f>
        <v>-18.773047353161061</v>
      </c>
      <c r="T180" s="173">
        <f>Tax!O62</f>
        <v>-12.995278000701191</v>
      </c>
      <c r="U180" s="173">
        <f>Tax!P62</f>
        <v>-13.692565234612271</v>
      </c>
      <c r="V180" s="173">
        <f>Tax!Q62</f>
        <v>-14.53128630050508</v>
      </c>
      <c r="W180" s="173">
        <f>Tax!R62</f>
        <v>-12.584003639526518</v>
      </c>
      <c r="X180" s="173">
        <f>Tax!S62</f>
        <v>-3.8409988448717747</v>
      </c>
      <c r="Y180" s="173">
        <f>Tax!T62</f>
        <v>-3.9330223356252811</v>
      </c>
      <c r="Z180" s="173">
        <f>Tax!U62</f>
        <v>-4.0906585120666303</v>
      </c>
      <c r="AA180" s="173">
        <f>Tax!V62</f>
        <v>-4.4694128700956384</v>
      </c>
      <c r="AB180" s="173">
        <f>Tax!W62</f>
        <v>-4.6151965361509939</v>
      </c>
      <c r="AC180" s="173">
        <f>Tax!X62</f>
        <v>-5.0824038318877403</v>
      </c>
    </row>
    <row r="181" spans="3:29">
      <c r="C181" s="927" t="s">
        <v>234</v>
      </c>
      <c r="D181" s="191"/>
      <c r="E181" s="194">
        <v>0</v>
      </c>
      <c r="F181" s="194">
        <v>0</v>
      </c>
      <c r="G181" s="194">
        <v>0</v>
      </c>
      <c r="H181" s="194">
        <v>18.86</v>
      </c>
      <c r="I181" s="173">
        <f>Assumptions!F153</f>
        <v>0</v>
      </c>
      <c r="J181" s="242">
        <f>Assumptions!G153</f>
        <v>0</v>
      </c>
      <c r="K181" s="1033">
        <f>Assumptions!H153*0</f>
        <v>0</v>
      </c>
      <c r="L181" s="242">
        <f>Assumptions!I153</f>
        <v>0</v>
      </c>
      <c r="M181" s="173">
        <f>Assumptions!J153</f>
        <v>0</v>
      </c>
      <c r="N181" s="173">
        <f>Assumptions!K153</f>
        <v>0</v>
      </c>
      <c r="O181" s="173">
        <f>Assumptions!L153</f>
        <v>0</v>
      </c>
      <c r="P181" s="173">
        <f>Assumptions!M153</f>
        <v>0</v>
      </c>
      <c r="Q181" s="173">
        <f>Assumptions!N153</f>
        <v>0</v>
      </c>
      <c r="R181" s="173">
        <f>Assumptions!O153</f>
        <v>0</v>
      </c>
      <c r="S181" s="173">
        <f>Assumptions!P153</f>
        <v>0</v>
      </c>
      <c r="T181" s="173">
        <f>Assumptions!Q153</f>
        <v>0</v>
      </c>
      <c r="U181" s="173">
        <f>Assumptions!R153</f>
        <v>0</v>
      </c>
      <c r="V181" s="173">
        <f>Assumptions!S153</f>
        <v>0</v>
      </c>
      <c r="W181" s="173">
        <f>Assumptions!T153</f>
        <v>0</v>
      </c>
      <c r="X181" s="173">
        <f>Assumptions!U153</f>
        <v>0</v>
      </c>
      <c r="Y181" s="173">
        <f>Assumptions!V153</f>
        <v>0</v>
      </c>
      <c r="Z181" s="173">
        <f>Assumptions!W153</f>
        <v>0</v>
      </c>
      <c r="AA181" s="173">
        <f>Assumptions!X153</f>
        <v>0</v>
      </c>
      <c r="AB181" s="173">
        <f>Assumptions!Y153</f>
        <v>0</v>
      </c>
      <c r="AC181" s="173">
        <f>Assumptions!Z153</f>
        <v>0</v>
      </c>
    </row>
    <row r="182" spans="3:29">
      <c r="C182" s="928" t="s">
        <v>89</v>
      </c>
      <c r="D182" s="195"/>
      <c r="E182" s="193">
        <f t="shared" ref="E182:W182" si="88">E176-SUM(E177:E181)</f>
        <v>-90.910000000000082</v>
      </c>
      <c r="F182" s="193">
        <f t="shared" si="88"/>
        <v>-121.4099999999994</v>
      </c>
      <c r="G182" s="193">
        <f t="shared" si="88"/>
        <v>-20.290000000000418</v>
      </c>
      <c r="H182" s="193">
        <f t="shared" si="88"/>
        <v>-490.19250000000011</v>
      </c>
      <c r="I182" s="189">
        <f t="shared" si="88"/>
        <v>-472.29540000000031</v>
      </c>
      <c r="J182" s="189">
        <f t="shared" si="88"/>
        <v>-615.40047810000021</v>
      </c>
      <c r="K182" s="1035">
        <f t="shared" si="88"/>
        <v>-711.50138043299967</v>
      </c>
      <c r="L182" s="1052">
        <f t="shared" si="88"/>
        <v>-850.78491072905331</v>
      </c>
      <c r="M182" s="189">
        <f t="shared" si="88"/>
        <v>-948.77115717198717</v>
      </c>
      <c r="N182" s="189">
        <f t="shared" si="88"/>
        <v>-620.57131330704897</v>
      </c>
      <c r="O182" s="189">
        <f t="shared" si="88"/>
        <v>-369.28639887562872</v>
      </c>
      <c r="P182" s="189">
        <f t="shared" si="88"/>
        <v>-369.40266675060025</v>
      </c>
      <c r="Q182" s="189">
        <f t="shared" si="88"/>
        <v>-375.25183158965217</v>
      </c>
      <c r="R182" s="189">
        <f t="shared" si="88"/>
        <v>-378.13483951593696</v>
      </c>
      <c r="S182" s="189">
        <f t="shared" si="88"/>
        <v>-380.42240458369406</v>
      </c>
      <c r="T182" s="189">
        <f t="shared" si="88"/>
        <v>-384.70802915394773</v>
      </c>
      <c r="U182" s="189">
        <f t="shared" si="88"/>
        <v>-403.2016696259945</v>
      </c>
      <c r="V182" s="189">
        <f t="shared" si="88"/>
        <v>-415.70148206218528</v>
      </c>
      <c r="W182" s="189">
        <f t="shared" si="88"/>
        <v>-453.13985769872488</v>
      </c>
      <c r="X182" s="189">
        <f t="shared" ref="X182:AC182" si="89">X176-SUM(X177:X181)</f>
        <v>-478.43588343090232</v>
      </c>
      <c r="Y182" s="189">
        <f t="shared" si="89"/>
        <v>-516.71896381071542</v>
      </c>
      <c r="Z182" s="189">
        <f t="shared" si="89"/>
        <v>-571.35102763801649</v>
      </c>
      <c r="AA182" s="189">
        <f t="shared" si="89"/>
        <v>-617.794218169999</v>
      </c>
      <c r="AB182" s="189">
        <f t="shared" si="89"/>
        <v>-674.131842548858</v>
      </c>
      <c r="AC182" s="189">
        <f t="shared" si="89"/>
        <v>-733.68788508866464</v>
      </c>
    </row>
    <row r="183" spans="3:29">
      <c r="C183" s="914"/>
      <c r="D183" s="74"/>
      <c r="E183" s="79">
        <f>E176-E177</f>
        <v>-32.050000000000125</v>
      </c>
      <c r="F183" s="79">
        <f>F176-F177</f>
        <v>-68.499999999999432</v>
      </c>
      <c r="G183" s="79">
        <f>G176-G177</f>
        <v>63.969999999999629</v>
      </c>
      <c r="H183" s="79"/>
    </row>
    <row r="184" spans="3:29">
      <c r="C184" s="914"/>
      <c r="D184" s="74"/>
      <c r="E184" s="74"/>
      <c r="F184" s="74"/>
      <c r="G184" s="74"/>
      <c r="H184" s="74"/>
    </row>
    <row r="185" spans="3:29" ht="25.5">
      <c r="C185" s="929" t="s">
        <v>221</v>
      </c>
      <c r="D185" s="62"/>
      <c r="E185" s="63"/>
      <c r="F185" s="63"/>
      <c r="G185" s="63"/>
      <c r="H185" s="105"/>
    </row>
    <row r="186" spans="3:29">
      <c r="C186" s="914" t="s">
        <v>236</v>
      </c>
      <c r="D186" s="62" t="e">
        <f>SUM(D199:D201,D204)/D139*365</f>
        <v>#REF!</v>
      </c>
      <c r="E186" s="63">
        <f>SUM(E199:E201)/(E140+E145)*365</f>
        <v>252.56398537477148</v>
      </c>
      <c r="F186" s="63">
        <f>SUM(F199:F201)/(F140+F145)*365</f>
        <v>150.14728056004307</v>
      </c>
      <c r="G186" s="63">
        <f>SUM(G199:G201)/(G140+G145)*365</f>
        <v>209.59311562224187</v>
      </c>
      <c r="H186" s="63">
        <f>SUM(H199:H201)/(H140+H145)*365</f>
        <v>183.67216770740413</v>
      </c>
      <c r="I186" s="18">
        <f>Assumptions!C42</f>
        <v>100</v>
      </c>
      <c r="J186" s="7">
        <f>I186</f>
        <v>100</v>
      </c>
      <c r="K186" s="278">
        <f>J186</f>
        <v>100</v>
      </c>
      <c r="L186" s="226">
        <f t="shared" ref="L186:W186" si="90">K186</f>
        <v>100</v>
      </c>
      <c r="M186" s="7">
        <f t="shared" si="90"/>
        <v>100</v>
      </c>
      <c r="N186" s="7">
        <f t="shared" si="90"/>
        <v>100</v>
      </c>
      <c r="O186" s="7">
        <f t="shared" si="90"/>
        <v>100</v>
      </c>
      <c r="P186" s="7">
        <f t="shared" si="90"/>
        <v>100</v>
      </c>
      <c r="Q186" s="7">
        <f t="shared" si="90"/>
        <v>100</v>
      </c>
      <c r="R186" s="7">
        <f t="shared" si="90"/>
        <v>100</v>
      </c>
      <c r="S186" s="7">
        <f t="shared" si="90"/>
        <v>100</v>
      </c>
      <c r="T186" s="7">
        <f t="shared" si="90"/>
        <v>100</v>
      </c>
      <c r="U186" s="7">
        <f t="shared" si="90"/>
        <v>100</v>
      </c>
      <c r="V186" s="7">
        <f t="shared" si="90"/>
        <v>100</v>
      </c>
      <c r="W186" s="7">
        <f t="shared" si="90"/>
        <v>100</v>
      </c>
      <c r="X186" s="7">
        <f t="shared" ref="X186:AC190" si="91">W186</f>
        <v>100</v>
      </c>
      <c r="Y186" s="7">
        <f t="shared" si="91"/>
        <v>100</v>
      </c>
      <c r="Z186" s="7">
        <f t="shared" si="91"/>
        <v>100</v>
      </c>
      <c r="AA186" s="7">
        <f t="shared" si="91"/>
        <v>100</v>
      </c>
      <c r="AB186" s="7">
        <f t="shared" si="91"/>
        <v>100</v>
      </c>
      <c r="AC186" s="7">
        <f t="shared" si="91"/>
        <v>100</v>
      </c>
    </row>
    <row r="187" spans="3:29">
      <c r="C187" s="914" t="s">
        <v>237</v>
      </c>
      <c r="D187" s="62"/>
      <c r="E187" s="63">
        <f>SUM(E204)/(E139-E140)*365</f>
        <v>87.591192007180538</v>
      </c>
      <c r="F187" s="63">
        <f>SUM(F204)/(F139-F140)*365</f>
        <v>90.50893340552247</v>
      </c>
      <c r="G187" s="63">
        <f>SUM(G204)/(G139-G140)*365</f>
        <v>70.331048512940257</v>
      </c>
      <c r="H187" s="63">
        <f>SUM(H204)/(H139-H140)*365</f>
        <v>80.195767354147321</v>
      </c>
      <c r="I187" s="18">
        <f>Assumptions!C41</f>
        <v>15</v>
      </c>
      <c r="J187" s="7">
        <f t="shared" ref="J187:W190" si="92">I187</f>
        <v>15</v>
      </c>
      <c r="K187" s="278">
        <f>J187</f>
        <v>15</v>
      </c>
      <c r="L187" s="226">
        <f t="shared" si="92"/>
        <v>15</v>
      </c>
      <c r="M187" s="7">
        <f t="shared" si="92"/>
        <v>15</v>
      </c>
      <c r="N187" s="7">
        <f t="shared" si="92"/>
        <v>15</v>
      </c>
      <c r="O187" s="7">
        <f t="shared" si="92"/>
        <v>15</v>
      </c>
      <c r="P187" s="7">
        <f t="shared" si="92"/>
        <v>15</v>
      </c>
      <c r="Q187" s="7">
        <f t="shared" si="92"/>
        <v>15</v>
      </c>
      <c r="R187" s="7">
        <f t="shared" si="92"/>
        <v>15</v>
      </c>
      <c r="S187" s="7">
        <f t="shared" si="92"/>
        <v>15</v>
      </c>
      <c r="T187" s="7">
        <f t="shared" si="92"/>
        <v>15</v>
      </c>
      <c r="U187" s="7">
        <f t="shared" si="92"/>
        <v>15</v>
      </c>
      <c r="V187" s="7">
        <f t="shared" si="92"/>
        <v>15</v>
      </c>
      <c r="W187" s="7">
        <f t="shared" si="92"/>
        <v>15</v>
      </c>
      <c r="X187" s="7">
        <f t="shared" si="91"/>
        <v>15</v>
      </c>
      <c r="Y187" s="7">
        <f t="shared" si="91"/>
        <v>15</v>
      </c>
      <c r="Z187" s="7">
        <f t="shared" si="91"/>
        <v>15</v>
      </c>
      <c r="AA187" s="7">
        <f t="shared" si="91"/>
        <v>15</v>
      </c>
      <c r="AB187" s="7">
        <f t="shared" si="91"/>
        <v>15</v>
      </c>
      <c r="AC187" s="7">
        <f t="shared" si="91"/>
        <v>15</v>
      </c>
    </row>
    <row r="188" spans="3:29">
      <c r="C188" s="914" t="s">
        <v>207</v>
      </c>
      <c r="D188" s="62" t="e">
        <f>D207/SUM(D139,D141:D142)*365</f>
        <v>#REF!</v>
      </c>
      <c r="E188" s="63">
        <f>E207/SUM(E139,E141:E142)*365</f>
        <v>30.517544663307376</v>
      </c>
      <c r="F188" s="63">
        <f>F207/SUM(F139,F141:F142)*365</f>
        <v>28.019104460356797</v>
      </c>
      <c r="G188" s="63">
        <f>G207/SUM(G139,G141:G142)*365</f>
        <v>16.21393752943407</v>
      </c>
      <c r="H188" s="63">
        <f>H207/SUM(H139,H141:H142)*365</f>
        <v>23.319986570337857</v>
      </c>
      <c r="I188" s="18">
        <f>Assumptions!C38</f>
        <v>21</v>
      </c>
      <c r="J188" s="7">
        <f t="shared" si="92"/>
        <v>21</v>
      </c>
      <c r="K188" s="278">
        <f>J188</f>
        <v>21</v>
      </c>
      <c r="L188" s="226">
        <f t="shared" si="92"/>
        <v>21</v>
      </c>
      <c r="M188" s="7">
        <f t="shared" si="92"/>
        <v>21</v>
      </c>
      <c r="N188" s="7">
        <f t="shared" si="92"/>
        <v>21</v>
      </c>
      <c r="O188" s="7">
        <f t="shared" si="92"/>
        <v>21</v>
      </c>
      <c r="P188" s="7">
        <f t="shared" si="92"/>
        <v>21</v>
      </c>
      <c r="Q188" s="7">
        <f t="shared" si="92"/>
        <v>21</v>
      </c>
      <c r="R188" s="7">
        <f t="shared" si="92"/>
        <v>21</v>
      </c>
      <c r="S188" s="7">
        <f t="shared" si="92"/>
        <v>21</v>
      </c>
      <c r="T188" s="7">
        <f t="shared" si="92"/>
        <v>21</v>
      </c>
      <c r="U188" s="7">
        <f t="shared" si="92"/>
        <v>21</v>
      </c>
      <c r="V188" s="7">
        <f t="shared" si="92"/>
        <v>21</v>
      </c>
      <c r="W188" s="7">
        <f t="shared" si="92"/>
        <v>21</v>
      </c>
      <c r="X188" s="7">
        <f t="shared" si="91"/>
        <v>21</v>
      </c>
      <c r="Y188" s="7">
        <f t="shared" si="91"/>
        <v>21</v>
      </c>
      <c r="Z188" s="7">
        <f t="shared" si="91"/>
        <v>21</v>
      </c>
      <c r="AA188" s="7">
        <f t="shared" si="91"/>
        <v>21</v>
      </c>
      <c r="AB188" s="7">
        <f t="shared" si="91"/>
        <v>21</v>
      </c>
      <c r="AC188" s="7">
        <f t="shared" si="91"/>
        <v>21</v>
      </c>
    </row>
    <row r="189" spans="3:29">
      <c r="C189" s="914" t="s">
        <v>222</v>
      </c>
      <c r="D189" s="62">
        <f>SUM(D210:D212)/D154*365</f>
        <v>357.1037527593819</v>
      </c>
      <c r="E189" s="63">
        <f>SUM(E210:E212)/(E154+E163)*365</f>
        <v>225.19994675186365</v>
      </c>
      <c r="F189" s="63">
        <f>SUM(F210:F212)/(F154+F163)*365</f>
        <v>120.27157754361419</v>
      </c>
      <c r="G189" s="63">
        <f>SUM(G210:G212)/(G154+G163)*365</f>
        <v>187.73746636549347</v>
      </c>
      <c r="H189" s="63">
        <f>SUM(H210:H212)/(H154+H163)*365</f>
        <v>113.14651197880866</v>
      </c>
      <c r="I189" s="18">
        <f>Assumptions!C45*Assumptions!C49+(1-Assumptions!C49)*Assumptions!C44</f>
        <v>26.700000000000003</v>
      </c>
      <c r="J189" s="7">
        <f t="shared" si="92"/>
        <v>26.700000000000003</v>
      </c>
      <c r="K189" s="278">
        <f>J189</f>
        <v>26.700000000000003</v>
      </c>
      <c r="L189" s="226">
        <f t="shared" si="92"/>
        <v>26.700000000000003</v>
      </c>
      <c r="M189" s="7">
        <f t="shared" si="92"/>
        <v>26.700000000000003</v>
      </c>
      <c r="N189" s="7">
        <f t="shared" si="92"/>
        <v>26.700000000000003</v>
      </c>
      <c r="O189" s="7">
        <f t="shared" si="92"/>
        <v>26.700000000000003</v>
      </c>
      <c r="P189" s="7">
        <f t="shared" si="92"/>
        <v>26.700000000000003</v>
      </c>
      <c r="Q189" s="7">
        <f t="shared" si="92"/>
        <v>26.700000000000003</v>
      </c>
      <c r="R189" s="7">
        <f t="shared" si="92"/>
        <v>26.700000000000003</v>
      </c>
      <c r="S189" s="7">
        <f t="shared" si="92"/>
        <v>26.700000000000003</v>
      </c>
      <c r="T189" s="7">
        <f t="shared" si="92"/>
        <v>26.700000000000003</v>
      </c>
      <c r="U189" s="7">
        <f t="shared" si="92"/>
        <v>26.700000000000003</v>
      </c>
      <c r="V189" s="7">
        <f t="shared" si="92"/>
        <v>26.700000000000003</v>
      </c>
      <c r="W189" s="7">
        <f t="shared" si="92"/>
        <v>26.700000000000003</v>
      </c>
      <c r="X189" s="7">
        <f t="shared" si="91"/>
        <v>26.700000000000003</v>
      </c>
      <c r="Y189" s="7">
        <f t="shared" si="91"/>
        <v>26.700000000000003</v>
      </c>
      <c r="Z189" s="7">
        <f t="shared" si="91"/>
        <v>26.700000000000003</v>
      </c>
      <c r="AA189" s="7">
        <f t="shared" si="91"/>
        <v>26.700000000000003</v>
      </c>
      <c r="AB189" s="7">
        <f t="shared" si="91"/>
        <v>26.700000000000003</v>
      </c>
      <c r="AC189" s="7">
        <f t="shared" si="91"/>
        <v>26.700000000000003</v>
      </c>
    </row>
    <row r="190" spans="3:29" ht="25.5">
      <c r="C190" s="914" t="s">
        <v>223</v>
      </c>
      <c r="D190" s="73"/>
      <c r="E190" s="73"/>
      <c r="F190" s="73"/>
      <c r="G190" s="73"/>
      <c r="H190" s="171"/>
      <c r="I190" s="18">
        <f>Assumptions!C46</f>
        <v>30</v>
      </c>
      <c r="J190" s="7">
        <f t="shared" si="92"/>
        <v>30</v>
      </c>
      <c r="K190" s="278">
        <f>J190</f>
        <v>30</v>
      </c>
      <c r="L190" s="226">
        <f t="shared" si="92"/>
        <v>30</v>
      </c>
      <c r="M190" s="7">
        <f t="shared" si="92"/>
        <v>30</v>
      </c>
      <c r="N190" s="7">
        <f t="shared" si="92"/>
        <v>30</v>
      </c>
      <c r="O190" s="7">
        <f t="shared" si="92"/>
        <v>30</v>
      </c>
      <c r="P190" s="7">
        <f t="shared" si="92"/>
        <v>30</v>
      </c>
      <c r="Q190" s="7">
        <f t="shared" si="92"/>
        <v>30</v>
      </c>
      <c r="R190" s="7">
        <f t="shared" si="92"/>
        <v>30</v>
      </c>
      <c r="S190" s="7">
        <f t="shared" si="92"/>
        <v>30</v>
      </c>
      <c r="T190" s="7">
        <f t="shared" si="92"/>
        <v>30</v>
      </c>
      <c r="U190" s="7">
        <f t="shared" si="92"/>
        <v>30</v>
      </c>
      <c r="V190" s="7">
        <f t="shared" si="92"/>
        <v>30</v>
      </c>
      <c r="W190" s="7">
        <f t="shared" si="92"/>
        <v>30</v>
      </c>
      <c r="X190" s="7">
        <f t="shared" si="91"/>
        <v>30</v>
      </c>
      <c r="Y190" s="7">
        <f t="shared" si="91"/>
        <v>30</v>
      </c>
      <c r="Z190" s="7">
        <f t="shared" si="91"/>
        <v>30</v>
      </c>
      <c r="AA190" s="7">
        <f t="shared" si="91"/>
        <v>30</v>
      </c>
      <c r="AB190" s="7">
        <f t="shared" si="91"/>
        <v>30</v>
      </c>
      <c r="AC190" s="7">
        <f t="shared" si="91"/>
        <v>30</v>
      </c>
    </row>
    <row r="191" spans="3:29">
      <c r="C191" s="914"/>
      <c r="D191" s="62"/>
      <c r="E191" s="63"/>
      <c r="F191" s="63"/>
      <c r="G191" s="63"/>
      <c r="H191" s="105"/>
      <c r="I191" s="18"/>
      <c r="T191" s="7"/>
      <c r="U191" s="7"/>
      <c r="V191" s="7"/>
      <c r="W191" s="7"/>
      <c r="X191" s="7"/>
      <c r="Y191" s="7"/>
      <c r="Z191" s="7"/>
      <c r="AA191" s="7"/>
      <c r="AB191" s="7"/>
      <c r="AC191" s="7"/>
    </row>
    <row r="192" spans="3:29" ht="25.5">
      <c r="C192" s="929" t="s">
        <v>224</v>
      </c>
      <c r="D192" s="62"/>
      <c r="E192" s="63"/>
      <c r="F192" s="63"/>
      <c r="G192" s="63"/>
      <c r="H192" s="105"/>
      <c r="T192" s="7"/>
      <c r="U192" s="7"/>
      <c r="V192" s="7"/>
      <c r="W192" s="7"/>
      <c r="X192" s="7"/>
      <c r="Y192" s="7"/>
      <c r="Z192" s="7"/>
      <c r="AA192" s="7"/>
      <c r="AB192" s="7"/>
      <c r="AC192" s="7"/>
    </row>
    <row r="193" spans="1:29">
      <c r="C193" s="914" t="s">
        <v>143</v>
      </c>
      <c r="D193" s="62">
        <f>D203/D142*365</f>
        <v>326.73387096774195</v>
      </c>
      <c r="E193" s="63">
        <f>E203/E142*365</f>
        <v>457.56701030927837</v>
      </c>
      <c r="F193" s="63">
        <f>F203/F142*365</f>
        <v>417.02036021926392</v>
      </c>
      <c r="G193" s="63">
        <f>G203/G142*365</f>
        <v>275.64386792452831</v>
      </c>
      <c r="H193" s="63">
        <f>H203/H142*365</f>
        <v>296.54314002828852</v>
      </c>
      <c r="I193" s="7">
        <f>Assumptions!C115</f>
        <v>240</v>
      </c>
      <c r="J193" s="7">
        <f t="shared" ref="J193:W194" si="93">I193</f>
        <v>240</v>
      </c>
      <c r="K193" s="278">
        <f>J193</f>
        <v>240</v>
      </c>
      <c r="L193" s="226">
        <f t="shared" si="93"/>
        <v>240</v>
      </c>
      <c r="M193" s="7">
        <f t="shared" si="93"/>
        <v>240</v>
      </c>
      <c r="N193" s="7">
        <f t="shared" si="93"/>
        <v>240</v>
      </c>
      <c r="O193" s="7">
        <f t="shared" si="93"/>
        <v>240</v>
      </c>
      <c r="P193" s="7">
        <f t="shared" si="93"/>
        <v>240</v>
      </c>
      <c r="Q193" s="7">
        <f t="shared" si="93"/>
        <v>240</v>
      </c>
      <c r="R193" s="7">
        <f t="shared" si="93"/>
        <v>240</v>
      </c>
      <c r="S193" s="7">
        <f t="shared" si="93"/>
        <v>240</v>
      </c>
      <c r="T193" s="7">
        <f t="shared" si="93"/>
        <v>240</v>
      </c>
      <c r="U193" s="7">
        <f t="shared" si="93"/>
        <v>240</v>
      </c>
      <c r="V193" s="7">
        <f t="shared" si="93"/>
        <v>240</v>
      </c>
      <c r="W193" s="7">
        <f t="shared" si="93"/>
        <v>240</v>
      </c>
      <c r="X193" s="7">
        <f t="shared" ref="X193:AC194" si="94">W193</f>
        <v>240</v>
      </c>
      <c r="Y193" s="7">
        <f t="shared" si="94"/>
        <v>240</v>
      </c>
      <c r="Z193" s="7">
        <f t="shared" si="94"/>
        <v>240</v>
      </c>
      <c r="AA193" s="7">
        <f t="shared" si="94"/>
        <v>240</v>
      </c>
      <c r="AB193" s="7">
        <f t="shared" si="94"/>
        <v>240</v>
      </c>
      <c r="AC193" s="7">
        <f t="shared" si="94"/>
        <v>240</v>
      </c>
    </row>
    <row r="194" spans="1:29">
      <c r="C194" s="914" t="s">
        <v>130</v>
      </c>
      <c r="D194" s="73">
        <f>D216/D156*365</f>
        <v>141.90654205607476</v>
      </c>
      <c r="E194" s="73">
        <f>E216/E156*365</f>
        <v>152.08333333333334</v>
      </c>
      <c r="F194" s="73">
        <f>F216/F156*365</f>
        <v>120.94491525423729</v>
      </c>
      <c r="G194" s="73">
        <f>G216/G156*365</f>
        <v>182.84112149532712</v>
      </c>
      <c r="H194" s="73">
        <f>H216/H156*365</f>
        <v>296.56250000000006</v>
      </c>
      <c r="I194" s="7">
        <f>Assumptions!C116</f>
        <v>30</v>
      </c>
      <c r="J194" s="7">
        <f t="shared" si="93"/>
        <v>30</v>
      </c>
      <c r="K194" s="278">
        <f>J194</f>
        <v>30</v>
      </c>
      <c r="L194" s="226">
        <f t="shared" si="93"/>
        <v>30</v>
      </c>
      <c r="M194" s="7">
        <f t="shared" si="93"/>
        <v>30</v>
      </c>
      <c r="N194" s="7">
        <f t="shared" si="93"/>
        <v>30</v>
      </c>
      <c r="O194" s="7">
        <f t="shared" si="93"/>
        <v>30</v>
      </c>
      <c r="P194" s="7">
        <f t="shared" si="93"/>
        <v>30</v>
      </c>
      <c r="Q194" s="7">
        <f t="shared" si="93"/>
        <v>30</v>
      </c>
      <c r="R194" s="7">
        <f t="shared" si="93"/>
        <v>30</v>
      </c>
      <c r="S194" s="7">
        <f t="shared" si="93"/>
        <v>30</v>
      </c>
      <c r="T194" s="7">
        <f t="shared" si="93"/>
        <v>30</v>
      </c>
      <c r="U194" s="7">
        <f t="shared" si="93"/>
        <v>30</v>
      </c>
      <c r="V194" s="7">
        <f t="shared" si="93"/>
        <v>30</v>
      </c>
      <c r="W194" s="7">
        <f t="shared" si="93"/>
        <v>30</v>
      </c>
      <c r="X194" s="7">
        <f t="shared" si="94"/>
        <v>30</v>
      </c>
      <c r="Y194" s="7">
        <f t="shared" si="94"/>
        <v>30</v>
      </c>
      <c r="Z194" s="7">
        <f t="shared" si="94"/>
        <v>30</v>
      </c>
      <c r="AA194" s="7">
        <f t="shared" si="94"/>
        <v>30</v>
      </c>
      <c r="AB194" s="7">
        <f t="shared" si="94"/>
        <v>30</v>
      </c>
      <c r="AC194" s="7">
        <f t="shared" si="94"/>
        <v>30</v>
      </c>
    </row>
    <row r="196" spans="1:29" ht="13.5" thickBot="1"/>
    <row r="197" spans="1:29">
      <c r="C197" s="927"/>
      <c r="D197" s="86" t="str">
        <f>D2</f>
        <v>FY15</v>
      </c>
      <c r="E197" s="86" t="str">
        <f>E2</f>
        <v>FY16</v>
      </c>
      <c r="F197" s="86" t="str">
        <f>F2</f>
        <v>FY17</v>
      </c>
      <c r="G197" s="223">
        <f t="shared" ref="G197:AC197" si="95">G137</f>
        <v>43190</v>
      </c>
      <c r="H197" s="223">
        <f t="shared" si="95"/>
        <v>43555</v>
      </c>
      <c r="I197" s="197">
        <f t="shared" si="95"/>
        <v>43921</v>
      </c>
      <c r="J197" s="197">
        <f t="shared" si="95"/>
        <v>44286</v>
      </c>
      <c r="K197" s="1022">
        <f t="shared" si="95"/>
        <v>44651</v>
      </c>
      <c r="L197" s="1038">
        <f t="shared" si="95"/>
        <v>45016</v>
      </c>
      <c r="M197" s="197">
        <f t="shared" si="95"/>
        <v>45382</v>
      </c>
      <c r="N197" s="197">
        <f t="shared" si="95"/>
        <v>45747</v>
      </c>
      <c r="O197" s="197">
        <f t="shared" si="95"/>
        <v>46112</v>
      </c>
      <c r="P197" s="197">
        <f t="shared" si="95"/>
        <v>46477</v>
      </c>
      <c r="Q197" s="197">
        <f t="shared" si="95"/>
        <v>46843</v>
      </c>
      <c r="R197" s="197">
        <f t="shared" si="95"/>
        <v>47208</v>
      </c>
      <c r="S197" s="197">
        <f t="shared" si="95"/>
        <v>47573</v>
      </c>
      <c r="T197" s="197">
        <f t="shared" si="95"/>
        <v>47938</v>
      </c>
      <c r="U197" s="197">
        <f t="shared" si="95"/>
        <v>48304</v>
      </c>
      <c r="V197" s="197">
        <f t="shared" si="95"/>
        <v>48669</v>
      </c>
      <c r="W197" s="197">
        <f t="shared" si="95"/>
        <v>49034</v>
      </c>
      <c r="X197" s="197">
        <f t="shared" si="95"/>
        <v>49399</v>
      </c>
      <c r="Y197" s="197">
        <f t="shared" si="95"/>
        <v>49765</v>
      </c>
      <c r="Z197" s="197">
        <f t="shared" si="95"/>
        <v>50130</v>
      </c>
      <c r="AA197" s="197">
        <f t="shared" si="95"/>
        <v>50495</v>
      </c>
      <c r="AB197" s="197">
        <f t="shared" si="95"/>
        <v>50860</v>
      </c>
      <c r="AC197" s="197">
        <f t="shared" si="95"/>
        <v>51226</v>
      </c>
    </row>
    <row r="198" spans="1:29" s="26" customFormat="1">
      <c r="A198" s="22"/>
      <c r="B198" s="22"/>
      <c r="C198" s="928" t="s">
        <v>212</v>
      </c>
      <c r="D198" s="88" t="e">
        <f>#REF!</f>
        <v>#REF!</v>
      </c>
      <c r="E198" s="88">
        <v>1989.99</v>
      </c>
      <c r="F198" s="88">
        <v>1192.3</v>
      </c>
      <c r="G198" s="224">
        <v>1697.9</v>
      </c>
      <c r="H198" s="224">
        <v>831.5</v>
      </c>
      <c r="I198" s="86"/>
      <c r="J198" s="86">
        <f t="shared" ref="J198:AC198" si="96">SUM(J199:J205)</f>
        <v>0</v>
      </c>
      <c r="K198" s="1035">
        <f t="shared" si="96"/>
        <v>0</v>
      </c>
      <c r="L198" s="1052">
        <f t="shared" si="96"/>
        <v>1010.4340853471693</v>
      </c>
      <c r="M198" s="86">
        <f t="shared" si="96"/>
        <v>1023.3861916089942</v>
      </c>
      <c r="N198" s="86">
        <f t="shared" si="96"/>
        <v>1115.55252613381</v>
      </c>
      <c r="O198" s="86">
        <f t="shared" si="96"/>
        <v>1171.3269816602919</v>
      </c>
      <c r="P198" s="86">
        <f t="shared" si="96"/>
        <v>1176.2868098093875</v>
      </c>
      <c r="Q198" s="86">
        <f t="shared" si="96"/>
        <v>1181.246637958483</v>
      </c>
      <c r="R198" s="86">
        <f t="shared" si="96"/>
        <v>1181.246637958483</v>
      </c>
      <c r="S198" s="86">
        <f t="shared" si="96"/>
        <v>1181.246637958483</v>
      </c>
      <c r="T198" s="86">
        <f t="shared" si="96"/>
        <v>1181.246637958483</v>
      </c>
      <c r="U198" s="86">
        <f t="shared" si="96"/>
        <v>1181.246637958483</v>
      </c>
      <c r="V198" s="86">
        <f t="shared" si="96"/>
        <v>1181.246637958483</v>
      </c>
      <c r="W198" s="86">
        <f t="shared" si="96"/>
        <v>1181.246637958483</v>
      </c>
      <c r="X198" s="86">
        <f t="shared" si="96"/>
        <v>1181.246637958483</v>
      </c>
      <c r="Y198" s="86">
        <f t="shared" si="96"/>
        <v>1181.246637958483</v>
      </c>
      <c r="Z198" s="86">
        <f t="shared" si="96"/>
        <v>1181.246637958483</v>
      </c>
      <c r="AA198" s="86">
        <f t="shared" si="96"/>
        <v>1181.246637958483</v>
      </c>
      <c r="AB198" s="86">
        <f t="shared" si="96"/>
        <v>1181.246637958483</v>
      </c>
      <c r="AC198" s="86">
        <f t="shared" si="96"/>
        <v>1181.246637958483</v>
      </c>
    </row>
    <row r="199" spans="1:29" s="84" customFormat="1">
      <c r="C199" s="930" t="s">
        <v>330</v>
      </c>
      <c r="D199" s="89">
        <v>545.70000000000005</v>
      </c>
      <c r="E199" s="89">
        <v>1369.7</v>
      </c>
      <c r="F199" s="89">
        <v>546.9</v>
      </c>
      <c r="G199" s="185">
        <v>1002.7</v>
      </c>
      <c r="H199" s="186">
        <v>245</v>
      </c>
      <c r="I199" s="89"/>
      <c r="J199" s="89">
        <f>'P&amp;L'!E23</f>
        <v>0</v>
      </c>
      <c r="K199" s="1034">
        <f>'P&amp;L'!F23</f>
        <v>0</v>
      </c>
      <c r="L199" s="1051">
        <f>'P&amp;L'!G23</f>
        <v>957.43854028388353</v>
      </c>
      <c r="M199" s="89">
        <f>'P&amp;L'!H23</f>
        <v>965.18755148154435</v>
      </c>
      <c r="N199" s="89">
        <f>'P&amp;L'!I23</f>
        <v>1049.7396885421961</v>
      </c>
      <c r="O199" s="89">
        <f>'P&amp;L'!J23</f>
        <v>1098.9000750428702</v>
      </c>
      <c r="P199" s="89">
        <f>'P&amp;L'!K23</f>
        <v>1098.9000750428702</v>
      </c>
      <c r="Q199" s="89">
        <f>'P&amp;L'!L23</f>
        <v>1098.9000750428702</v>
      </c>
      <c r="R199" s="89">
        <f>'P&amp;L'!M23</f>
        <v>1098.9000750428702</v>
      </c>
      <c r="S199" s="89">
        <f>'P&amp;L'!N23</f>
        <v>1098.9000750428702</v>
      </c>
      <c r="T199" s="89">
        <f>'P&amp;L'!O23</f>
        <v>1098.9000750428702</v>
      </c>
      <c r="U199" s="89">
        <f>'P&amp;L'!P23</f>
        <v>1098.9000750428702</v>
      </c>
      <c r="V199" s="89">
        <f>'P&amp;L'!Q23</f>
        <v>1098.9000750428702</v>
      </c>
      <c r="W199" s="89">
        <f>'P&amp;L'!R23</f>
        <v>1098.9000750428702</v>
      </c>
      <c r="X199" s="89">
        <f>'P&amp;L'!S23</f>
        <v>1098.9000750428702</v>
      </c>
      <c r="Y199" s="89">
        <f>'P&amp;L'!T23</f>
        <v>1098.9000750428702</v>
      </c>
      <c r="Z199" s="89">
        <f>'P&amp;L'!U23</f>
        <v>1098.9000750428702</v>
      </c>
      <c r="AA199" s="89">
        <f>'P&amp;L'!V23</f>
        <v>1098.9000750428702</v>
      </c>
      <c r="AB199" s="89">
        <f>'P&amp;L'!W23</f>
        <v>1098.9000750428702</v>
      </c>
      <c r="AC199" s="89">
        <f>'P&amp;L'!X23</f>
        <v>1098.9000750428702</v>
      </c>
    </row>
    <row r="200" spans="1:29" s="84" customFormat="1">
      <c r="C200" s="930" t="s">
        <v>331</v>
      </c>
      <c r="D200" s="89">
        <v>32.5</v>
      </c>
      <c r="E200" s="89">
        <v>89.2</v>
      </c>
      <c r="F200" s="89">
        <v>161.9</v>
      </c>
      <c r="G200" s="185">
        <v>243.4</v>
      </c>
      <c r="H200" s="186">
        <v>264</v>
      </c>
      <c r="I200" s="89"/>
      <c r="J200" s="89"/>
      <c r="K200" s="1034"/>
      <c r="L200" s="1051"/>
      <c r="M200" s="89"/>
      <c r="N200" s="89"/>
      <c r="O200" s="89"/>
      <c r="P200" s="89"/>
      <c r="Q200" s="89"/>
      <c r="R200" s="89"/>
      <c r="S200" s="89"/>
      <c r="T200" s="89"/>
      <c r="U200" s="89"/>
      <c r="V200" s="89"/>
      <c r="W200" s="89"/>
      <c r="X200" s="89"/>
      <c r="Y200" s="89"/>
      <c r="Z200" s="89"/>
      <c r="AA200" s="89"/>
      <c r="AB200" s="89"/>
      <c r="AC200" s="89"/>
    </row>
    <row r="201" spans="1:29" s="84" customFormat="1">
      <c r="C201" s="930" t="s">
        <v>219</v>
      </c>
      <c r="D201" s="89">
        <f>E201</f>
        <v>55.1</v>
      </c>
      <c r="E201" s="89">
        <f>F201</f>
        <v>55.1</v>
      </c>
      <c r="F201" s="89">
        <f>G201</f>
        <v>55.1</v>
      </c>
      <c r="G201" s="185">
        <f>H201</f>
        <v>55.1</v>
      </c>
      <c r="H201" s="186">
        <v>55.1</v>
      </c>
      <c r="I201" s="89"/>
      <c r="J201" s="89"/>
      <c r="K201" s="1034"/>
      <c r="L201" s="1051"/>
      <c r="M201" s="89"/>
      <c r="N201" s="89"/>
      <c r="O201" s="89"/>
      <c r="P201" s="89"/>
      <c r="Q201" s="89"/>
      <c r="R201" s="89"/>
      <c r="S201" s="89"/>
      <c r="T201" s="89"/>
      <c r="U201" s="89"/>
      <c r="V201" s="89"/>
      <c r="W201" s="89"/>
      <c r="X201" s="89"/>
      <c r="Y201" s="89"/>
      <c r="Z201" s="89"/>
      <c r="AA201" s="89"/>
      <c r="AB201" s="89"/>
      <c r="AC201" s="89"/>
    </row>
    <row r="202" spans="1:29" s="84" customFormat="1">
      <c r="C202" s="930" t="s">
        <v>211</v>
      </c>
      <c r="D202" s="89">
        <v>105.7</v>
      </c>
      <c r="E202" s="89">
        <v>130.5</v>
      </c>
      <c r="F202" s="89">
        <v>76.400000000000006</v>
      </c>
      <c r="G202" s="185">
        <v>69.900000000000006</v>
      </c>
      <c r="H202" s="186">
        <v>50.4</v>
      </c>
      <c r="I202" s="89"/>
      <c r="J202" s="89"/>
      <c r="K202" s="1034"/>
      <c r="L202" s="1051"/>
      <c r="M202" s="89"/>
      <c r="N202" s="89"/>
      <c r="O202" s="89"/>
      <c r="P202" s="89"/>
      <c r="Q202" s="89"/>
      <c r="R202" s="89"/>
      <c r="S202" s="89"/>
      <c r="T202" s="89"/>
      <c r="U202" s="89"/>
      <c r="V202" s="89"/>
      <c r="W202" s="89"/>
      <c r="X202" s="89"/>
      <c r="Y202" s="89"/>
      <c r="Z202" s="89"/>
      <c r="AA202" s="89"/>
      <c r="AB202" s="89"/>
      <c r="AC202" s="89"/>
    </row>
    <row r="203" spans="1:29" s="84" customFormat="1">
      <c r="C203" s="931" t="s">
        <v>332</v>
      </c>
      <c r="D203" s="89">
        <v>166.5</v>
      </c>
      <c r="E203" s="89">
        <v>182.4</v>
      </c>
      <c r="F203" s="89">
        <v>145.9</v>
      </c>
      <c r="G203" s="185">
        <v>160.1</v>
      </c>
      <c r="H203" s="186">
        <v>143.6</v>
      </c>
      <c r="I203" s="89"/>
      <c r="J203" s="89">
        <f>'P&amp;L'!E52</f>
        <v>0</v>
      </c>
      <c r="K203" s="1034">
        <f>'P&amp;L'!F52</f>
        <v>0</v>
      </c>
      <c r="L203" s="1051">
        <f>'P&amp;L'!G52</f>
        <v>24.799140745477601</v>
      </c>
      <c r="M203" s="89">
        <f>'P&amp;L'!H52</f>
        <v>29.758968894573119</v>
      </c>
      <c r="N203" s="89">
        <f>'P&amp;L'!I52</f>
        <v>34.71879704366863</v>
      </c>
      <c r="O203" s="89">
        <f>'P&amp;L'!J52</f>
        <v>39.678625192764152</v>
      </c>
      <c r="P203" s="89">
        <f>'P&amp;L'!K52</f>
        <v>44.638453341859673</v>
      </c>
      <c r="Q203" s="89">
        <f>'P&amp;L'!L52</f>
        <v>49.598281490955202</v>
      </c>
      <c r="R203" s="89">
        <f>'P&amp;L'!M52</f>
        <v>49.598281490955202</v>
      </c>
      <c r="S203" s="89">
        <f>'P&amp;L'!N52</f>
        <v>49.598281490955202</v>
      </c>
      <c r="T203" s="89">
        <f>'P&amp;L'!O52</f>
        <v>49.598281490955202</v>
      </c>
      <c r="U203" s="89">
        <f>'P&amp;L'!P52</f>
        <v>49.598281490955202</v>
      </c>
      <c r="V203" s="89">
        <f>'P&amp;L'!Q52</f>
        <v>49.598281490955202</v>
      </c>
      <c r="W203" s="89">
        <f>'P&amp;L'!R52</f>
        <v>49.598281490955202</v>
      </c>
      <c r="X203" s="89">
        <f>'P&amp;L'!S52</f>
        <v>49.598281490955202</v>
      </c>
      <c r="Y203" s="89">
        <f>'P&amp;L'!T52</f>
        <v>49.598281490955202</v>
      </c>
      <c r="Z203" s="89">
        <f>'P&amp;L'!U52</f>
        <v>49.598281490955202</v>
      </c>
      <c r="AA203" s="89">
        <f>'P&amp;L'!V52</f>
        <v>49.598281490955202</v>
      </c>
      <c r="AB203" s="89">
        <f>'P&amp;L'!W52</f>
        <v>49.598281490955202</v>
      </c>
      <c r="AC203" s="89">
        <f>'P&amp;L'!X52</f>
        <v>49.598281490955202</v>
      </c>
    </row>
    <row r="204" spans="1:29" s="84" customFormat="1">
      <c r="C204" s="932" t="s">
        <v>220</v>
      </c>
      <c r="D204" s="90" t="e">
        <f>D198-SUM(D199:D203)</f>
        <v>#REF!</v>
      </c>
      <c r="E204" s="90">
        <f>E198-SUM(E199:E203)</f>
        <v>163.08999999999992</v>
      </c>
      <c r="F204" s="90">
        <f>F198-SUM(F199:F203)</f>
        <v>206.10000000000002</v>
      </c>
      <c r="G204" s="186">
        <f>G198-SUM(G199:G203)</f>
        <v>166.70000000000005</v>
      </c>
      <c r="H204" s="186">
        <f>H198-SUM(H199:H203)</f>
        <v>73.399999999999977</v>
      </c>
      <c r="I204" s="89"/>
      <c r="J204" s="89">
        <f>'P&amp;L'!E22</f>
        <v>0</v>
      </c>
      <c r="K204" s="1034">
        <f>'P&amp;L'!F22</f>
        <v>0</v>
      </c>
      <c r="L204" s="1051">
        <f>'P&amp;L'!G22</f>
        <v>28.196404317808224</v>
      </c>
      <c r="M204" s="89">
        <f>'P&amp;L'!H22</f>
        <v>28.439671232876716</v>
      </c>
      <c r="N204" s="89">
        <f>'P&amp;L'!I22</f>
        <v>31.094040547945205</v>
      </c>
      <c r="O204" s="89">
        <f>'P&amp;L'!J22</f>
        <v>32.748281424657534</v>
      </c>
      <c r="P204" s="89">
        <f>'P&amp;L'!K22</f>
        <v>32.748281424657534</v>
      </c>
      <c r="Q204" s="89">
        <f>'P&amp;L'!L22</f>
        <v>32.748281424657534</v>
      </c>
      <c r="R204" s="89">
        <f>'P&amp;L'!M22</f>
        <v>32.748281424657534</v>
      </c>
      <c r="S204" s="89">
        <f>'P&amp;L'!N22</f>
        <v>32.748281424657534</v>
      </c>
      <c r="T204" s="89">
        <f>'P&amp;L'!O22</f>
        <v>32.748281424657534</v>
      </c>
      <c r="U204" s="89">
        <f>'P&amp;L'!P22</f>
        <v>32.748281424657534</v>
      </c>
      <c r="V204" s="89">
        <f>'P&amp;L'!Q22</f>
        <v>32.748281424657534</v>
      </c>
      <c r="W204" s="89">
        <f>'P&amp;L'!R22</f>
        <v>32.748281424657534</v>
      </c>
      <c r="X204" s="89">
        <f>'P&amp;L'!S22</f>
        <v>32.748281424657534</v>
      </c>
      <c r="Y204" s="89">
        <f>'P&amp;L'!T22</f>
        <v>32.748281424657534</v>
      </c>
      <c r="Z204" s="89">
        <f>'P&amp;L'!U22</f>
        <v>32.748281424657534</v>
      </c>
      <c r="AA204" s="89">
        <f>'P&amp;L'!V22</f>
        <v>32.748281424657534</v>
      </c>
      <c r="AB204" s="89">
        <f>'P&amp;L'!W22</f>
        <v>32.748281424657534</v>
      </c>
      <c r="AC204" s="89">
        <f>'P&amp;L'!X22</f>
        <v>32.748281424657534</v>
      </c>
    </row>
    <row r="205" spans="1:29" s="234" customFormat="1">
      <c r="C205" s="933" t="s">
        <v>343</v>
      </c>
      <c r="D205" s="92"/>
      <c r="E205" s="92"/>
      <c r="F205" s="92"/>
      <c r="G205" s="186"/>
      <c r="H205" s="186"/>
      <c r="I205" s="184"/>
      <c r="J205" s="184">
        <f>'P&amp;L'!E63</f>
        <v>0</v>
      </c>
      <c r="K205" s="1034">
        <f>'P&amp;L'!F63</f>
        <v>0</v>
      </c>
      <c r="L205" s="1051">
        <f>'P&amp;L'!G63</f>
        <v>0</v>
      </c>
      <c r="M205" s="184">
        <f>'P&amp;L'!H63</f>
        <v>0</v>
      </c>
      <c r="N205" s="184">
        <f>'P&amp;L'!I63</f>
        <v>0</v>
      </c>
      <c r="O205" s="184">
        <f>'P&amp;L'!J63</f>
        <v>0</v>
      </c>
      <c r="P205" s="184">
        <f>'P&amp;L'!K63</f>
        <v>0</v>
      </c>
      <c r="Q205" s="184">
        <f>'P&amp;L'!L63</f>
        <v>0</v>
      </c>
      <c r="R205" s="184">
        <f>'P&amp;L'!M63</f>
        <v>0</v>
      </c>
      <c r="S205" s="184">
        <f>'P&amp;L'!N63</f>
        <v>0</v>
      </c>
      <c r="T205" s="184">
        <f>'P&amp;L'!O63</f>
        <v>0</v>
      </c>
      <c r="U205" s="184">
        <f>'P&amp;L'!P63</f>
        <v>0</v>
      </c>
      <c r="V205" s="184">
        <f>'P&amp;L'!Q63</f>
        <v>0</v>
      </c>
      <c r="W205" s="184">
        <f>'P&amp;L'!R63</f>
        <v>0</v>
      </c>
      <c r="X205" s="184">
        <f>'P&amp;L'!S63</f>
        <v>0</v>
      </c>
      <c r="Y205" s="184">
        <f>'P&amp;L'!T63</f>
        <v>0</v>
      </c>
      <c r="Z205" s="184">
        <f>'P&amp;L'!U63</f>
        <v>0</v>
      </c>
      <c r="AA205" s="184">
        <f>'P&amp;L'!V63</f>
        <v>0</v>
      </c>
      <c r="AB205" s="184">
        <f>'P&amp;L'!W63</f>
        <v>0</v>
      </c>
      <c r="AC205" s="184">
        <f>'P&amp;L'!X63</f>
        <v>0</v>
      </c>
    </row>
    <row r="206" spans="1:29">
      <c r="C206" s="927"/>
      <c r="D206" s="91"/>
      <c r="E206" s="91"/>
      <c r="F206" s="91"/>
      <c r="G206" s="174"/>
      <c r="H206" s="182"/>
      <c r="I206" s="91"/>
      <c r="J206" s="91"/>
      <c r="K206" s="1033"/>
      <c r="L206" s="242"/>
      <c r="M206" s="91"/>
      <c r="N206" s="91"/>
      <c r="O206" s="91"/>
      <c r="P206" s="91"/>
      <c r="Q206" s="91"/>
      <c r="R206" s="91"/>
      <c r="S206" s="91"/>
      <c r="T206" s="91"/>
      <c r="U206" s="91"/>
      <c r="V206" s="91"/>
      <c r="W206" s="91"/>
      <c r="X206" s="91"/>
      <c r="Y206" s="91"/>
      <c r="Z206" s="91"/>
      <c r="AA206" s="91"/>
      <c r="AB206" s="91"/>
      <c r="AC206" s="91"/>
    </row>
    <row r="207" spans="1:29" s="26" customFormat="1">
      <c r="A207" s="22"/>
      <c r="B207" s="22"/>
      <c r="C207" s="928" t="s">
        <v>213</v>
      </c>
      <c r="D207" s="88" t="e">
        <f>#REF!</f>
        <v>#REF!</v>
      </c>
      <c r="E207" s="88">
        <v>228.15</v>
      </c>
      <c r="F207" s="88">
        <v>212.48</v>
      </c>
      <c r="G207" s="224">
        <v>145.26</v>
      </c>
      <c r="H207" s="224">
        <v>102.76</v>
      </c>
      <c r="I207" s="86"/>
      <c r="J207" s="86">
        <f>'P&amp;L'!E21+SUM('P&amp;L'!E50:E51)</f>
        <v>0</v>
      </c>
      <c r="K207" s="1035">
        <f>'P&amp;L'!F21+SUM('P&amp;L'!F50:F51)</f>
        <v>0</v>
      </c>
      <c r="L207" s="1052">
        <f>'P&amp;L'!G21+SUM('P&amp;L'!G50:G51)</f>
        <v>54.758706139055292</v>
      </c>
      <c r="M207" s="86">
        <f>'P&amp;L'!H21+SUM('P&amp;L'!H50:H51)</f>
        <v>56.15602783897593</v>
      </c>
      <c r="N207" s="86">
        <f>'P&amp;L'!I21+SUM('P&amp;L'!I50:I51)</f>
        <v>60.928892898896571</v>
      </c>
      <c r="O207" s="86">
        <f>'P&amp;L'!J21+SUM('P&amp;L'!J50:J51)</f>
        <v>64.301578145118597</v>
      </c>
      <c r="P207" s="86">
        <f>'P&amp;L'!K21+SUM('P&amp;L'!K50:K51)</f>
        <v>65.358326163943346</v>
      </c>
      <c r="Q207" s="86">
        <f>'P&amp;L'!L21+SUM('P&amp;L'!L50:L51)</f>
        <v>66.415074182768109</v>
      </c>
      <c r="R207" s="86">
        <f>'P&amp;L'!M21+SUM('P&amp;L'!M50:M51)</f>
        <v>66.415074182768109</v>
      </c>
      <c r="S207" s="86">
        <f>'P&amp;L'!N21+SUM('P&amp;L'!N50:N51)</f>
        <v>66.415074182768109</v>
      </c>
      <c r="T207" s="86">
        <f>'P&amp;L'!O21+SUM('P&amp;L'!O50:O51)</f>
        <v>66.415074182768109</v>
      </c>
      <c r="U207" s="86">
        <f>'P&amp;L'!P21+SUM('P&amp;L'!P50:P51)</f>
        <v>66.415074182768109</v>
      </c>
      <c r="V207" s="86">
        <f>'P&amp;L'!Q21+SUM('P&amp;L'!Q50:Q51)</f>
        <v>66.415074182768109</v>
      </c>
      <c r="W207" s="86">
        <f>'P&amp;L'!R21+SUM('P&amp;L'!R50:R51)</f>
        <v>66.415074182768109</v>
      </c>
      <c r="X207" s="86">
        <f>'P&amp;L'!S21+SUM('P&amp;L'!S50:S51)</f>
        <v>66.415074182768109</v>
      </c>
      <c r="Y207" s="86">
        <f>'P&amp;L'!T21+SUM('P&amp;L'!T50:T51)</f>
        <v>66.415074182768109</v>
      </c>
      <c r="Z207" s="86">
        <f>'P&amp;L'!U21+SUM('P&amp;L'!U50:U51)</f>
        <v>66.415074182768109</v>
      </c>
      <c r="AA207" s="86">
        <f>'P&amp;L'!V21+SUM('P&amp;L'!V50:V51)</f>
        <v>66.415074182768109</v>
      </c>
      <c r="AB207" s="86">
        <f>'P&amp;L'!W21+SUM('P&amp;L'!W50:W51)</f>
        <v>66.415074182768109</v>
      </c>
      <c r="AC207" s="86">
        <f>'P&amp;L'!X21+SUM('P&amp;L'!X50:X51)</f>
        <v>66.415074182768109</v>
      </c>
    </row>
    <row r="208" spans="1:29">
      <c r="C208" s="927"/>
      <c r="D208" s="91"/>
      <c r="E208" s="91"/>
      <c r="F208" s="91"/>
      <c r="G208" s="174"/>
      <c r="H208" s="182"/>
      <c r="I208" s="91"/>
      <c r="J208" s="91"/>
      <c r="K208" s="1033"/>
      <c r="L208" s="242"/>
      <c r="M208" s="91"/>
      <c r="N208" s="91"/>
      <c r="O208" s="91"/>
      <c r="P208" s="91"/>
      <c r="Q208" s="91"/>
      <c r="R208" s="91"/>
      <c r="S208" s="91"/>
      <c r="T208" s="91"/>
      <c r="U208" s="91"/>
      <c r="V208" s="91"/>
      <c r="W208" s="91"/>
      <c r="X208" s="91"/>
      <c r="Y208" s="91"/>
      <c r="Z208" s="91"/>
      <c r="AA208" s="91"/>
      <c r="AB208" s="91"/>
      <c r="AC208" s="91"/>
    </row>
    <row r="209" spans="1:29" s="26" customFormat="1">
      <c r="A209" s="22"/>
      <c r="B209" s="22"/>
      <c r="C209" s="928" t="s">
        <v>215</v>
      </c>
      <c r="D209" s="88" t="e">
        <f>#REF!</f>
        <v>#REF!</v>
      </c>
      <c r="E209" s="88">
        <v>1654.91</v>
      </c>
      <c r="F209" s="88">
        <v>947.43</v>
      </c>
      <c r="G209" s="224">
        <v>1462.74</v>
      </c>
      <c r="H209" s="224">
        <v>746.6</v>
      </c>
      <c r="I209" s="86"/>
      <c r="J209" s="86">
        <f t="shared" ref="J209:W209" si="97">SUM(J210:J218)</f>
        <v>0</v>
      </c>
      <c r="K209" s="1035">
        <f t="shared" si="97"/>
        <v>0</v>
      </c>
      <c r="L209" s="1052">
        <f t="shared" si="97"/>
        <v>301.34383931517533</v>
      </c>
      <c r="M209" s="86">
        <f t="shared" si="97"/>
        <v>303.42377001934511</v>
      </c>
      <c r="N209" s="86">
        <f t="shared" si="97"/>
        <v>311.0531308820386</v>
      </c>
      <c r="O209" s="86">
        <f t="shared" si="97"/>
        <v>321.12997909806853</v>
      </c>
      <c r="P209" s="86">
        <f t="shared" si="97"/>
        <v>321.46016051507621</v>
      </c>
      <c r="Q209" s="86">
        <f t="shared" si="97"/>
        <v>321.79034193208395</v>
      </c>
      <c r="R209" s="86">
        <f t="shared" si="97"/>
        <v>321.79034193208395</v>
      </c>
      <c r="S209" s="86">
        <f t="shared" si="97"/>
        <v>321.79034193208395</v>
      </c>
      <c r="T209" s="86">
        <f t="shared" si="97"/>
        <v>321.79034193208395</v>
      </c>
      <c r="U209" s="86">
        <f t="shared" si="97"/>
        <v>321.79034193208395</v>
      </c>
      <c r="V209" s="86">
        <f t="shared" si="97"/>
        <v>321.79034193208395</v>
      </c>
      <c r="W209" s="86">
        <f t="shared" si="97"/>
        <v>321.79034193208395</v>
      </c>
      <c r="X209" s="86">
        <f t="shared" ref="X209:AC209" si="98">SUM(X210:X218)</f>
        <v>321.79034193208395</v>
      </c>
      <c r="Y209" s="86">
        <f t="shared" si="98"/>
        <v>321.79034193208395</v>
      </c>
      <c r="Z209" s="86">
        <f t="shared" si="98"/>
        <v>321.79034193208395</v>
      </c>
      <c r="AA209" s="86">
        <f t="shared" si="98"/>
        <v>321.79034193208395</v>
      </c>
      <c r="AB209" s="86">
        <f t="shared" si="98"/>
        <v>321.79034193208395</v>
      </c>
      <c r="AC209" s="86">
        <f t="shared" si="98"/>
        <v>321.79034193208395</v>
      </c>
    </row>
    <row r="210" spans="1:29" s="84" customFormat="1">
      <c r="C210" s="933" t="s">
        <v>216</v>
      </c>
      <c r="D210" s="89">
        <v>443.2</v>
      </c>
      <c r="E210" s="89">
        <v>644.29999999999995</v>
      </c>
      <c r="F210" s="89">
        <v>374.2</v>
      </c>
      <c r="G210" s="185">
        <v>525.20000000000005</v>
      </c>
      <c r="H210" s="186">
        <v>28</v>
      </c>
      <c r="I210" s="89"/>
      <c r="J210" s="89">
        <f>'P&amp;L'!E24</f>
        <v>0</v>
      </c>
      <c r="K210" s="1034">
        <f>'P&amp;L'!F24</f>
        <v>0</v>
      </c>
      <c r="L210" s="1051">
        <f>'P&amp;L'!G24</f>
        <v>299.69293223013676</v>
      </c>
      <c r="M210" s="89">
        <f>'P&amp;L'!H24</f>
        <v>301.44268151729887</v>
      </c>
      <c r="N210" s="89">
        <f>'P&amp;L'!I24</f>
        <v>308.74186096298462</v>
      </c>
      <c r="O210" s="89">
        <f>'P&amp;L'!J24</f>
        <v>318.48852776200681</v>
      </c>
      <c r="P210" s="89">
        <f>'P&amp;L'!K24</f>
        <v>318.48852776200681</v>
      </c>
      <c r="Q210" s="89">
        <f>'P&amp;L'!L24</f>
        <v>318.48852776200681</v>
      </c>
      <c r="R210" s="89">
        <f>'P&amp;L'!M24</f>
        <v>318.48852776200681</v>
      </c>
      <c r="S210" s="89">
        <f>'P&amp;L'!N24</f>
        <v>318.48852776200681</v>
      </c>
      <c r="T210" s="89">
        <f>'P&amp;L'!O24</f>
        <v>318.48852776200681</v>
      </c>
      <c r="U210" s="89">
        <f>'P&amp;L'!P24</f>
        <v>318.48852776200681</v>
      </c>
      <c r="V210" s="89">
        <f>'P&amp;L'!Q24</f>
        <v>318.48852776200681</v>
      </c>
      <c r="W210" s="89">
        <f>'P&amp;L'!R24</f>
        <v>318.48852776200681</v>
      </c>
      <c r="X210" s="89">
        <f>'P&amp;L'!S24</f>
        <v>318.48852776200681</v>
      </c>
      <c r="Y210" s="89">
        <f>'P&amp;L'!T24</f>
        <v>318.48852776200681</v>
      </c>
      <c r="Z210" s="89">
        <f>'P&amp;L'!U24</f>
        <v>318.48852776200681</v>
      </c>
      <c r="AA210" s="89">
        <f>'P&amp;L'!V24</f>
        <v>318.48852776200681</v>
      </c>
      <c r="AB210" s="89">
        <f>'P&amp;L'!W24</f>
        <v>318.48852776200681</v>
      </c>
      <c r="AC210" s="89">
        <f>'P&amp;L'!X24</f>
        <v>318.48852776200681</v>
      </c>
    </row>
    <row r="211" spans="1:29" s="84" customFormat="1">
      <c r="C211" s="933" t="s">
        <v>217</v>
      </c>
      <c r="D211" s="89">
        <v>0</v>
      </c>
      <c r="E211" s="89">
        <v>514.4</v>
      </c>
      <c r="F211" s="89">
        <v>228.7</v>
      </c>
      <c r="G211" s="185">
        <v>617.9</v>
      </c>
      <c r="H211" s="186">
        <v>326.7</v>
      </c>
      <c r="I211" s="89"/>
      <c r="J211" s="89"/>
      <c r="K211" s="1034"/>
      <c r="L211" s="1051"/>
      <c r="M211" s="89"/>
      <c r="N211" s="89"/>
      <c r="O211" s="89"/>
      <c r="P211" s="89"/>
      <c r="Q211" s="89"/>
      <c r="R211" s="89"/>
      <c r="S211" s="89"/>
      <c r="T211" s="89"/>
      <c r="U211" s="89"/>
      <c r="V211" s="89"/>
      <c r="W211" s="89"/>
      <c r="X211" s="89"/>
      <c r="Y211" s="89"/>
      <c r="Z211" s="89"/>
      <c r="AA211" s="89"/>
      <c r="AB211" s="89"/>
      <c r="AC211" s="89"/>
    </row>
    <row r="212" spans="1:29" s="84" customFormat="1">
      <c r="C212" s="933" t="s">
        <v>218</v>
      </c>
      <c r="D212" s="89">
        <v>0</v>
      </c>
      <c r="E212" s="89">
        <v>0</v>
      </c>
      <c r="F212" s="89">
        <v>0</v>
      </c>
      <c r="G212" s="185">
        <v>0</v>
      </c>
      <c r="H212" s="186">
        <v>15.1</v>
      </c>
      <c r="I212" s="89"/>
      <c r="J212" s="89"/>
      <c r="K212" s="1034"/>
      <c r="L212" s="1051"/>
      <c r="M212" s="89"/>
      <c r="N212" s="89"/>
      <c r="O212" s="89"/>
      <c r="P212" s="89"/>
      <c r="Q212" s="89"/>
      <c r="R212" s="89"/>
      <c r="S212" s="89"/>
      <c r="T212" s="89"/>
      <c r="U212" s="89"/>
      <c r="V212" s="89"/>
      <c r="W212" s="89"/>
      <c r="X212" s="89"/>
      <c r="Y212" s="89"/>
      <c r="Z212" s="89"/>
      <c r="AA212" s="89"/>
      <c r="AB212" s="89"/>
      <c r="AC212" s="89"/>
    </row>
    <row r="213" spans="1:29" s="84" customFormat="1">
      <c r="C213" s="933"/>
      <c r="D213" s="89"/>
      <c r="E213" s="89"/>
      <c r="F213" s="89"/>
      <c r="G213" s="185"/>
      <c r="H213" s="186"/>
      <c r="I213" s="89"/>
      <c r="J213" s="89"/>
      <c r="K213" s="1034"/>
      <c r="L213" s="1051"/>
      <c r="M213" s="89"/>
      <c r="N213" s="89"/>
      <c r="O213" s="89"/>
      <c r="P213" s="89"/>
      <c r="Q213" s="89"/>
      <c r="R213" s="89"/>
      <c r="S213" s="89"/>
      <c r="T213" s="89"/>
      <c r="U213" s="89"/>
      <c r="V213" s="89"/>
      <c r="W213" s="89"/>
      <c r="X213" s="89"/>
      <c r="Y213" s="89"/>
      <c r="Z213" s="89"/>
      <c r="AA213" s="89"/>
      <c r="AB213" s="89"/>
      <c r="AC213" s="89"/>
    </row>
    <row r="214" spans="1:29" s="84" customFormat="1" ht="25.5">
      <c r="C214" s="933" t="s">
        <v>333</v>
      </c>
      <c r="D214" s="89">
        <v>492.2</v>
      </c>
      <c r="E214" s="89">
        <v>385.8</v>
      </c>
      <c r="F214" s="89">
        <v>260.2</v>
      </c>
      <c r="G214" s="185">
        <v>203.5</v>
      </c>
      <c r="H214" s="186">
        <v>228.9</v>
      </c>
      <c r="I214" s="89"/>
      <c r="J214" s="89"/>
      <c r="K214" s="1034"/>
      <c r="L214" s="1051"/>
      <c r="M214" s="89"/>
      <c r="N214" s="89"/>
      <c r="O214" s="89"/>
      <c r="P214" s="89"/>
      <c r="Q214" s="89"/>
      <c r="R214" s="89"/>
      <c r="S214" s="89"/>
      <c r="T214" s="89"/>
      <c r="U214" s="89"/>
      <c r="V214" s="89"/>
      <c r="W214" s="89"/>
      <c r="X214" s="89"/>
      <c r="Y214" s="89"/>
      <c r="Z214" s="89"/>
      <c r="AA214" s="89"/>
      <c r="AB214" s="89"/>
      <c r="AC214" s="89"/>
    </row>
    <row r="215" spans="1:29" s="84" customFormat="1">
      <c r="C215" s="933" t="s">
        <v>343</v>
      </c>
      <c r="D215" s="89"/>
      <c r="E215" s="89"/>
      <c r="F215" s="89"/>
      <c r="G215" s="185"/>
      <c r="H215" s="186"/>
      <c r="I215" s="89"/>
      <c r="J215" s="89">
        <f>'P&amp;L'!E64</f>
        <v>0</v>
      </c>
      <c r="K215" s="1034">
        <f>'P&amp;L'!F64</f>
        <v>0</v>
      </c>
      <c r="L215" s="1051">
        <f>'P&amp;L'!G64</f>
        <v>0</v>
      </c>
      <c r="M215" s="89">
        <f>'P&amp;L'!H64</f>
        <v>0</v>
      </c>
      <c r="N215" s="89">
        <f>'P&amp;L'!I64</f>
        <v>0</v>
      </c>
      <c r="O215" s="89">
        <f>'P&amp;L'!J64</f>
        <v>0</v>
      </c>
      <c r="P215" s="89">
        <f>'P&amp;L'!K64</f>
        <v>0</v>
      </c>
      <c r="Q215" s="89">
        <f>'P&amp;L'!L64</f>
        <v>0</v>
      </c>
      <c r="R215" s="89">
        <f>'P&amp;L'!M64</f>
        <v>0</v>
      </c>
      <c r="S215" s="89">
        <f>'P&amp;L'!N64</f>
        <v>0</v>
      </c>
      <c r="T215" s="89">
        <f>'P&amp;L'!O64</f>
        <v>0</v>
      </c>
      <c r="U215" s="89">
        <f>'P&amp;L'!P64</f>
        <v>0</v>
      </c>
      <c r="V215" s="89">
        <f>'P&amp;L'!Q64</f>
        <v>0</v>
      </c>
      <c r="W215" s="89">
        <f>'P&amp;L'!R64</f>
        <v>0</v>
      </c>
      <c r="X215" s="89">
        <f>'P&amp;L'!S64</f>
        <v>0</v>
      </c>
      <c r="Y215" s="89">
        <f>'P&amp;L'!T64</f>
        <v>0</v>
      </c>
      <c r="Z215" s="89">
        <f>'P&amp;L'!U64</f>
        <v>0</v>
      </c>
      <c r="AA215" s="89">
        <f>'P&amp;L'!V64</f>
        <v>0</v>
      </c>
      <c r="AB215" s="89">
        <f>'P&amp;L'!W64</f>
        <v>0</v>
      </c>
      <c r="AC215" s="89">
        <f>'P&amp;L'!X64</f>
        <v>0</v>
      </c>
    </row>
    <row r="216" spans="1:29" s="84" customFormat="1">
      <c r="C216" s="933" t="s">
        <v>214</v>
      </c>
      <c r="D216" s="89">
        <v>41.6</v>
      </c>
      <c r="E216" s="89">
        <v>37.5</v>
      </c>
      <c r="F216" s="89">
        <v>39.1</v>
      </c>
      <c r="G216" s="185">
        <v>53.6</v>
      </c>
      <c r="H216" s="186">
        <v>76.7</v>
      </c>
      <c r="I216" s="89"/>
      <c r="J216" s="89">
        <f>'P&amp;L'!E53</f>
        <v>0</v>
      </c>
      <c r="K216" s="1034">
        <f>'P&amp;L'!F53</f>
        <v>0</v>
      </c>
      <c r="L216" s="1051">
        <f>'P&amp;L'!G53</f>
        <v>1.6509070850385617</v>
      </c>
      <c r="M216" s="89">
        <f>'P&amp;L'!H53</f>
        <v>1.9810885020462738</v>
      </c>
      <c r="N216" s="89">
        <f>'P&amp;L'!I53</f>
        <v>2.3112699190539856</v>
      </c>
      <c r="O216" s="89">
        <f>'P&amp;L'!J53</f>
        <v>2.6414513360616985</v>
      </c>
      <c r="P216" s="89">
        <f>'P&amp;L'!K53</f>
        <v>2.97163275306941</v>
      </c>
      <c r="Q216" s="89">
        <f>'P&amp;L'!L53</f>
        <v>3.3018141700771233</v>
      </c>
      <c r="R216" s="89">
        <f>'P&amp;L'!M53</f>
        <v>3.3018141700771233</v>
      </c>
      <c r="S216" s="89">
        <f>'P&amp;L'!N53</f>
        <v>3.3018141700771233</v>
      </c>
      <c r="T216" s="89">
        <f>'P&amp;L'!O53</f>
        <v>3.3018141700771233</v>
      </c>
      <c r="U216" s="89">
        <f>'P&amp;L'!P53</f>
        <v>3.3018141700771233</v>
      </c>
      <c r="V216" s="89">
        <f>'P&amp;L'!Q53</f>
        <v>3.3018141700771233</v>
      </c>
      <c r="W216" s="89">
        <f>'P&amp;L'!R53</f>
        <v>3.3018141700771233</v>
      </c>
      <c r="X216" s="89">
        <f>'P&amp;L'!S53</f>
        <v>3.3018141700771233</v>
      </c>
      <c r="Y216" s="89">
        <f>'P&amp;L'!T53</f>
        <v>3.3018141700771233</v>
      </c>
      <c r="Z216" s="89">
        <f>'P&amp;L'!U53</f>
        <v>3.3018141700771233</v>
      </c>
      <c r="AA216" s="89">
        <f>'P&amp;L'!V53</f>
        <v>3.3018141700771233</v>
      </c>
      <c r="AB216" s="89">
        <f>'P&amp;L'!W53</f>
        <v>3.3018141700771233</v>
      </c>
      <c r="AC216" s="89">
        <f>'P&amp;L'!X53</f>
        <v>3.3018141700771233</v>
      </c>
    </row>
    <row r="217" spans="1:29" s="84" customFormat="1">
      <c r="C217" s="933" t="s">
        <v>329</v>
      </c>
      <c r="D217" s="89">
        <v>13.1</v>
      </c>
      <c r="E217" s="89">
        <v>22.8</v>
      </c>
      <c r="F217" s="89">
        <v>16.899999999999999</v>
      </c>
      <c r="G217" s="185">
        <v>26.7</v>
      </c>
      <c r="H217" s="186">
        <v>29.3</v>
      </c>
      <c r="I217" s="89"/>
      <c r="J217" s="89"/>
      <c r="K217" s="1034"/>
      <c r="L217" s="1051"/>
      <c r="M217" s="89"/>
      <c r="N217" s="89"/>
      <c r="O217" s="89"/>
      <c r="P217" s="89"/>
      <c r="Q217" s="89"/>
      <c r="R217" s="89"/>
      <c r="S217" s="89"/>
      <c r="T217" s="89"/>
      <c r="U217" s="89"/>
      <c r="V217" s="89"/>
      <c r="W217" s="89"/>
      <c r="X217" s="89"/>
      <c r="Y217" s="89"/>
      <c r="Z217" s="89"/>
      <c r="AA217" s="89"/>
      <c r="AB217" s="89"/>
      <c r="AC217" s="89"/>
    </row>
    <row r="218" spans="1:29" s="84" customFormat="1">
      <c r="C218" s="933" t="s">
        <v>171</v>
      </c>
      <c r="D218" s="92" t="e">
        <f>D209-SUM(D210:D217)</f>
        <v>#REF!</v>
      </c>
      <c r="E218" s="92">
        <f>E209-SUM(E210:E217)</f>
        <v>50.110000000000355</v>
      </c>
      <c r="F218" s="92">
        <f>F209-SUM(F210:F217)</f>
        <v>28.330000000000041</v>
      </c>
      <c r="G218" s="186">
        <f>G209-SUM(G210:G217)</f>
        <v>35.840000000000146</v>
      </c>
      <c r="H218" s="186">
        <f>H209-SUM(H210:H217)</f>
        <v>41.899999999999977</v>
      </c>
      <c r="I218" s="89"/>
      <c r="J218" s="89"/>
      <c r="K218" s="1034"/>
      <c r="L218" s="1051"/>
      <c r="M218" s="89"/>
      <c r="N218" s="89"/>
      <c r="O218" s="89"/>
      <c r="P218" s="89"/>
      <c r="Q218" s="89"/>
      <c r="R218" s="89"/>
      <c r="S218" s="89"/>
      <c r="T218" s="89"/>
      <c r="U218" s="89"/>
      <c r="V218" s="89"/>
      <c r="W218" s="89"/>
      <c r="X218" s="89"/>
      <c r="Y218" s="89"/>
      <c r="Z218" s="89"/>
      <c r="AA218" s="89"/>
      <c r="AB218" s="89"/>
      <c r="AC218" s="89"/>
    </row>
    <row r="219" spans="1:29" s="26" customFormat="1">
      <c r="C219" s="928" t="s">
        <v>179</v>
      </c>
      <c r="D219" s="86"/>
      <c r="E219" s="86">
        <f t="shared" ref="E219:AC219" si="99">E198+E207-E209</f>
        <v>563.22999999999979</v>
      </c>
      <c r="F219" s="86">
        <f t="shared" si="99"/>
        <v>457.35</v>
      </c>
      <c r="G219" s="86">
        <f t="shared" si="99"/>
        <v>380.42000000000007</v>
      </c>
      <c r="H219" s="86">
        <f t="shared" si="99"/>
        <v>187.65999999999997</v>
      </c>
      <c r="I219" s="86"/>
      <c r="J219" s="86">
        <f t="shared" si="99"/>
        <v>0</v>
      </c>
      <c r="K219" s="1035">
        <f t="shared" si="99"/>
        <v>0</v>
      </c>
      <c r="L219" s="1052">
        <f t="shared" si="99"/>
        <v>763.8489521710494</v>
      </c>
      <c r="M219" s="86">
        <f t="shared" si="99"/>
        <v>776.11844942862513</v>
      </c>
      <c r="N219" s="86">
        <f t="shared" si="99"/>
        <v>865.42828815066787</v>
      </c>
      <c r="O219" s="86">
        <f t="shared" si="99"/>
        <v>914.49858070734194</v>
      </c>
      <c r="P219" s="86">
        <f t="shared" si="99"/>
        <v>920.18497545825448</v>
      </c>
      <c r="Q219" s="86">
        <f t="shared" si="99"/>
        <v>925.87137020916725</v>
      </c>
      <c r="R219" s="86">
        <f t="shared" si="99"/>
        <v>925.87137020916725</v>
      </c>
      <c r="S219" s="86">
        <f t="shared" si="99"/>
        <v>925.87137020916725</v>
      </c>
      <c r="T219" s="86">
        <f t="shared" si="99"/>
        <v>925.87137020916725</v>
      </c>
      <c r="U219" s="86">
        <f t="shared" si="99"/>
        <v>925.87137020916725</v>
      </c>
      <c r="V219" s="86">
        <f t="shared" si="99"/>
        <v>925.87137020916725</v>
      </c>
      <c r="W219" s="86">
        <f t="shared" si="99"/>
        <v>925.87137020916725</v>
      </c>
      <c r="X219" s="86">
        <f t="shared" si="99"/>
        <v>925.87137020916725</v>
      </c>
      <c r="Y219" s="86">
        <f t="shared" si="99"/>
        <v>925.87137020916725</v>
      </c>
      <c r="Z219" s="86">
        <f t="shared" si="99"/>
        <v>925.87137020916725</v>
      </c>
      <c r="AA219" s="86">
        <f t="shared" si="99"/>
        <v>925.87137020916725</v>
      </c>
      <c r="AB219" s="86">
        <f t="shared" si="99"/>
        <v>925.87137020916725</v>
      </c>
      <c r="AC219" s="86">
        <f t="shared" si="99"/>
        <v>925.87137020916725</v>
      </c>
    </row>
    <row r="220" spans="1:29">
      <c r="C220" s="927" t="s">
        <v>336</v>
      </c>
      <c r="D220" s="91"/>
      <c r="E220" s="91"/>
      <c r="F220" s="91"/>
      <c r="G220" s="91"/>
      <c r="H220" s="276"/>
      <c r="I220" s="91"/>
      <c r="J220" s="91">
        <f t="shared" ref="J220:AC220" si="100">I220-J88</f>
        <v>0</v>
      </c>
      <c r="K220" s="1033">
        <f t="shared" si="100"/>
        <v>0</v>
      </c>
      <c r="L220" s="242">
        <f t="shared" si="100"/>
        <v>106.51927914862267</v>
      </c>
      <c r="M220" s="91">
        <f t="shared" si="100"/>
        <v>107.95422194479715</v>
      </c>
      <c r="N220" s="91">
        <f t="shared" si="100"/>
        <v>117.64814190327047</v>
      </c>
      <c r="O220" s="91">
        <f t="shared" si="100"/>
        <v>123.56285598054092</v>
      </c>
      <c r="P220" s="91">
        <f t="shared" si="100"/>
        <v>124.16451359733287</v>
      </c>
      <c r="Q220" s="91">
        <f t="shared" si="100"/>
        <v>124.76617121412505</v>
      </c>
      <c r="R220" s="91">
        <f t="shared" si="100"/>
        <v>124.76617121412505</v>
      </c>
      <c r="S220" s="91">
        <f t="shared" si="100"/>
        <v>124.76617121412505</v>
      </c>
      <c r="T220" s="91">
        <f t="shared" si="100"/>
        <v>124.76617121412505</v>
      </c>
      <c r="U220" s="91">
        <f t="shared" si="100"/>
        <v>124.76617121412505</v>
      </c>
      <c r="V220" s="91">
        <f t="shared" si="100"/>
        <v>124.76617121412505</v>
      </c>
      <c r="W220" s="91">
        <f t="shared" si="100"/>
        <v>124.76617121412505</v>
      </c>
      <c r="X220" s="91">
        <f t="shared" si="100"/>
        <v>124.76617121412505</v>
      </c>
      <c r="Y220" s="91">
        <f t="shared" si="100"/>
        <v>124.76617121412505</v>
      </c>
      <c r="Z220" s="91">
        <f t="shared" si="100"/>
        <v>124.76617121412505</v>
      </c>
      <c r="AA220" s="91">
        <f t="shared" si="100"/>
        <v>124.76617121412505</v>
      </c>
      <c r="AB220" s="91">
        <f t="shared" si="100"/>
        <v>124.76617121412505</v>
      </c>
      <c r="AC220" s="91">
        <f t="shared" si="100"/>
        <v>124.76617121412505</v>
      </c>
    </row>
    <row r="221" spans="1:29" s="26" customFormat="1">
      <c r="C221" s="928" t="s">
        <v>337</v>
      </c>
      <c r="D221" s="86"/>
      <c r="E221" s="86"/>
      <c r="F221" s="86"/>
      <c r="G221" s="86"/>
      <c r="H221" s="88"/>
      <c r="I221" s="86"/>
      <c r="J221" s="86">
        <f t="shared" ref="J221:AC221" si="101">J219-J220</f>
        <v>0</v>
      </c>
      <c r="K221" s="1035">
        <f t="shared" si="101"/>
        <v>0</v>
      </c>
      <c r="L221" s="1052">
        <f t="shared" si="101"/>
        <v>657.32967302242673</v>
      </c>
      <c r="M221" s="86">
        <f t="shared" si="101"/>
        <v>668.16422748382797</v>
      </c>
      <c r="N221" s="86">
        <f t="shared" si="101"/>
        <v>747.7801462473974</v>
      </c>
      <c r="O221" s="86">
        <f t="shared" si="101"/>
        <v>790.93572472680103</v>
      </c>
      <c r="P221" s="86">
        <f t="shared" si="101"/>
        <v>796.02046186092161</v>
      </c>
      <c r="Q221" s="86">
        <f t="shared" si="101"/>
        <v>801.1051989950422</v>
      </c>
      <c r="R221" s="86">
        <f t="shared" si="101"/>
        <v>801.1051989950422</v>
      </c>
      <c r="S221" s="86">
        <f t="shared" si="101"/>
        <v>801.1051989950422</v>
      </c>
      <c r="T221" s="86">
        <f t="shared" si="101"/>
        <v>801.1051989950422</v>
      </c>
      <c r="U221" s="86">
        <f t="shared" si="101"/>
        <v>801.1051989950422</v>
      </c>
      <c r="V221" s="86">
        <f t="shared" si="101"/>
        <v>801.1051989950422</v>
      </c>
      <c r="W221" s="86">
        <f t="shared" si="101"/>
        <v>801.1051989950422</v>
      </c>
      <c r="X221" s="86">
        <f t="shared" si="101"/>
        <v>801.1051989950422</v>
      </c>
      <c r="Y221" s="86">
        <f t="shared" si="101"/>
        <v>801.1051989950422</v>
      </c>
      <c r="Z221" s="86">
        <f t="shared" si="101"/>
        <v>801.1051989950422</v>
      </c>
      <c r="AA221" s="86">
        <f t="shared" si="101"/>
        <v>801.1051989950422</v>
      </c>
      <c r="AB221" s="86">
        <f t="shared" si="101"/>
        <v>801.1051989950422</v>
      </c>
      <c r="AC221" s="86">
        <f t="shared" si="101"/>
        <v>801.1051989950422</v>
      </c>
    </row>
    <row r="222" spans="1:29">
      <c r="C222" s="928" t="s">
        <v>355</v>
      </c>
      <c r="D222" s="91"/>
      <c r="E222" s="91"/>
      <c r="F222" s="91"/>
      <c r="G222" s="91"/>
      <c r="H222" s="276"/>
      <c r="I222" s="86"/>
      <c r="J222" s="86">
        <f t="shared" ref="J222:AC222" si="102">SUM(J223:J225)</f>
        <v>0</v>
      </c>
      <c r="K222" s="1035">
        <f t="shared" si="102"/>
        <v>0</v>
      </c>
      <c r="L222" s="1052">
        <f t="shared" si="102"/>
        <v>321.88289576366572</v>
      </c>
      <c r="M222" s="86">
        <f t="shared" si="102"/>
        <v>323.95380416253897</v>
      </c>
      <c r="N222" s="86">
        <f t="shared" si="102"/>
        <v>329.2454596226226</v>
      </c>
      <c r="O222" s="86">
        <f t="shared" si="102"/>
        <v>338.33015759358688</v>
      </c>
      <c r="P222" s="86">
        <f t="shared" si="102"/>
        <v>338.66043100008886</v>
      </c>
      <c r="Q222" s="86">
        <f t="shared" si="102"/>
        <v>338.99070440659085</v>
      </c>
      <c r="R222" s="86">
        <f t="shared" si="102"/>
        <v>338.99070440659085</v>
      </c>
      <c r="S222" s="86">
        <f t="shared" si="102"/>
        <v>338.99070440659085</v>
      </c>
      <c r="T222" s="86">
        <f t="shared" si="102"/>
        <v>338.99070440659085</v>
      </c>
      <c r="U222" s="86">
        <f t="shared" si="102"/>
        <v>338.99070440659085</v>
      </c>
      <c r="V222" s="86">
        <f t="shared" si="102"/>
        <v>338.99070440659085</v>
      </c>
      <c r="W222" s="86">
        <f t="shared" si="102"/>
        <v>338.99070440659085</v>
      </c>
      <c r="X222" s="86">
        <f t="shared" si="102"/>
        <v>338.99070440659085</v>
      </c>
      <c r="Y222" s="86">
        <f t="shared" si="102"/>
        <v>338.99070440659085</v>
      </c>
      <c r="Z222" s="86">
        <f t="shared" si="102"/>
        <v>338.99070440659085</v>
      </c>
      <c r="AA222" s="86">
        <f t="shared" si="102"/>
        <v>338.99070440659085</v>
      </c>
      <c r="AB222" s="86">
        <f t="shared" si="102"/>
        <v>338.99070440659085</v>
      </c>
      <c r="AC222" s="86">
        <f t="shared" si="102"/>
        <v>338.99070440659085</v>
      </c>
    </row>
    <row r="223" spans="1:29">
      <c r="C223" s="927" t="s">
        <v>356</v>
      </c>
      <c r="D223" s="91"/>
      <c r="E223" s="91"/>
      <c r="F223" s="91"/>
      <c r="G223" s="91"/>
      <c r="H223" s="276"/>
      <c r="I223" s="91"/>
      <c r="J223" s="91">
        <f>'P&amp;L'!E25</f>
        <v>0</v>
      </c>
      <c r="K223" s="1033">
        <f>'P&amp;L'!F25</f>
        <v>0</v>
      </c>
      <c r="L223" s="242">
        <f>'P&amp;L'!G25</f>
        <v>316.68621105584867</v>
      </c>
      <c r="M223" s="91">
        <f>'P&amp;L'!H25</f>
        <v>318.32062183542922</v>
      </c>
      <c r="N223" s="91">
        <f>'P&amp;L'!I25</f>
        <v>323.22176055202436</v>
      </c>
      <c r="O223" s="91">
        <f>'P&amp;L'!J25</f>
        <v>331.9761851164867</v>
      </c>
      <c r="P223" s="91">
        <f>'P&amp;L'!K25</f>
        <v>331.9761851164867</v>
      </c>
      <c r="Q223" s="91">
        <f>'P&amp;L'!L25</f>
        <v>331.9761851164867</v>
      </c>
      <c r="R223" s="91">
        <f>'P&amp;L'!M25</f>
        <v>331.9761851164867</v>
      </c>
      <c r="S223" s="91">
        <f>'P&amp;L'!N25</f>
        <v>331.9761851164867</v>
      </c>
      <c r="T223" s="91">
        <f>'P&amp;L'!O25</f>
        <v>331.9761851164867</v>
      </c>
      <c r="U223" s="91">
        <f>'P&amp;L'!P25</f>
        <v>331.9761851164867</v>
      </c>
      <c r="V223" s="91">
        <f>'P&amp;L'!Q25</f>
        <v>331.9761851164867</v>
      </c>
      <c r="W223" s="91">
        <f>'P&amp;L'!R25</f>
        <v>331.9761851164867</v>
      </c>
      <c r="X223" s="91">
        <f>'P&amp;L'!S25</f>
        <v>331.9761851164867</v>
      </c>
      <c r="Y223" s="91">
        <f>'P&amp;L'!T25</f>
        <v>331.9761851164867</v>
      </c>
      <c r="Z223" s="91">
        <f>'P&amp;L'!U25</f>
        <v>331.9761851164867</v>
      </c>
      <c r="AA223" s="91">
        <f>'P&amp;L'!V25</f>
        <v>331.9761851164867</v>
      </c>
      <c r="AB223" s="91">
        <f>'P&amp;L'!W25</f>
        <v>331.9761851164867</v>
      </c>
      <c r="AC223" s="91">
        <f>'P&amp;L'!X25</f>
        <v>331.9761851164867</v>
      </c>
    </row>
    <row r="224" spans="1:29">
      <c r="C224" s="927" t="s">
        <v>357</v>
      </c>
      <c r="D224" s="91"/>
      <c r="E224" s="91"/>
      <c r="F224" s="91"/>
      <c r="G224" s="91"/>
      <c r="H224" s="276"/>
      <c r="I224" s="91"/>
      <c r="J224" s="91">
        <f>'P&amp;L'!E54+'P&amp;L'!E55</f>
        <v>0</v>
      </c>
      <c r="K224" s="1033">
        <f>'P&amp;L'!F54+'P&amp;L'!F55</f>
        <v>0</v>
      </c>
      <c r="L224" s="242">
        <f>'P&amp;L'!G54+'P&amp;L'!G55</f>
        <v>5.1966847078170568</v>
      </c>
      <c r="M224" s="91">
        <f>'P&amp;L'!H54+'P&amp;L'!H55</f>
        <v>5.6331823271097239</v>
      </c>
      <c r="N224" s="91">
        <f>'P&amp;L'!I54+'P&amp;L'!I55</f>
        <v>6.0236990705982159</v>
      </c>
      <c r="O224" s="91">
        <f>'P&amp;L'!J54+'P&amp;L'!J55</f>
        <v>6.3539724771001893</v>
      </c>
      <c r="P224" s="91">
        <f>'P&amp;L'!K54+'P&amp;L'!K55</f>
        <v>6.6842458836021637</v>
      </c>
      <c r="Q224" s="91">
        <f>'P&amp;L'!L54+'P&amp;L'!L55</f>
        <v>7.014519290104138</v>
      </c>
      <c r="R224" s="91">
        <f>'P&amp;L'!M54+'P&amp;L'!M55</f>
        <v>7.014519290104138</v>
      </c>
      <c r="S224" s="91">
        <f>'P&amp;L'!N54+'P&amp;L'!N55</f>
        <v>7.014519290104138</v>
      </c>
      <c r="T224" s="91">
        <f>'P&amp;L'!O54+'P&amp;L'!O55</f>
        <v>7.014519290104138</v>
      </c>
      <c r="U224" s="91">
        <f>'P&amp;L'!P54+'P&amp;L'!P55</f>
        <v>7.014519290104138</v>
      </c>
      <c r="V224" s="91">
        <f>'P&amp;L'!Q54+'P&amp;L'!Q55</f>
        <v>7.014519290104138</v>
      </c>
      <c r="W224" s="91">
        <f>'P&amp;L'!R54+'P&amp;L'!R55</f>
        <v>7.014519290104138</v>
      </c>
      <c r="X224" s="91">
        <f>'P&amp;L'!S54+'P&amp;L'!S55</f>
        <v>7.014519290104138</v>
      </c>
      <c r="Y224" s="91">
        <f>'P&amp;L'!T54+'P&amp;L'!T55</f>
        <v>7.014519290104138</v>
      </c>
      <c r="Z224" s="91">
        <f>'P&amp;L'!U54+'P&amp;L'!U55</f>
        <v>7.014519290104138</v>
      </c>
      <c r="AA224" s="91">
        <f>'P&amp;L'!V54+'P&amp;L'!V55</f>
        <v>7.014519290104138</v>
      </c>
      <c r="AB224" s="91">
        <f>'P&amp;L'!W54+'P&amp;L'!W55</f>
        <v>7.014519290104138</v>
      </c>
      <c r="AC224" s="91">
        <f>'P&amp;L'!X54+'P&amp;L'!X55</f>
        <v>7.014519290104138</v>
      </c>
    </row>
    <row r="225" spans="3:32" ht="25.5">
      <c r="C225" s="927" t="s">
        <v>358</v>
      </c>
      <c r="D225" s="91"/>
      <c r="E225" s="91"/>
      <c r="F225" s="91"/>
      <c r="G225" s="91"/>
      <c r="H225" s="276"/>
      <c r="I225" s="91"/>
      <c r="J225" s="91">
        <f>'P&amp;L'!E65</f>
        <v>0</v>
      </c>
      <c r="K225" s="1033">
        <f>'P&amp;L'!F65</f>
        <v>0</v>
      </c>
      <c r="L225" s="242">
        <f>'P&amp;L'!G65</f>
        <v>0</v>
      </c>
      <c r="M225" s="91">
        <f>'P&amp;L'!H65</f>
        <v>0</v>
      </c>
      <c r="N225" s="91">
        <f>'P&amp;L'!I65</f>
        <v>0</v>
      </c>
      <c r="O225" s="91">
        <f>'P&amp;L'!J65</f>
        <v>0</v>
      </c>
      <c r="P225" s="91">
        <f>'P&amp;L'!K65</f>
        <v>0</v>
      </c>
      <c r="Q225" s="91">
        <f>'P&amp;L'!L65</f>
        <v>0</v>
      </c>
      <c r="R225" s="91">
        <f>'P&amp;L'!M65</f>
        <v>0</v>
      </c>
      <c r="S225" s="91">
        <f>'P&amp;L'!N65</f>
        <v>0</v>
      </c>
      <c r="T225" s="91">
        <f>'P&amp;L'!O65</f>
        <v>0</v>
      </c>
      <c r="U225" s="91">
        <f>'P&amp;L'!P65</f>
        <v>0</v>
      </c>
      <c r="V225" s="91">
        <f>'P&amp;L'!Q65</f>
        <v>0</v>
      </c>
      <c r="W225" s="91">
        <f>'P&amp;L'!R65</f>
        <v>0</v>
      </c>
      <c r="X225" s="91">
        <f>'P&amp;L'!S65</f>
        <v>0</v>
      </c>
      <c r="Y225" s="91">
        <f>'P&amp;L'!T65</f>
        <v>0</v>
      </c>
      <c r="Z225" s="91">
        <f>'P&amp;L'!U65</f>
        <v>0</v>
      </c>
      <c r="AA225" s="91">
        <f>'P&amp;L'!V65</f>
        <v>0</v>
      </c>
      <c r="AB225" s="91">
        <f>'P&amp;L'!W65</f>
        <v>0</v>
      </c>
      <c r="AC225" s="91">
        <f>'P&amp;L'!X65</f>
        <v>0</v>
      </c>
    </row>
    <row r="226" spans="3:32">
      <c r="C226" s="928" t="s">
        <v>359</v>
      </c>
      <c r="D226" s="86"/>
      <c r="E226" s="86"/>
      <c r="F226" s="86"/>
      <c r="G226" s="86"/>
      <c r="H226" s="88"/>
      <c r="I226" s="86"/>
      <c r="J226" s="86">
        <f t="shared" ref="J226:AC226" si="103">SUM(J221,J222)</f>
        <v>0</v>
      </c>
      <c r="K226" s="1035">
        <f t="shared" si="103"/>
        <v>0</v>
      </c>
      <c r="L226" s="1052">
        <f t="shared" si="103"/>
        <v>979.21256878609245</v>
      </c>
      <c r="M226" s="86">
        <f t="shared" si="103"/>
        <v>992.11803164636694</v>
      </c>
      <c r="N226" s="86">
        <f t="shared" si="103"/>
        <v>1077.0256058700199</v>
      </c>
      <c r="O226" s="86">
        <f t="shared" si="103"/>
        <v>1129.2658823203878</v>
      </c>
      <c r="P226" s="86">
        <f t="shared" si="103"/>
        <v>1134.6808928610105</v>
      </c>
      <c r="Q226" s="86">
        <f t="shared" si="103"/>
        <v>1140.095903401633</v>
      </c>
      <c r="R226" s="86">
        <f t="shared" si="103"/>
        <v>1140.095903401633</v>
      </c>
      <c r="S226" s="86">
        <f t="shared" si="103"/>
        <v>1140.095903401633</v>
      </c>
      <c r="T226" s="86">
        <f t="shared" si="103"/>
        <v>1140.095903401633</v>
      </c>
      <c r="U226" s="86">
        <f t="shared" si="103"/>
        <v>1140.095903401633</v>
      </c>
      <c r="V226" s="86">
        <f t="shared" si="103"/>
        <v>1140.095903401633</v>
      </c>
      <c r="W226" s="86">
        <f t="shared" si="103"/>
        <v>1140.095903401633</v>
      </c>
      <c r="X226" s="86">
        <f t="shared" si="103"/>
        <v>1140.095903401633</v>
      </c>
      <c r="Y226" s="86">
        <f t="shared" si="103"/>
        <v>1140.095903401633</v>
      </c>
      <c r="Z226" s="86">
        <f t="shared" si="103"/>
        <v>1140.095903401633</v>
      </c>
      <c r="AA226" s="86">
        <f t="shared" si="103"/>
        <v>1140.095903401633</v>
      </c>
      <c r="AB226" s="86">
        <f t="shared" si="103"/>
        <v>1140.095903401633</v>
      </c>
      <c r="AC226" s="86">
        <f t="shared" si="103"/>
        <v>1140.095903401633</v>
      </c>
      <c r="AD226" s="26"/>
      <c r="AE226" s="26"/>
      <c r="AF226" s="26"/>
    </row>
    <row r="229" spans="3:32">
      <c r="C229" s="940" t="s">
        <v>612</v>
      </c>
      <c r="D229" s="941"/>
      <c r="E229" s="941"/>
      <c r="F229" s="941"/>
      <c r="G229" s="941"/>
      <c r="H229" s="942"/>
      <c r="I229" s="941"/>
      <c r="J229" s="941"/>
      <c r="M229" s="941"/>
      <c r="N229" s="941">
        <v>45</v>
      </c>
      <c r="O229" s="941">
        <v>47.25</v>
      </c>
      <c r="P229" s="941">
        <v>49.612500000000004</v>
      </c>
      <c r="Q229" s="941">
        <v>52.093125000000008</v>
      </c>
      <c r="R229" s="941">
        <v>54.697781250000013</v>
      </c>
      <c r="S229" s="941">
        <v>57.432670312500015</v>
      </c>
      <c r="T229" s="399">
        <v>75</v>
      </c>
      <c r="U229" s="399">
        <v>75</v>
      </c>
      <c r="V229" s="399">
        <v>75</v>
      </c>
      <c r="W229" s="399">
        <v>75</v>
      </c>
      <c r="X229" s="399">
        <v>75</v>
      </c>
      <c r="Y229" s="399">
        <v>75</v>
      </c>
      <c r="Z229" s="399">
        <v>75</v>
      </c>
      <c r="AA229" s="399">
        <v>75</v>
      </c>
      <c r="AB229" s="399">
        <v>75</v>
      </c>
      <c r="AC229" s="399">
        <v>75</v>
      </c>
    </row>
    <row r="230" spans="3:32">
      <c r="N230" s="7">
        <v>30</v>
      </c>
      <c r="O230" s="7">
        <f>N230</f>
        <v>30</v>
      </c>
      <c r="P230" s="7">
        <f t="shared" ref="P230:AC230" si="104">O230</f>
        <v>30</v>
      </c>
      <c r="Q230" s="7">
        <f t="shared" si="104"/>
        <v>30</v>
      </c>
      <c r="R230" s="7">
        <f t="shared" si="104"/>
        <v>30</v>
      </c>
      <c r="S230" s="7">
        <f t="shared" si="104"/>
        <v>30</v>
      </c>
      <c r="T230" s="7">
        <f t="shared" si="104"/>
        <v>30</v>
      </c>
      <c r="U230" s="7">
        <f t="shared" si="104"/>
        <v>30</v>
      </c>
      <c r="V230" s="7">
        <f t="shared" si="104"/>
        <v>30</v>
      </c>
      <c r="W230" s="7">
        <f t="shared" si="104"/>
        <v>30</v>
      </c>
      <c r="X230" s="7">
        <f t="shared" si="104"/>
        <v>30</v>
      </c>
      <c r="Y230" s="7">
        <f t="shared" si="104"/>
        <v>30</v>
      </c>
      <c r="Z230" s="7">
        <f t="shared" si="104"/>
        <v>30</v>
      </c>
      <c r="AA230" s="7">
        <f t="shared" si="104"/>
        <v>30</v>
      </c>
      <c r="AB230" s="7">
        <f t="shared" si="104"/>
        <v>30</v>
      </c>
      <c r="AC230" s="7">
        <f t="shared" si="104"/>
        <v>30</v>
      </c>
    </row>
    <row r="237" spans="3:32">
      <c r="E237" s="49">
        <f t="shared" ref="E237:J237" si="105">E172/E150</f>
        <v>4.6014953665759924E-2</v>
      </c>
      <c r="F237" s="49">
        <f t="shared" si="105"/>
        <v>4.9220088626292464E-2</v>
      </c>
      <c r="G237" s="49">
        <f t="shared" si="105"/>
        <v>3.5582037213071738E-2</v>
      </c>
      <c r="H237" s="1219">
        <f t="shared" si="105"/>
        <v>7.8802754746397127E-2</v>
      </c>
      <c r="I237" s="49">
        <f t="shared" si="105"/>
        <v>6.2790230513546652E-2</v>
      </c>
      <c r="J237" s="49">
        <f t="shared" si="105"/>
        <v>6.4883486516341626E-2</v>
      </c>
      <c r="K237" s="282">
        <f>K172/K150</f>
        <v>2.367818247064157E-2</v>
      </c>
      <c r="L237" s="1220">
        <f t="shared" ref="L237:AC237" si="106">L172/L150</f>
        <v>2.1230394642322757E-2</v>
      </c>
      <c r="M237" s="49">
        <f t="shared" si="106"/>
        <v>2.2494362545139861E-2</v>
      </c>
      <c r="N237" s="49">
        <f t="shared" si="106"/>
        <v>2.2097937830648496E-2</v>
      </c>
      <c r="O237" s="49">
        <f t="shared" si="106"/>
        <v>2.2543051966653155E-2</v>
      </c>
      <c r="P237" s="49">
        <f t="shared" si="106"/>
        <v>2.4083813670366713E-2</v>
      </c>
      <c r="Q237" s="49">
        <f t="shared" si="106"/>
        <v>2.5729943984242824E-2</v>
      </c>
      <c r="R237" s="49">
        <f t="shared" si="106"/>
        <v>2.7531040063139823E-2</v>
      </c>
      <c r="S237" s="49">
        <f t="shared" si="106"/>
        <v>2.9458212867559615E-2</v>
      </c>
      <c r="T237" s="50">
        <f t="shared" si="106"/>
        <v>3.1520287768288788E-2</v>
      </c>
      <c r="U237" s="50">
        <f t="shared" si="106"/>
        <v>3.3726707912069005E-2</v>
      </c>
      <c r="V237" s="50">
        <f t="shared" si="106"/>
        <v>3.6087577465913838E-2</v>
      </c>
      <c r="W237" s="50">
        <f t="shared" si="106"/>
        <v>3.8613707888527811E-2</v>
      </c>
      <c r="X237" s="50">
        <f t="shared" si="106"/>
        <v>4.1316667440724757E-2</v>
      </c>
      <c r="Y237" s="50">
        <f t="shared" si="106"/>
        <v>4.4208834161575492E-2</v>
      </c>
      <c r="Z237" s="50">
        <f t="shared" si="106"/>
        <v>4.7303452552885782E-2</v>
      </c>
      <c r="AA237" s="50">
        <f t="shared" si="106"/>
        <v>5.0614694231587792E-2</v>
      </c>
      <c r="AB237" s="50">
        <f t="shared" si="106"/>
        <v>5.4157722827798939E-2</v>
      </c>
      <c r="AC237" s="50">
        <f t="shared" si="106"/>
        <v>5.794876342574487E-2</v>
      </c>
    </row>
  </sheetData>
  <conditionalFormatting sqref="J115:AC115">
    <cfRule type="cellIs" dxfId="2" priority="4" operator="lessThan">
      <formula>1.1</formula>
    </cfRule>
  </conditionalFormatting>
  <pageMargins left="0.7" right="0.7" top="0.75" bottom="0.75" header="0.3" footer="0.3"/>
  <pageSetup paperSize="9" orientation="portrait"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39"/>
  <sheetViews>
    <sheetView showGridLines="0" topLeftCell="C1" zoomScaleNormal="100" workbookViewId="0">
      <selection activeCell="C1" sqref="A1:XFD1048576"/>
    </sheetView>
  </sheetViews>
  <sheetFormatPr defaultColWidth="0" defaultRowHeight="12.75" zeroHeight="1"/>
  <cols>
    <col min="1" max="2" width="9.140625" style="303" customWidth="1"/>
    <col min="3" max="3" width="40.85546875" style="298" customWidth="1"/>
    <col min="4" max="6" width="9.140625" style="298" hidden="1" customWidth="1"/>
    <col min="7" max="22" width="9.140625" style="298" customWidth="1"/>
    <col min="23" max="32" width="9.140625" style="303" customWidth="1"/>
    <col min="33" max="16384" width="9.140625" style="303" hidden="1"/>
  </cols>
  <sheetData>
    <row r="1" spans="3:22"/>
    <row r="2" spans="3:22" ht="13.5" thickBot="1"/>
    <row r="3" spans="3:22">
      <c r="C3" s="305"/>
      <c r="D3" s="302"/>
      <c r="E3" s="302"/>
      <c r="F3" s="302"/>
      <c r="G3" s="302"/>
      <c r="H3" s="302"/>
      <c r="I3" s="302"/>
      <c r="J3" s="302"/>
      <c r="K3" s="302"/>
      <c r="L3" s="302"/>
      <c r="M3" s="302"/>
      <c r="N3" s="302"/>
      <c r="O3" s="302"/>
      <c r="P3" s="302"/>
      <c r="Q3" s="302"/>
      <c r="R3" s="302"/>
      <c r="S3" s="302"/>
      <c r="T3" s="302"/>
      <c r="U3" s="302"/>
      <c r="V3" s="306"/>
    </row>
    <row r="4" spans="3:22">
      <c r="C4" s="308"/>
      <c r="D4" s="307"/>
      <c r="E4" s="307"/>
      <c r="F4" s="307"/>
      <c r="G4" s="383"/>
      <c r="H4" s="383"/>
      <c r="I4" s="383"/>
      <c r="J4" s="383"/>
      <c r="K4" s="383"/>
      <c r="L4" s="383"/>
      <c r="M4" s="383"/>
      <c r="N4" s="383"/>
      <c r="O4" s="383"/>
      <c r="P4" s="383"/>
      <c r="Q4" s="383"/>
      <c r="R4" s="383"/>
      <c r="S4" s="383"/>
      <c r="T4" s="383"/>
      <c r="U4" s="383"/>
      <c r="V4" s="384"/>
    </row>
    <row r="5" spans="3:22">
      <c r="C5" s="308"/>
      <c r="D5" s="307"/>
      <c r="E5" s="307"/>
      <c r="F5" s="307"/>
      <c r="G5" s="383"/>
      <c r="H5" s="383"/>
      <c r="I5" s="383"/>
      <c r="J5" s="383"/>
      <c r="K5" s="383"/>
      <c r="L5" s="383"/>
      <c r="M5" s="383"/>
      <c r="N5" s="383"/>
      <c r="O5" s="383"/>
      <c r="P5" s="383"/>
      <c r="Q5" s="383"/>
      <c r="R5" s="383"/>
      <c r="S5" s="383"/>
      <c r="T5" s="383"/>
      <c r="U5" s="383"/>
      <c r="V5" s="384"/>
    </row>
    <row r="6" spans="3:22">
      <c r="C6" s="308"/>
      <c r="D6" s="307"/>
      <c r="E6" s="307"/>
      <c r="F6" s="307"/>
      <c r="G6" s="383"/>
      <c r="H6" s="383"/>
      <c r="I6" s="383"/>
      <c r="J6" s="383"/>
      <c r="K6" s="383"/>
      <c r="L6" s="383"/>
      <c r="M6" s="383"/>
      <c r="N6" s="383"/>
      <c r="O6" s="383"/>
      <c r="P6" s="383"/>
      <c r="Q6" s="383"/>
      <c r="R6" s="383"/>
      <c r="S6" s="383"/>
      <c r="T6" s="383"/>
      <c r="U6" s="383"/>
      <c r="V6" s="384"/>
    </row>
    <row r="7" spans="3:22">
      <c r="C7" s="308"/>
      <c r="D7" s="307"/>
      <c r="E7" s="307"/>
      <c r="F7" s="307"/>
      <c r="G7" s="383"/>
      <c r="H7" s="383"/>
      <c r="I7" s="383"/>
      <c r="J7" s="383"/>
      <c r="K7" s="383"/>
      <c r="L7" s="383"/>
      <c r="M7" s="383"/>
      <c r="N7" s="383"/>
      <c r="O7" s="383"/>
      <c r="P7" s="383"/>
      <c r="Q7" s="383"/>
      <c r="R7" s="383"/>
      <c r="S7" s="383"/>
      <c r="T7" s="383"/>
      <c r="U7" s="383"/>
      <c r="V7" s="383"/>
    </row>
    <row r="8" spans="3:22" s="304" customFormat="1">
      <c r="C8" s="309"/>
      <c r="D8" s="310"/>
      <c r="E8" s="310"/>
      <c r="F8" s="310"/>
      <c r="G8" s="385"/>
      <c r="H8" s="385"/>
      <c r="I8" s="385"/>
      <c r="J8" s="385"/>
      <c r="K8" s="385"/>
      <c r="L8" s="385"/>
      <c r="M8" s="385"/>
      <c r="N8" s="385"/>
      <c r="O8" s="385"/>
      <c r="P8" s="385"/>
      <c r="Q8" s="385"/>
      <c r="R8" s="385"/>
      <c r="S8" s="385"/>
      <c r="T8" s="385"/>
      <c r="U8" s="385"/>
      <c r="V8" s="386"/>
    </row>
    <row r="9" spans="3:22">
      <c r="C9" s="390"/>
      <c r="D9" s="307"/>
      <c r="E9" s="307"/>
      <c r="F9" s="307"/>
      <c r="G9" s="383"/>
      <c r="H9" s="383"/>
      <c r="I9" s="383"/>
      <c r="J9" s="383"/>
      <c r="K9" s="383"/>
      <c r="L9" s="383"/>
      <c r="M9" s="383"/>
      <c r="N9" s="383"/>
      <c r="O9" s="383"/>
      <c r="P9" s="383"/>
      <c r="Q9" s="383"/>
      <c r="R9" s="383"/>
      <c r="S9" s="383"/>
      <c r="T9" s="383"/>
      <c r="U9" s="383"/>
      <c r="V9" s="383"/>
    </row>
    <row r="10" spans="3:22" s="387" customFormat="1">
      <c r="C10" s="388"/>
      <c r="D10" s="389"/>
      <c r="E10" s="389"/>
      <c r="F10" s="389"/>
      <c r="G10" s="389"/>
      <c r="H10" s="389"/>
      <c r="I10" s="389"/>
      <c r="J10" s="389"/>
      <c r="K10" s="389"/>
      <c r="L10" s="389"/>
      <c r="M10" s="389"/>
      <c r="N10" s="389"/>
      <c r="O10" s="389"/>
      <c r="P10" s="389"/>
      <c r="Q10" s="389"/>
      <c r="R10" s="389"/>
      <c r="S10" s="389"/>
      <c r="T10" s="389"/>
      <c r="U10" s="389"/>
      <c r="V10" s="389"/>
    </row>
    <row r="11" spans="3:22">
      <c r="C11" s="390"/>
      <c r="D11" s="391"/>
      <c r="E11" s="391"/>
      <c r="F11" s="391"/>
      <c r="G11" s="392"/>
      <c r="H11" s="392"/>
      <c r="I11" s="392"/>
      <c r="J11" s="392"/>
      <c r="K11" s="392"/>
      <c r="L11" s="392"/>
      <c r="M11" s="392"/>
      <c r="N11" s="392"/>
      <c r="O11" s="392"/>
      <c r="P11" s="392"/>
      <c r="Q11" s="392"/>
      <c r="R11" s="392"/>
      <c r="S11" s="392"/>
      <c r="T11" s="392"/>
      <c r="U11" s="392"/>
      <c r="V11" s="392"/>
    </row>
    <row r="12" spans="3:22">
      <c r="C12" s="390"/>
      <c r="D12" s="391"/>
      <c r="E12" s="391"/>
      <c r="F12" s="391"/>
      <c r="G12" s="392"/>
      <c r="H12" s="392"/>
      <c r="I12" s="392"/>
      <c r="J12" s="392"/>
      <c r="K12" s="392"/>
      <c r="L12" s="392"/>
      <c r="M12" s="392"/>
      <c r="N12" s="392"/>
      <c r="O12" s="392"/>
      <c r="P12" s="392"/>
      <c r="Q12" s="392"/>
      <c r="R12" s="392"/>
      <c r="S12" s="392"/>
      <c r="T12" s="392"/>
      <c r="U12" s="392"/>
      <c r="V12" s="392"/>
    </row>
    <row r="13" spans="3:22" s="387" customFormat="1">
      <c r="C13" s="388"/>
      <c r="D13" s="389"/>
      <c r="E13" s="389"/>
      <c r="F13" s="389"/>
      <c r="G13" s="389"/>
      <c r="H13" s="389"/>
      <c r="I13" s="389"/>
      <c r="J13" s="389"/>
      <c r="K13" s="389"/>
      <c r="L13" s="389"/>
      <c r="M13" s="389"/>
      <c r="N13" s="389"/>
      <c r="O13" s="389"/>
      <c r="P13" s="389"/>
      <c r="Q13" s="389"/>
      <c r="R13" s="389"/>
      <c r="S13" s="389"/>
      <c r="T13" s="389"/>
      <c r="U13" s="389"/>
      <c r="V13" s="389"/>
    </row>
    <row r="14" spans="3:22">
      <c r="C14" s="309"/>
      <c r="D14" s="312"/>
      <c r="E14" s="312"/>
      <c r="F14" s="312"/>
      <c r="G14" s="312"/>
      <c r="H14" s="312"/>
      <c r="I14" s="312"/>
      <c r="J14" s="312"/>
      <c r="K14" s="312"/>
      <c r="L14" s="312"/>
      <c r="M14" s="312"/>
      <c r="N14" s="312"/>
      <c r="O14" s="312"/>
      <c r="P14" s="312"/>
      <c r="Q14" s="312"/>
      <c r="R14" s="312"/>
      <c r="S14" s="312"/>
      <c r="T14" s="312"/>
      <c r="U14" s="312"/>
      <c r="V14" s="313"/>
    </row>
    <row r="15" spans="3:22">
      <c r="C15" s="308"/>
      <c r="D15" s="312"/>
      <c r="E15" s="312"/>
      <c r="F15" s="312"/>
      <c r="G15" s="383"/>
      <c r="H15" s="383"/>
      <c r="I15" s="383"/>
      <c r="J15" s="383"/>
      <c r="K15" s="383"/>
      <c r="L15" s="383"/>
      <c r="M15" s="383"/>
      <c r="N15" s="383"/>
      <c r="O15" s="383"/>
      <c r="P15" s="383"/>
      <c r="Q15" s="383"/>
      <c r="R15" s="383"/>
      <c r="S15" s="383"/>
      <c r="T15" s="383"/>
      <c r="U15" s="383"/>
      <c r="V15" s="384"/>
    </row>
    <row r="16" spans="3:22">
      <c r="C16" s="308"/>
      <c r="D16" s="312"/>
      <c r="E16" s="312"/>
      <c r="F16" s="312"/>
      <c r="G16" s="383"/>
      <c r="H16" s="383"/>
      <c r="I16" s="383"/>
      <c r="J16" s="383"/>
      <c r="K16" s="383"/>
      <c r="L16" s="383"/>
      <c r="M16" s="383"/>
      <c r="N16" s="383"/>
      <c r="O16" s="383"/>
      <c r="P16" s="383"/>
      <c r="Q16" s="383"/>
      <c r="R16" s="383"/>
      <c r="S16" s="383"/>
      <c r="T16" s="383"/>
      <c r="U16" s="383"/>
      <c r="V16" s="384"/>
    </row>
    <row r="17" spans="3:22">
      <c r="C17" s="308"/>
      <c r="D17" s="312"/>
      <c r="E17" s="312"/>
      <c r="F17" s="312"/>
      <c r="G17" s="383"/>
      <c r="H17" s="383"/>
      <c r="I17" s="383"/>
      <c r="J17" s="383"/>
      <c r="K17" s="383"/>
      <c r="L17" s="383"/>
      <c r="M17" s="383"/>
      <c r="N17" s="383"/>
      <c r="O17" s="383"/>
      <c r="P17" s="383"/>
      <c r="Q17" s="383"/>
      <c r="R17" s="383"/>
      <c r="S17" s="383"/>
      <c r="T17" s="383"/>
      <c r="U17" s="383"/>
      <c r="V17" s="384"/>
    </row>
    <row r="18" spans="3:22">
      <c r="C18" s="308"/>
      <c r="D18" s="312"/>
      <c r="E18" s="312"/>
      <c r="F18" s="312"/>
      <c r="G18" s="383"/>
      <c r="H18" s="383"/>
      <c r="I18" s="383"/>
      <c r="J18" s="383"/>
      <c r="K18" s="383"/>
      <c r="L18" s="383"/>
      <c r="M18" s="383"/>
      <c r="N18" s="383"/>
      <c r="O18" s="383"/>
      <c r="P18" s="383"/>
      <c r="Q18" s="383"/>
      <c r="R18" s="383"/>
      <c r="S18" s="383"/>
      <c r="T18" s="383"/>
      <c r="U18" s="383"/>
      <c r="V18" s="384"/>
    </row>
    <row r="19" spans="3:22">
      <c r="C19" s="308"/>
      <c r="D19" s="312"/>
      <c r="E19" s="312"/>
      <c r="F19" s="312"/>
      <c r="G19" s="383"/>
      <c r="H19" s="383"/>
      <c r="I19" s="383"/>
      <c r="J19" s="383"/>
      <c r="K19" s="383"/>
      <c r="L19" s="383"/>
      <c r="M19" s="383"/>
      <c r="N19" s="383"/>
      <c r="O19" s="383"/>
      <c r="P19" s="383"/>
      <c r="Q19" s="383"/>
      <c r="R19" s="383"/>
      <c r="S19" s="383"/>
      <c r="T19" s="383"/>
      <c r="U19" s="383"/>
      <c r="V19" s="384"/>
    </row>
    <row r="20" spans="3:22">
      <c r="C20" s="308"/>
      <c r="D20" s="312"/>
      <c r="E20" s="312"/>
      <c r="F20" s="312"/>
      <c r="G20" s="383"/>
      <c r="H20" s="383"/>
      <c r="I20" s="383"/>
      <c r="J20" s="383"/>
      <c r="K20" s="383"/>
      <c r="L20" s="383"/>
      <c r="M20" s="383"/>
      <c r="N20" s="383"/>
      <c r="O20" s="383"/>
      <c r="P20" s="383"/>
      <c r="Q20" s="383"/>
      <c r="R20" s="383"/>
      <c r="S20" s="383"/>
      <c r="T20" s="383"/>
      <c r="U20" s="383"/>
      <c r="V20" s="384"/>
    </row>
    <row r="21" spans="3:22">
      <c r="C21" s="308"/>
      <c r="D21" s="312"/>
      <c r="E21" s="312"/>
      <c r="F21" s="312"/>
      <c r="G21" s="383"/>
      <c r="H21" s="383"/>
      <c r="I21" s="383"/>
      <c r="J21" s="383"/>
      <c r="K21" s="383"/>
      <c r="L21" s="383"/>
      <c r="M21" s="383"/>
      <c r="N21" s="383"/>
      <c r="O21" s="383"/>
      <c r="P21" s="383"/>
      <c r="Q21" s="383"/>
      <c r="R21" s="383"/>
      <c r="S21" s="383"/>
      <c r="T21" s="383"/>
      <c r="U21" s="383"/>
      <c r="V21" s="384"/>
    </row>
    <row r="22" spans="3:22" s="304" customFormat="1">
      <c r="C22" s="311"/>
      <c r="D22" s="314"/>
      <c r="E22" s="314"/>
      <c r="F22" s="314"/>
      <c r="G22" s="385"/>
      <c r="H22" s="385"/>
      <c r="I22" s="385"/>
      <c r="J22" s="385"/>
      <c r="K22" s="385"/>
      <c r="L22" s="385"/>
      <c r="M22" s="385"/>
      <c r="N22" s="385"/>
      <c r="O22" s="385"/>
      <c r="P22" s="385"/>
      <c r="Q22" s="385"/>
      <c r="R22" s="385"/>
      <c r="S22" s="385"/>
      <c r="T22" s="385"/>
      <c r="U22" s="385"/>
      <c r="V22" s="386"/>
    </row>
    <row r="23" spans="3:22">
      <c r="C23" s="308"/>
      <c r="D23" s="312"/>
      <c r="E23" s="312"/>
      <c r="F23" s="312"/>
      <c r="G23" s="383"/>
      <c r="H23" s="383"/>
      <c r="I23" s="383"/>
      <c r="J23" s="383"/>
      <c r="K23" s="383"/>
      <c r="L23" s="383"/>
      <c r="M23" s="383"/>
      <c r="N23" s="383"/>
      <c r="O23" s="383"/>
      <c r="P23" s="383"/>
      <c r="Q23" s="383"/>
      <c r="R23" s="383"/>
      <c r="S23" s="383"/>
      <c r="T23" s="383"/>
      <c r="U23" s="383"/>
      <c r="V23" s="384"/>
    </row>
    <row r="24" spans="3:22">
      <c r="C24" s="308"/>
      <c r="D24" s="312"/>
      <c r="E24" s="312"/>
      <c r="F24" s="312"/>
      <c r="G24" s="383"/>
      <c r="H24" s="383"/>
      <c r="I24" s="383"/>
      <c r="J24" s="383"/>
      <c r="K24" s="383"/>
      <c r="L24" s="383"/>
      <c r="M24" s="383"/>
      <c r="N24" s="383"/>
      <c r="O24" s="383"/>
      <c r="P24" s="383"/>
      <c r="Q24" s="383"/>
      <c r="R24" s="383"/>
      <c r="S24" s="383"/>
      <c r="T24" s="383"/>
      <c r="U24" s="383"/>
      <c r="V24" s="384"/>
    </row>
    <row r="25" spans="3:22" s="304" customFormat="1">
      <c r="C25" s="311"/>
      <c r="D25" s="314"/>
      <c r="E25" s="314"/>
      <c r="F25" s="314"/>
      <c r="G25" s="385"/>
      <c r="H25" s="385"/>
      <c r="I25" s="385"/>
      <c r="J25" s="385"/>
      <c r="K25" s="385"/>
      <c r="L25" s="385"/>
      <c r="M25" s="385"/>
      <c r="N25" s="385"/>
      <c r="O25" s="385"/>
      <c r="P25" s="385"/>
      <c r="Q25" s="385"/>
      <c r="R25" s="385"/>
      <c r="S25" s="385"/>
      <c r="T25" s="385"/>
      <c r="U25" s="385"/>
      <c r="V25" s="386"/>
    </row>
    <row r="26" spans="3:22" s="304" customFormat="1">
      <c r="C26" s="309"/>
      <c r="D26" s="314"/>
      <c r="E26" s="314"/>
      <c r="F26" s="314"/>
      <c r="G26" s="315"/>
      <c r="H26" s="315"/>
      <c r="I26" s="315"/>
      <c r="J26" s="315"/>
      <c r="K26" s="315"/>
      <c r="L26" s="315"/>
      <c r="M26" s="315"/>
      <c r="N26" s="315"/>
      <c r="O26" s="315"/>
      <c r="P26" s="315"/>
      <c r="Q26" s="315"/>
      <c r="R26" s="315"/>
      <c r="S26" s="315"/>
      <c r="T26" s="315"/>
      <c r="U26" s="315"/>
      <c r="V26" s="316"/>
    </row>
    <row r="27" spans="3:22">
      <c r="C27" s="309"/>
      <c r="D27" s="312"/>
      <c r="E27" s="312"/>
      <c r="F27" s="312"/>
      <c r="G27" s="315"/>
      <c r="H27" s="312"/>
      <c r="I27" s="312"/>
      <c r="J27" s="312"/>
      <c r="K27" s="312"/>
      <c r="L27" s="312"/>
      <c r="M27" s="312"/>
      <c r="N27" s="312"/>
      <c r="O27" s="312"/>
      <c r="P27" s="312"/>
      <c r="Q27" s="312"/>
      <c r="R27" s="312"/>
      <c r="S27" s="312"/>
      <c r="T27" s="312"/>
      <c r="U27" s="312"/>
      <c r="V27" s="313"/>
    </row>
    <row r="28" spans="3:22" ht="13.5" thickBot="1">
      <c r="C28" s="317"/>
      <c r="D28" s="318"/>
      <c r="E28" s="318"/>
      <c r="F28" s="318"/>
      <c r="G28" s="319"/>
      <c r="H28" s="318"/>
      <c r="I28" s="318"/>
      <c r="J28" s="318"/>
      <c r="K28" s="318"/>
      <c r="L28" s="318"/>
      <c r="M28" s="318"/>
      <c r="N28" s="318"/>
      <c r="O28" s="318"/>
      <c r="P28" s="318"/>
      <c r="Q28" s="318"/>
      <c r="R28" s="318"/>
      <c r="S28" s="318"/>
      <c r="T28" s="318"/>
      <c r="U28" s="318"/>
      <c r="V28" s="320"/>
    </row>
    <row r="29" spans="3:22">
      <c r="C29" s="300"/>
      <c r="G29" s="301"/>
    </row>
    <row r="30" spans="3:22" ht="13.5" thickBot="1"/>
    <row r="31" spans="3:22" ht="13.5" thickBot="1">
      <c r="C31" s="321"/>
      <c r="D31" s="322"/>
      <c r="E31" s="322"/>
      <c r="F31" s="322"/>
      <c r="G31" s="323"/>
      <c r="H31" s="323"/>
      <c r="I31" s="323"/>
      <c r="J31" s="323"/>
      <c r="K31" s="323"/>
      <c r="L31" s="323"/>
      <c r="M31" s="323"/>
      <c r="N31" s="323"/>
      <c r="O31" s="323"/>
      <c r="P31" s="323"/>
      <c r="Q31" s="323"/>
      <c r="R31" s="323"/>
      <c r="S31" s="323"/>
      <c r="T31" s="323"/>
      <c r="U31" s="323"/>
      <c r="V31" s="324"/>
    </row>
    <row r="32" spans="3:22" s="304" customFormat="1">
      <c r="C32" s="162"/>
      <c r="D32" s="299"/>
      <c r="E32" s="299"/>
      <c r="F32" s="299"/>
      <c r="G32" s="325"/>
      <c r="H32" s="325"/>
      <c r="I32" s="325"/>
      <c r="J32" s="325"/>
      <c r="K32" s="325"/>
      <c r="L32" s="325"/>
      <c r="M32" s="325"/>
      <c r="N32" s="325"/>
      <c r="O32" s="325"/>
      <c r="P32" s="325"/>
      <c r="Q32" s="325"/>
      <c r="R32" s="325"/>
      <c r="S32" s="325"/>
      <c r="T32" s="325"/>
      <c r="U32" s="325"/>
      <c r="V32" s="326"/>
    </row>
    <row r="33" spans="3:22">
      <c r="C33" s="95"/>
      <c r="D33" s="312"/>
      <c r="E33" s="312"/>
      <c r="F33" s="312"/>
      <c r="G33" s="327"/>
      <c r="H33" s="327"/>
      <c r="I33" s="327"/>
      <c r="J33" s="327"/>
      <c r="K33" s="327"/>
      <c r="L33" s="327"/>
      <c r="M33" s="327"/>
      <c r="N33" s="327"/>
      <c r="O33" s="327"/>
      <c r="P33" s="327"/>
      <c r="Q33" s="327"/>
      <c r="R33" s="327"/>
      <c r="S33" s="327"/>
      <c r="T33" s="327"/>
      <c r="U33" s="327"/>
      <c r="V33" s="328"/>
    </row>
    <row r="34" spans="3:22">
      <c r="C34" s="95"/>
      <c r="D34" s="312"/>
      <c r="E34" s="312"/>
      <c r="F34" s="312"/>
      <c r="G34" s="327"/>
      <c r="H34" s="327"/>
      <c r="I34" s="327"/>
      <c r="J34" s="327"/>
      <c r="K34" s="327"/>
      <c r="L34" s="327"/>
      <c r="M34" s="327"/>
      <c r="N34" s="327"/>
      <c r="O34" s="327"/>
      <c r="P34" s="327"/>
      <c r="Q34" s="327"/>
      <c r="R34" s="327"/>
      <c r="S34" s="327"/>
      <c r="T34" s="327"/>
      <c r="U34" s="327"/>
      <c r="V34" s="328"/>
    </row>
    <row r="35" spans="3:22">
      <c r="C35" s="95"/>
      <c r="D35" s="312"/>
      <c r="E35" s="312"/>
      <c r="F35" s="312"/>
      <c r="G35" s="327"/>
      <c r="H35" s="327"/>
      <c r="I35" s="327"/>
      <c r="J35" s="327"/>
      <c r="K35" s="327"/>
      <c r="L35" s="327"/>
      <c r="M35" s="327"/>
      <c r="N35" s="327"/>
      <c r="O35" s="327"/>
      <c r="P35" s="327"/>
      <c r="Q35" s="327"/>
      <c r="R35" s="327"/>
      <c r="S35" s="327"/>
      <c r="T35" s="327"/>
      <c r="U35" s="327"/>
      <c r="V35" s="328"/>
    </row>
    <row r="36" spans="3:22">
      <c r="C36" s="95"/>
      <c r="D36" s="312"/>
      <c r="E36" s="312"/>
      <c r="F36" s="312"/>
      <c r="G36" s="327"/>
      <c r="H36" s="327"/>
      <c r="I36" s="327"/>
      <c r="J36" s="327"/>
      <c r="K36" s="327"/>
      <c r="L36" s="327"/>
      <c r="M36" s="327"/>
      <c r="N36" s="327"/>
      <c r="O36" s="327"/>
      <c r="P36" s="327"/>
      <c r="Q36" s="327"/>
      <c r="R36" s="327"/>
      <c r="S36" s="327"/>
      <c r="T36" s="327"/>
      <c r="U36" s="327"/>
      <c r="V36" s="328"/>
    </row>
    <row r="37" spans="3:22">
      <c r="C37" s="95"/>
      <c r="D37" s="312"/>
      <c r="E37" s="312"/>
      <c r="F37" s="312"/>
      <c r="G37" s="327"/>
      <c r="H37" s="327"/>
      <c r="I37" s="327"/>
      <c r="J37" s="327"/>
      <c r="K37" s="327"/>
      <c r="L37" s="327"/>
      <c r="M37" s="327"/>
      <c r="N37" s="327"/>
      <c r="O37" s="327"/>
      <c r="P37" s="327"/>
      <c r="Q37" s="327"/>
      <c r="R37" s="327"/>
      <c r="S37" s="327"/>
      <c r="T37" s="327"/>
      <c r="U37" s="327"/>
      <c r="V37" s="328"/>
    </row>
    <row r="38" spans="3:22">
      <c r="C38" s="95"/>
      <c r="D38" s="312"/>
      <c r="E38" s="312"/>
      <c r="F38" s="312"/>
      <c r="G38" s="327"/>
      <c r="H38" s="327"/>
      <c r="I38" s="327"/>
      <c r="J38" s="327"/>
      <c r="K38" s="327"/>
      <c r="L38" s="327"/>
      <c r="M38" s="327"/>
      <c r="N38" s="327"/>
      <c r="O38" s="327"/>
      <c r="P38" s="327"/>
      <c r="Q38" s="327"/>
      <c r="R38" s="327"/>
      <c r="S38" s="327"/>
      <c r="T38" s="327"/>
      <c r="U38" s="327"/>
      <c r="V38" s="328"/>
    </row>
    <row r="39" spans="3:22">
      <c r="C39" s="95"/>
      <c r="D39" s="312"/>
      <c r="E39" s="312"/>
      <c r="F39" s="312"/>
      <c r="G39" s="327"/>
      <c r="H39" s="327"/>
      <c r="I39" s="327"/>
      <c r="J39" s="327"/>
      <c r="K39" s="327"/>
      <c r="L39" s="327"/>
      <c r="M39" s="327"/>
      <c r="N39" s="327"/>
      <c r="O39" s="327"/>
      <c r="P39" s="327"/>
      <c r="Q39" s="327"/>
      <c r="R39" s="327"/>
      <c r="S39" s="327"/>
      <c r="T39" s="327"/>
      <c r="U39" s="327"/>
      <c r="V39" s="328"/>
    </row>
    <row r="40" spans="3:22">
      <c r="C40" s="95"/>
      <c r="D40" s="312"/>
      <c r="E40" s="312"/>
      <c r="F40" s="312"/>
      <c r="G40" s="327"/>
      <c r="H40" s="327"/>
      <c r="I40" s="327"/>
      <c r="J40" s="327"/>
      <c r="K40" s="327"/>
      <c r="L40" s="327"/>
      <c r="M40" s="327"/>
      <c r="N40" s="327"/>
      <c r="O40" s="327"/>
      <c r="P40" s="327"/>
      <c r="Q40" s="327"/>
      <c r="R40" s="327"/>
      <c r="S40" s="327"/>
      <c r="T40" s="327"/>
      <c r="U40" s="327"/>
      <c r="V40" s="328"/>
    </row>
    <row r="41" spans="3:22">
      <c r="C41" s="95"/>
      <c r="D41" s="312"/>
      <c r="E41" s="312"/>
      <c r="F41" s="312"/>
      <c r="G41" s="327"/>
      <c r="H41" s="327"/>
      <c r="I41" s="327"/>
      <c r="J41" s="327"/>
      <c r="K41" s="327"/>
      <c r="L41" s="327"/>
      <c r="M41" s="327"/>
      <c r="N41" s="327"/>
      <c r="O41" s="327"/>
      <c r="P41" s="327"/>
      <c r="Q41" s="327"/>
      <c r="R41" s="327"/>
      <c r="S41" s="327"/>
      <c r="T41" s="327"/>
      <c r="U41" s="327"/>
      <c r="V41" s="328"/>
    </row>
    <row r="42" spans="3:22">
      <c r="C42" s="95"/>
      <c r="D42" s="312"/>
      <c r="E42" s="312"/>
      <c r="F42" s="312"/>
      <c r="G42" s="327"/>
      <c r="H42" s="327"/>
      <c r="I42" s="327"/>
      <c r="J42" s="327"/>
      <c r="K42" s="327"/>
      <c r="L42" s="327"/>
      <c r="M42" s="327"/>
      <c r="N42" s="327"/>
      <c r="O42" s="327"/>
      <c r="P42" s="327"/>
      <c r="Q42" s="327"/>
      <c r="R42" s="327"/>
      <c r="S42" s="327"/>
      <c r="T42" s="327"/>
      <c r="U42" s="327"/>
      <c r="V42" s="328"/>
    </row>
    <row r="43" spans="3:22">
      <c r="C43" s="95"/>
      <c r="D43" s="312"/>
      <c r="E43" s="312"/>
      <c r="F43" s="312"/>
      <c r="G43" s="327"/>
      <c r="H43" s="327"/>
      <c r="I43" s="327"/>
      <c r="J43" s="327"/>
      <c r="K43" s="327"/>
      <c r="L43" s="327"/>
      <c r="M43" s="327"/>
      <c r="N43" s="327"/>
      <c r="O43" s="327"/>
      <c r="P43" s="327"/>
      <c r="Q43" s="327"/>
      <c r="R43" s="327"/>
      <c r="S43" s="327"/>
      <c r="T43" s="327"/>
      <c r="U43" s="327"/>
      <c r="V43" s="328"/>
    </row>
    <row r="44" spans="3:22">
      <c r="C44" s="95"/>
      <c r="D44" s="312"/>
      <c r="E44" s="312"/>
      <c r="F44" s="312"/>
      <c r="G44" s="327"/>
      <c r="H44" s="327"/>
      <c r="I44" s="327"/>
      <c r="J44" s="327"/>
      <c r="K44" s="327"/>
      <c r="L44" s="327"/>
      <c r="M44" s="327"/>
      <c r="N44" s="327"/>
      <c r="O44" s="327"/>
      <c r="P44" s="327"/>
      <c r="Q44" s="327"/>
      <c r="R44" s="327"/>
      <c r="S44" s="327"/>
      <c r="T44" s="327"/>
      <c r="U44" s="327"/>
      <c r="V44" s="328"/>
    </row>
    <row r="45" spans="3:22" s="304" customFormat="1">
      <c r="C45" s="96"/>
      <c r="D45" s="314"/>
      <c r="E45" s="314"/>
      <c r="F45" s="314"/>
      <c r="G45" s="325"/>
      <c r="H45" s="325"/>
      <c r="I45" s="325"/>
      <c r="J45" s="325"/>
      <c r="K45" s="325"/>
      <c r="L45" s="325"/>
      <c r="M45" s="325"/>
      <c r="N45" s="325"/>
      <c r="O45" s="325"/>
      <c r="P45" s="325"/>
      <c r="Q45" s="325"/>
      <c r="R45" s="325"/>
      <c r="S45" s="325"/>
      <c r="T45" s="325"/>
      <c r="U45" s="325"/>
      <c r="V45" s="326"/>
    </row>
    <row r="46" spans="3:22" ht="12" customHeight="1">
      <c r="C46" s="95"/>
      <c r="D46" s="312"/>
      <c r="E46" s="312"/>
      <c r="F46" s="312"/>
      <c r="G46" s="327"/>
      <c r="H46" s="327"/>
      <c r="I46" s="327"/>
      <c r="J46" s="327"/>
      <c r="K46" s="327"/>
      <c r="L46" s="327"/>
      <c r="M46" s="327"/>
      <c r="N46" s="327"/>
      <c r="O46" s="327"/>
      <c r="P46" s="327"/>
      <c r="Q46" s="327"/>
      <c r="R46" s="327"/>
      <c r="S46" s="327"/>
      <c r="T46" s="327"/>
      <c r="U46" s="327"/>
      <c r="V46" s="328"/>
    </row>
    <row r="47" spans="3:22" hidden="1">
      <c r="C47" s="95"/>
      <c r="D47" s="312"/>
      <c r="E47" s="312"/>
      <c r="F47" s="312"/>
      <c r="G47" s="327"/>
      <c r="H47" s="327"/>
      <c r="I47" s="327"/>
      <c r="J47" s="327"/>
      <c r="K47" s="327"/>
      <c r="L47" s="327"/>
      <c r="M47" s="327"/>
      <c r="N47" s="327"/>
      <c r="O47" s="327"/>
      <c r="P47" s="327"/>
      <c r="Q47" s="327"/>
      <c r="R47" s="327"/>
      <c r="S47" s="327"/>
      <c r="T47" s="327"/>
      <c r="U47" s="327"/>
      <c r="V47" s="328"/>
    </row>
    <row r="48" spans="3:22">
      <c r="C48" s="95"/>
      <c r="D48" s="312"/>
      <c r="E48" s="312"/>
      <c r="F48" s="312"/>
      <c r="G48" s="327"/>
      <c r="H48" s="327"/>
      <c r="I48" s="327"/>
      <c r="J48" s="327"/>
      <c r="K48" s="327"/>
      <c r="L48" s="327"/>
      <c r="M48" s="327"/>
      <c r="N48" s="327"/>
      <c r="O48" s="327"/>
      <c r="P48" s="327"/>
      <c r="Q48" s="327"/>
      <c r="R48" s="327"/>
      <c r="S48" s="327"/>
      <c r="T48" s="327"/>
      <c r="U48" s="327"/>
      <c r="V48" s="328"/>
    </row>
    <row r="49" spans="3:22">
      <c r="C49" s="95"/>
      <c r="D49" s="312"/>
      <c r="E49" s="312"/>
      <c r="F49" s="312"/>
      <c r="G49" s="327"/>
      <c r="H49" s="327"/>
      <c r="I49" s="327"/>
      <c r="J49" s="327"/>
      <c r="K49" s="327"/>
      <c r="L49" s="327"/>
      <c r="M49" s="327"/>
      <c r="N49" s="327"/>
      <c r="O49" s="327"/>
      <c r="P49" s="327"/>
      <c r="Q49" s="327"/>
      <c r="R49" s="327"/>
      <c r="S49" s="327"/>
      <c r="T49" s="327"/>
      <c r="U49" s="327"/>
      <c r="V49" s="328"/>
    </row>
    <row r="50" spans="3:22">
      <c r="C50" s="95"/>
      <c r="D50" s="312"/>
      <c r="E50" s="312"/>
      <c r="F50" s="312"/>
      <c r="G50" s="327"/>
      <c r="H50" s="327"/>
      <c r="I50" s="327"/>
      <c r="J50" s="327"/>
      <c r="K50" s="327"/>
      <c r="L50" s="327"/>
      <c r="M50" s="327"/>
      <c r="N50" s="327"/>
      <c r="O50" s="327"/>
      <c r="P50" s="327"/>
      <c r="Q50" s="327"/>
      <c r="R50" s="327"/>
      <c r="S50" s="327"/>
      <c r="T50" s="327"/>
      <c r="U50" s="327"/>
      <c r="V50" s="328"/>
    </row>
    <row r="51" spans="3:22">
      <c r="C51" s="95"/>
      <c r="D51" s="312"/>
      <c r="E51" s="312"/>
      <c r="F51" s="312"/>
      <c r="G51" s="327"/>
      <c r="H51" s="327"/>
      <c r="I51" s="327"/>
      <c r="J51" s="327"/>
      <c r="K51" s="327"/>
      <c r="L51" s="327"/>
      <c r="M51" s="327"/>
      <c r="N51" s="327"/>
      <c r="O51" s="327"/>
      <c r="P51" s="327"/>
      <c r="Q51" s="327"/>
      <c r="R51" s="327"/>
      <c r="S51" s="327"/>
      <c r="T51" s="327"/>
      <c r="U51" s="327"/>
      <c r="V51" s="328"/>
    </row>
    <row r="52" spans="3:22">
      <c r="C52" s="95"/>
      <c r="D52" s="312"/>
      <c r="E52" s="312"/>
      <c r="F52" s="312"/>
      <c r="G52" s="327"/>
      <c r="H52" s="327"/>
      <c r="I52" s="327"/>
      <c r="J52" s="327"/>
      <c r="K52" s="327"/>
      <c r="L52" s="327"/>
      <c r="M52" s="327"/>
      <c r="N52" s="327"/>
      <c r="O52" s="327"/>
      <c r="P52" s="327"/>
      <c r="Q52" s="327"/>
      <c r="R52" s="327"/>
      <c r="S52" s="327"/>
      <c r="T52" s="327"/>
      <c r="U52" s="327"/>
      <c r="V52" s="328"/>
    </row>
    <row r="53" spans="3:22">
      <c r="C53" s="95"/>
      <c r="D53" s="312"/>
      <c r="E53" s="312"/>
      <c r="F53" s="312"/>
      <c r="G53" s="327"/>
      <c r="H53" s="327"/>
      <c r="I53" s="327"/>
      <c r="J53" s="327"/>
      <c r="K53" s="327"/>
      <c r="L53" s="327"/>
      <c r="M53" s="327"/>
      <c r="N53" s="327"/>
      <c r="O53" s="327"/>
      <c r="P53" s="327"/>
      <c r="Q53" s="327"/>
      <c r="R53" s="327"/>
      <c r="S53" s="327"/>
      <c r="T53" s="327"/>
      <c r="U53" s="327"/>
      <c r="V53" s="328"/>
    </row>
    <row r="54" spans="3:22">
      <c r="C54" s="95"/>
      <c r="D54" s="312"/>
      <c r="E54" s="312"/>
      <c r="F54" s="312"/>
      <c r="G54" s="327"/>
      <c r="H54" s="327"/>
      <c r="I54" s="327"/>
      <c r="J54" s="327"/>
      <c r="K54" s="327"/>
      <c r="L54" s="327"/>
      <c r="M54" s="327"/>
      <c r="N54" s="327"/>
      <c r="O54" s="327"/>
      <c r="P54" s="327"/>
      <c r="Q54" s="327"/>
      <c r="R54" s="327"/>
      <c r="S54" s="327"/>
      <c r="T54" s="327"/>
      <c r="U54" s="327"/>
      <c r="V54" s="328"/>
    </row>
    <row r="55" spans="3:22" s="304" customFormat="1">
      <c r="C55" s="96"/>
      <c r="D55" s="314"/>
      <c r="E55" s="314"/>
      <c r="F55" s="314"/>
      <c r="G55" s="325"/>
      <c r="H55" s="325"/>
      <c r="I55" s="325"/>
      <c r="J55" s="325"/>
      <c r="K55" s="325"/>
      <c r="L55" s="325"/>
      <c r="M55" s="325"/>
      <c r="N55" s="325"/>
      <c r="O55" s="325"/>
      <c r="P55" s="325"/>
      <c r="Q55" s="325"/>
      <c r="R55" s="325"/>
      <c r="S55" s="325"/>
      <c r="T55" s="325"/>
      <c r="U55" s="325"/>
      <c r="V55" s="326"/>
    </row>
    <row r="56" spans="3:22">
      <c r="C56" s="95"/>
      <c r="D56" s="312"/>
      <c r="E56" s="312"/>
      <c r="F56" s="312"/>
      <c r="G56" s="327"/>
      <c r="H56" s="327"/>
      <c r="I56" s="327"/>
      <c r="J56" s="327"/>
      <c r="K56" s="327"/>
      <c r="L56" s="327"/>
      <c r="M56" s="327"/>
      <c r="N56" s="327"/>
      <c r="O56" s="327"/>
      <c r="P56" s="327"/>
      <c r="Q56" s="327"/>
      <c r="R56" s="327"/>
      <c r="S56" s="327"/>
      <c r="T56" s="327"/>
      <c r="U56" s="327"/>
      <c r="V56" s="328"/>
    </row>
    <row r="57" spans="3:22">
      <c r="C57" s="95"/>
      <c r="D57" s="312"/>
      <c r="E57" s="312"/>
      <c r="F57" s="312"/>
      <c r="G57" s="327"/>
      <c r="H57" s="327"/>
      <c r="I57" s="327"/>
      <c r="J57" s="327"/>
      <c r="K57" s="327"/>
      <c r="L57" s="327"/>
      <c r="M57" s="327"/>
      <c r="N57" s="327"/>
      <c r="O57" s="327"/>
      <c r="P57" s="327"/>
      <c r="Q57" s="327"/>
      <c r="R57" s="327"/>
      <c r="S57" s="327"/>
      <c r="T57" s="327"/>
      <c r="U57" s="327"/>
      <c r="V57" s="328"/>
    </row>
    <row r="58" spans="3:22" s="304" customFormat="1">
      <c r="C58" s="96"/>
      <c r="D58" s="314"/>
      <c r="E58" s="314"/>
      <c r="F58" s="314"/>
      <c r="G58" s="325"/>
      <c r="H58" s="325"/>
      <c r="I58" s="325"/>
      <c r="J58" s="325"/>
      <c r="K58" s="325"/>
      <c r="L58" s="325"/>
      <c r="M58" s="325"/>
      <c r="N58" s="325"/>
      <c r="O58" s="325"/>
      <c r="P58" s="325"/>
      <c r="Q58" s="325"/>
      <c r="R58" s="325"/>
      <c r="S58" s="325"/>
      <c r="T58" s="325"/>
      <c r="U58" s="325"/>
      <c r="V58" s="326"/>
    </row>
    <row r="59" spans="3:22">
      <c r="C59" s="95"/>
      <c r="D59" s="312"/>
      <c r="E59" s="312"/>
      <c r="F59" s="312"/>
      <c r="G59" s="327"/>
      <c r="H59" s="327"/>
      <c r="I59" s="327"/>
      <c r="J59" s="327"/>
      <c r="K59" s="327"/>
      <c r="L59" s="327"/>
      <c r="M59" s="327"/>
      <c r="N59" s="327"/>
      <c r="O59" s="327"/>
      <c r="P59" s="327"/>
      <c r="Q59" s="327"/>
      <c r="R59" s="327"/>
      <c r="S59" s="327"/>
      <c r="T59" s="327"/>
      <c r="U59" s="327"/>
      <c r="V59" s="328"/>
    </row>
    <row r="60" spans="3:22">
      <c r="C60" s="95"/>
      <c r="D60" s="312"/>
      <c r="E60" s="312"/>
      <c r="F60" s="312"/>
      <c r="G60" s="327"/>
      <c r="H60" s="327"/>
      <c r="I60" s="327"/>
      <c r="J60" s="327"/>
      <c r="K60" s="327"/>
      <c r="L60" s="327"/>
      <c r="M60" s="327"/>
      <c r="N60" s="327"/>
      <c r="O60" s="327"/>
      <c r="P60" s="327"/>
      <c r="Q60" s="327"/>
      <c r="R60" s="327"/>
      <c r="S60" s="327"/>
      <c r="T60" s="327"/>
      <c r="U60" s="327"/>
      <c r="V60" s="328"/>
    </row>
    <row r="61" spans="3:22">
      <c r="C61" s="95"/>
      <c r="D61" s="312"/>
      <c r="E61" s="312"/>
      <c r="F61" s="312"/>
      <c r="G61" s="327"/>
      <c r="H61" s="327"/>
      <c r="I61" s="327"/>
      <c r="J61" s="327"/>
      <c r="K61" s="327"/>
      <c r="L61" s="327"/>
      <c r="M61" s="327"/>
      <c r="N61" s="327"/>
      <c r="O61" s="327"/>
      <c r="P61" s="327"/>
      <c r="Q61" s="327"/>
      <c r="R61" s="327"/>
      <c r="S61" s="327"/>
      <c r="T61" s="327"/>
      <c r="U61" s="327"/>
      <c r="V61" s="328"/>
    </row>
    <row r="62" spans="3:22">
      <c r="C62" s="95"/>
      <c r="D62" s="312"/>
      <c r="E62" s="312"/>
      <c r="F62" s="312"/>
      <c r="G62" s="327"/>
      <c r="H62" s="327"/>
      <c r="I62" s="327"/>
      <c r="J62" s="327"/>
      <c r="K62" s="327"/>
      <c r="L62" s="327"/>
      <c r="M62" s="327"/>
      <c r="N62" s="327"/>
      <c r="O62" s="327"/>
      <c r="P62" s="327"/>
      <c r="Q62" s="327"/>
      <c r="R62" s="327"/>
      <c r="S62" s="327"/>
      <c r="T62" s="327"/>
      <c r="U62" s="327"/>
      <c r="V62" s="328"/>
    </row>
    <row r="63" spans="3:22" s="304" customFormat="1" ht="13.5" thickBot="1">
      <c r="C63" s="97"/>
      <c r="D63" s="329"/>
      <c r="E63" s="329"/>
      <c r="F63" s="329"/>
      <c r="G63" s="330"/>
      <c r="H63" s="330"/>
      <c r="I63" s="330"/>
      <c r="J63" s="330"/>
      <c r="K63" s="330"/>
      <c r="L63" s="330"/>
      <c r="M63" s="330"/>
      <c r="N63" s="330"/>
      <c r="O63" s="330"/>
      <c r="P63" s="330"/>
      <c r="Q63" s="330"/>
      <c r="R63" s="330"/>
      <c r="S63" s="330"/>
      <c r="T63" s="330"/>
      <c r="U63" s="330"/>
      <c r="V63" s="331"/>
    </row>
    <row r="64" spans="3:22"/>
    <row r="65" spans="3:22"/>
    <row r="66" spans="3:22" ht="13.5" thickBot="1"/>
    <row r="67" spans="3:22">
      <c r="C67" s="321"/>
      <c r="D67" s="323"/>
      <c r="E67" s="323"/>
      <c r="F67" s="323"/>
      <c r="G67" s="323"/>
      <c r="H67" s="323"/>
      <c r="I67" s="323"/>
      <c r="J67" s="323"/>
      <c r="K67" s="323"/>
      <c r="L67" s="323"/>
      <c r="M67" s="323"/>
      <c r="N67" s="323"/>
      <c r="O67" s="323"/>
      <c r="P67" s="323"/>
      <c r="Q67" s="323"/>
      <c r="R67" s="323"/>
      <c r="S67" s="323"/>
      <c r="T67" s="323"/>
      <c r="U67" s="323"/>
      <c r="V67" s="324"/>
    </row>
    <row r="68" spans="3:22">
      <c r="C68" s="95"/>
      <c r="D68" s="332"/>
      <c r="E68" s="332"/>
      <c r="F68" s="332"/>
      <c r="G68" s="332"/>
      <c r="H68" s="332"/>
      <c r="I68" s="332"/>
      <c r="J68" s="332"/>
      <c r="K68" s="332"/>
      <c r="L68" s="332"/>
      <c r="M68" s="332"/>
      <c r="N68" s="332"/>
      <c r="O68" s="332"/>
      <c r="P68" s="332"/>
      <c r="Q68" s="332"/>
      <c r="R68" s="332"/>
      <c r="S68" s="332"/>
      <c r="T68" s="332"/>
      <c r="U68" s="332"/>
      <c r="V68" s="333"/>
    </row>
    <row r="69" spans="3:22" hidden="1">
      <c r="C69" s="95"/>
      <c r="D69" s="332"/>
      <c r="E69" s="332"/>
      <c r="F69" s="332"/>
      <c r="G69" s="332"/>
      <c r="H69" s="332"/>
      <c r="I69" s="332"/>
      <c r="J69" s="332"/>
      <c r="K69" s="332"/>
      <c r="L69" s="332"/>
      <c r="M69" s="332"/>
      <c r="N69" s="332"/>
      <c r="O69" s="332"/>
      <c r="P69" s="332"/>
      <c r="Q69" s="332"/>
      <c r="R69" s="332"/>
      <c r="S69" s="332"/>
      <c r="T69" s="332"/>
      <c r="U69" s="332"/>
      <c r="V69" s="333"/>
    </row>
    <row r="70" spans="3:22" hidden="1">
      <c r="C70" s="95"/>
      <c r="D70" s="332"/>
      <c r="E70" s="332"/>
      <c r="F70" s="332"/>
      <c r="G70" s="332"/>
      <c r="H70" s="332"/>
      <c r="I70" s="332"/>
      <c r="J70" s="332"/>
      <c r="K70" s="332"/>
      <c r="L70" s="332"/>
      <c r="M70" s="332"/>
      <c r="N70" s="332"/>
      <c r="O70" s="332"/>
      <c r="P70" s="332"/>
      <c r="Q70" s="332"/>
      <c r="R70" s="332"/>
      <c r="S70" s="332"/>
      <c r="T70" s="332"/>
      <c r="U70" s="332"/>
      <c r="V70" s="333"/>
    </row>
    <row r="71" spans="3:22">
      <c r="C71" s="95"/>
      <c r="D71" s="332"/>
      <c r="E71" s="332"/>
      <c r="F71" s="332"/>
      <c r="G71" s="332"/>
      <c r="H71" s="332"/>
      <c r="I71" s="332"/>
      <c r="J71" s="332"/>
      <c r="K71" s="332"/>
      <c r="L71" s="332"/>
      <c r="M71" s="332"/>
      <c r="N71" s="332"/>
      <c r="O71" s="332"/>
      <c r="P71" s="332"/>
      <c r="Q71" s="332"/>
      <c r="R71" s="332"/>
      <c r="S71" s="332"/>
      <c r="T71" s="332"/>
      <c r="U71" s="332"/>
      <c r="V71" s="333"/>
    </row>
    <row r="72" spans="3:22" hidden="1">
      <c r="C72" s="95"/>
      <c r="D72" s="332"/>
      <c r="E72" s="332"/>
      <c r="F72" s="332"/>
      <c r="G72" s="332"/>
      <c r="H72" s="332"/>
      <c r="I72" s="332"/>
      <c r="J72" s="332"/>
      <c r="K72" s="332"/>
      <c r="L72" s="332"/>
      <c r="M72" s="332"/>
      <c r="N72" s="332"/>
      <c r="O72" s="332"/>
      <c r="P72" s="332"/>
      <c r="Q72" s="332"/>
      <c r="R72" s="332"/>
      <c r="S72" s="332"/>
      <c r="T72" s="332"/>
      <c r="U72" s="332"/>
      <c r="V72" s="333"/>
    </row>
    <row r="73" spans="3:22" s="304" customFormat="1">
      <c r="C73" s="93"/>
      <c r="D73" s="334"/>
      <c r="E73" s="334"/>
      <c r="F73" s="334"/>
      <c r="G73" s="334"/>
      <c r="H73" s="334"/>
      <c r="I73" s="334"/>
      <c r="J73" s="334"/>
      <c r="K73" s="334"/>
      <c r="L73" s="334"/>
      <c r="M73" s="334"/>
      <c r="N73" s="334"/>
      <c r="O73" s="334"/>
      <c r="P73" s="334"/>
      <c r="Q73" s="334"/>
      <c r="R73" s="334"/>
      <c r="S73" s="334"/>
      <c r="T73" s="334"/>
      <c r="U73" s="334"/>
      <c r="V73" s="335"/>
    </row>
    <row r="74" spans="3:22">
      <c r="C74" s="94"/>
      <c r="D74" s="332"/>
      <c r="E74" s="332"/>
      <c r="F74" s="332"/>
      <c r="G74" s="332"/>
      <c r="H74" s="332"/>
      <c r="I74" s="332"/>
      <c r="J74" s="332"/>
      <c r="K74" s="332"/>
      <c r="L74" s="332"/>
      <c r="M74" s="332"/>
      <c r="N74" s="332"/>
      <c r="O74" s="332"/>
      <c r="P74" s="332"/>
      <c r="Q74" s="332"/>
      <c r="R74" s="332"/>
      <c r="S74" s="332"/>
      <c r="T74" s="332"/>
      <c r="U74" s="332"/>
      <c r="V74" s="333"/>
    </row>
    <row r="75" spans="3:22">
      <c r="C75" s="94"/>
      <c r="D75" s="332"/>
      <c r="E75" s="332"/>
      <c r="F75" s="332"/>
      <c r="G75" s="332"/>
      <c r="H75" s="332"/>
      <c r="I75" s="332"/>
      <c r="J75" s="332"/>
      <c r="K75" s="332"/>
      <c r="L75" s="332"/>
      <c r="M75" s="332"/>
      <c r="N75" s="332"/>
      <c r="O75" s="332"/>
      <c r="P75" s="332"/>
      <c r="Q75" s="332"/>
      <c r="R75" s="332"/>
      <c r="S75" s="332"/>
      <c r="T75" s="332"/>
      <c r="U75" s="332"/>
      <c r="V75" s="333"/>
    </row>
    <row r="76" spans="3:22">
      <c r="C76" s="94"/>
      <c r="D76" s="332"/>
      <c r="E76" s="332"/>
      <c r="F76" s="332"/>
      <c r="G76" s="332"/>
      <c r="H76" s="332"/>
      <c r="I76" s="332"/>
      <c r="J76" s="332"/>
      <c r="K76" s="332"/>
      <c r="L76" s="332"/>
      <c r="M76" s="332"/>
      <c r="N76" s="332"/>
      <c r="O76" s="332"/>
      <c r="P76" s="332"/>
      <c r="Q76" s="332"/>
      <c r="R76" s="332"/>
      <c r="S76" s="332"/>
      <c r="T76" s="332"/>
      <c r="U76" s="332"/>
      <c r="V76" s="333"/>
    </row>
    <row r="77" spans="3:22">
      <c r="C77" s="101"/>
      <c r="D77" s="332"/>
      <c r="E77" s="332"/>
      <c r="F77" s="332"/>
      <c r="G77" s="332"/>
      <c r="H77" s="332"/>
      <c r="I77" s="332"/>
      <c r="J77" s="332"/>
      <c r="K77" s="332"/>
      <c r="L77" s="332"/>
      <c r="M77" s="332"/>
      <c r="N77" s="332"/>
      <c r="O77" s="332"/>
      <c r="P77" s="332"/>
      <c r="Q77" s="332"/>
      <c r="R77" s="332"/>
      <c r="S77" s="332"/>
      <c r="T77" s="332"/>
      <c r="U77" s="332"/>
      <c r="V77" s="333"/>
    </row>
    <row r="78" spans="3:22">
      <c r="C78" s="101"/>
      <c r="D78" s="332"/>
      <c r="E78" s="332"/>
      <c r="F78" s="332"/>
      <c r="G78" s="332"/>
      <c r="H78" s="332"/>
      <c r="I78" s="332"/>
      <c r="J78" s="332"/>
      <c r="K78" s="332"/>
      <c r="L78" s="332"/>
      <c r="M78" s="332"/>
      <c r="N78" s="332"/>
      <c r="O78" s="332"/>
      <c r="P78" s="332"/>
      <c r="Q78" s="332"/>
      <c r="R78" s="332"/>
      <c r="S78" s="332"/>
      <c r="T78" s="332"/>
      <c r="U78" s="332"/>
      <c r="V78" s="333"/>
    </row>
    <row r="79" spans="3:22">
      <c r="C79" s="94"/>
      <c r="D79" s="332"/>
      <c r="E79" s="332"/>
      <c r="F79" s="332"/>
      <c r="G79" s="332"/>
      <c r="H79" s="332"/>
      <c r="I79" s="332"/>
      <c r="J79" s="332"/>
      <c r="K79" s="332"/>
      <c r="L79" s="332"/>
      <c r="M79" s="332"/>
      <c r="N79" s="332"/>
      <c r="O79" s="332"/>
      <c r="P79" s="332"/>
      <c r="Q79" s="332"/>
      <c r="R79" s="332"/>
      <c r="S79" s="332"/>
      <c r="T79" s="332"/>
      <c r="U79" s="332"/>
      <c r="V79" s="333"/>
    </row>
    <row r="80" spans="3:22">
      <c r="C80" s="94"/>
      <c r="D80" s="332"/>
      <c r="E80" s="332"/>
      <c r="F80" s="332"/>
      <c r="G80" s="332"/>
      <c r="H80" s="332"/>
      <c r="I80" s="332"/>
      <c r="J80" s="332"/>
      <c r="K80" s="332"/>
      <c r="L80" s="332"/>
      <c r="M80" s="332"/>
      <c r="N80" s="332"/>
      <c r="O80" s="332"/>
      <c r="P80" s="332"/>
      <c r="Q80" s="332"/>
      <c r="R80" s="332"/>
      <c r="S80" s="332"/>
      <c r="T80" s="332"/>
      <c r="U80" s="332"/>
      <c r="V80" s="333"/>
    </row>
    <row r="81" spans="3:22">
      <c r="C81" s="94"/>
      <c r="D81" s="332"/>
      <c r="E81" s="332"/>
      <c r="F81" s="332"/>
      <c r="G81" s="332"/>
      <c r="H81" s="332"/>
      <c r="I81" s="332"/>
      <c r="J81" s="332"/>
      <c r="K81" s="332"/>
      <c r="L81" s="332"/>
      <c r="M81" s="332"/>
      <c r="N81" s="332"/>
      <c r="O81" s="332"/>
      <c r="P81" s="332"/>
      <c r="Q81" s="332"/>
      <c r="R81" s="332"/>
      <c r="S81" s="332"/>
      <c r="T81" s="332"/>
      <c r="U81" s="332"/>
      <c r="V81" s="332"/>
    </row>
    <row r="82" spans="3:22" s="304" customFormat="1">
      <c r="C82" s="96"/>
      <c r="D82" s="334"/>
      <c r="E82" s="334"/>
      <c r="F82" s="334"/>
      <c r="G82" s="334"/>
      <c r="H82" s="334"/>
      <c r="I82" s="334"/>
      <c r="J82" s="334"/>
      <c r="K82" s="334"/>
      <c r="L82" s="334"/>
      <c r="M82" s="334"/>
      <c r="N82" s="334"/>
      <c r="O82" s="334"/>
      <c r="P82" s="334"/>
      <c r="Q82" s="334"/>
      <c r="R82" s="334"/>
      <c r="S82" s="334"/>
      <c r="T82" s="334"/>
      <c r="U82" s="334"/>
      <c r="V82" s="335"/>
    </row>
    <row r="83" spans="3:22">
      <c r="C83" s="95"/>
      <c r="D83" s="332"/>
      <c r="E83" s="332"/>
      <c r="F83" s="332"/>
      <c r="G83" s="332"/>
      <c r="H83" s="332"/>
      <c r="I83" s="332"/>
      <c r="J83" s="332"/>
      <c r="K83" s="332"/>
      <c r="L83" s="332"/>
      <c r="M83" s="332"/>
      <c r="N83" s="332"/>
      <c r="O83" s="332"/>
      <c r="P83" s="332"/>
      <c r="Q83" s="332"/>
      <c r="R83" s="332"/>
      <c r="S83" s="332"/>
      <c r="T83" s="332"/>
      <c r="U83" s="332"/>
      <c r="V83" s="333"/>
    </row>
    <row r="84" spans="3:22">
      <c r="C84" s="95"/>
      <c r="D84" s="332"/>
      <c r="E84" s="332"/>
      <c r="F84" s="332"/>
      <c r="G84" s="332"/>
      <c r="H84" s="332"/>
      <c r="I84" s="332"/>
      <c r="J84" s="332"/>
      <c r="K84" s="332"/>
      <c r="L84" s="332"/>
      <c r="M84" s="332"/>
      <c r="N84" s="332"/>
      <c r="O84" s="332"/>
      <c r="P84" s="332"/>
      <c r="Q84" s="332"/>
      <c r="R84" s="332"/>
      <c r="S84" s="332"/>
      <c r="T84" s="332"/>
      <c r="U84" s="332"/>
      <c r="V84" s="333"/>
    </row>
    <row r="85" spans="3:22">
      <c r="C85" s="95"/>
      <c r="D85" s="332"/>
      <c r="E85" s="332"/>
      <c r="F85" s="332"/>
      <c r="G85" s="332"/>
      <c r="H85" s="332"/>
      <c r="I85" s="332"/>
      <c r="J85" s="332"/>
      <c r="K85" s="332"/>
      <c r="L85" s="332"/>
      <c r="M85" s="332"/>
      <c r="N85" s="332"/>
      <c r="O85" s="332"/>
      <c r="P85" s="332"/>
      <c r="Q85" s="332"/>
      <c r="R85" s="332"/>
      <c r="S85" s="332"/>
      <c r="T85" s="332"/>
      <c r="U85" s="332"/>
      <c r="V85" s="333"/>
    </row>
    <row r="86" spans="3:22">
      <c r="C86" s="95"/>
      <c r="D86" s="332"/>
      <c r="E86" s="332"/>
      <c r="F86" s="332"/>
      <c r="G86" s="332"/>
      <c r="H86" s="332"/>
      <c r="I86" s="332"/>
      <c r="J86" s="332"/>
      <c r="K86" s="332"/>
      <c r="L86" s="332"/>
      <c r="M86" s="332"/>
      <c r="N86" s="332"/>
      <c r="O86" s="332"/>
      <c r="P86" s="332"/>
      <c r="Q86" s="332"/>
      <c r="R86" s="332"/>
      <c r="S86" s="332"/>
      <c r="T86" s="332"/>
      <c r="U86" s="332"/>
      <c r="V86" s="333"/>
    </row>
    <row r="87" spans="3:22">
      <c r="C87" s="95"/>
      <c r="D87" s="332"/>
      <c r="E87" s="332"/>
      <c r="F87" s="332"/>
      <c r="G87" s="332"/>
      <c r="H87" s="332"/>
      <c r="I87" s="332"/>
      <c r="J87" s="332"/>
      <c r="K87" s="332"/>
      <c r="L87" s="332"/>
      <c r="M87" s="332"/>
      <c r="N87" s="332"/>
      <c r="O87" s="332"/>
      <c r="P87" s="332"/>
      <c r="Q87" s="332"/>
      <c r="R87" s="332"/>
      <c r="S87" s="332"/>
      <c r="T87" s="332"/>
      <c r="U87" s="332"/>
      <c r="V87" s="333"/>
    </row>
    <row r="88" spans="3:22">
      <c r="C88" s="95"/>
      <c r="D88" s="332"/>
      <c r="E88" s="332"/>
      <c r="F88" s="332"/>
      <c r="G88" s="332"/>
      <c r="H88" s="332"/>
      <c r="I88" s="332"/>
      <c r="J88" s="332"/>
      <c r="K88" s="332"/>
      <c r="L88" s="332"/>
      <c r="M88" s="332"/>
      <c r="N88" s="332"/>
      <c r="O88" s="332"/>
      <c r="P88" s="332"/>
      <c r="Q88" s="332"/>
      <c r="R88" s="332"/>
      <c r="S88" s="332"/>
      <c r="T88" s="332"/>
      <c r="U88" s="332"/>
      <c r="V88" s="333"/>
    </row>
    <row r="89" spans="3:22" s="304" customFormat="1">
      <c r="C89" s="96"/>
      <c r="D89" s="334"/>
      <c r="E89" s="334"/>
      <c r="F89" s="334"/>
      <c r="G89" s="334"/>
      <c r="H89" s="334"/>
      <c r="I89" s="334"/>
      <c r="J89" s="334"/>
      <c r="K89" s="334"/>
      <c r="L89" s="334"/>
      <c r="M89" s="334"/>
      <c r="N89" s="334"/>
      <c r="O89" s="334"/>
      <c r="P89" s="334"/>
      <c r="Q89" s="334"/>
      <c r="R89" s="334"/>
      <c r="S89" s="334"/>
      <c r="T89" s="334"/>
      <c r="U89" s="334"/>
      <c r="V89" s="335"/>
    </row>
    <row r="90" spans="3:22">
      <c r="C90" s="95"/>
      <c r="D90" s="332"/>
      <c r="E90" s="332"/>
      <c r="F90" s="332"/>
      <c r="G90" s="332"/>
      <c r="H90" s="332"/>
      <c r="I90" s="332"/>
      <c r="J90" s="332"/>
      <c r="K90" s="332"/>
      <c r="L90" s="332"/>
      <c r="M90" s="332"/>
      <c r="N90" s="332"/>
      <c r="O90" s="332"/>
      <c r="P90" s="332"/>
      <c r="Q90" s="332"/>
      <c r="R90" s="332"/>
      <c r="S90" s="332"/>
      <c r="T90" s="332"/>
      <c r="U90" s="332"/>
      <c r="V90" s="333"/>
    </row>
    <row r="91" spans="3:22" hidden="1">
      <c r="C91" s="95"/>
      <c r="D91" s="332"/>
      <c r="E91" s="332"/>
      <c r="F91" s="332"/>
      <c r="G91" s="332"/>
      <c r="H91" s="332"/>
      <c r="I91" s="332"/>
      <c r="J91" s="332"/>
      <c r="K91" s="332"/>
      <c r="L91" s="332"/>
      <c r="M91" s="332"/>
      <c r="N91" s="332"/>
      <c r="O91" s="332"/>
      <c r="P91" s="332"/>
      <c r="Q91" s="332"/>
      <c r="R91" s="332"/>
      <c r="S91" s="332"/>
      <c r="T91" s="332"/>
      <c r="U91" s="332"/>
      <c r="V91" s="333"/>
    </row>
    <row r="92" spans="3:22">
      <c r="C92" s="95"/>
      <c r="D92" s="332"/>
      <c r="E92" s="332"/>
      <c r="F92" s="332"/>
      <c r="G92" s="332"/>
      <c r="H92" s="332"/>
      <c r="I92" s="332"/>
      <c r="J92" s="332"/>
      <c r="K92" s="332"/>
      <c r="L92" s="332"/>
      <c r="M92" s="332"/>
      <c r="N92" s="332"/>
      <c r="O92" s="332"/>
      <c r="P92" s="332"/>
      <c r="Q92" s="332"/>
      <c r="R92" s="332"/>
      <c r="S92" s="332"/>
      <c r="T92" s="332"/>
      <c r="U92" s="332"/>
      <c r="V92" s="333"/>
    </row>
    <row r="93" spans="3:22" hidden="1">
      <c r="C93" s="95"/>
      <c r="D93" s="332"/>
      <c r="E93" s="332"/>
      <c r="F93" s="332"/>
      <c r="G93" s="332"/>
      <c r="H93" s="332"/>
      <c r="I93" s="332"/>
      <c r="J93" s="332"/>
      <c r="K93" s="332"/>
      <c r="L93" s="332"/>
      <c r="M93" s="332"/>
      <c r="N93" s="332"/>
      <c r="O93" s="332"/>
      <c r="P93" s="332"/>
      <c r="Q93" s="332"/>
      <c r="R93" s="332"/>
      <c r="S93" s="332"/>
      <c r="T93" s="332"/>
      <c r="U93" s="332"/>
      <c r="V93" s="333"/>
    </row>
    <row r="94" spans="3:22">
      <c r="C94" s="95"/>
      <c r="D94" s="332"/>
      <c r="E94" s="332"/>
      <c r="F94" s="332"/>
      <c r="G94" s="332"/>
      <c r="H94" s="332"/>
      <c r="I94" s="332"/>
      <c r="J94" s="332"/>
      <c r="K94" s="332"/>
      <c r="L94" s="332"/>
      <c r="M94" s="332"/>
      <c r="N94" s="332"/>
      <c r="O94" s="332"/>
      <c r="P94" s="332"/>
      <c r="Q94" s="332"/>
      <c r="R94" s="332"/>
      <c r="S94" s="332"/>
      <c r="T94" s="332"/>
      <c r="U94" s="332"/>
      <c r="V94" s="333"/>
    </row>
    <row r="95" spans="3:22">
      <c r="C95" s="95"/>
      <c r="D95" s="332"/>
      <c r="E95" s="332"/>
      <c r="F95" s="332"/>
      <c r="G95" s="332"/>
      <c r="H95" s="332"/>
      <c r="I95" s="332"/>
      <c r="J95" s="332"/>
      <c r="K95" s="332"/>
      <c r="L95" s="332"/>
      <c r="M95" s="332"/>
      <c r="N95" s="332"/>
      <c r="O95" s="332"/>
      <c r="P95" s="332"/>
      <c r="Q95" s="332"/>
      <c r="R95" s="332"/>
      <c r="S95" s="332"/>
      <c r="T95" s="332"/>
      <c r="U95" s="332"/>
      <c r="V95" s="333"/>
    </row>
    <row r="96" spans="3:22">
      <c r="C96" s="95"/>
      <c r="D96" s="332"/>
      <c r="E96" s="332"/>
      <c r="F96" s="332"/>
      <c r="G96" s="332"/>
      <c r="H96" s="332"/>
      <c r="I96" s="332"/>
      <c r="J96" s="332"/>
      <c r="K96" s="332"/>
      <c r="L96" s="332"/>
      <c r="M96" s="332"/>
      <c r="N96" s="332"/>
      <c r="O96" s="332"/>
      <c r="P96" s="332"/>
      <c r="Q96" s="332"/>
      <c r="R96" s="332"/>
      <c r="S96" s="332"/>
      <c r="T96" s="332"/>
      <c r="U96" s="332"/>
      <c r="V96" s="333"/>
    </row>
    <row r="97" spans="3:22">
      <c r="C97" s="95"/>
      <c r="D97" s="332"/>
      <c r="E97" s="332"/>
      <c r="F97" s="332"/>
      <c r="G97" s="332"/>
      <c r="H97" s="332"/>
      <c r="I97" s="332"/>
      <c r="J97" s="332"/>
      <c r="K97" s="332"/>
      <c r="L97" s="332"/>
      <c r="M97" s="332"/>
      <c r="N97" s="332"/>
      <c r="O97" s="332"/>
      <c r="P97" s="332"/>
      <c r="Q97" s="332"/>
      <c r="R97" s="332"/>
      <c r="S97" s="332"/>
      <c r="T97" s="332"/>
      <c r="U97" s="332"/>
      <c r="V97" s="333"/>
    </row>
    <row r="98" spans="3:22" s="304" customFormat="1">
      <c r="C98" s="93"/>
      <c r="D98" s="334"/>
      <c r="E98" s="334"/>
      <c r="F98" s="334"/>
      <c r="G98" s="334"/>
      <c r="H98" s="334"/>
      <c r="I98" s="334"/>
      <c r="J98" s="334"/>
      <c r="K98" s="334"/>
      <c r="L98" s="334"/>
      <c r="M98" s="334"/>
      <c r="N98" s="334"/>
      <c r="O98" s="334"/>
      <c r="P98" s="334"/>
      <c r="Q98" s="334"/>
      <c r="R98" s="334"/>
      <c r="S98" s="334"/>
      <c r="T98" s="334"/>
      <c r="U98" s="334"/>
      <c r="V98" s="335"/>
    </row>
    <row r="99" spans="3:22">
      <c r="C99" s="94"/>
      <c r="D99" s="332"/>
      <c r="E99" s="332"/>
      <c r="F99" s="332"/>
      <c r="G99" s="332"/>
      <c r="H99" s="332"/>
      <c r="I99" s="332"/>
      <c r="J99" s="332"/>
      <c r="K99" s="332"/>
      <c r="L99" s="332"/>
      <c r="M99" s="332"/>
      <c r="N99" s="332"/>
      <c r="O99" s="332"/>
      <c r="P99" s="332"/>
      <c r="Q99" s="332"/>
      <c r="R99" s="332"/>
      <c r="S99" s="332"/>
      <c r="T99" s="332"/>
      <c r="U99" s="332"/>
      <c r="V99" s="333"/>
    </row>
    <row r="100" spans="3:22" hidden="1">
      <c r="C100" s="94"/>
      <c r="D100" s="332"/>
      <c r="E100" s="332"/>
      <c r="F100" s="332"/>
      <c r="G100" s="332"/>
      <c r="H100" s="332"/>
      <c r="I100" s="332"/>
      <c r="J100" s="332"/>
      <c r="K100" s="332"/>
      <c r="L100" s="332"/>
      <c r="M100" s="332"/>
      <c r="N100" s="332"/>
      <c r="O100" s="332"/>
      <c r="P100" s="332"/>
      <c r="Q100" s="332"/>
      <c r="R100" s="332"/>
      <c r="S100" s="332"/>
      <c r="T100" s="332"/>
      <c r="U100" s="332"/>
      <c r="V100" s="333"/>
    </row>
    <row r="101" spans="3:22">
      <c r="C101" s="94"/>
      <c r="D101" s="332"/>
      <c r="E101" s="332"/>
      <c r="F101" s="332"/>
      <c r="G101" s="332"/>
      <c r="H101" s="332"/>
      <c r="I101" s="332"/>
      <c r="J101" s="332"/>
      <c r="K101" s="332"/>
      <c r="L101" s="332"/>
      <c r="M101" s="332"/>
      <c r="N101" s="332"/>
      <c r="O101" s="332"/>
      <c r="P101" s="332"/>
      <c r="Q101" s="332"/>
      <c r="R101" s="332"/>
      <c r="S101" s="332"/>
      <c r="T101" s="332"/>
      <c r="U101" s="332"/>
      <c r="V101" s="333"/>
    </row>
    <row r="102" spans="3:22">
      <c r="C102" s="94"/>
      <c r="D102" s="332"/>
      <c r="E102" s="332"/>
      <c r="F102" s="332"/>
      <c r="G102" s="332"/>
      <c r="H102" s="332"/>
      <c r="I102" s="332"/>
      <c r="J102" s="332"/>
      <c r="K102" s="332"/>
      <c r="L102" s="332"/>
      <c r="M102" s="332"/>
      <c r="N102" s="332"/>
      <c r="O102" s="332"/>
      <c r="P102" s="332"/>
      <c r="Q102" s="332"/>
      <c r="R102" s="332"/>
      <c r="S102" s="332"/>
      <c r="T102" s="332"/>
      <c r="U102" s="332"/>
      <c r="V102" s="333"/>
    </row>
    <row r="103" spans="3:22" hidden="1">
      <c r="C103" s="94"/>
      <c r="D103" s="332"/>
      <c r="E103" s="332"/>
      <c r="F103" s="332"/>
      <c r="G103" s="332"/>
      <c r="H103" s="332"/>
      <c r="I103" s="332"/>
      <c r="J103" s="332"/>
      <c r="K103" s="332"/>
      <c r="L103" s="332"/>
      <c r="M103" s="332"/>
      <c r="N103" s="332"/>
      <c r="O103" s="332"/>
      <c r="P103" s="332"/>
      <c r="Q103" s="332"/>
      <c r="R103" s="332"/>
      <c r="S103" s="332"/>
      <c r="T103" s="332"/>
      <c r="U103" s="332"/>
      <c r="V103" s="333"/>
    </row>
    <row r="104" spans="3:22">
      <c r="C104" s="94"/>
      <c r="D104" s="332"/>
      <c r="E104" s="332"/>
      <c r="F104" s="332"/>
      <c r="G104" s="332"/>
      <c r="H104" s="332"/>
      <c r="I104" s="332"/>
      <c r="J104" s="332"/>
      <c r="K104" s="332"/>
      <c r="L104" s="332"/>
      <c r="M104" s="332"/>
      <c r="N104" s="332"/>
      <c r="O104" s="332"/>
      <c r="P104" s="332"/>
      <c r="Q104" s="332"/>
      <c r="R104" s="332"/>
      <c r="S104" s="332"/>
      <c r="T104" s="332"/>
      <c r="U104" s="332"/>
      <c r="V104" s="333"/>
    </row>
    <row r="105" spans="3:22" s="304" customFormat="1" ht="13.5" thickBot="1">
      <c r="C105" s="97"/>
      <c r="D105" s="336"/>
      <c r="E105" s="336"/>
      <c r="F105" s="336"/>
      <c r="G105" s="336"/>
      <c r="H105" s="336"/>
      <c r="I105" s="336"/>
      <c r="J105" s="336"/>
      <c r="K105" s="336"/>
      <c r="L105" s="336"/>
      <c r="M105" s="336"/>
      <c r="N105" s="336"/>
      <c r="O105" s="336"/>
      <c r="P105" s="336"/>
      <c r="Q105" s="336"/>
      <c r="R105" s="336"/>
      <c r="S105" s="336"/>
      <c r="T105" s="336"/>
      <c r="U105" s="336"/>
      <c r="V105" s="337"/>
    </row>
    <row r="106" spans="3:22"/>
    <row r="107" spans="3:22" ht="13.5" thickBot="1"/>
    <row r="108" spans="3:22">
      <c r="C108" s="321"/>
      <c r="D108" s="323"/>
      <c r="E108" s="323"/>
      <c r="F108" s="323"/>
      <c r="G108" s="323"/>
      <c r="H108" s="323"/>
      <c r="I108" s="323"/>
      <c r="J108" s="323"/>
      <c r="K108" s="323"/>
      <c r="L108" s="323"/>
      <c r="M108" s="323"/>
      <c r="N108" s="323"/>
      <c r="O108" s="323"/>
      <c r="P108" s="323"/>
      <c r="Q108" s="323"/>
      <c r="R108" s="323"/>
      <c r="S108" s="323"/>
      <c r="T108" s="323"/>
      <c r="U108" s="323"/>
      <c r="V108" s="323"/>
    </row>
    <row r="109" spans="3:22">
      <c r="C109" s="176"/>
    </row>
    <row r="110" spans="3:22">
      <c r="C110" s="180"/>
      <c r="D110" s="393"/>
      <c r="E110" s="393"/>
      <c r="F110" s="393"/>
      <c r="G110" s="393"/>
      <c r="H110" s="393"/>
      <c r="I110" s="393"/>
      <c r="J110" s="393"/>
      <c r="K110" s="393"/>
      <c r="L110" s="393"/>
      <c r="M110" s="393"/>
      <c r="N110" s="393"/>
      <c r="O110" s="393"/>
      <c r="P110" s="393"/>
      <c r="Q110" s="393"/>
      <c r="R110" s="393"/>
      <c r="S110" s="393"/>
      <c r="T110" s="393"/>
      <c r="U110" s="393"/>
      <c r="V110" s="393"/>
    </row>
    <row r="111" spans="3:22">
      <c r="C111" s="183"/>
      <c r="D111" s="393"/>
      <c r="E111" s="393"/>
      <c r="F111" s="393"/>
      <c r="G111" s="393"/>
      <c r="H111" s="393"/>
      <c r="I111" s="393"/>
      <c r="J111" s="393"/>
      <c r="K111" s="393"/>
      <c r="L111" s="393"/>
      <c r="M111" s="393"/>
      <c r="N111" s="393"/>
      <c r="O111" s="393"/>
      <c r="P111" s="393"/>
      <c r="Q111" s="393"/>
      <c r="R111" s="393"/>
      <c r="S111" s="393"/>
      <c r="T111" s="393"/>
      <c r="U111" s="393"/>
      <c r="V111" s="393"/>
    </row>
    <row r="112" spans="3:22">
      <c r="C112" s="180"/>
      <c r="D112" s="393"/>
      <c r="E112" s="393"/>
      <c r="F112" s="393"/>
      <c r="G112" s="393"/>
      <c r="H112" s="393"/>
      <c r="I112" s="393"/>
      <c r="J112" s="393"/>
      <c r="K112" s="393"/>
      <c r="L112" s="393"/>
      <c r="M112" s="393"/>
      <c r="N112" s="393"/>
      <c r="O112" s="393"/>
      <c r="P112" s="393"/>
      <c r="Q112" s="393"/>
      <c r="R112" s="393"/>
      <c r="S112" s="393"/>
      <c r="T112" s="393"/>
      <c r="U112" s="393"/>
      <c r="V112" s="393"/>
    </row>
    <row r="113" spans="3:22">
      <c r="C113" s="180"/>
      <c r="D113" s="393"/>
      <c r="E113" s="393"/>
      <c r="F113" s="393"/>
      <c r="G113" s="393"/>
      <c r="H113" s="393"/>
      <c r="I113" s="393"/>
      <c r="J113" s="393"/>
      <c r="K113" s="393"/>
      <c r="L113" s="393"/>
      <c r="M113" s="393"/>
      <c r="N113" s="393"/>
      <c r="O113" s="393"/>
      <c r="P113" s="393"/>
      <c r="Q113" s="393"/>
      <c r="R113" s="393"/>
      <c r="S113" s="393"/>
      <c r="T113" s="393"/>
      <c r="U113" s="393"/>
      <c r="V113" s="393"/>
    </row>
    <row r="114" spans="3:22" hidden="1">
      <c r="C114" s="176"/>
      <c r="D114" s="393"/>
      <c r="E114" s="393"/>
      <c r="F114" s="393"/>
      <c r="G114" s="393"/>
      <c r="H114" s="393"/>
      <c r="I114" s="393"/>
      <c r="J114" s="393"/>
      <c r="K114" s="393"/>
      <c r="L114" s="393"/>
      <c r="M114" s="393"/>
      <c r="N114" s="393"/>
      <c r="O114" s="393"/>
      <c r="P114" s="393"/>
      <c r="Q114" s="393"/>
      <c r="R114" s="393"/>
      <c r="S114" s="393"/>
      <c r="T114" s="393"/>
      <c r="U114" s="393"/>
      <c r="V114" s="393"/>
    </row>
    <row r="115" spans="3:22" hidden="1">
      <c r="C115" s="180"/>
      <c r="D115" s="393"/>
      <c r="E115" s="393"/>
      <c r="F115" s="393"/>
      <c r="G115" s="393"/>
      <c r="H115" s="393"/>
      <c r="I115" s="393"/>
      <c r="J115" s="393"/>
      <c r="K115" s="393"/>
      <c r="L115" s="393"/>
      <c r="M115" s="393"/>
      <c r="N115" s="393"/>
      <c r="O115" s="393"/>
      <c r="P115" s="393"/>
      <c r="Q115" s="393"/>
      <c r="R115" s="393"/>
      <c r="S115" s="393"/>
      <c r="T115" s="393"/>
      <c r="U115" s="393"/>
      <c r="V115" s="393"/>
    </row>
    <row r="116" spans="3:22" hidden="1">
      <c r="C116" s="183"/>
      <c r="D116" s="393"/>
      <c r="E116" s="393"/>
      <c r="F116" s="393"/>
      <c r="G116" s="393"/>
      <c r="H116" s="393"/>
      <c r="I116" s="393"/>
      <c r="J116" s="393"/>
      <c r="K116" s="393"/>
      <c r="L116" s="393"/>
      <c r="M116" s="393"/>
      <c r="N116" s="393"/>
      <c r="O116" s="393"/>
      <c r="P116" s="393"/>
      <c r="Q116" s="393"/>
      <c r="R116" s="393"/>
      <c r="S116" s="393"/>
      <c r="T116" s="393"/>
      <c r="U116" s="393"/>
      <c r="V116" s="393"/>
    </row>
    <row r="117" spans="3:22" hidden="1">
      <c r="C117" s="180"/>
      <c r="D117" s="393"/>
      <c r="E117" s="393"/>
      <c r="F117" s="393"/>
      <c r="G117" s="393"/>
      <c r="H117" s="393"/>
      <c r="I117" s="393"/>
      <c r="J117" s="393"/>
      <c r="K117" s="393"/>
      <c r="L117" s="393"/>
      <c r="M117" s="393"/>
      <c r="N117" s="393"/>
      <c r="O117" s="393"/>
      <c r="P117" s="393"/>
      <c r="Q117" s="393"/>
      <c r="R117" s="393"/>
      <c r="S117" s="393"/>
      <c r="T117" s="393"/>
      <c r="U117" s="393"/>
      <c r="V117" s="393"/>
    </row>
    <row r="118" spans="3:22" hidden="1">
      <c r="C118" s="85"/>
      <c r="D118" s="393"/>
      <c r="E118" s="393"/>
      <c r="F118" s="393"/>
      <c r="G118" s="393"/>
      <c r="H118" s="393"/>
      <c r="I118" s="393"/>
      <c r="J118" s="393"/>
      <c r="K118" s="393"/>
      <c r="L118" s="393"/>
      <c r="M118" s="393"/>
      <c r="N118" s="393"/>
      <c r="O118" s="393"/>
      <c r="P118" s="393"/>
      <c r="Q118" s="393"/>
      <c r="R118" s="393"/>
      <c r="S118" s="393"/>
      <c r="T118" s="393"/>
      <c r="U118" s="393"/>
      <c r="V118" s="393"/>
    </row>
    <row r="119" spans="3:22" hidden="1">
      <c r="C119" s="87"/>
      <c r="D119" s="393"/>
      <c r="E119" s="393"/>
      <c r="F119" s="393"/>
      <c r="G119" s="393"/>
      <c r="H119" s="393"/>
      <c r="I119" s="393"/>
      <c r="J119" s="393"/>
      <c r="K119" s="393"/>
      <c r="L119" s="393"/>
      <c r="M119" s="393"/>
      <c r="N119" s="393"/>
      <c r="O119" s="393"/>
      <c r="P119" s="393"/>
      <c r="Q119" s="393"/>
      <c r="R119" s="393"/>
      <c r="S119" s="393"/>
      <c r="T119" s="393"/>
      <c r="U119" s="393"/>
      <c r="V119" s="393"/>
    </row>
    <row r="120" spans="3:22">
      <c r="C120" s="85"/>
      <c r="D120" s="393"/>
      <c r="E120" s="393"/>
      <c r="F120" s="393"/>
      <c r="G120" s="393"/>
      <c r="H120" s="393"/>
      <c r="I120" s="393"/>
      <c r="J120" s="393"/>
      <c r="K120" s="393"/>
      <c r="L120" s="393"/>
      <c r="M120" s="393"/>
      <c r="N120" s="393"/>
      <c r="O120" s="393"/>
      <c r="P120" s="393"/>
      <c r="Q120" s="393"/>
      <c r="R120" s="393"/>
      <c r="S120" s="393"/>
      <c r="T120" s="393"/>
      <c r="U120" s="393"/>
      <c r="V120" s="393"/>
    </row>
    <row r="121" spans="3:22" s="304" customFormat="1">
      <c r="C121" s="87"/>
      <c r="D121" s="393"/>
      <c r="E121" s="393"/>
      <c r="F121" s="393"/>
      <c r="G121" s="393"/>
      <c r="H121" s="393"/>
      <c r="I121" s="393"/>
      <c r="J121" s="393"/>
      <c r="K121" s="393"/>
      <c r="L121" s="393"/>
      <c r="M121" s="393"/>
      <c r="N121" s="393"/>
      <c r="O121" s="393"/>
      <c r="P121" s="393"/>
      <c r="Q121" s="393"/>
      <c r="R121" s="393"/>
      <c r="S121" s="393"/>
      <c r="T121" s="393"/>
      <c r="U121" s="393"/>
      <c r="V121" s="393"/>
    </row>
    <row r="122" spans="3:22">
      <c r="C122" s="85"/>
      <c r="D122" s="393"/>
      <c r="E122" s="393"/>
      <c r="F122" s="393"/>
      <c r="G122" s="393"/>
      <c r="H122" s="393"/>
      <c r="I122" s="393"/>
      <c r="J122" s="393"/>
      <c r="K122" s="393"/>
      <c r="L122" s="393"/>
      <c r="M122" s="393"/>
      <c r="N122" s="393"/>
      <c r="O122" s="393"/>
      <c r="P122" s="393"/>
      <c r="Q122" s="393"/>
      <c r="R122" s="393"/>
      <c r="S122" s="393"/>
      <c r="T122" s="393"/>
      <c r="U122" s="393"/>
      <c r="V122" s="393"/>
    </row>
    <row r="123" spans="3:22">
      <c r="C123" s="172"/>
      <c r="D123" s="393"/>
      <c r="E123" s="393"/>
      <c r="F123" s="393"/>
      <c r="G123" s="393"/>
      <c r="H123" s="393"/>
      <c r="I123" s="393"/>
      <c r="J123" s="393"/>
      <c r="K123" s="393"/>
      <c r="L123" s="393"/>
      <c r="M123" s="393"/>
      <c r="N123" s="393"/>
      <c r="O123" s="393"/>
      <c r="P123" s="393"/>
      <c r="Q123" s="393"/>
      <c r="R123" s="393"/>
      <c r="S123" s="393"/>
      <c r="T123" s="393"/>
      <c r="U123" s="393"/>
      <c r="V123" s="393"/>
    </row>
    <row r="124" spans="3:22">
      <c r="C124" s="85"/>
      <c r="D124" s="393"/>
      <c r="E124" s="393"/>
      <c r="F124" s="393"/>
      <c r="G124" s="393"/>
      <c r="H124" s="393"/>
      <c r="I124" s="393"/>
      <c r="J124" s="393"/>
      <c r="K124" s="393"/>
      <c r="L124" s="393"/>
      <c r="M124" s="393"/>
      <c r="N124" s="393"/>
      <c r="O124" s="393"/>
      <c r="P124" s="393"/>
      <c r="Q124" s="393"/>
      <c r="R124" s="393"/>
      <c r="S124" s="393"/>
      <c r="T124" s="393"/>
      <c r="U124" s="393"/>
      <c r="V124" s="393"/>
    </row>
    <row r="125" spans="3:22">
      <c r="C125" s="85"/>
      <c r="D125" s="393"/>
      <c r="E125" s="393"/>
      <c r="F125" s="393"/>
      <c r="G125" s="393"/>
      <c r="H125" s="393"/>
      <c r="I125" s="393"/>
      <c r="J125" s="393"/>
      <c r="K125" s="393"/>
      <c r="L125" s="393"/>
      <c r="M125" s="393"/>
      <c r="N125" s="393"/>
      <c r="O125" s="393"/>
      <c r="P125" s="393"/>
      <c r="Q125" s="393"/>
      <c r="R125" s="393"/>
      <c r="S125" s="393"/>
      <c r="T125" s="393"/>
      <c r="U125" s="393"/>
      <c r="V125" s="393"/>
    </row>
    <row r="126" spans="3:22">
      <c r="C126" s="85"/>
      <c r="D126" s="393"/>
      <c r="E126" s="393"/>
      <c r="F126" s="393"/>
      <c r="G126" s="393"/>
      <c r="H126" s="393"/>
      <c r="I126" s="393"/>
      <c r="J126" s="393"/>
      <c r="K126" s="393"/>
      <c r="L126" s="393"/>
      <c r="M126" s="393"/>
      <c r="N126" s="393"/>
      <c r="O126" s="393"/>
      <c r="P126" s="393"/>
      <c r="Q126" s="393"/>
      <c r="R126" s="393"/>
      <c r="S126" s="393"/>
      <c r="T126" s="393"/>
      <c r="U126" s="393"/>
      <c r="V126" s="393"/>
    </row>
    <row r="127" spans="3:22" hidden="1">
      <c r="C127" s="87"/>
      <c r="D127" s="393"/>
      <c r="E127" s="393"/>
      <c r="F127" s="393"/>
      <c r="G127" s="393"/>
      <c r="H127" s="393"/>
      <c r="I127" s="393"/>
      <c r="J127" s="393"/>
      <c r="K127" s="393"/>
      <c r="L127" s="393"/>
      <c r="M127" s="393"/>
      <c r="N127" s="393"/>
      <c r="O127" s="393"/>
      <c r="P127" s="393"/>
      <c r="Q127" s="393"/>
      <c r="R127" s="393"/>
      <c r="S127" s="393"/>
      <c r="T127" s="393"/>
      <c r="U127" s="393"/>
      <c r="V127" s="393"/>
    </row>
    <row r="128" spans="3:22" hidden="1">
      <c r="C128" s="85"/>
      <c r="D128" s="393"/>
      <c r="E128" s="393"/>
      <c r="F128" s="393"/>
      <c r="G128" s="393"/>
      <c r="H128" s="393"/>
      <c r="I128" s="393"/>
      <c r="J128" s="393"/>
      <c r="K128" s="393"/>
      <c r="L128" s="393"/>
      <c r="M128" s="393"/>
      <c r="N128" s="393"/>
      <c r="O128" s="393"/>
      <c r="P128" s="393"/>
      <c r="Q128" s="393"/>
      <c r="R128" s="393"/>
      <c r="S128" s="393"/>
      <c r="T128" s="393"/>
      <c r="U128" s="393"/>
      <c r="V128" s="393"/>
    </row>
    <row r="129" spans="3:22" hidden="1">
      <c r="C129" s="85"/>
      <c r="D129" s="393"/>
      <c r="E129" s="393"/>
      <c r="F129" s="393"/>
      <c r="G129" s="393"/>
      <c r="H129" s="393"/>
      <c r="I129" s="393"/>
      <c r="J129" s="393"/>
      <c r="K129" s="393"/>
      <c r="L129" s="393"/>
      <c r="M129" s="393"/>
      <c r="N129" s="393"/>
      <c r="O129" s="393"/>
      <c r="P129" s="393"/>
      <c r="Q129" s="393"/>
      <c r="R129" s="393"/>
      <c r="S129" s="393"/>
      <c r="T129" s="393"/>
      <c r="U129" s="393"/>
      <c r="V129" s="393"/>
    </row>
    <row r="130" spans="3:22" hidden="1">
      <c r="C130" s="85"/>
      <c r="D130" s="393"/>
      <c r="E130" s="393"/>
      <c r="F130" s="393"/>
      <c r="G130" s="393"/>
      <c r="H130" s="393"/>
      <c r="I130" s="393"/>
      <c r="J130" s="393"/>
      <c r="K130" s="393"/>
      <c r="L130" s="393"/>
      <c r="M130" s="393"/>
      <c r="N130" s="393"/>
      <c r="O130" s="393"/>
      <c r="P130" s="393"/>
      <c r="Q130" s="393"/>
      <c r="R130" s="393"/>
      <c r="S130" s="393"/>
      <c r="T130" s="393"/>
      <c r="U130" s="393"/>
      <c r="V130" s="393"/>
    </row>
    <row r="131" spans="3:22" hidden="1">
      <c r="C131" s="85"/>
      <c r="D131" s="393"/>
      <c r="E131" s="393"/>
      <c r="F131" s="393"/>
      <c r="G131" s="393"/>
      <c r="H131" s="393"/>
      <c r="I131" s="393"/>
      <c r="J131" s="393"/>
      <c r="K131" s="393"/>
      <c r="L131" s="393"/>
      <c r="M131" s="393"/>
      <c r="N131" s="393"/>
      <c r="O131" s="393"/>
      <c r="P131" s="393"/>
      <c r="Q131" s="393"/>
      <c r="R131" s="393"/>
      <c r="S131" s="393"/>
      <c r="T131" s="393"/>
      <c r="U131" s="393"/>
      <c r="V131" s="393"/>
    </row>
    <row r="132" spans="3:22" hidden="1">
      <c r="C132" s="87"/>
      <c r="D132" s="393"/>
      <c r="E132" s="393"/>
      <c r="F132" s="393"/>
      <c r="G132" s="393"/>
      <c r="H132" s="393"/>
      <c r="I132" s="393"/>
      <c r="J132" s="393"/>
      <c r="K132" s="393"/>
      <c r="L132" s="393"/>
      <c r="M132" s="393"/>
      <c r="N132" s="393"/>
      <c r="O132" s="393"/>
      <c r="P132" s="393"/>
      <c r="Q132" s="393"/>
      <c r="R132" s="393"/>
      <c r="S132" s="393"/>
      <c r="T132" s="393"/>
      <c r="U132" s="393"/>
      <c r="V132" s="393"/>
    </row>
    <row r="133" spans="3:22">
      <c r="C133" s="87"/>
      <c r="D133" s="393"/>
      <c r="E133" s="393"/>
      <c r="F133" s="393"/>
      <c r="G133" s="393"/>
      <c r="H133" s="393"/>
      <c r="I133" s="393"/>
      <c r="J133" s="393"/>
      <c r="K133" s="393"/>
      <c r="L133" s="393"/>
      <c r="M133" s="393"/>
      <c r="N133" s="393"/>
      <c r="O133" s="393"/>
      <c r="P133" s="393"/>
      <c r="Q133" s="393"/>
      <c r="R133" s="393"/>
      <c r="S133" s="393"/>
      <c r="T133" s="393"/>
      <c r="U133" s="393"/>
      <c r="V133" s="393"/>
    </row>
    <row r="134" spans="3:22">
      <c r="C134" s="85"/>
      <c r="D134" s="393"/>
      <c r="E134" s="393"/>
      <c r="F134" s="393"/>
      <c r="G134" s="393"/>
      <c r="H134" s="393"/>
      <c r="I134" s="393"/>
      <c r="J134" s="393"/>
      <c r="K134" s="393"/>
      <c r="L134" s="393"/>
      <c r="M134" s="393"/>
      <c r="N134" s="393"/>
      <c r="O134" s="393"/>
      <c r="P134" s="393"/>
      <c r="Q134" s="393"/>
      <c r="R134" s="393"/>
      <c r="S134" s="393"/>
      <c r="T134" s="393"/>
      <c r="U134" s="393"/>
      <c r="V134" s="393"/>
    </row>
    <row r="135" spans="3:22">
      <c r="C135" s="85"/>
      <c r="D135" s="393"/>
      <c r="E135" s="393"/>
      <c r="F135" s="393"/>
      <c r="G135" s="393"/>
      <c r="H135" s="393"/>
      <c r="I135" s="393"/>
      <c r="J135" s="393"/>
      <c r="K135" s="393"/>
      <c r="L135" s="393"/>
      <c r="M135" s="393"/>
      <c r="N135" s="393"/>
      <c r="O135" s="393"/>
      <c r="P135" s="393"/>
      <c r="Q135" s="393"/>
      <c r="R135" s="393"/>
      <c r="S135" s="393"/>
      <c r="T135" s="393"/>
      <c r="U135" s="393"/>
      <c r="V135" s="393"/>
    </row>
    <row r="136" spans="3:22">
      <c r="C136" s="85"/>
      <c r="D136" s="393"/>
      <c r="E136" s="393"/>
      <c r="F136" s="393"/>
      <c r="G136" s="393"/>
      <c r="H136" s="393"/>
      <c r="I136" s="393"/>
      <c r="J136" s="393"/>
      <c r="K136" s="393"/>
      <c r="L136" s="393"/>
      <c r="M136" s="393"/>
      <c r="N136" s="393"/>
      <c r="O136" s="393"/>
      <c r="P136" s="393"/>
      <c r="Q136" s="393"/>
      <c r="R136" s="393"/>
      <c r="S136" s="393"/>
      <c r="T136" s="393"/>
      <c r="U136" s="393"/>
      <c r="V136" s="393"/>
    </row>
    <row r="137" spans="3:22">
      <c r="C137" s="85"/>
      <c r="D137" s="393"/>
      <c r="E137" s="393"/>
      <c r="F137" s="393"/>
      <c r="G137" s="393"/>
      <c r="H137" s="393"/>
      <c r="I137" s="393"/>
      <c r="J137" s="393"/>
      <c r="K137" s="393"/>
      <c r="L137" s="393"/>
      <c r="M137" s="393"/>
      <c r="N137" s="393"/>
      <c r="O137" s="393"/>
      <c r="P137" s="393"/>
      <c r="Q137" s="393"/>
      <c r="R137" s="393"/>
      <c r="S137" s="393"/>
      <c r="T137" s="393"/>
      <c r="U137" s="393"/>
      <c r="V137" s="393"/>
    </row>
    <row r="138" spans="3:22">
      <c r="C138" s="85"/>
      <c r="D138" s="393"/>
      <c r="E138" s="393"/>
      <c r="F138" s="393"/>
      <c r="G138" s="393"/>
      <c r="H138" s="393"/>
      <c r="I138" s="393"/>
      <c r="J138" s="393"/>
      <c r="K138" s="393"/>
      <c r="L138" s="393"/>
      <c r="M138" s="393"/>
      <c r="N138" s="393"/>
      <c r="O138" s="393"/>
      <c r="P138" s="393"/>
      <c r="Q138" s="393"/>
      <c r="R138" s="393"/>
      <c r="S138" s="393"/>
      <c r="T138" s="393"/>
      <c r="U138" s="393"/>
      <c r="V138" s="393"/>
    </row>
    <row r="139" spans="3:22">
      <c r="C139" s="85"/>
      <c r="D139" s="393"/>
      <c r="E139" s="393"/>
      <c r="F139" s="393"/>
      <c r="G139" s="393"/>
      <c r="H139" s="393"/>
      <c r="I139" s="393"/>
      <c r="J139" s="393"/>
      <c r="K139" s="393"/>
      <c r="L139" s="393"/>
      <c r="M139" s="393"/>
      <c r="N139" s="393"/>
      <c r="O139" s="393"/>
      <c r="P139" s="393"/>
      <c r="Q139" s="393"/>
      <c r="R139" s="393"/>
      <c r="S139" s="393"/>
      <c r="T139" s="393"/>
      <c r="U139" s="393"/>
      <c r="V139" s="393"/>
    </row>
    <row r="140" spans="3:22">
      <c r="C140" s="85"/>
      <c r="D140" s="393"/>
      <c r="E140" s="393"/>
      <c r="F140" s="393"/>
      <c r="G140" s="393"/>
      <c r="H140" s="393"/>
      <c r="I140" s="393"/>
      <c r="J140" s="393"/>
      <c r="K140" s="393"/>
      <c r="L140" s="393"/>
      <c r="M140" s="393"/>
      <c r="N140" s="393"/>
      <c r="O140" s="393"/>
      <c r="P140" s="393"/>
      <c r="Q140" s="393"/>
      <c r="R140" s="393"/>
      <c r="S140" s="393"/>
      <c r="T140" s="393"/>
      <c r="U140" s="393"/>
      <c r="V140" s="393"/>
    </row>
    <row r="141" spans="3:22">
      <c r="C141" s="85"/>
      <c r="D141" s="393"/>
      <c r="E141" s="393"/>
      <c r="F141" s="393"/>
      <c r="G141" s="393"/>
      <c r="H141" s="393"/>
      <c r="I141" s="393"/>
      <c r="J141" s="393"/>
      <c r="K141" s="393"/>
      <c r="L141" s="393"/>
      <c r="M141" s="393"/>
      <c r="N141" s="393"/>
      <c r="O141" s="393"/>
      <c r="P141" s="393"/>
      <c r="Q141" s="393"/>
      <c r="R141" s="393"/>
      <c r="S141" s="393"/>
      <c r="T141" s="393"/>
      <c r="U141" s="393"/>
      <c r="V141" s="393"/>
    </row>
    <row r="142" spans="3:22" hidden="1">
      <c r="C142" s="85"/>
      <c r="D142" s="393"/>
      <c r="E142" s="393"/>
      <c r="F142" s="393"/>
      <c r="G142" s="393"/>
      <c r="H142" s="393"/>
      <c r="I142" s="393"/>
      <c r="J142" s="393"/>
      <c r="K142" s="393"/>
      <c r="L142" s="393"/>
      <c r="M142" s="393"/>
      <c r="N142" s="393"/>
      <c r="O142" s="393"/>
      <c r="P142" s="393"/>
      <c r="Q142" s="393"/>
      <c r="R142" s="393"/>
      <c r="S142" s="393"/>
      <c r="T142" s="393"/>
      <c r="U142" s="393"/>
      <c r="V142" s="393"/>
    </row>
    <row r="143" spans="3:22">
      <c r="C143" s="87"/>
      <c r="D143" s="393"/>
      <c r="E143" s="393"/>
      <c r="F143" s="393"/>
      <c r="G143" s="393"/>
      <c r="H143" s="393"/>
      <c r="I143" s="393"/>
      <c r="J143" s="393"/>
      <c r="K143" s="393"/>
      <c r="L143" s="393"/>
      <c r="M143" s="393"/>
      <c r="N143" s="393"/>
      <c r="O143" s="393"/>
      <c r="P143" s="393"/>
      <c r="Q143" s="393"/>
      <c r="R143" s="393"/>
      <c r="S143" s="393"/>
      <c r="T143" s="393"/>
      <c r="U143" s="393"/>
      <c r="V143" s="393"/>
    </row>
    <row r="144" spans="3:22">
      <c r="C144" s="85"/>
      <c r="D144" s="393"/>
      <c r="E144" s="393"/>
      <c r="F144" s="393"/>
      <c r="G144" s="393"/>
      <c r="H144" s="393"/>
      <c r="I144" s="393"/>
      <c r="J144" s="393"/>
      <c r="K144" s="393"/>
      <c r="L144" s="393"/>
      <c r="M144" s="393"/>
      <c r="N144" s="393"/>
      <c r="O144" s="393"/>
      <c r="P144" s="393"/>
      <c r="Q144" s="393"/>
      <c r="R144" s="393"/>
      <c r="S144" s="393"/>
      <c r="T144" s="393"/>
      <c r="U144" s="393"/>
      <c r="V144" s="393"/>
    </row>
    <row r="145" spans="3:22">
      <c r="C145" s="85"/>
      <c r="D145" s="393"/>
      <c r="E145" s="393"/>
      <c r="F145" s="393"/>
      <c r="G145" s="393"/>
      <c r="H145" s="393"/>
      <c r="I145" s="393"/>
      <c r="J145" s="393"/>
      <c r="K145" s="393"/>
      <c r="L145" s="393"/>
      <c r="M145" s="393"/>
      <c r="N145" s="393"/>
      <c r="O145" s="393"/>
      <c r="P145" s="393"/>
      <c r="Q145" s="393"/>
      <c r="R145" s="393"/>
      <c r="S145" s="393"/>
      <c r="T145" s="393"/>
      <c r="U145" s="393"/>
      <c r="V145" s="393"/>
    </row>
    <row r="146" spans="3:22" s="304" customFormat="1">
      <c r="C146" s="87"/>
      <c r="D146" s="394"/>
      <c r="E146" s="394"/>
      <c r="F146" s="394"/>
      <c r="G146" s="394"/>
      <c r="H146" s="394"/>
      <c r="I146" s="394"/>
      <c r="J146" s="394"/>
      <c r="K146" s="394"/>
      <c r="L146" s="394"/>
      <c r="M146" s="394"/>
      <c r="N146" s="394"/>
      <c r="O146" s="394"/>
      <c r="P146" s="394"/>
      <c r="Q146" s="394"/>
      <c r="R146" s="394"/>
      <c r="S146" s="394"/>
      <c r="T146" s="394"/>
      <c r="U146" s="394"/>
      <c r="V146" s="394"/>
    </row>
    <row r="147" spans="3:22">
      <c r="C147" s="85"/>
      <c r="D147" s="393"/>
      <c r="E147" s="393"/>
      <c r="F147" s="393"/>
      <c r="G147" s="393"/>
      <c r="H147" s="393"/>
      <c r="I147" s="393"/>
      <c r="J147" s="393"/>
      <c r="K147" s="393"/>
      <c r="L147" s="393"/>
      <c r="M147" s="393"/>
      <c r="N147" s="393"/>
      <c r="O147" s="393"/>
      <c r="P147" s="393"/>
      <c r="Q147" s="393"/>
      <c r="R147" s="393"/>
      <c r="S147" s="393"/>
      <c r="T147" s="393"/>
      <c r="U147" s="393"/>
      <c r="V147" s="393"/>
    </row>
    <row r="148" spans="3:22">
      <c r="C148" s="85"/>
      <c r="D148" s="393"/>
      <c r="E148" s="393"/>
      <c r="F148" s="393"/>
      <c r="G148" s="393"/>
      <c r="H148" s="393"/>
      <c r="I148" s="393"/>
      <c r="J148" s="393"/>
      <c r="K148" s="393"/>
      <c r="L148" s="393"/>
      <c r="M148" s="393"/>
      <c r="N148" s="393"/>
      <c r="O148" s="393"/>
      <c r="P148" s="393"/>
      <c r="Q148" s="393"/>
      <c r="R148" s="393"/>
      <c r="S148" s="393"/>
      <c r="T148" s="393"/>
      <c r="U148" s="393"/>
      <c r="V148" s="393"/>
    </row>
    <row r="149" spans="3:22">
      <c r="C149" s="85"/>
      <c r="D149" s="393"/>
      <c r="E149" s="393"/>
      <c r="F149" s="393"/>
      <c r="G149" s="393"/>
      <c r="H149" s="393"/>
      <c r="I149" s="393"/>
      <c r="J149" s="393"/>
      <c r="K149" s="393"/>
      <c r="L149" s="393"/>
      <c r="M149" s="393"/>
      <c r="N149" s="393"/>
      <c r="O149" s="393"/>
      <c r="P149" s="393"/>
      <c r="Q149" s="393"/>
      <c r="R149" s="393"/>
      <c r="S149" s="393"/>
      <c r="T149" s="393"/>
      <c r="U149" s="393"/>
      <c r="V149" s="393"/>
    </row>
    <row r="150" spans="3:22">
      <c r="C150" s="87"/>
      <c r="D150" s="393"/>
      <c r="E150" s="393"/>
      <c r="F150" s="393"/>
      <c r="G150" s="394"/>
      <c r="H150" s="394"/>
      <c r="I150" s="394"/>
      <c r="J150" s="394"/>
      <c r="K150" s="394"/>
      <c r="L150" s="394"/>
      <c r="M150" s="394"/>
      <c r="N150" s="394"/>
      <c r="O150" s="394"/>
      <c r="P150" s="394"/>
      <c r="Q150" s="394"/>
      <c r="R150" s="394"/>
      <c r="S150" s="394"/>
      <c r="T150" s="394"/>
      <c r="U150" s="394"/>
      <c r="V150" s="394"/>
    </row>
    <row r="151" spans="3:22">
      <c r="D151" s="393"/>
      <c r="E151" s="393"/>
      <c r="F151" s="393"/>
      <c r="G151" s="393"/>
      <c r="H151" s="393"/>
      <c r="I151" s="393"/>
      <c r="J151" s="393"/>
      <c r="K151" s="393"/>
      <c r="L151" s="393"/>
      <c r="M151" s="393"/>
      <c r="N151" s="393"/>
      <c r="O151" s="393"/>
      <c r="P151" s="393"/>
      <c r="Q151" s="393"/>
      <c r="R151" s="393"/>
      <c r="S151" s="393"/>
      <c r="T151" s="393"/>
      <c r="U151" s="393"/>
      <c r="V151" s="393"/>
    </row>
    <row r="152" spans="3:22">
      <c r="D152" s="393"/>
      <c r="E152" s="393"/>
      <c r="F152" s="393"/>
      <c r="G152" s="393"/>
      <c r="H152" s="393"/>
      <c r="I152" s="393"/>
      <c r="J152" s="393"/>
      <c r="K152" s="393"/>
      <c r="L152" s="393"/>
      <c r="M152" s="393"/>
      <c r="N152" s="393"/>
      <c r="O152" s="393"/>
      <c r="P152" s="393"/>
      <c r="Q152" s="393"/>
      <c r="R152" s="393"/>
      <c r="S152" s="393"/>
      <c r="T152" s="393"/>
      <c r="U152" s="393"/>
      <c r="V152" s="393"/>
    </row>
    <row r="153" spans="3:22">
      <c r="D153" s="393"/>
      <c r="E153" s="393"/>
      <c r="F153" s="393"/>
      <c r="G153" s="393"/>
      <c r="H153" s="393"/>
      <c r="I153" s="393"/>
      <c r="J153" s="393"/>
      <c r="K153" s="393"/>
      <c r="L153" s="393"/>
      <c r="M153" s="393"/>
      <c r="N153" s="393"/>
      <c r="O153" s="393"/>
      <c r="P153" s="393"/>
      <c r="Q153" s="393"/>
      <c r="R153" s="393"/>
      <c r="S153" s="393"/>
      <c r="T153" s="393"/>
      <c r="U153" s="393"/>
      <c r="V153" s="393"/>
    </row>
    <row r="154" spans="3:22">
      <c r="D154" s="393"/>
      <c r="E154" s="393"/>
      <c r="F154" s="393"/>
      <c r="G154" s="393"/>
      <c r="H154" s="393"/>
      <c r="I154" s="393"/>
      <c r="J154" s="393"/>
      <c r="K154" s="393"/>
      <c r="L154" s="393"/>
      <c r="M154" s="393"/>
      <c r="N154" s="393"/>
      <c r="O154" s="393"/>
      <c r="P154" s="393"/>
      <c r="Q154" s="393"/>
      <c r="R154" s="393"/>
      <c r="S154" s="393"/>
      <c r="T154" s="393"/>
      <c r="U154" s="393"/>
      <c r="V154" s="393"/>
    </row>
    <row r="155" spans="3:22">
      <c r="D155" s="393"/>
      <c r="E155" s="393"/>
      <c r="F155" s="393"/>
      <c r="G155" s="393"/>
      <c r="H155" s="393"/>
      <c r="I155" s="393"/>
      <c r="J155" s="393"/>
      <c r="K155" s="393"/>
      <c r="L155" s="393"/>
      <c r="M155" s="393"/>
      <c r="N155" s="393"/>
      <c r="O155" s="393"/>
      <c r="P155" s="393"/>
      <c r="Q155" s="393"/>
      <c r="R155" s="393"/>
      <c r="S155" s="393"/>
      <c r="T155" s="393"/>
      <c r="U155" s="393"/>
      <c r="V155" s="393"/>
    </row>
    <row r="156" spans="3:22">
      <c r="D156" s="393"/>
      <c r="E156" s="393"/>
      <c r="F156" s="393"/>
      <c r="G156" s="393"/>
      <c r="H156" s="393"/>
      <c r="I156" s="393"/>
      <c r="J156" s="393"/>
      <c r="K156" s="393"/>
      <c r="L156" s="393"/>
      <c r="M156" s="393"/>
      <c r="N156" s="393"/>
      <c r="O156" s="393"/>
      <c r="P156" s="393"/>
      <c r="Q156" s="393"/>
      <c r="R156" s="393"/>
      <c r="S156" s="393"/>
      <c r="T156" s="393"/>
      <c r="U156" s="393"/>
      <c r="V156" s="393"/>
    </row>
    <row r="157" spans="3:22">
      <c r="D157" s="393"/>
      <c r="E157" s="393"/>
      <c r="F157" s="393"/>
      <c r="G157" s="393"/>
      <c r="H157" s="393"/>
      <c r="I157" s="393"/>
      <c r="J157" s="393"/>
      <c r="K157" s="393"/>
      <c r="L157" s="393"/>
      <c r="M157" s="393"/>
      <c r="N157" s="393"/>
      <c r="O157" s="393"/>
      <c r="P157" s="393"/>
      <c r="Q157" s="393"/>
      <c r="R157" s="393"/>
      <c r="S157" s="393"/>
      <c r="T157" s="393"/>
      <c r="U157" s="393"/>
      <c r="V157" s="393"/>
    </row>
    <row r="158" spans="3:22"/>
    <row r="159" spans="3:22"/>
    <row r="160" spans="3:22"/>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22</vt:i4>
      </vt:variant>
      <vt:variant>
        <vt:lpstr>Charts</vt:lpstr>
      </vt:variant>
      <vt:variant>
        <vt:i4>1</vt:i4>
      </vt:variant>
      <vt:variant>
        <vt:lpstr>Named Ranges</vt:lpstr>
      </vt:variant>
      <vt:variant>
        <vt:i4>3</vt:i4>
      </vt:variant>
    </vt:vector>
  </HeadingPairs>
  <TitlesOfParts>
    <vt:vector size="26" baseType="lpstr">
      <vt:lpstr>Old</vt:lpstr>
      <vt:lpstr>Sheet4</vt:lpstr>
      <vt:lpstr>Liabilites</vt:lpstr>
      <vt:lpstr>PROD SCH</vt:lpstr>
      <vt:lpstr>Assumptions</vt:lpstr>
      <vt:lpstr>P&amp;L</vt:lpstr>
      <vt:lpstr>Fin_Statements</vt:lpstr>
      <vt:lpstr>Sheet3</vt:lpstr>
      <vt:lpstr>Output Sheet</vt:lpstr>
      <vt:lpstr>Debt_Schedule</vt:lpstr>
      <vt:lpstr>Dep</vt:lpstr>
      <vt:lpstr>Tax</vt:lpstr>
      <vt:lpstr>Sep'19 Analysis</vt:lpstr>
      <vt:lpstr>Lender-wise Break-up</vt:lpstr>
      <vt:lpstr>Shareholding</vt:lpstr>
      <vt:lpstr>NWC</vt:lpstr>
      <vt:lpstr>EV-Post Discussion</vt:lpstr>
      <vt:lpstr>Published account Format</vt:lpstr>
      <vt:lpstr>S</vt:lpstr>
      <vt:lpstr>IT Dep21-22</vt:lpstr>
      <vt:lpstr>IT Dep</vt:lpstr>
      <vt:lpstr>Yr wise</vt:lpstr>
      <vt:lpstr>Chart1</vt:lpstr>
      <vt:lpstr>'IT Dep'!Print_Area</vt:lpstr>
      <vt:lpstr>'IT Dep21-22'!Print_Area</vt:lpstr>
      <vt:lpstr>Liabilites!Print_Area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Mayank K Goel</dc:creator>
  <cp:lastModifiedBy>R Suresh Kumar</cp:lastModifiedBy>
  <cp:lastPrinted>2022-05-12T05:09:07Z</cp:lastPrinted>
  <dcterms:created xsi:type="dcterms:W3CDTF">2019-09-25T08:22:15Z</dcterms:created>
  <dcterms:modified xsi:type="dcterms:W3CDTF">2022-05-31T09:49:43Z</dcterms:modified>
</cp:coreProperties>
</file>