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abul\VIS(2022-23)-PL107-090-145_International print o pack\"/>
    </mc:Choice>
  </mc:AlternateContent>
  <bookViews>
    <workbookView showVerticalScroll="0" xWindow="0" yWindow="0" windowWidth="21600" windowHeight="9735"/>
  </bookViews>
  <sheets>
    <sheet name="Building" sheetId="1" r:id="rId1"/>
    <sheet name="Sheet3" sheetId="3" r:id="rId2"/>
    <sheet name="Land" sheetId="2" r:id="rId3"/>
  </sheets>
  <definedNames>
    <definedName name="_xlnm.Print_Area" localSheetId="0">Building!$A$1:$R$16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1" l="1"/>
  <c r="Q20" i="1"/>
  <c r="J19" i="1"/>
  <c r="J20" i="1"/>
  <c r="Q19" i="1"/>
  <c r="L11" i="1"/>
  <c r="E12" i="1"/>
  <c r="E6" i="1"/>
  <c r="E5" i="1"/>
  <c r="E4" i="1"/>
  <c r="R7" i="1"/>
  <c r="R9" i="1"/>
  <c r="N11" i="1"/>
  <c r="O11" i="1" s="1"/>
  <c r="I5" i="1"/>
  <c r="I6" i="1"/>
  <c r="I7" i="1"/>
  <c r="I8" i="1"/>
  <c r="I9" i="1"/>
  <c r="I10" i="1"/>
  <c r="I11" i="1"/>
  <c r="P11" i="1" l="1"/>
  <c r="R11" i="1" s="1"/>
  <c r="E11" i="1"/>
  <c r="E10" i="1"/>
  <c r="E9" i="1"/>
  <c r="E8" i="1"/>
  <c r="E7" i="1"/>
  <c r="G25" i="1" l="1"/>
  <c r="G24" i="1"/>
  <c r="L10" i="1" l="1"/>
  <c r="N10" i="1"/>
  <c r="O10" i="1" l="1"/>
  <c r="P10" i="1" s="1"/>
  <c r="R10" i="1" s="1"/>
  <c r="N8" i="1"/>
  <c r="N12" i="1" s="1"/>
  <c r="N9" i="1"/>
  <c r="L9" i="1"/>
  <c r="L8" i="1"/>
  <c r="O8" i="1" l="1"/>
  <c r="P8" i="1" s="1"/>
  <c r="O9" i="1"/>
  <c r="P9" i="1" s="1"/>
  <c r="N5" i="1"/>
  <c r="L5" i="1"/>
  <c r="N6" i="1"/>
  <c r="L6" i="1"/>
  <c r="R8" i="1" l="1"/>
  <c r="O5" i="1"/>
  <c r="P5" i="1" s="1"/>
  <c r="R5" i="1" s="1"/>
  <c r="O6" i="1"/>
  <c r="P6" i="1" s="1"/>
  <c r="R6" i="1" s="1"/>
  <c r="L7" i="1"/>
  <c r="N7" i="1"/>
  <c r="O7" i="1" l="1"/>
  <c r="P7" i="1" s="1"/>
  <c r="N4" i="1" l="1"/>
  <c r="L4" i="1"/>
  <c r="I4" i="1" l="1"/>
  <c r="O4" i="1" l="1"/>
  <c r="P4" i="1" s="1"/>
  <c r="R4" i="1" l="1"/>
  <c r="R12" i="1" s="1"/>
  <c r="J21" i="1" s="1"/>
  <c r="J22" i="1" s="1"/>
  <c r="P12" i="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<sst xmlns="http://schemas.openxmlformats.org/spreadsheetml/2006/main" count="57" uniqueCount="46">
  <si>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</si>
  <si>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</si>
  <si>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</si>
  <si>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</si>
  <si>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</si>
  <si>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</si>
  <si>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</si>
  <si>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</si>
  <si>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</si>
  <si>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</si>
  <si>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</si>
  <si>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</si>
  <si>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</si>
  <si>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</si>
  <si>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</si>
  <si>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</si>
  <si>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</si>
  <si>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</si>
  <si>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</si>
  <si>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</si>
  <si>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Ground Floor</t>
  </si>
  <si>
    <r>
      <t>3.</t>
    </r>
    <r>
      <rPr>
        <i/>
        <sz val="10"/>
        <color theme="1"/>
        <rFont val="Calibri"/>
        <family val="2"/>
        <scheme val="minor"/>
      </rPr>
      <t xml:space="preserve"> The valuation is done by considering the depreciated replacement cost approach.</t>
    </r>
  </si>
  <si>
    <t>RV</t>
  </si>
  <si>
    <t>DV</t>
  </si>
  <si>
    <t>TOTAL FMV</t>
  </si>
  <si>
    <t>Unit</t>
  </si>
  <si>
    <t>Tin shed over steel structue bounded by brick wall</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</si>
  <si>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</si>
  <si>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ROUND OFF</t>
  </si>
  <si>
    <t>PREMIUM</t>
  </si>
  <si>
    <t>LAND</t>
  </si>
  <si>
    <t>BUILDING</t>
  </si>
  <si>
    <t>BUILDING VALUATION OF M/S. INTERNATIONAL PRINT O PACK LTD.|NOIDA, U.P.</t>
  </si>
  <si>
    <t>Basement + Ground Floor + First Floor</t>
  </si>
  <si>
    <t>Building 1</t>
  </si>
  <si>
    <t>Building 2</t>
  </si>
  <si>
    <t>Building 3</t>
  </si>
  <si>
    <t xml:space="preserve">Basement </t>
  </si>
  <si>
    <t>Pump House</t>
  </si>
  <si>
    <t>Scrap Yard 1</t>
  </si>
  <si>
    <t>Scrap Yard 2</t>
  </si>
  <si>
    <t>Scrap Yard 3</t>
  </si>
  <si>
    <t>Power House</t>
  </si>
  <si>
    <t>Land value</t>
  </si>
  <si>
    <t>Circle Rate</t>
  </si>
  <si>
    <r>
      <t xml:space="preserve">2. </t>
    </r>
    <r>
      <rPr>
        <i/>
        <sz val="10"/>
        <color theme="1"/>
        <rFont val="Calibri"/>
        <family val="2"/>
        <scheme val="minor"/>
      </rPr>
      <t>All the structure that has been taken in the area statemnet belonging to M/s. International Print O Pack Ltd.</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</si>
</sst>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2"/>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164" fontId="0" fillId="0" borderId="1" xfId="3" applyNumberFormat="1" applyFont="1" applyBorder="1" applyAlignment="1">
      <alignment vertical="center"/>
    </xf>
    <xf numFmtId="164" fontId="0" fillId="0" borderId="1" xfId="3" applyNumberFormat="1" applyFont="1" applyBorder="1" applyAlignment="1">
      <alignment horizontal="left" vertical="center"/>
    </xf>
    <xf numFmtId="164" fontId="2" fillId="0" borderId="1" xfId="3" applyNumberFormat="1" applyFont="1" applyBorder="1" applyAlignment="1">
      <alignment horizontal="left" vertical="center"/>
    </xf>
    <xf numFmtId="164" fontId="5" fillId="2" borderId="1" xfId="3" applyNumberFormat="1" applyFont="1" applyFill="1" applyBorder="1" applyAlignment="1">
      <alignment horizontal="left" vertical="center" wrapText="1"/>
    </xf>
    <xf numFmtId="164" fontId="0" fillId="0" borderId="0" xfId="3" applyNumberFormat="1" applyFont="1" applyAlignment="1">
      <alignment horizontal="left"/>
    </xf>
    <xf numFmtId="0" fontId="14" fillId="6" borderId="0" xfId="0" applyFont="1" applyFill="1" applyAlignment="1">
      <alignment horizontal="center"/>
    </xf>
    <xf numFmtId="167" fontId="0" fillId="0" borderId="0" xfId="0" applyNumberFormat="1"/>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7"/>
  <sheetViews>
    <sheetView tabSelected="1" zoomScale="85" zoomScaleNormal="85" zoomScaleSheetLayoutView="85" workbookViewId="0">
      <selection activeCell="I8" sqref="I8"/>
    </sheetView>
  </sheetViews>
  <sheetFormatPr defaultRowHeight="15" x14ac:dyDescent="0.25"/>
  <cols>
    <col min="1" max="1" width="7.28515625" bestFit="1" customWidth="1"/>
    <col min="2" max="2" width="20.5703125" customWidth="1"/>
    <col min="3" max="3" width="19.5703125" style="18" customWidth="1"/>
    <col min="4" max="4" width="26.7109375" style="18" customWidth="1"/>
    <col min="5" max="5" width="14.28515625" style="32" customWidth="1"/>
    <col min="6" max="6" width="7" bestFit="1" customWidth="1"/>
    <col min="7" max="7" width="16" bestFit="1" customWidth="1"/>
    <col min="8" max="8" width="10.28515625" customWidth="1"/>
    <col min="9" max="9" width="9.7109375" bestFit="1" customWidth="1"/>
    <col min="10" max="10" width="16" bestFit="1" customWidth="1"/>
    <col min="11" max="11" width="7.7109375" hidden="1" customWidth="1"/>
    <col min="12" max="12" width="12.42578125" hidden="1" customWidth="1"/>
    <col min="13" max="13" width="16" bestFit="1" customWidth="1"/>
    <col min="14" max="14" width="14.42578125" customWidth="1"/>
    <col min="15" max="15" width="13.42578125" hidden="1" customWidth="1"/>
    <col min="16" max="16" width="16.140625" hidden="1" customWidth="1"/>
    <col min="17" max="17" width="14.28515625" hidden="1" customWidth="1"/>
    <col min="18" max="18" width="18.28515625" style="22" customWidth="1"/>
    <col min="19" max="19" width="17" bestFit="1" customWidth="1"/>
    <col min="20" max="21" width="14.28515625" bestFit="1" customWidth="1"/>
  </cols>
  <sheetData>
    <row r="2" spans="1:21" ht="15.75" customHeight="1" x14ac:dyDescent="0.25">
      <c r="A2" s="36" t="s">
        <v>32</v>
      </c>
      <c r="B2" s="37"/>
      <c r="C2" s="37"/>
      <c r="D2" s="37"/>
      <c r="E2" s="37"/>
      <c r="F2" s="37"/>
      <c r="G2" s="37"/>
      <c r="H2" s="37"/>
      <c r="I2" s="37"/>
      <c r="J2" s="37"/>
      <c r="K2" s="37"/>
      <c r="L2" s="37"/>
      <c r="M2" s="37"/>
      <c r="N2" s="37"/>
      <c r="O2" s="37"/>
      <c r="P2" s="37"/>
      <c r="Q2" s="37"/>
      <c r="R2" s="38"/>
    </row>
    <row r="3" spans="1:21" s="16" customFormat="1" ht="60" x14ac:dyDescent="0.25">
      <c r="A3" s="14" t="s">
        <v>0</v>
      </c>
      <c r="B3" s="14" t="s">
        <v>1</v>
      </c>
      <c r="C3" s="15" t="s">
        <v>25</v>
      </c>
      <c r="D3" s="15" t="s">
        <v>4</v>
      </c>
      <c r="E3" s="31" t="s">
        <v>17</v>
      </c>
      <c r="F3" s="15" t="s">
        <v>13</v>
      </c>
      <c r="G3" s="15" t="s">
        <v>2</v>
      </c>
      <c r="H3" s="15" t="s">
        <v>3</v>
      </c>
      <c r="I3" s="15" t="s">
        <v>14</v>
      </c>
      <c r="J3" s="15" t="s">
        <v>15</v>
      </c>
      <c r="K3" s="15" t="s">
        <v>5</v>
      </c>
      <c r="L3" s="15" t="s">
        <v>7</v>
      </c>
      <c r="M3" s="15" t="s">
        <v>16</v>
      </c>
      <c r="N3" s="15" t="s">
        <v>11</v>
      </c>
      <c r="O3" s="15" t="s">
        <v>8</v>
      </c>
      <c r="P3" s="15" t="s">
        <v>9</v>
      </c>
      <c r="Q3" s="15" t="s">
        <v>12</v>
      </c>
      <c r="R3" s="15" t="s">
        <v>10</v>
      </c>
    </row>
    <row r="4" spans="1:21" ht="44.25" customHeight="1" x14ac:dyDescent="0.25">
      <c r="A4" s="13">
        <v>1</v>
      </c>
      <c r="B4" s="17" t="s">
        <v>33</v>
      </c>
      <c r="C4" s="17" t="s">
        <v>34</v>
      </c>
      <c r="D4" s="17" t="s">
        <v>19</v>
      </c>
      <c r="E4" s="28">
        <f>(95.8+33.8+15)*(23.6+28.2+17+124.5+14.4)*3</f>
        <v>90100.260000000009</v>
      </c>
      <c r="F4" s="10">
        <v>36</v>
      </c>
      <c r="G4" s="2">
        <v>1997</v>
      </c>
      <c r="H4" s="2">
        <v>2022</v>
      </c>
      <c r="I4" s="2">
        <f>H4-G4</f>
        <v>25</v>
      </c>
      <c r="J4" s="2">
        <v>60</v>
      </c>
      <c r="K4" s="3">
        <v>0.1</v>
      </c>
      <c r="L4" s="5">
        <f>(1-K4)/J4</f>
        <v>1.5000000000000001E-2</v>
      </c>
      <c r="M4" s="6">
        <v>1100</v>
      </c>
      <c r="N4" s="6">
        <f>M4*E4</f>
        <v>99110286.000000015</v>
      </c>
      <c r="O4" s="6">
        <f t="shared" ref="O4:O7" si="0">N4*L4*I4</f>
        <v>37166357.250000007</v>
      </c>
      <c r="P4" s="6">
        <f t="shared" ref="P4:P7" si="1">MAX(N4-O4,0)</f>
        <v>61943928.750000007</v>
      </c>
      <c r="Q4" s="11">
        <v>0.05</v>
      </c>
      <c r="R4" s="6">
        <f t="shared" ref="R4:R10" si="2">IF(P4&gt;K4*N4,P4*(1-Q4),N4*K4)</f>
        <v>58846732.312500007</v>
      </c>
      <c r="S4" s="12"/>
      <c r="T4" s="1"/>
      <c r="U4" s="1"/>
    </row>
    <row r="5" spans="1:21" ht="33.75" customHeight="1" x14ac:dyDescent="0.25">
      <c r="A5" s="13">
        <v>2</v>
      </c>
      <c r="B5" s="17" t="s">
        <v>33</v>
      </c>
      <c r="C5" s="17" t="s">
        <v>35</v>
      </c>
      <c r="D5" s="17" t="s">
        <v>19</v>
      </c>
      <c r="E5" s="28">
        <f>(120.6+92)*(122.8+36)*3</f>
        <v>101282.64000000001</v>
      </c>
      <c r="F5" s="10">
        <v>45</v>
      </c>
      <c r="G5" s="2">
        <v>2004</v>
      </c>
      <c r="H5" s="2">
        <v>2022</v>
      </c>
      <c r="I5" s="2">
        <f t="shared" ref="I5:I11" si="3">H5-G5</f>
        <v>18</v>
      </c>
      <c r="J5" s="2">
        <v>60</v>
      </c>
      <c r="K5" s="3">
        <v>0.1</v>
      </c>
      <c r="L5" s="5">
        <f>(1-K5)/J5</f>
        <v>1.5000000000000001E-2</v>
      </c>
      <c r="M5" s="6">
        <v>1100</v>
      </c>
      <c r="N5" s="6">
        <f>M5*E5</f>
        <v>111410904.00000001</v>
      </c>
      <c r="O5" s="6">
        <f>N5*L5*I5</f>
        <v>30080944.080000006</v>
      </c>
      <c r="P5" s="6">
        <f>MAX(N5-O5,0)</f>
        <v>81329959.920000017</v>
      </c>
      <c r="Q5" s="11">
        <v>0.05</v>
      </c>
      <c r="R5" s="6">
        <f t="shared" si="2"/>
        <v>77263461.92400001</v>
      </c>
      <c r="S5" s="12"/>
      <c r="T5" s="1"/>
      <c r="U5" s="1"/>
    </row>
    <row r="6" spans="1:21" ht="30" x14ac:dyDescent="0.25">
      <c r="A6" s="13">
        <v>3</v>
      </c>
      <c r="B6" s="17" t="s">
        <v>37</v>
      </c>
      <c r="C6" s="17" t="s">
        <v>36</v>
      </c>
      <c r="D6" s="17" t="s">
        <v>19</v>
      </c>
      <c r="E6" s="28">
        <f>(92.4+68.2+132.3)*(60.3+43+29.4)</f>
        <v>38867.83</v>
      </c>
      <c r="F6" s="10">
        <v>15</v>
      </c>
      <c r="G6" s="2">
        <v>2014</v>
      </c>
      <c r="H6" s="2">
        <v>2022</v>
      </c>
      <c r="I6" s="2">
        <f t="shared" si="3"/>
        <v>8</v>
      </c>
      <c r="J6" s="2">
        <v>60</v>
      </c>
      <c r="K6" s="3">
        <v>0.1</v>
      </c>
      <c r="L6" s="5">
        <f t="shared" ref="L6" si="4">(1-K6)/J6</f>
        <v>1.5000000000000001E-2</v>
      </c>
      <c r="M6" s="6">
        <v>1100</v>
      </c>
      <c r="N6" s="6">
        <f t="shared" ref="N6" si="5">M6*E6</f>
        <v>42754613</v>
      </c>
      <c r="O6" s="6">
        <f t="shared" ref="O6" si="6">N6*L6*I6</f>
        <v>5130553.5600000005</v>
      </c>
      <c r="P6" s="6">
        <f t="shared" ref="P6" si="7">MAX(N6-O6,0)</f>
        <v>37624059.439999998</v>
      </c>
      <c r="Q6" s="11">
        <v>0.05</v>
      </c>
      <c r="R6" s="6">
        <f t="shared" si="2"/>
        <v>35742856.467999995</v>
      </c>
      <c r="S6" s="12"/>
      <c r="T6" s="1"/>
      <c r="U6" s="1"/>
    </row>
    <row r="7" spans="1:21" ht="30" x14ac:dyDescent="0.25">
      <c r="A7" s="13">
        <v>4</v>
      </c>
      <c r="B7" s="2" t="s">
        <v>20</v>
      </c>
      <c r="C7" s="17" t="s">
        <v>38</v>
      </c>
      <c r="D7" s="17" t="s">
        <v>19</v>
      </c>
      <c r="E7" s="28">
        <f>170*170</f>
        <v>28900</v>
      </c>
      <c r="F7" s="10">
        <v>12</v>
      </c>
      <c r="G7" s="2">
        <v>1998</v>
      </c>
      <c r="H7" s="2">
        <v>2022</v>
      </c>
      <c r="I7" s="2">
        <f t="shared" si="3"/>
        <v>24</v>
      </c>
      <c r="J7" s="2">
        <v>60</v>
      </c>
      <c r="K7" s="3">
        <v>0.1</v>
      </c>
      <c r="L7" s="5">
        <f t="shared" ref="L7" si="8">(1-K7)/J7</f>
        <v>1.5000000000000001E-2</v>
      </c>
      <c r="M7" s="6">
        <v>1100</v>
      </c>
      <c r="N7" s="6">
        <f t="shared" ref="N7" si="9">M7*E7</f>
        <v>31790000</v>
      </c>
      <c r="O7" s="6">
        <f t="shared" si="0"/>
        <v>11444400.000000002</v>
      </c>
      <c r="P7" s="6">
        <f t="shared" si="1"/>
        <v>20345600</v>
      </c>
      <c r="Q7" s="11">
        <v>0.05</v>
      </c>
      <c r="R7" s="6">
        <f t="shared" si="2"/>
        <v>19328320</v>
      </c>
      <c r="S7" s="12"/>
      <c r="T7" s="1"/>
      <c r="U7" s="1"/>
    </row>
    <row r="8" spans="1:21" ht="30" x14ac:dyDescent="0.25">
      <c r="A8" s="13">
        <v>5</v>
      </c>
      <c r="B8" s="2" t="s">
        <v>20</v>
      </c>
      <c r="C8" s="17" t="s">
        <v>39</v>
      </c>
      <c r="D8" s="17" t="s">
        <v>26</v>
      </c>
      <c r="E8" s="28">
        <f>54.5*37</f>
        <v>2016.5</v>
      </c>
      <c r="F8" s="10">
        <v>25</v>
      </c>
      <c r="G8" s="2">
        <v>1998</v>
      </c>
      <c r="H8" s="2">
        <v>2022</v>
      </c>
      <c r="I8" s="2">
        <f t="shared" si="3"/>
        <v>24</v>
      </c>
      <c r="J8" s="2">
        <v>40</v>
      </c>
      <c r="K8" s="3">
        <v>0.1</v>
      </c>
      <c r="L8" s="5">
        <f>(1-K8)/J8</f>
        <v>2.2499999999999999E-2</v>
      </c>
      <c r="M8" s="6">
        <v>700</v>
      </c>
      <c r="N8" s="6">
        <f>M8*E8</f>
        <v>1411550</v>
      </c>
      <c r="O8" s="6">
        <f t="shared" ref="O8" si="10">N8*L8*I8</f>
        <v>762237</v>
      </c>
      <c r="P8" s="6">
        <f t="shared" ref="P8" si="11">MAX(N8-O8,0)</f>
        <v>649313</v>
      </c>
      <c r="Q8" s="11">
        <v>0.05</v>
      </c>
      <c r="R8" s="6">
        <f t="shared" si="2"/>
        <v>616847.35</v>
      </c>
      <c r="S8" s="12"/>
      <c r="T8" s="1"/>
      <c r="U8" s="1"/>
    </row>
    <row r="9" spans="1:21" ht="30" x14ac:dyDescent="0.25">
      <c r="A9" s="13">
        <v>6</v>
      </c>
      <c r="B9" s="2" t="s">
        <v>20</v>
      </c>
      <c r="C9" s="17" t="s">
        <v>40</v>
      </c>
      <c r="D9" s="17" t="s">
        <v>26</v>
      </c>
      <c r="E9" s="28">
        <f>41*38</f>
        <v>1558</v>
      </c>
      <c r="F9" s="10">
        <v>20</v>
      </c>
      <c r="G9" s="2">
        <v>1998</v>
      </c>
      <c r="H9" s="2">
        <v>2022</v>
      </c>
      <c r="I9" s="2">
        <f t="shared" si="3"/>
        <v>24</v>
      </c>
      <c r="J9" s="2">
        <v>40</v>
      </c>
      <c r="K9" s="3">
        <v>0.1</v>
      </c>
      <c r="L9" s="5">
        <f>(1-K9)/J9</f>
        <v>2.2499999999999999E-2</v>
      </c>
      <c r="M9" s="6">
        <v>700</v>
      </c>
      <c r="N9" s="6">
        <f>M9*E9</f>
        <v>1090600</v>
      </c>
      <c r="O9" s="6">
        <f>N9*L9*I9</f>
        <v>588924</v>
      </c>
      <c r="P9" s="6">
        <f>MAX(N9-O9,0)</f>
        <v>501676</v>
      </c>
      <c r="Q9" s="11">
        <v>0.05</v>
      </c>
      <c r="R9" s="6">
        <f t="shared" si="2"/>
        <v>476592.19999999995</v>
      </c>
      <c r="S9" s="12"/>
      <c r="T9" s="1"/>
      <c r="U9" s="1"/>
    </row>
    <row r="10" spans="1:21" ht="30" x14ac:dyDescent="0.25">
      <c r="A10" s="13">
        <v>7</v>
      </c>
      <c r="B10" s="2" t="s">
        <v>20</v>
      </c>
      <c r="C10" s="17" t="s">
        <v>41</v>
      </c>
      <c r="D10" s="17" t="s">
        <v>26</v>
      </c>
      <c r="E10" s="28">
        <f>215*75</f>
        <v>16125</v>
      </c>
      <c r="F10" s="10">
        <v>20</v>
      </c>
      <c r="G10" s="2">
        <v>1998</v>
      </c>
      <c r="H10" s="2">
        <v>2022</v>
      </c>
      <c r="I10" s="2">
        <f t="shared" si="3"/>
        <v>24</v>
      </c>
      <c r="J10" s="2">
        <v>40</v>
      </c>
      <c r="K10" s="3">
        <v>0.1</v>
      </c>
      <c r="L10" s="5">
        <f>(1-K10)/J10</f>
        <v>2.2499999999999999E-2</v>
      </c>
      <c r="M10" s="6">
        <v>700</v>
      </c>
      <c r="N10" s="6">
        <f>M10*E10</f>
        <v>11287500</v>
      </c>
      <c r="O10" s="6">
        <f>N10*L10*I10</f>
        <v>6095250</v>
      </c>
      <c r="P10" s="6">
        <f>MAX(N10-O10,0)</f>
        <v>5192250</v>
      </c>
      <c r="Q10" s="11">
        <v>0.05</v>
      </c>
      <c r="R10" s="6">
        <f t="shared" si="2"/>
        <v>4932637.5</v>
      </c>
      <c r="S10" s="12"/>
      <c r="T10" s="1"/>
      <c r="U10" s="1"/>
    </row>
    <row r="11" spans="1:21" ht="30" x14ac:dyDescent="0.25">
      <c r="A11" s="13">
        <v>8</v>
      </c>
      <c r="B11" s="2" t="s">
        <v>20</v>
      </c>
      <c r="C11" s="17" t="s">
        <v>42</v>
      </c>
      <c r="D11" s="17" t="s">
        <v>26</v>
      </c>
      <c r="E11" s="29">
        <f>450*139</f>
        <v>62550</v>
      </c>
      <c r="F11" s="10">
        <v>30</v>
      </c>
      <c r="G11" s="2">
        <v>1998</v>
      </c>
      <c r="H11" s="2">
        <v>2022</v>
      </c>
      <c r="I11" s="2">
        <f t="shared" si="3"/>
        <v>24</v>
      </c>
      <c r="J11" s="2">
        <v>40</v>
      </c>
      <c r="K11" s="3">
        <v>0.1</v>
      </c>
      <c r="L11" s="5">
        <f>(1-K11)/J11</f>
        <v>2.2499999999999999E-2</v>
      </c>
      <c r="M11" s="6">
        <v>700</v>
      </c>
      <c r="N11" s="6">
        <f>M11*E11</f>
        <v>43785000</v>
      </c>
      <c r="O11" s="6">
        <f>N11*L11*I11</f>
        <v>23643900</v>
      </c>
      <c r="P11" s="6">
        <f>MAX(N11-O11,0)</f>
        <v>20141100</v>
      </c>
      <c r="Q11" s="11">
        <v>0.05</v>
      </c>
      <c r="R11" s="6">
        <f>IF(P11&gt;K11*N11,P11*(1-Q11),N11*K11)</f>
        <v>19134045</v>
      </c>
      <c r="S11" s="12"/>
      <c r="T11" s="1"/>
      <c r="U11" s="1"/>
    </row>
    <row r="12" spans="1:21" x14ac:dyDescent="0.25">
      <c r="A12" s="39" t="s">
        <v>6</v>
      </c>
      <c r="B12" s="39"/>
      <c r="C12" s="39"/>
      <c r="D12" s="39"/>
      <c r="E12" s="30">
        <f>SUM(E4:E11)</f>
        <v>341400.23000000004</v>
      </c>
      <c r="F12" s="9"/>
      <c r="G12" s="39"/>
      <c r="H12" s="39"/>
      <c r="I12" s="39"/>
      <c r="J12" s="39"/>
      <c r="K12" s="39"/>
      <c r="L12" s="39"/>
      <c r="M12" s="39"/>
      <c r="N12" s="7">
        <f>SUM((N4:N11))</f>
        <v>342640453</v>
      </c>
      <c r="O12" s="7"/>
      <c r="P12" s="7">
        <f>SUM(P4:P11)</f>
        <v>227727887.11000001</v>
      </c>
      <c r="Q12" s="7"/>
      <c r="R12" s="7">
        <f>SUM((R4:R11))</f>
        <v>216341492.7545</v>
      </c>
      <c r="S12" s="12"/>
    </row>
    <row r="13" spans="1:21" x14ac:dyDescent="0.25">
      <c r="A13" s="41" t="s">
        <v>18</v>
      </c>
      <c r="B13" s="41"/>
      <c r="C13" s="41"/>
      <c r="D13" s="41"/>
      <c r="E13" s="41"/>
      <c r="F13" s="41"/>
      <c r="G13" s="41"/>
      <c r="H13" s="41"/>
      <c r="I13" s="41"/>
      <c r="J13" s="41"/>
      <c r="K13" s="41"/>
      <c r="L13" s="41"/>
      <c r="M13" s="41"/>
      <c r="N13" s="41"/>
      <c r="O13" s="41"/>
      <c r="P13" s="41"/>
      <c r="Q13" s="41"/>
      <c r="R13" s="41"/>
      <c r="S13" s="12"/>
    </row>
    <row r="14" spans="1:21" ht="29.25" customHeight="1" x14ac:dyDescent="0.25">
      <c r="A14" s="40" t="s">
        <v>27</v>
      </c>
      <c r="B14" s="40"/>
      <c r="C14" s="40"/>
      <c r="D14" s="40"/>
      <c r="E14" s="40"/>
      <c r="F14" s="40"/>
      <c r="G14" s="40"/>
      <c r="H14" s="40"/>
      <c r="I14" s="40"/>
      <c r="J14" s="40"/>
      <c r="K14" s="40"/>
      <c r="L14" s="40"/>
      <c r="M14" s="40"/>
      <c r="N14" s="40"/>
      <c r="O14" s="40"/>
      <c r="P14" s="40"/>
      <c r="Q14" s="40"/>
      <c r="R14" s="40"/>
      <c r="S14" s="12"/>
    </row>
    <row r="15" spans="1:21" x14ac:dyDescent="0.25">
      <c r="A15" s="40" t="s">
        <v>45</v>
      </c>
      <c r="B15" s="35"/>
      <c r="C15" s="35"/>
      <c r="D15" s="35"/>
      <c r="E15" s="35"/>
      <c r="F15" s="35"/>
      <c r="G15" s="35"/>
      <c r="H15" s="35"/>
      <c r="I15" s="35"/>
      <c r="J15" s="35"/>
      <c r="K15" s="35"/>
      <c r="L15" s="35"/>
      <c r="M15" s="35"/>
      <c r="N15" s="35"/>
      <c r="O15" s="35"/>
      <c r="P15" s="35"/>
      <c r="Q15" s="35"/>
      <c r="R15" s="35"/>
      <c r="S15" s="12"/>
    </row>
    <row r="16" spans="1:21" x14ac:dyDescent="0.25">
      <c r="A16" s="35" t="s">
        <v>21</v>
      </c>
      <c r="B16" s="35"/>
      <c r="C16" s="35"/>
      <c r="D16" s="35"/>
      <c r="E16" s="35"/>
      <c r="F16" s="35"/>
      <c r="G16" s="35"/>
      <c r="H16" s="35"/>
      <c r="I16" s="35"/>
      <c r="J16" s="35"/>
      <c r="K16" s="35"/>
      <c r="L16" s="35"/>
      <c r="M16" s="35"/>
      <c r="N16" s="35"/>
      <c r="O16" s="35"/>
      <c r="P16" s="35"/>
      <c r="Q16" s="35"/>
      <c r="R16" s="35"/>
      <c r="S16" s="12"/>
    </row>
    <row r="17" spans="6:21" x14ac:dyDescent="0.25">
      <c r="S17" s="12"/>
    </row>
    <row r="18" spans="6:21" x14ac:dyDescent="0.25">
      <c r="S18" s="12"/>
    </row>
    <row r="19" spans="6:21" ht="15.75" x14ac:dyDescent="0.25">
      <c r="I19" s="23" t="s">
        <v>29</v>
      </c>
      <c r="J19" s="25">
        <f>2000*700</f>
        <v>1400000</v>
      </c>
      <c r="P19" s="33" t="s">
        <v>43</v>
      </c>
      <c r="Q19" s="25">
        <f>25000*32010</f>
        <v>800250000</v>
      </c>
      <c r="S19" s="12"/>
    </row>
    <row r="20" spans="6:21" ht="15.75" x14ac:dyDescent="0.25">
      <c r="I20" s="23" t="s">
        <v>30</v>
      </c>
      <c r="J20" s="25">
        <f>Q19</f>
        <v>800250000</v>
      </c>
      <c r="P20" s="33" t="s">
        <v>44</v>
      </c>
      <c r="Q20" s="25">
        <f>32010*17000</f>
        <v>544170000</v>
      </c>
      <c r="S20" s="12"/>
    </row>
    <row r="21" spans="6:21" x14ac:dyDescent="0.25">
      <c r="I21" s="23" t="s">
        <v>31</v>
      </c>
      <c r="J21" s="25">
        <f>R12</f>
        <v>216341492.7545</v>
      </c>
      <c r="S21" s="12"/>
    </row>
    <row r="22" spans="6:21" ht="30" x14ac:dyDescent="0.25">
      <c r="I22" s="24" t="s">
        <v>24</v>
      </c>
      <c r="J22" s="26">
        <f>SUM(J19:J21)</f>
        <v>1017991492.7545</v>
      </c>
      <c r="M22" s="34">
        <f>J20+J21</f>
        <v>1016591492.7545</v>
      </c>
      <c r="S22" s="12"/>
    </row>
    <row r="23" spans="6:21" ht="30" x14ac:dyDescent="0.25">
      <c r="I23" s="24" t="s">
        <v>28</v>
      </c>
      <c r="J23" s="26">
        <v>1018000000</v>
      </c>
      <c r="S23" s="12"/>
    </row>
    <row r="24" spans="6:21" x14ac:dyDescent="0.25">
      <c r="F24" s="23" t="s">
        <v>22</v>
      </c>
      <c r="G24" s="27">
        <f>0.85*J23</f>
        <v>865300000</v>
      </c>
      <c r="S24" s="12"/>
    </row>
    <row r="25" spans="6:21" x14ac:dyDescent="0.25">
      <c r="F25" s="23" t="s">
        <v>23</v>
      </c>
      <c r="G25" s="27">
        <f>0.75*J23</f>
        <v>763500000</v>
      </c>
      <c r="S25" s="12"/>
    </row>
    <row r="26" spans="6:21" ht="15" customHeight="1" x14ac:dyDescent="0.25">
      <c r="S26" s="12"/>
    </row>
    <row r="28" spans="6:21" x14ac:dyDescent="0.25">
      <c r="S28" s="8"/>
      <c r="T28" s="4"/>
      <c r="U28" s="4"/>
    </row>
    <row r="37" ht="15" customHeight="1" x14ac:dyDescent="0.25"/>
  </sheetData>
  <mergeCells count="7">
    <mergeCell ref="A16:R16"/>
    <mergeCell ref="A2:R2"/>
    <mergeCell ref="A12:D12"/>
    <mergeCell ref="G12:M12"/>
    <mergeCell ref="A14:R14"/>
    <mergeCell ref="A15:R15"/>
    <mergeCell ref="A13:R13"/>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42"/>
      <c r="C9" s="43"/>
      <c r="D9" s="44"/>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2022-06-13T05:43:45Z</dcterms:modified>
</cp:coreProperties>
</file>