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-120" yWindow="-120" windowWidth="21840" windowHeight="13140"/>
  </bookViews>
  <sheets>
    <sheet name="Market Value" sheetId="1" r:id="rId1"/>
    <sheet name="Land Val." sheetId="5" r:id="rId2"/>
    <sheet name="Sheet1" sheetId="2" r:id="rId3"/>
    <sheet name="Sheet2" sheetId="4" r:id="rId4"/>
  </sheets>
  <definedNames>
    <definedName name="_xlnm._FilterDatabase" localSheetId="0" hidden="1">'Market Value'!$B$3:$X$24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5" l="1"/>
  <c r="X40" i="1"/>
  <c r="X39" i="1"/>
  <c r="U37" i="1"/>
  <c r="H11" i="5" l="1"/>
  <c r="C18" i="5"/>
  <c r="D18" i="5" s="1"/>
  <c r="O38" i="1" l="1"/>
  <c r="D3" i="5" l="1"/>
  <c r="U28" i="1" s="1"/>
  <c r="C4" i="5"/>
  <c r="C5" i="5" s="1"/>
  <c r="I24" i="4"/>
  <c r="G22" i="4"/>
  <c r="C11" i="5" l="1"/>
  <c r="E11" i="5" s="1"/>
  <c r="D4" i="5"/>
  <c r="D5" i="5"/>
  <c r="B17" i="5" s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H5" i="1"/>
  <c r="X5" i="1" s="1"/>
  <c r="H6" i="1"/>
  <c r="H7" i="1"/>
  <c r="H8" i="1"/>
  <c r="H9" i="1"/>
  <c r="H10" i="1"/>
  <c r="H11" i="1"/>
  <c r="H12" i="1"/>
  <c r="H13" i="1"/>
  <c r="H14" i="1"/>
  <c r="H15" i="1"/>
  <c r="H19" i="1"/>
  <c r="H20" i="1"/>
  <c r="H21" i="1"/>
  <c r="H22" i="1"/>
  <c r="H23" i="1"/>
  <c r="I24" i="1"/>
  <c r="H24" i="1" s="1"/>
  <c r="I18" i="1"/>
  <c r="H18" i="1" s="1"/>
  <c r="I6" i="1"/>
  <c r="E15" i="4"/>
  <c r="E16" i="4" s="1"/>
  <c r="R22" i="1" l="1"/>
  <c r="X22" i="1"/>
  <c r="R20" i="1"/>
  <c r="X20" i="1"/>
  <c r="R19" i="1"/>
  <c r="S19" i="1" s="1"/>
  <c r="T19" i="1" s="1"/>
  <c r="U19" i="1" s="1"/>
  <c r="X19" i="1"/>
  <c r="R7" i="1"/>
  <c r="X7" i="1"/>
  <c r="R21" i="1"/>
  <c r="X21" i="1"/>
  <c r="R10" i="1"/>
  <c r="X10" i="1"/>
  <c r="R18" i="1"/>
  <c r="S18" i="1" s="1"/>
  <c r="T18" i="1" s="1"/>
  <c r="U18" i="1" s="1"/>
  <c r="X18" i="1"/>
  <c r="R14" i="1"/>
  <c r="S14" i="1" s="1"/>
  <c r="T14" i="1" s="1"/>
  <c r="U14" i="1" s="1"/>
  <c r="X14" i="1"/>
  <c r="R6" i="1"/>
  <c r="S6" i="1" s="1"/>
  <c r="T6" i="1" s="1"/>
  <c r="U6" i="1" s="1"/>
  <c r="X6" i="1"/>
  <c r="R11" i="1"/>
  <c r="S11" i="1" s="1"/>
  <c r="T11" i="1" s="1"/>
  <c r="U11" i="1" s="1"/>
  <c r="X11" i="1"/>
  <c r="R9" i="1"/>
  <c r="S9" i="1" s="1"/>
  <c r="T9" i="1" s="1"/>
  <c r="U9" i="1" s="1"/>
  <c r="X9" i="1"/>
  <c r="R15" i="1"/>
  <c r="S15" i="1" s="1"/>
  <c r="T15" i="1" s="1"/>
  <c r="U15" i="1" s="1"/>
  <c r="X15" i="1"/>
  <c r="R13" i="1"/>
  <c r="X13" i="1"/>
  <c r="R8" i="1"/>
  <c r="X8" i="1"/>
  <c r="R24" i="1"/>
  <c r="S24" i="1" s="1"/>
  <c r="T24" i="1" s="1"/>
  <c r="U24" i="1" s="1"/>
  <c r="X24" i="1"/>
  <c r="R23" i="1"/>
  <c r="S23" i="1" s="1"/>
  <c r="T23" i="1" s="1"/>
  <c r="U23" i="1" s="1"/>
  <c r="X23" i="1"/>
  <c r="R12" i="1"/>
  <c r="S12" i="1" s="1"/>
  <c r="T12" i="1" s="1"/>
  <c r="U12" i="1" s="1"/>
  <c r="X12" i="1"/>
  <c r="D17" i="5"/>
  <c r="D19" i="5" s="1"/>
  <c r="C10" i="5"/>
  <c r="E10" i="5" s="1"/>
  <c r="E12" i="5" s="1"/>
  <c r="E13" i="5" s="1"/>
  <c r="S22" i="1"/>
  <c r="T22" i="1" s="1"/>
  <c r="U22" i="1" s="1"/>
  <c r="S7" i="1"/>
  <c r="T7" i="1" s="1"/>
  <c r="U7" i="1" s="1"/>
  <c r="S21" i="1"/>
  <c r="T21" i="1" s="1"/>
  <c r="U21" i="1" s="1"/>
  <c r="S13" i="1"/>
  <c r="T13" i="1" s="1"/>
  <c r="U13" i="1" s="1"/>
  <c r="S20" i="1"/>
  <c r="T20" i="1" s="1"/>
  <c r="U20" i="1" s="1"/>
  <c r="S8" i="1"/>
  <c r="T8" i="1" s="1"/>
  <c r="U8" i="1" s="1"/>
  <c r="S10" i="1"/>
  <c r="T10" i="1" s="1"/>
  <c r="U10" i="1" s="1"/>
  <c r="I17" i="1"/>
  <c r="H17" i="1" s="1"/>
  <c r="J16" i="1"/>
  <c r="I16" i="1"/>
  <c r="H16" i="1" s="1"/>
  <c r="U27" i="1"/>
  <c r="AG26" i="1"/>
  <c r="AH26" i="1" s="1"/>
  <c r="AI26" i="1" s="1"/>
  <c r="AI9" i="1"/>
  <c r="J4" i="1"/>
  <c r="I4" i="1"/>
  <c r="R17" i="1" l="1"/>
  <c r="S17" i="1" s="1"/>
  <c r="T17" i="1" s="1"/>
  <c r="U17" i="1" s="1"/>
  <c r="X17" i="1"/>
  <c r="R16" i="1"/>
  <c r="S16" i="1" s="1"/>
  <c r="T16" i="1" s="1"/>
  <c r="U16" i="1" s="1"/>
  <c r="X16" i="1"/>
  <c r="H4" i="1"/>
  <c r="X4" i="1" s="1"/>
  <c r="X26" i="1" s="1"/>
  <c r="K16" i="5" s="1"/>
  <c r="I26" i="1"/>
  <c r="H26" i="1"/>
  <c r="F10" i="2"/>
  <c r="H8" i="2"/>
  <c r="H7" i="2"/>
  <c r="H6" i="2"/>
  <c r="H5" i="2"/>
  <c r="H4" i="2"/>
  <c r="G8" i="2"/>
  <c r="G7" i="2"/>
  <c r="G10" i="2" s="1"/>
  <c r="G6" i="2"/>
  <c r="G5" i="2"/>
  <c r="G4" i="2"/>
  <c r="X27" i="1"/>
  <c r="R5" i="1"/>
  <c r="M5" i="1"/>
  <c r="P5" i="1"/>
  <c r="R4" i="1" l="1"/>
  <c r="K18" i="5"/>
  <c r="L17" i="5"/>
  <c r="R26" i="1"/>
  <c r="Y27" i="1"/>
  <c r="S5" i="1"/>
  <c r="T5" i="1" s="1"/>
  <c r="U5" i="1" s="1"/>
  <c r="M4" i="1"/>
  <c r="Y16" i="1" l="1"/>
  <c r="Y9" i="1"/>
  <c r="Y17" i="1"/>
  <c r="Y5" i="1"/>
  <c r="P4" i="1"/>
  <c r="S4" i="1" l="1"/>
  <c r="T4" i="1" s="1"/>
  <c r="U4" i="1" s="1"/>
  <c r="U26" i="1" l="1"/>
  <c r="U29" i="1" s="1"/>
  <c r="U35" i="1" s="1"/>
  <c r="Y4" i="1" l="1"/>
</calcChain>
</file>

<file path=xl/sharedStrings.xml><?xml version="1.0" encoding="utf-8"?>
<sst xmlns="http://schemas.openxmlformats.org/spreadsheetml/2006/main" count="185" uniqueCount="93">
  <si>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</si>
  <si>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</si>
  <si>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</si>
  <si>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</si>
  <si>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</si>
  <si>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</si>
  <si>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</si>
  <si>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</si>
  <si>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</si>
  <si>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Gross Replacement Value
(INR)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</si>
  <si>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</si>
  <si>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</si>
  <si>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</si>
  <si>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</si>
  <si>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t>Sr. No.</t>
  </si>
  <si>
    <t>Condition of Structure</t>
  </si>
  <si>
    <t xml:space="preserve">Deterioration Factor
(INR) </t>
  </si>
  <si>
    <t>REMARKS:-</t>
  </si>
  <si>
    <t>Total Govt. Guideline value</t>
  </si>
  <si>
    <t>3. Structure valuation is done on the basis of 'Depreciated Cost Approach' method only.</t>
  </si>
  <si>
    <t>Age Factor</t>
  </si>
  <si>
    <t>Ground Floor</t>
  </si>
  <si>
    <t>Description</t>
  </si>
  <si>
    <t>Bathroom / Toilet</t>
  </si>
  <si>
    <t>Back (Lean-to)</t>
  </si>
  <si>
    <t>Boundary Wall</t>
  </si>
  <si>
    <t>RCC walls from 3 sides, 1 common with main shed, with Asbestos Shed, partition wall between rooms (PCC flooring)</t>
  </si>
  <si>
    <t>RCC with 1 bathroom with tiles and western style toilet seat, and 1 normal with Indian style (PCC flooring)</t>
  </si>
  <si>
    <t>Iron pillar with Asbestos Shed (No flooring)</t>
  </si>
  <si>
    <t>Asbestos Shed mounted on RCC walls with false ceiling and tiles flooring</t>
  </si>
  <si>
    <t>Simple plaster RCC wall from 2 sides (37 mtr. Length &amp; 7 ft. height)</t>
  </si>
  <si>
    <t>37 mtr. (Length)</t>
  </si>
  <si>
    <t>Circle rate</t>
  </si>
  <si>
    <t>Govt. Value</t>
  </si>
  <si>
    <t>Land Area (acres)</t>
  </si>
  <si>
    <t>Block-A</t>
  </si>
  <si>
    <t>RCC Paneled walls with GI Sheet Roofing and PCC Flooring</t>
  </si>
  <si>
    <t>BUILDING AREA STATEMENT PERTAINING TO M/S. P.R.J. WAREHOUSING PVT. LTD.</t>
  </si>
  <si>
    <t>Mezzanine</t>
  </si>
  <si>
    <t>Toilet</t>
  </si>
  <si>
    <t>Very Good</t>
  </si>
  <si>
    <t>RCC Block wall on all sides (3,180 mtr. Length &amp; 8 ft. height)</t>
  </si>
  <si>
    <t>Block-B</t>
  </si>
  <si>
    <t>Guard Room</t>
  </si>
  <si>
    <t>Driver Rest Room-1</t>
  </si>
  <si>
    <t>Covered Walkway</t>
  </si>
  <si>
    <t>Worker's Rest Room</t>
  </si>
  <si>
    <t>HT/LT Room</t>
  </si>
  <si>
    <t>Pump Room</t>
  </si>
  <si>
    <t>BW</t>
  </si>
  <si>
    <t>Road</t>
  </si>
  <si>
    <t>Scrap Room-1</t>
  </si>
  <si>
    <t>Scrap Room-2</t>
  </si>
  <si>
    <t>RCC Struture with RCC Roofing and PCC flooring</t>
  </si>
  <si>
    <t>Canopy 1, 2, 3 &amp; 4</t>
  </si>
  <si>
    <t>Structural Steel columns with GI Sheet Platform</t>
  </si>
  <si>
    <t>GI Sheet</t>
  </si>
  <si>
    <t>Security Room-2</t>
  </si>
  <si>
    <t>Canopy 1 &amp; 2</t>
  </si>
  <si>
    <t>Driver Rest Room-2</t>
  </si>
  <si>
    <t>Scrap Room-3</t>
  </si>
  <si>
    <t>Scrap Room-4</t>
  </si>
  <si>
    <t>Connecting Bridge</t>
  </si>
  <si>
    <t>Covered Parking</t>
  </si>
  <si>
    <t>Structural Steel columns with GI Sheet roofing and RCC block flooring</t>
  </si>
  <si>
    <t>Structural Steel Columns with GI sheet structure</t>
  </si>
  <si>
    <t>Heighted 
(7 mtr.)</t>
  </si>
  <si>
    <t>Class A construction (Very Good)</t>
  </si>
  <si>
    <t>kg</t>
  </si>
  <si>
    <t>Others</t>
  </si>
  <si>
    <t>Land Development</t>
  </si>
  <si>
    <t>Open Area Development, Road, Fire Tunnel, Rain Water Harvesting, Overhead Tank, etc.</t>
  </si>
  <si>
    <t>Rs. 18.00 Lacs per acre</t>
  </si>
  <si>
    <t>Land Valuation</t>
  </si>
  <si>
    <t>CLU</t>
  </si>
  <si>
    <t>Road widening and green belt</t>
  </si>
  <si>
    <t>Total Land Area</t>
  </si>
  <si>
    <t>CLU Fees</t>
  </si>
  <si>
    <t>Govt. Val.</t>
  </si>
  <si>
    <t>mtr'</t>
  </si>
  <si>
    <t>Km</t>
  </si>
  <si>
    <t>Structural Steel Columns with GI sheet Roofing</t>
  </si>
  <si>
    <t>Rs.1,500/-
(Running meter)</t>
  </si>
  <si>
    <t>2. Covered Area has been taken on the basis of approved plan provided by the bank/client.</t>
  </si>
  <si>
    <t>1.All the structures present within the compound of the property of M/s. P.R.J. Warehousing Pvt. Ltd., Village- Yakubpur, Tehsil- Badli, District- Jhajjar, Haryana, has been considered in this valuation report.</t>
  </si>
  <si>
    <t>MARKET VALUE OF STRUCTURES | M/S. PRJ WAREHOUSING PRIVATE LIMITED | SITUATED AT VILLAGE- YAKUBPUR, TEHSIL- BADLI, DISTRICT- JHAJJAR, HARYANA</t>
  </si>
  <si>
    <t>Govt. Guideline rates
(per sq. ft.)</t>
  </si>
  <si>
    <t>Height
(in ft.)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</si>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</sst>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0.000"/>
    <numFmt numFmtId="167" formatCode="_ * #,##0_ ;_ * \-#,##0_ ;_ * &quot;-&quot;?_ ;_ @_ "/>
    <numFmt numFmtId="168" formatCode="_ * #,##0.0_ ;_ * \-#,##0.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2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0" fillId="0" borderId="0" xfId="3" applyFont="1"/>
    <xf numFmtId="164" fontId="0" fillId="0" borderId="0" xfId="3" applyNumberFormat="1" applyFont="1"/>
    <xf numFmtId="43" fontId="0" fillId="0" borderId="0" xfId="0" applyNumberForma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4" fontId="0" fillId="0" borderId="0" xfId="0" applyNumberFormat="1" applyFont="1" applyAlignment="1">
      <alignment horizontal="center" vertical="center"/>
    </xf>
    <xf numFmtId="43" fontId="4" fillId="2" borderId="1" xfId="3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2" fontId="0" fillId="0" borderId="0" xfId="0" applyNumberFormat="1"/>
    <xf numFmtId="167" fontId="0" fillId="0" borderId="0" xfId="0" applyNumberFormat="1"/>
    <xf numFmtId="165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8" fontId="0" fillId="0" borderId="0" xfId="3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9" fontId="0" fillId="0" borderId="0" xfId="2" applyFont="1"/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5" fontId="0" fillId="0" borderId="2" xfId="1" applyNumberFormat="1" applyFont="1" applyBorder="1" applyAlignment="1">
      <alignment horizontal="left" vertical="center" wrapText="1"/>
    </xf>
    <xf numFmtId="165" fontId="0" fillId="0" borderId="3" xfId="1" applyNumberFormat="1" applyFont="1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41"/>
  <sheetViews>
    <sheetView tabSelected="1" zoomScaleNormal="100" workbookViewId="0">
      <pane ySplit="3" topLeftCell="A20" activePane="bottomLeft" state="frozen"/>
      <selection activeCell="D27" sqref="D27"/>
      <selection pane="bottomLeft" activeCell="T1" sqref="T1:T1048576"/>
    </sheetView>
  </sheetViews>
  <sheetFormatPr defaultRowHeight="15" x14ac:dyDescent="0.25"/>
  <cols>
    <col min="1" max="1" width="9.140625" style="22"/>
    <col min="2" max="2" width="4" style="29" customWidth="1"/>
    <col min="3" max="3" width="13.140625" style="29" customWidth="1"/>
    <col min="4" max="4" width="19" style="30" bestFit="1" customWidth="1"/>
    <col min="5" max="5" width="30" style="30" customWidth="1"/>
    <col min="6" max="6" width="12.5703125" style="22" hidden="1" customWidth="1"/>
    <col min="7" max="7" width="11" style="22" hidden="1" customWidth="1"/>
    <col min="8" max="8" width="13.5703125" style="39" bestFit="1" customWidth="1"/>
    <col min="9" max="9" width="11.7109375" style="35" customWidth="1"/>
    <col min="10" max="10" width="7.28515625" style="35" customWidth="1"/>
    <col min="11" max="11" width="11.28515625" style="22" customWidth="1"/>
    <col min="12" max="12" width="9.28515625" style="22" customWidth="1"/>
    <col min="13" max="13" width="10.42578125" style="22" hidden="1" customWidth="1"/>
    <col min="14" max="14" width="11.28515625" style="22" hidden="1" customWidth="1"/>
    <col min="15" max="15" width="7.7109375" style="22" hidden="1" customWidth="1"/>
    <col min="16" max="16" width="12.85546875" style="22" customWidth="1"/>
    <col min="17" max="17" width="10.85546875" style="22" customWidth="1"/>
    <col min="18" max="18" width="16" style="22" bestFit="1" customWidth="1"/>
    <col min="19" max="19" width="13.140625" style="22" customWidth="1"/>
    <col min="20" max="20" width="14.42578125" style="22" hidden="1" customWidth="1"/>
    <col min="21" max="21" width="17.7109375" style="22" bestFit="1" customWidth="1"/>
    <col min="22" max="22" width="19.85546875" style="22" hidden="1" customWidth="1"/>
    <col min="23" max="23" width="11" style="22" hidden="1" customWidth="1"/>
    <col min="24" max="24" width="15.28515625" style="22" hidden="1" customWidth="1"/>
    <col min="25" max="25" width="12.5703125" style="22" bestFit="1" customWidth="1"/>
    <col min="26" max="34" width="9.140625" style="22"/>
    <col min="35" max="35" width="12.7109375" style="22" bestFit="1" customWidth="1"/>
    <col min="36" max="16384" width="9.140625" style="22"/>
  </cols>
  <sheetData>
    <row r="2" spans="2:35" ht="15" customHeight="1" x14ac:dyDescent="0.25">
      <c r="B2" s="51" t="s">
        <v>85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3"/>
    </row>
    <row r="3" spans="2:35" s="14" customFormat="1" ht="60" x14ac:dyDescent="0.25">
      <c r="B3" s="5" t="s">
        <v>14</v>
      </c>
      <c r="C3" s="5" t="s">
        <v>0</v>
      </c>
      <c r="D3" s="17" t="s">
        <v>22</v>
      </c>
      <c r="E3" s="17" t="s">
        <v>3</v>
      </c>
      <c r="F3" s="5" t="s">
        <v>12</v>
      </c>
      <c r="G3" s="5" t="s">
        <v>15</v>
      </c>
      <c r="H3" s="36" t="s">
        <v>88</v>
      </c>
      <c r="I3" s="32" t="s">
        <v>89</v>
      </c>
      <c r="J3" s="32" t="s">
        <v>87</v>
      </c>
      <c r="K3" s="5" t="s">
        <v>1</v>
      </c>
      <c r="L3" s="5" t="s">
        <v>2</v>
      </c>
      <c r="M3" s="5" t="s">
        <v>90</v>
      </c>
      <c r="N3" s="5" t="s">
        <v>91</v>
      </c>
      <c r="O3" s="5" t="s">
        <v>4</v>
      </c>
      <c r="P3" s="5" t="s">
        <v>6</v>
      </c>
      <c r="Q3" s="5" t="s">
        <v>92</v>
      </c>
      <c r="R3" s="5" t="s">
        <v>9</v>
      </c>
      <c r="S3" s="5" t="s">
        <v>16</v>
      </c>
      <c r="T3" s="5" t="s">
        <v>7</v>
      </c>
      <c r="U3" s="5" t="s">
        <v>8</v>
      </c>
      <c r="V3" s="5" t="s">
        <v>86</v>
      </c>
      <c r="W3" s="5" t="s">
        <v>20</v>
      </c>
      <c r="X3" s="5" t="s">
        <v>18</v>
      </c>
    </row>
    <row r="4" spans="2:35" ht="45" x14ac:dyDescent="0.25">
      <c r="B4" s="48">
        <v>1</v>
      </c>
      <c r="C4" s="23" t="s">
        <v>21</v>
      </c>
      <c r="D4" s="24" t="s">
        <v>35</v>
      </c>
      <c r="E4" s="12" t="s">
        <v>36</v>
      </c>
      <c r="F4" s="23" t="s">
        <v>67</v>
      </c>
      <c r="G4" s="23" t="s">
        <v>40</v>
      </c>
      <c r="H4" s="37">
        <f>I4*10.764</f>
        <v>557578.35385199997</v>
      </c>
      <c r="I4" s="33">
        <f>45911.057+5889.236</f>
        <v>51800.292999999998</v>
      </c>
      <c r="J4" s="33">
        <f>(18.45+1.2)*3.28</f>
        <v>64.451999999999998</v>
      </c>
      <c r="K4" s="25">
        <v>2021</v>
      </c>
      <c r="L4" s="25">
        <v>2022</v>
      </c>
      <c r="M4" s="25">
        <f>L4-K4</f>
        <v>1</v>
      </c>
      <c r="N4" s="25">
        <v>40</v>
      </c>
      <c r="O4" s="26">
        <v>0.1</v>
      </c>
      <c r="P4" s="27">
        <f>(1-O4)/N4</f>
        <v>2.2499999999999999E-2</v>
      </c>
      <c r="Q4" s="2">
        <v>1400</v>
      </c>
      <c r="R4" s="2">
        <f>Q4*H4</f>
        <v>780609695.39279997</v>
      </c>
      <c r="S4" s="2">
        <f t="shared" ref="S4:S5" si="0">R4*P4*M4</f>
        <v>17563718.146337997</v>
      </c>
      <c r="T4" s="2">
        <f t="shared" ref="T4" si="1">MAX(R4-S4,0)</f>
        <v>763045977.24646199</v>
      </c>
      <c r="U4" s="2">
        <f>T4</f>
        <v>763045977.24646199</v>
      </c>
      <c r="V4" s="2">
        <v>500</v>
      </c>
      <c r="W4" s="9">
        <v>1</v>
      </c>
      <c r="X4" s="2">
        <f>(V4*W4*H4)</f>
        <v>278789176.926</v>
      </c>
      <c r="Y4" s="28">
        <f>U4/H4</f>
        <v>1368.5</v>
      </c>
    </row>
    <row r="5" spans="2:35" ht="45" x14ac:dyDescent="0.25">
      <c r="B5" s="48">
        <v>2</v>
      </c>
      <c r="C5" s="11" t="s">
        <v>38</v>
      </c>
      <c r="D5" s="11" t="s">
        <v>35</v>
      </c>
      <c r="E5" s="12" t="s">
        <v>55</v>
      </c>
      <c r="F5" s="23" t="s">
        <v>67</v>
      </c>
      <c r="G5" s="23" t="s">
        <v>40</v>
      </c>
      <c r="H5" s="37">
        <f t="shared" ref="H5:H24" si="2">I5*10.764</f>
        <v>115989.99001199999</v>
      </c>
      <c r="I5" s="33">
        <v>10775.733</v>
      </c>
      <c r="J5" s="33">
        <v>19</v>
      </c>
      <c r="K5" s="25">
        <v>2021</v>
      </c>
      <c r="L5" s="25">
        <v>2022</v>
      </c>
      <c r="M5" s="25">
        <f t="shared" ref="M5:M24" si="3">L5-K5</f>
        <v>1</v>
      </c>
      <c r="N5" s="25">
        <v>40</v>
      </c>
      <c r="O5" s="26">
        <v>0.1</v>
      </c>
      <c r="P5" s="27">
        <f t="shared" ref="P5:P24" si="4">(1-O5)/N5</f>
        <v>2.2499999999999999E-2</v>
      </c>
      <c r="Q5" s="2">
        <v>600</v>
      </c>
      <c r="R5" s="2">
        <f t="shared" ref="R5" si="5">Q5*H5</f>
        <v>69593994.007200003</v>
      </c>
      <c r="S5" s="2">
        <f t="shared" si="0"/>
        <v>1565864.8651620001</v>
      </c>
      <c r="T5" s="2">
        <f t="shared" ref="T5" si="6">MAX(R5-S5,0)</f>
        <v>68028129.142038003</v>
      </c>
      <c r="U5" s="2">
        <f t="shared" ref="U5" si="7">T5</f>
        <v>68028129.142038003</v>
      </c>
      <c r="V5" s="2">
        <v>500</v>
      </c>
      <c r="W5" s="9">
        <v>1</v>
      </c>
      <c r="X5" s="2">
        <f t="shared" ref="X5:X24" si="8">(V5*W5*H5)</f>
        <v>57994995.005999997</v>
      </c>
      <c r="Y5" s="28">
        <f>U5/H5</f>
        <v>586.5</v>
      </c>
    </row>
    <row r="6" spans="2:35" ht="45" x14ac:dyDescent="0.25">
      <c r="B6" s="48">
        <v>3</v>
      </c>
      <c r="C6" s="11" t="s">
        <v>54</v>
      </c>
      <c r="D6" s="11" t="s">
        <v>35</v>
      </c>
      <c r="E6" s="12" t="s">
        <v>56</v>
      </c>
      <c r="F6" s="23" t="s">
        <v>67</v>
      </c>
      <c r="G6" s="23" t="s">
        <v>40</v>
      </c>
      <c r="H6" s="37">
        <f t="shared" si="2"/>
        <v>30576.756600000001</v>
      </c>
      <c r="I6" s="33">
        <f>622.7+1439.85+368.5+409.6</f>
        <v>2840.65</v>
      </c>
      <c r="J6" s="33">
        <v>23</v>
      </c>
      <c r="K6" s="25">
        <v>2021</v>
      </c>
      <c r="L6" s="25">
        <v>2022</v>
      </c>
      <c r="M6" s="25">
        <f t="shared" si="3"/>
        <v>1</v>
      </c>
      <c r="N6" s="25">
        <v>40</v>
      </c>
      <c r="O6" s="26">
        <v>0.1</v>
      </c>
      <c r="P6" s="27">
        <f t="shared" si="4"/>
        <v>2.2499999999999999E-2</v>
      </c>
      <c r="Q6" s="2">
        <v>250</v>
      </c>
      <c r="R6" s="2">
        <f t="shared" ref="R6:R24" si="9">Q6*H6</f>
        <v>7644189.1500000004</v>
      </c>
      <c r="S6" s="2">
        <f t="shared" ref="S6:S24" si="10">R6*P6*M6</f>
        <v>171994.255875</v>
      </c>
      <c r="T6" s="2">
        <f t="shared" ref="T6:T24" si="11">MAX(R6-S6,0)</f>
        <v>7472194.8941250006</v>
      </c>
      <c r="U6" s="2">
        <f t="shared" ref="U6:U24" si="12">T6</f>
        <v>7472194.8941250006</v>
      </c>
      <c r="V6" s="2">
        <v>500</v>
      </c>
      <c r="W6" s="9">
        <v>1</v>
      </c>
      <c r="X6" s="2">
        <f t="shared" si="8"/>
        <v>15288378.300000001</v>
      </c>
      <c r="Y6" s="28"/>
    </row>
    <row r="7" spans="2:35" ht="45" x14ac:dyDescent="0.25">
      <c r="B7" s="48">
        <v>4</v>
      </c>
      <c r="C7" s="23" t="s">
        <v>21</v>
      </c>
      <c r="D7" s="11" t="s">
        <v>51</v>
      </c>
      <c r="E7" s="12" t="s">
        <v>53</v>
      </c>
      <c r="F7" s="23" t="s">
        <v>67</v>
      </c>
      <c r="G7" s="23" t="s">
        <v>40</v>
      </c>
      <c r="H7" s="37">
        <f t="shared" si="2"/>
        <v>1153.9007999999999</v>
      </c>
      <c r="I7" s="33">
        <v>107.2</v>
      </c>
      <c r="J7" s="33">
        <v>12</v>
      </c>
      <c r="K7" s="25">
        <v>2021</v>
      </c>
      <c r="L7" s="25">
        <v>2022</v>
      </c>
      <c r="M7" s="25">
        <f t="shared" si="3"/>
        <v>1</v>
      </c>
      <c r="N7" s="25">
        <v>60</v>
      </c>
      <c r="O7" s="26">
        <v>0.1</v>
      </c>
      <c r="P7" s="27">
        <f t="shared" si="4"/>
        <v>1.5000000000000001E-2</v>
      </c>
      <c r="Q7" s="2">
        <v>1300</v>
      </c>
      <c r="R7" s="2">
        <f t="shared" si="9"/>
        <v>1500071.0399999998</v>
      </c>
      <c r="S7" s="2">
        <f t="shared" si="10"/>
        <v>22501.065599999998</v>
      </c>
      <c r="T7" s="2">
        <f t="shared" si="11"/>
        <v>1477569.9743999997</v>
      </c>
      <c r="U7" s="2">
        <f t="shared" si="12"/>
        <v>1477569.9743999997</v>
      </c>
      <c r="V7" s="2">
        <v>800</v>
      </c>
      <c r="W7" s="9">
        <v>1</v>
      </c>
      <c r="X7" s="2">
        <f t="shared" si="8"/>
        <v>923120.6399999999</v>
      </c>
      <c r="Y7" s="28"/>
    </row>
    <row r="8" spans="2:35" ht="45" x14ac:dyDescent="0.25">
      <c r="B8" s="48">
        <v>5</v>
      </c>
      <c r="C8" s="23" t="s">
        <v>21</v>
      </c>
      <c r="D8" s="11" t="s">
        <v>52</v>
      </c>
      <c r="E8" s="12" t="s">
        <v>53</v>
      </c>
      <c r="F8" s="23" t="s">
        <v>67</v>
      </c>
      <c r="G8" s="23" t="s">
        <v>40</v>
      </c>
      <c r="H8" s="37">
        <f t="shared" si="2"/>
        <v>1033.3440000000001</v>
      </c>
      <c r="I8" s="33">
        <v>96</v>
      </c>
      <c r="J8" s="33">
        <v>12</v>
      </c>
      <c r="K8" s="25">
        <v>2021</v>
      </c>
      <c r="L8" s="25">
        <v>2022</v>
      </c>
      <c r="M8" s="25">
        <f t="shared" si="3"/>
        <v>1</v>
      </c>
      <c r="N8" s="25">
        <v>60</v>
      </c>
      <c r="O8" s="26">
        <v>0.1</v>
      </c>
      <c r="P8" s="27">
        <f t="shared" si="4"/>
        <v>1.5000000000000001E-2</v>
      </c>
      <c r="Q8" s="2">
        <v>1300</v>
      </c>
      <c r="R8" s="2">
        <f t="shared" si="9"/>
        <v>1343347.2</v>
      </c>
      <c r="S8" s="2">
        <f t="shared" si="10"/>
        <v>20150.208000000002</v>
      </c>
      <c r="T8" s="2">
        <f t="shared" si="11"/>
        <v>1323196.9919999999</v>
      </c>
      <c r="U8" s="2">
        <f t="shared" si="12"/>
        <v>1323196.9919999999</v>
      </c>
      <c r="V8" s="2">
        <v>800</v>
      </c>
      <c r="W8" s="9">
        <v>1</v>
      </c>
      <c r="X8" s="2">
        <f t="shared" si="8"/>
        <v>826675.20000000007</v>
      </c>
      <c r="Y8" s="28"/>
    </row>
    <row r="9" spans="2:35" ht="45" x14ac:dyDescent="0.25">
      <c r="B9" s="48">
        <v>6</v>
      </c>
      <c r="C9" s="23" t="s">
        <v>21</v>
      </c>
      <c r="D9" s="24" t="s">
        <v>43</v>
      </c>
      <c r="E9" s="12" t="s">
        <v>53</v>
      </c>
      <c r="F9" s="23" t="s">
        <v>67</v>
      </c>
      <c r="G9" s="23" t="s">
        <v>40</v>
      </c>
      <c r="H9" s="37">
        <f t="shared" si="2"/>
        <v>195.40965599999998</v>
      </c>
      <c r="I9" s="33">
        <v>18.154</v>
      </c>
      <c r="J9" s="33">
        <v>9</v>
      </c>
      <c r="K9" s="25">
        <v>2021</v>
      </c>
      <c r="L9" s="25">
        <v>2022</v>
      </c>
      <c r="M9" s="25">
        <f t="shared" si="3"/>
        <v>1</v>
      </c>
      <c r="N9" s="25">
        <v>60</v>
      </c>
      <c r="O9" s="26">
        <v>0.1</v>
      </c>
      <c r="P9" s="27">
        <f t="shared" si="4"/>
        <v>1.5000000000000001E-2</v>
      </c>
      <c r="Q9" s="2">
        <v>1300</v>
      </c>
      <c r="R9" s="2">
        <f t="shared" si="9"/>
        <v>254032.55279999998</v>
      </c>
      <c r="S9" s="2">
        <f t="shared" si="10"/>
        <v>3810.488292</v>
      </c>
      <c r="T9" s="2">
        <f t="shared" si="11"/>
        <v>250222.06450799998</v>
      </c>
      <c r="U9" s="2">
        <f t="shared" si="12"/>
        <v>250222.06450799998</v>
      </c>
      <c r="V9" s="2">
        <v>800</v>
      </c>
      <c r="W9" s="9">
        <v>1</v>
      </c>
      <c r="X9" s="2">
        <f t="shared" si="8"/>
        <v>156327.7248</v>
      </c>
      <c r="Y9" s="28">
        <f>U9/H9</f>
        <v>1280.5</v>
      </c>
      <c r="AF9" s="22">
        <v>100</v>
      </c>
      <c r="AG9" s="22">
        <v>3.28</v>
      </c>
      <c r="AH9" s="22">
        <v>8</v>
      </c>
      <c r="AI9" s="22">
        <f>AH9*AG9</f>
        <v>26.24</v>
      </c>
    </row>
    <row r="10" spans="2:35" ht="37.5" customHeight="1" x14ac:dyDescent="0.25">
      <c r="B10" s="48">
        <v>7</v>
      </c>
      <c r="C10" s="23" t="s">
        <v>21</v>
      </c>
      <c r="D10" s="24" t="s">
        <v>44</v>
      </c>
      <c r="E10" s="12" t="s">
        <v>53</v>
      </c>
      <c r="F10" s="23" t="s">
        <v>67</v>
      </c>
      <c r="G10" s="23" t="s">
        <v>40</v>
      </c>
      <c r="H10" s="37">
        <f t="shared" si="2"/>
        <v>651.00671999999997</v>
      </c>
      <c r="I10" s="33">
        <v>60.48</v>
      </c>
      <c r="J10" s="33">
        <v>12</v>
      </c>
      <c r="K10" s="25">
        <v>2021</v>
      </c>
      <c r="L10" s="25">
        <v>2022</v>
      </c>
      <c r="M10" s="25">
        <f t="shared" si="3"/>
        <v>1</v>
      </c>
      <c r="N10" s="25">
        <v>60</v>
      </c>
      <c r="O10" s="26">
        <v>0.1</v>
      </c>
      <c r="P10" s="27">
        <f t="shared" si="4"/>
        <v>1.5000000000000001E-2</v>
      </c>
      <c r="Q10" s="2">
        <v>1300</v>
      </c>
      <c r="R10" s="2">
        <f t="shared" si="9"/>
        <v>846308.73599999992</v>
      </c>
      <c r="S10" s="2">
        <f t="shared" si="10"/>
        <v>12694.63104</v>
      </c>
      <c r="T10" s="2">
        <f t="shared" si="11"/>
        <v>833614.10495999991</v>
      </c>
      <c r="U10" s="2">
        <f t="shared" si="12"/>
        <v>833614.10495999991</v>
      </c>
      <c r="V10" s="2">
        <v>800</v>
      </c>
      <c r="W10" s="9">
        <v>1</v>
      </c>
      <c r="X10" s="2">
        <f t="shared" si="8"/>
        <v>520805.37599999999</v>
      </c>
      <c r="Y10" s="28"/>
    </row>
    <row r="11" spans="2:35" ht="45" x14ac:dyDescent="0.25">
      <c r="B11" s="48">
        <v>8</v>
      </c>
      <c r="C11" s="23" t="s">
        <v>21</v>
      </c>
      <c r="D11" s="24" t="s">
        <v>45</v>
      </c>
      <c r="E11" s="12" t="s">
        <v>64</v>
      </c>
      <c r="F11" s="23" t="s">
        <v>67</v>
      </c>
      <c r="G11" s="23" t="s">
        <v>40</v>
      </c>
      <c r="H11" s="37">
        <f t="shared" si="2"/>
        <v>2921.7801599999998</v>
      </c>
      <c r="I11" s="33">
        <v>271.44</v>
      </c>
      <c r="J11" s="33">
        <v>14</v>
      </c>
      <c r="K11" s="25">
        <v>2021</v>
      </c>
      <c r="L11" s="25">
        <v>2022</v>
      </c>
      <c r="M11" s="25">
        <f t="shared" si="3"/>
        <v>1</v>
      </c>
      <c r="N11" s="25">
        <v>40</v>
      </c>
      <c r="O11" s="26">
        <v>0.1</v>
      </c>
      <c r="P11" s="27">
        <f t="shared" si="4"/>
        <v>2.2499999999999999E-2</v>
      </c>
      <c r="Q11" s="2">
        <v>300</v>
      </c>
      <c r="R11" s="2">
        <f t="shared" si="9"/>
        <v>876534.04799999995</v>
      </c>
      <c r="S11" s="2">
        <f t="shared" si="10"/>
        <v>19722.016079999998</v>
      </c>
      <c r="T11" s="2">
        <f t="shared" si="11"/>
        <v>856812.03191999998</v>
      </c>
      <c r="U11" s="2">
        <f t="shared" si="12"/>
        <v>856812.03191999998</v>
      </c>
      <c r="V11" s="2">
        <v>500</v>
      </c>
      <c r="W11" s="9">
        <v>1</v>
      </c>
      <c r="X11" s="2">
        <f t="shared" si="8"/>
        <v>1460890.0799999998</v>
      </c>
      <c r="Y11" s="28"/>
    </row>
    <row r="12" spans="2:35" ht="39.75" customHeight="1" x14ac:dyDescent="0.25">
      <c r="B12" s="48">
        <v>9</v>
      </c>
      <c r="C12" s="23" t="s">
        <v>21</v>
      </c>
      <c r="D12" s="12" t="s">
        <v>57</v>
      </c>
      <c r="E12" s="12" t="s">
        <v>53</v>
      </c>
      <c r="F12" s="23" t="s">
        <v>67</v>
      </c>
      <c r="G12" s="23" t="s">
        <v>40</v>
      </c>
      <c r="H12" s="37">
        <f t="shared" si="2"/>
        <v>128.86660799999999</v>
      </c>
      <c r="I12" s="33">
        <v>11.972</v>
      </c>
      <c r="J12" s="33">
        <v>10</v>
      </c>
      <c r="K12" s="25">
        <v>2021</v>
      </c>
      <c r="L12" s="25">
        <v>2022</v>
      </c>
      <c r="M12" s="25">
        <f t="shared" si="3"/>
        <v>1</v>
      </c>
      <c r="N12" s="25">
        <v>60</v>
      </c>
      <c r="O12" s="26">
        <v>0.1</v>
      </c>
      <c r="P12" s="27">
        <f t="shared" si="4"/>
        <v>1.5000000000000001E-2</v>
      </c>
      <c r="Q12" s="2">
        <v>1300</v>
      </c>
      <c r="R12" s="2">
        <f t="shared" si="9"/>
        <v>167526.59039999999</v>
      </c>
      <c r="S12" s="2">
        <f t="shared" si="10"/>
        <v>2512.8988559999998</v>
      </c>
      <c r="T12" s="2">
        <f t="shared" si="11"/>
        <v>165013.691544</v>
      </c>
      <c r="U12" s="2">
        <f t="shared" si="12"/>
        <v>165013.691544</v>
      </c>
      <c r="V12" s="2">
        <v>800</v>
      </c>
      <c r="W12" s="9">
        <v>1</v>
      </c>
      <c r="X12" s="2">
        <f t="shared" si="8"/>
        <v>103093.28639999998</v>
      </c>
      <c r="Y12" s="28"/>
    </row>
    <row r="13" spans="2:35" ht="39.75" customHeight="1" x14ac:dyDescent="0.25">
      <c r="B13" s="48">
        <v>10</v>
      </c>
      <c r="C13" s="23" t="s">
        <v>21</v>
      </c>
      <c r="D13" s="24" t="s">
        <v>46</v>
      </c>
      <c r="E13" s="12" t="s">
        <v>53</v>
      </c>
      <c r="F13" s="23" t="s">
        <v>67</v>
      </c>
      <c r="G13" s="23" t="s">
        <v>40</v>
      </c>
      <c r="H13" s="37">
        <f t="shared" si="2"/>
        <v>810.74447999999984</v>
      </c>
      <c r="I13" s="33">
        <v>75.319999999999993</v>
      </c>
      <c r="J13" s="33">
        <v>12</v>
      </c>
      <c r="K13" s="25">
        <v>2021</v>
      </c>
      <c r="L13" s="25">
        <v>2022</v>
      </c>
      <c r="M13" s="25">
        <f t="shared" si="3"/>
        <v>1</v>
      </c>
      <c r="N13" s="25">
        <v>60</v>
      </c>
      <c r="O13" s="26">
        <v>0.1</v>
      </c>
      <c r="P13" s="27">
        <f t="shared" si="4"/>
        <v>1.5000000000000001E-2</v>
      </c>
      <c r="Q13" s="2">
        <v>1300</v>
      </c>
      <c r="R13" s="2">
        <f t="shared" si="9"/>
        <v>1053967.8239999998</v>
      </c>
      <c r="S13" s="2">
        <f t="shared" si="10"/>
        <v>15809.517359999998</v>
      </c>
      <c r="T13" s="2">
        <f t="shared" si="11"/>
        <v>1038158.3066399998</v>
      </c>
      <c r="U13" s="2">
        <f t="shared" si="12"/>
        <v>1038158.3066399998</v>
      </c>
      <c r="V13" s="2">
        <v>800</v>
      </c>
      <c r="W13" s="9">
        <v>1</v>
      </c>
      <c r="X13" s="2">
        <f t="shared" si="8"/>
        <v>648595.58399999992</v>
      </c>
      <c r="Y13" s="28"/>
    </row>
    <row r="14" spans="2:35" ht="36.75" customHeight="1" x14ac:dyDescent="0.25">
      <c r="B14" s="48">
        <v>11</v>
      </c>
      <c r="C14" s="23" t="s">
        <v>21</v>
      </c>
      <c r="D14" s="24" t="s">
        <v>47</v>
      </c>
      <c r="E14" s="12" t="s">
        <v>53</v>
      </c>
      <c r="F14" s="23" t="s">
        <v>67</v>
      </c>
      <c r="G14" s="23" t="s">
        <v>40</v>
      </c>
      <c r="H14" s="37">
        <f t="shared" si="2"/>
        <v>2626.6850999999997</v>
      </c>
      <c r="I14" s="33">
        <v>244.02500000000001</v>
      </c>
      <c r="J14" s="33">
        <v>15</v>
      </c>
      <c r="K14" s="25">
        <v>2021</v>
      </c>
      <c r="L14" s="25">
        <v>2022</v>
      </c>
      <c r="M14" s="25">
        <f t="shared" si="3"/>
        <v>1</v>
      </c>
      <c r="N14" s="25">
        <v>60</v>
      </c>
      <c r="O14" s="26">
        <v>0.1</v>
      </c>
      <c r="P14" s="27">
        <f t="shared" si="4"/>
        <v>1.5000000000000001E-2</v>
      </c>
      <c r="Q14" s="2">
        <v>1400</v>
      </c>
      <c r="R14" s="2">
        <f t="shared" si="9"/>
        <v>3677359.1399999997</v>
      </c>
      <c r="S14" s="2">
        <f t="shared" si="10"/>
        <v>55160.3871</v>
      </c>
      <c r="T14" s="2">
        <f t="shared" si="11"/>
        <v>3622198.7528999997</v>
      </c>
      <c r="U14" s="2">
        <f t="shared" si="12"/>
        <v>3622198.7528999997</v>
      </c>
      <c r="V14" s="2">
        <v>800</v>
      </c>
      <c r="W14" s="9">
        <v>1</v>
      </c>
      <c r="X14" s="2">
        <f t="shared" si="8"/>
        <v>2101348.0799999996</v>
      </c>
      <c r="Y14" s="28"/>
    </row>
    <row r="15" spans="2:35" ht="34.5" customHeight="1" x14ac:dyDescent="0.25">
      <c r="B15" s="48">
        <v>12</v>
      </c>
      <c r="C15" s="23" t="s">
        <v>21</v>
      </c>
      <c r="D15" s="24" t="s">
        <v>48</v>
      </c>
      <c r="E15" s="12" t="s">
        <v>53</v>
      </c>
      <c r="F15" s="23" t="s">
        <v>67</v>
      </c>
      <c r="G15" s="23" t="s">
        <v>40</v>
      </c>
      <c r="H15" s="37">
        <f t="shared" si="2"/>
        <v>1403.5179599999997</v>
      </c>
      <c r="I15" s="33">
        <v>130.38999999999999</v>
      </c>
      <c r="J15" s="33">
        <v>15</v>
      </c>
      <c r="K15" s="25">
        <v>2021</v>
      </c>
      <c r="L15" s="25">
        <v>2022</v>
      </c>
      <c r="M15" s="25">
        <f t="shared" si="3"/>
        <v>1</v>
      </c>
      <c r="N15" s="25">
        <v>60</v>
      </c>
      <c r="O15" s="26">
        <v>0.1</v>
      </c>
      <c r="P15" s="27">
        <f t="shared" si="4"/>
        <v>1.5000000000000001E-2</v>
      </c>
      <c r="Q15" s="2">
        <v>1400</v>
      </c>
      <c r="R15" s="2">
        <f t="shared" si="9"/>
        <v>1964925.1439999996</v>
      </c>
      <c r="S15" s="2">
        <f t="shared" si="10"/>
        <v>29473.877159999996</v>
      </c>
      <c r="T15" s="2">
        <f t="shared" si="11"/>
        <v>1935451.2668399997</v>
      </c>
      <c r="U15" s="2">
        <f t="shared" si="12"/>
        <v>1935451.2668399997</v>
      </c>
      <c r="V15" s="2">
        <v>800</v>
      </c>
      <c r="W15" s="9">
        <v>1</v>
      </c>
      <c r="X15" s="2">
        <f t="shared" si="8"/>
        <v>1122814.3679999998</v>
      </c>
      <c r="Y15" s="28"/>
    </row>
    <row r="16" spans="2:35" ht="45" x14ac:dyDescent="0.25">
      <c r="B16" s="48">
        <v>13</v>
      </c>
      <c r="C16" s="23" t="s">
        <v>21</v>
      </c>
      <c r="D16" s="24" t="s">
        <v>42</v>
      </c>
      <c r="E16" s="12" t="s">
        <v>36</v>
      </c>
      <c r="F16" s="23" t="s">
        <v>67</v>
      </c>
      <c r="G16" s="23" t="s">
        <v>40</v>
      </c>
      <c r="H16" s="37">
        <f t="shared" si="2"/>
        <v>448995.20140799996</v>
      </c>
      <c r="I16" s="33">
        <f>39192.897+2519.775</f>
        <v>41712.671999999999</v>
      </c>
      <c r="J16" s="33">
        <f>(18.45+1.2)*3.28</f>
        <v>64.451999999999998</v>
      </c>
      <c r="K16" s="25">
        <v>2021</v>
      </c>
      <c r="L16" s="25">
        <v>2022</v>
      </c>
      <c r="M16" s="25">
        <f t="shared" si="3"/>
        <v>1</v>
      </c>
      <c r="N16" s="25">
        <v>40</v>
      </c>
      <c r="O16" s="26">
        <v>0.1</v>
      </c>
      <c r="P16" s="27">
        <f t="shared" si="4"/>
        <v>2.2499999999999999E-2</v>
      </c>
      <c r="Q16" s="2">
        <v>1400</v>
      </c>
      <c r="R16" s="2">
        <f t="shared" si="9"/>
        <v>628593281.97119999</v>
      </c>
      <c r="S16" s="2">
        <f t="shared" si="10"/>
        <v>14143348.844351999</v>
      </c>
      <c r="T16" s="2">
        <f t="shared" si="11"/>
        <v>614449933.12684798</v>
      </c>
      <c r="U16" s="2">
        <f t="shared" si="12"/>
        <v>614449933.12684798</v>
      </c>
      <c r="V16" s="2">
        <v>500</v>
      </c>
      <c r="W16" s="9">
        <v>1</v>
      </c>
      <c r="X16" s="2">
        <f t="shared" si="8"/>
        <v>224497600.704</v>
      </c>
      <c r="Y16" s="28">
        <f>U16/H16</f>
        <v>1368.5</v>
      </c>
    </row>
    <row r="17" spans="2:35" ht="45" x14ac:dyDescent="0.25">
      <c r="B17" s="48">
        <v>14</v>
      </c>
      <c r="C17" s="11" t="s">
        <v>38</v>
      </c>
      <c r="D17" s="24" t="s">
        <v>42</v>
      </c>
      <c r="E17" s="12" t="s">
        <v>55</v>
      </c>
      <c r="F17" s="23" t="s">
        <v>67</v>
      </c>
      <c r="G17" s="23" t="s">
        <v>40</v>
      </c>
      <c r="H17" s="37">
        <f t="shared" si="2"/>
        <v>68894.443799999994</v>
      </c>
      <c r="I17" s="33">
        <f>3843.345+2557.105</f>
        <v>6400.45</v>
      </c>
      <c r="J17" s="33">
        <v>19</v>
      </c>
      <c r="K17" s="25">
        <v>2021</v>
      </c>
      <c r="L17" s="25">
        <v>2022</v>
      </c>
      <c r="M17" s="25">
        <f t="shared" si="3"/>
        <v>1</v>
      </c>
      <c r="N17" s="25">
        <v>40</v>
      </c>
      <c r="O17" s="26">
        <v>0.1</v>
      </c>
      <c r="P17" s="27">
        <f t="shared" si="4"/>
        <v>2.2499999999999999E-2</v>
      </c>
      <c r="Q17" s="2">
        <v>600</v>
      </c>
      <c r="R17" s="2">
        <f t="shared" si="9"/>
        <v>41336666.279999994</v>
      </c>
      <c r="S17" s="2">
        <f t="shared" si="10"/>
        <v>930074.99129999988</v>
      </c>
      <c r="T17" s="2">
        <f t="shared" si="11"/>
        <v>40406591.288699992</v>
      </c>
      <c r="U17" s="2">
        <f t="shared" si="12"/>
        <v>40406591.288699992</v>
      </c>
      <c r="V17" s="2">
        <v>500</v>
      </c>
      <c r="W17" s="9">
        <v>1</v>
      </c>
      <c r="X17" s="2">
        <f t="shared" si="8"/>
        <v>34447221.899999999</v>
      </c>
      <c r="Y17" s="28">
        <f>U17/H17</f>
        <v>586.49999999999989</v>
      </c>
    </row>
    <row r="18" spans="2:35" ht="45" x14ac:dyDescent="0.25">
      <c r="B18" s="48">
        <v>15</v>
      </c>
      <c r="C18" s="11" t="s">
        <v>58</v>
      </c>
      <c r="D18" s="24" t="s">
        <v>42</v>
      </c>
      <c r="E18" s="12" t="s">
        <v>56</v>
      </c>
      <c r="F18" s="23" t="s">
        <v>67</v>
      </c>
      <c r="G18" s="23" t="s">
        <v>40</v>
      </c>
      <c r="H18" s="37">
        <f t="shared" si="2"/>
        <v>24811.019999999997</v>
      </c>
      <c r="I18" s="33">
        <f>1225+1080</f>
        <v>2305</v>
      </c>
      <c r="J18" s="33">
        <v>30</v>
      </c>
      <c r="K18" s="25">
        <v>2021</v>
      </c>
      <c r="L18" s="25">
        <v>2022</v>
      </c>
      <c r="M18" s="25">
        <f t="shared" si="3"/>
        <v>1</v>
      </c>
      <c r="N18" s="25">
        <v>40</v>
      </c>
      <c r="O18" s="26">
        <v>0.1</v>
      </c>
      <c r="P18" s="27">
        <f t="shared" si="4"/>
        <v>2.2499999999999999E-2</v>
      </c>
      <c r="Q18" s="2">
        <v>250</v>
      </c>
      <c r="R18" s="2">
        <f t="shared" si="9"/>
        <v>6202754.9999999991</v>
      </c>
      <c r="S18" s="2">
        <f t="shared" si="10"/>
        <v>139561.98749999999</v>
      </c>
      <c r="T18" s="2">
        <f t="shared" si="11"/>
        <v>6063193.0124999993</v>
      </c>
      <c r="U18" s="2">
        <f t="shared" si="12"/>
        <v>6063193.0124999993</v>
      </c>
      <c r="V18" s="2">
        <v>500</v>
      </c>
      <c r="W18" s="9">
        <v>1</v>
      </c>
      <c r="X18" s="2">
        <f t="shared" si="8"/>
        <v>12405509.999999998</v>
      </c>
      <c r="Y18" s="28"/>
    </row>
    <row r="19" spans="2:35" ht="45" x14ac:dyDescent="0.25">
      <c r="B19" s="48">
        <v>16</v>
      </c>
      <c r="C19" s="23" t="s">
        <v>21</v>
      </c>
      <c r="D19" s="24" t="s">
        <v>59</v>
      </c>
      <c r="E19" s="12" t="s">
        <v>53</v>
      </c>
      <c r="F19" s="23" t="s">
        <v>67</v>
      </c>
      <c r="G19" s="23" t="s">
        <v>40</v>
      </c>
      <c r="H19" s="37">
        <f t="shared" si="2"/>
        <v>1210.9499999999998</v>
      </c>
      <c r="I19" s="33">
        <v>112.5</v>
      </c>
      <c r="J19" s="33">
        <v>18</v>
      </c>
      <c r="K19" s="25">
        <v>2021</v>
      </c>
      <c r="L19" s="25">
        <v>2022</v>
      </c>
      <c r="M19" s="25">
        <f t="shared" si="3"/>
        <v>1</v>
      </c>
      <c r="N19" s="25">
        <v>40</v>
      </c>
      <c r="O19" s="26">
        <v>0.1</v>
      </c>
      <c r="P19" s="27">
        <f t="shared" si="4"/>
        <v>2.2499999999999999E-2</v>
      </c>
      <c r="Q19" s="2">
        <v>1300</v>
      </c>
      <c r="R19" s="2">
        <f t="shared" si="9"/>
        <v>1574234.9999999998</v>
      </c>
      <c r="S19" s="2">
        <f t="shared" si="10"/>
        <v>35420.287499999991</v>
      </c>
      <c r="T19" s="2">
        <f t="shared" si="11"/>
        <v>1538814.7124999997</v>
      </c>
      <c r="U19" s="2">
        <f t="shared" si="12"/>
        <v>1538814.7124999997</v>
      </c>
      <c r="V19" s="2">
        <v>800</v>
      </c>
      <c r="W19" s="9">
        <v>1</v>
      </c>
      <c r="X19" s="2">
        <f t="shared" si="8"/>
        <v>968759.99999999988</v>
      </c>
      <c r="Y19" s="28"/>
    </row>
    <row r="20" spans="2:35" ht="45" x14ac:dyDescent="0.25">
      <c r="B20" s="48">
        <v>17</v>
      </c>
      <c r="C20" s="23" t="s">
        <v>21</v>
      </c>
      <c r="D20" s="24" t="s">
        <v>60</v>
      </c>
      <c r="E20" s="12" t="s">
        <v>53</v>
      </c>
      <c r="F20" s="23" t="s">
        <v>67</v>
      </c>
      <c r="G20" s="23" t="s">
        <v>40</v>
      </c>
      <c r="H20" s="37">
        <f t="shared" si="2"/>
        <v>1033.3440000000001</v>
      </c>
      <c r="I20" s="33">
        <v>96</v>
      </c>
      <c r="J20" s="33">
        <v>12</v>
      </c>
      <c r="K20" s="25">
        <v>2021</v>
      </c>
      <c r="L20" s="25">
        <v>2022</v>
      </c>
      <c r="M20" s="25">
        <f t="shared" si="3"/>
        <v>1</v>
      </c>
      <c r="N20" s="25">
        <v>60</v>
      </c>
      <c r="O20" s="26">
        <v>0.1</v>
      </c>
      <c r="P20" s="27">
        <f t="shared" si="4"/>
        <v>1.5000000000000001E-2</v>
      </c>
      <c r="Q20" s="2">
        <v>1300</v>
      </c>
      <c r="R20" s="2">
        <f t="shared" si="9"/>
        <v>1343347.2</v>
      </c>
      <c r="S20" s="2">
        <f t="shared" si="10"/>
        <v>20150.208000000002</v>
      </c>
      <c r="T20" s="2">
        <f t="shared" si="11"/>
        <v>1323196.9919999999</v>
      </c>
      <c r="U20" s="2">
        <f t="shared" si="12"/>
        <v>1323196.9919999999</v>
      </c>
      <c r="V20" s="2">
        <v>800</v>
      </c>
      <c r="W20" s="9">
        <v>1</v>
      </c>
      <c r="X20" s="2">
        <f t="shared" si="8"/>
        <v>826675.20000000007</v>
      </c>
      <c r="Y20" s="28"/>
    </row>
    <row r="21" spans="2:35" ht="45" x14ac:dyDescent="0.25">
      <c r="B21" s="48">
        <v>18</v>
      </c>
      <c r="C21" s="23" t="s">
        <v>21</v>
      </c>
      <c r="D21" s="24" t="s">
        <v>61</v>
      </c>
      <c r="E21" s="12" t="s">
        <v>53</v>
      </c>
      <c r="F21" s="23" t="s">
        <v>67</v>
      </c>
      <c r="G21" s="23" t="s">
        <v>40</v>
      </c>
      <c r="H21" s="37">
        <f t="shared" si="2"/>
        <v>1033.3440000000001</v>
      </c>
      <c r="I21" s="33">
        <v>96</v>
      </c>
      <c r="J21" s="33">
        <v>12</v>
      </c>
      <c r="K21" s="25">
        <v>2021</v>
      </c>
      <c r="L21" s="25">
        <v>2022</v>
      </c>
      <c r="M21" s="25">
        <f t="shared" si="3"/>
        <v>1</v>
      </c>
      <c r="N21" s="25">
        <v>60</v>
      </c>
      <c r="O21" s="26">
        <v>0.1</v>
      </c>
      <c r="P21" s="27">
        <f t="shared" si="4"/>
        <v>1.5000000000000001E-2</v>
      </c>
      <c r="Q21" s="2">
        <v>1300</v>
      </c>
      <c r="R21" s="2">
        <f t="shared" si="9"/>
        <v>1343347.2</v>
      </c>
      <c r="S21" s="2">
        <f t="shared" si="10"/>
        <v>20150.208000000002</v>
      </c>
      <c r="T21" s="2">
        <f t="shared" si="11"/>
        <v>1323196.9919999999</v>
      </c>
      <c r="U21" s="2">
        <f t="shared" si="12"/>
        <v>1323196.9919999999</v>
      </c>
      <c r="V21" s="2">
        <v>800</v>
      </c>
      <c r="W21" s="9">
        <v>1</v>
      </c>
      <c r="X21" s="2">
        <f t="shared" si="8"/>
        <v>826675.20000000007</v>
      </c>
      <c r="Y21" s="28"/>
    </row>
    <row r="22" spans="2:35" ht="45" x14ac:dyDescent="0.25">
      <c r="B22" s="48">
        <v>19</v>
      </c>
      <c r="C22" s="23" t="s">
        <v>21</v>
      </c>
      <c r="D22" s="24" t="s">
        <v>45</v>
      </c>
      <c r="E22" s="12" t="s">
        <v>64</v>
      </c>
      <c r="F22" s="23" t="s">
        <v>67</v>
      </c>
      <c r="G22" s="23" t="s">
        <v>40</v>
      </c>
      <c r="H22" s="37">
        <f t="shared" si="2"/>
        <v>2454.192</v>
      </c>
      <c r="I22" s="33">
        <v>228</v>
      </c>
      <c r="J22" s="33">
        <v>15</v>
      </c>
      <c r="K22" s="25">
        <v>2021</v>
      </c>
      <c r="L22" s="25">
        <v>2022</v>
      </c>
      <c r="M22" s="25">
        <f t="shared" si="3"/>
        <v>1</v>
      </c>
      <c r="N22" s="25">
        <v>40</v>
      </c>
      <c r="O22" s="26">
        <v>0.1</v>
      </c>
      <c r="P22" s="27">
        <f t="shared" si="4"/>
        <v>2.2499999999999999E-2</v>
      </c>
      <c r="Q22" s="2">
        <v>300</v>
      </c>
      <c r="R22" s="2">
        <f t="shared" si="9"/>
        <v>736257.6</v>
      </c>
      <c r="S22" s="2">
        <f t="shared" si="10"/>
        <v>16565.795999999998</v>
      </c>
      <c r="T22" s="2">
        <f t="shared" si="11"/>
        <v>719691.804</v>
      </c>
      <c r="U22" s="2">
        <f t="shared" si="12"/>
        <v>719691.804</v>
      </c>
      <c r="V22" s="2">
        <v>500</v>
      </c>
      <c r="W22" s="9">
        <v>1</v>
      </c>
      <c r="X22" s="2">
        <f t="shared" si="8"/>
        <v>1227096</v>
      </c>
      <c r="Y22" s="28"/>
    </row>
    <row r="23" spans="2:35" ht="45" x14ac:dyDescent="0.25">
      <c r="B23" s="48">
        <v>20</v>
      </c>
      <c r="C23" s="23" t="s">
        <v>66</v>
      </c>
      <c r="D23" s="24" t="s">
        <v>62</v>
      </c>
      <c r="E23" s="12" t="s">
        <v>65</v>
      </c>
      <c r="F23" s="23" t="s">
        <v>67</v>
      </c>
      <c r="G23" s="23" t="s">
        <v>40</v>
      </c>
      <c r="H23" s="37">
        <f t="shared" si="2"/>
        <v>3487.5359999999996</v>
      </c>
      <c r="I23" s="33">
        <v>324</v>
      </c>
      <c r="J23" s="33">
        <v>23</v>
      </c>
      <c r="K23" s="25">
        <v>2021</v>
      </c>
      <c r="L23" s="25">
        <v>2022</v>
      </c>
      <c r="M23" s="25">
        <f t="shared" si="3"/>
        <v>1</v>
      </c>
      <c r="N23" s="25">
        <v>40</v>
      </c>
      <c r="O23" s="26">
        <v>0.1</v>
      </c>
      <c r="P23" s="27">
        <f t="shared" si="4"/>
        <v>2.2499999999999999E-2</v>
      </c>
      <c r="Q23" s="2">
        <v>500</v>
      </c>
      <c r="R23" s="2">
        <f t="shared" si="9"/>
        <v>1743767.9999999998</v>
      </c>
      <c r="S23" s="2">
        <f t="shared" si="10"/>
        <v>39234.779999999992</v>
      </c>
      <c r="T23" s="2">
        <f t="shared" si="11"/>
        <v>1704533.2199999997</v>
      </c>
      <c r="U23" s="2">
        <f t="shared" si="12"/>
        <v>1704533.2199999997</v>
      </c>
      <c r="V23" s="2">
        <v>500</v>
      </c>
      <c r="W23" s="9">
        <v>1</v>
      </c>
      <c r="X23" s="2">
        <f t="shared" si="8"/>
        <v>1743767.9999999998</v>
      </c>
      <c r="Y23" s="28"/>
    </row>
    <row r="24" spans="2:35" ht="45" x14ac:dyDescent="0.25">
      <c r="B24" s="48">
        <v>21</v>
      </c>
      <c r="C24" s="23" t="s">
        <v>21</v>
      </c>
      <c r="D24" s="24" t="s">
        <v>63</v>
      </c>
      <c r="E24" s="12" t="s">
        <v>81</v>
      </c>
      <c r="F24" s="23" t="s">
        <v>67</v>
      </c>
      <c r="G24" s="23" t="s">
        <v>40</v>
      </c>
      <c r="H24" s="37">
        <f t="shared" si="2"/>
        <v>10182.743999999999</v>
      </c>
      <c r="I24" s="33">
        <f>247.5+328.5+38.25+20.25+115.5+196</f>
        <v>946</v>
      </c>
      <c r="J24" s="33">
        <v>15</v>
      </c>
      <c r="K24" s="25">
        <v>2021</v>
      </c>
      <c r="L24" s="25">
        <v>2022</v>
      </c>
      <c r="M24" s="25">
        <f t="shared" si="3"/>
        <v>1</v>
      </c>
      <c r="N24" s="25">
        <v>40</v>
      </c>
      <c r="O24" s="26">
        <v>0.1</v>
      </c>
      <c r="P24" s="27">
        <f t="shared" si="4"/>
        <v>2.2499999999999999E-2</v>
      </c>
      <c r="Q24" s="2">
        <v>300</v>
      </c>
      <c r="R24" s="2">
        <f t="shared" si="9"/>
        <v>3054823.1999999997</v>
      </c>
      <c r="S24" s="2">
        <f t="shared" si="10"/>
        <v>68733.521999999997</v>
      </c>
      <c r="T24" s="2">
        <f t="shared" si="11"/>
        <v>2986089.6779999998</v>
      </c>
      <c r="U24" s="2">
        <f t="shared" si="12"/>
        <v>2986089.6779999998</v>
      </c>
      <c r="V24" s="2">
        <v>500</v>
      </c>
      <c r="W24" s="9">
        <v>1</v>
      </c>
      <c r="X24" s="2">
        <f t="shared" si="8"/>
        <v>5091371.9999999991</v>
      </c>
      <c r="Y24" s="28"/>
    </row>
    <row r="25" spans="2:35" ht="15" hidden="1" customHeight="1" x14ac:dyDescent="0.25">
      <c r="B25" s="48"/>
      <c r="C25" s="23"/>
      <c r="D25" s="24"/>
      <c r="E25" s="12"/>
      <c r="F25" s="23"/>
      <c r="G25" s="23"/>
      <c r="H25" s="37"/>
      <c r="I25" s="33"/>
      <c r="J25" s="33"/>
      <c r="K25" s="25"/>
      <c r="L25" s="25"/>
      <c r="M25" s="25"/>
      <c r="N25" s="25"/>
      <c r="O25" s="26"/>
      <c r="P25" s="27"/>
      <c r="Q25" s="2"/>
      <c r="R25" s="2"/>
      <c r="S25" s="2"/>
      <c r="T25" s="2"/>
      <c r="U25" s="2"/>
      <c r="V25" s="2"/>
      <c r="W25" s="9"/>
      <c r="X25" s="2"/>
      <c r="Y25" s="28"/>
    </row>
    <row r="26" spans="2:35" x14ac:dyDescent="0.25">
      <c r="B26" s="47" t="s">
        <v>5</v>
      </c>
      <c r="C26" s="47"/>
      <c r="D26" s="47"/>
      <c r="E26" s="47"/>
      <c r="F26" s="47"/>
      <c r="G26" s="47"/>
      <c r="H26" s="38">
        <f>SUM(H4:H24)</f>
        <v>1277173.1311559998</v>
      </c>
      <c r="I26" s="34">
        <f>SUM(I4:I24)</f>
        <v>118652.27899999997</v>
      </c>
      <c r="J26" s="34"/>
      <c r="K26" s="50"/>
      <c r="L26" s="50"/>
      <c r="M26" s="50"/>
      <c r="N26" s="50"/>
      <c r="O26" s="50"/>
      <c r="P26" s="50"/>
      <c r="Q26" s="50"/>
      <c r="R26" s="3">
        <f>SUM(R4:R18)</f>
        <v>1545664654.0764</v>
      </c>
      <c r="S26" s="3"/>
      <c r="T26" s="3"/>
      <c r="U26" s="3">
        <f>SUM(U4:U18)</f>
        <v>1510968255.896385</v>
      </c>
      <c r="V26" s="25"/>
      <c r="W26" s="25"/>
      <c r="X26" s="3">
        <f>SUM(X4:X18)</f>
        <v>631286553.17519987</v>
      </c>
      <c r="Y26" s="39">
        <v>631286553.17519987</v>
      </c>
      <c r="AF26" s="22">
        <v>8</v>
      </c>
      <c r="AG26" s="22">
        <f>'Land Val.'!C23</f>
        <v>3180</v>
      </c>
      <c r="AH26" s="22">
        <f>AG26*AF26</f>
        <v>25440</v>
      </c>
      <c r="AI26" s="39">
        <f>AH26*AF9</f>
        <v>2544000</v>
      </c>
    </row>
    <row r="27" spans="2:35" ht="15" customHeight="1" x14ac:dyDescent="0.25">
      <c r="B27" s="48">
        <v>22</v>
      </c>
      <c r="C27" s="24" t="s">
        <v>21</v>
      </c>
      <c r="D27" s="24" t="s">
        <v>25</v>
      </c>
      <c r="E27" s="65" t="s">
        <v>41</v>
      </c>
      <c r="F27" s="64"/>
      <c r="G27" s="64"/>
      <c r="H27" s="66"/>
      <c r="I27" s="66"/>
      <c r="J27" s="66"/>
      <c r="K27" s="66"/>
      <c r="L27" s="66"/>
      <c r="M27" s="64"/>
      <c r="N27" s="64"/>
      <c r="O27" s="64"/>
      <c r="P27" s="67"/>
      <c r="Q27" s="68" t="s">
        <v>82</v>
      </c>
      <c r="R27" s="69"/>
      <c r="S27" s="69"/>
      <c r="T27" s="70"/>
      <c r="U27" s="2">
        <f>1500*3180</f>
        <v>4770000</v>
      </c>
      <c r="V27" s="2"/>
      <c r="W27" s="9"/>
      <c r="X27" s="2">
        <f>(V27*W27*I27)</f>
        <v>0</v>
      </c>
      <c r="Y27" s="28" t="e">
        <f>U27/H27</f>
        <v>#DIV/0!</v>
      </c>
    </row>
    <row r="28" spans="2:35" ht="15" customHeight="1" x14ac:dyDescent="0.25">
      <c r="B28" s="48">
        <v>23</v>
      </c>
      <c r="C28" s="24" t="s">
        <v>69</v>
      </c>
      <c r="D28" s="24" t="s">
        <v>70</v>
      </c>
      <c r="E28" s="65" t="s">
        <v>71</v>
      </c>
      <c r="F28" s="64"/>
      <c r="G28" s="64"/>
      <c r="H28" s="66"/>
      <c r="I28" s="66"/>
      <c r="J28" s="66"/>
      <c r="K28" s="66"/>
      <c r="L28" s="66"/>
      <c r="M28" s="64"/>
      <c r="N28" s="64"/>
      <c r="O28" s="64"/>
      <c r="P28" s="67"/>
      <c r="Q28" s="68" t="s">
        <v>72</v>
      </c>
      <c r="R28" s="69"/>
      <c r="S28" s="69"/>
      <c r="T28" s="70"/>
      <c r="U28" s="2">
        <f>'Land Val.'!D3*1800000</f>
        <v>75934751.519644186</v>
      </c>
      <c r="V28" s="2"/>
      <c r="W28" s="9"/>
      <c r="X28" s="2"/>
      <c r="Y28" s="28"/>
    </row>
    <row r="29" spans="2:35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3">
        <f>SUM(U26:U28)</f>
        <v>1591673007.4160292</v>
      </c>
      <c r="V29" s="2"/>
      <c r="W29" s="9"/>
      <c r="X29" s="2"/>
      <c r="Y29" s="28"/>
    </row>
    <row r="30" spans="2:35" ht="15" customHeight="1" x14ac:dyDescent="0.25">
      <c r="B30" s="54" t="s">
        <v>17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2:35" ht="15" customHeight="1" x14ac:dyDescent="0.25">
      <c r="B31" s="49" t="s">
        <v>84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2:35" ht="15" customHeight="1" x14ac:dyDescent="0.25">
      <c r="B32" s="49" t="s">
        <v>83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ht="15" customHeight="1" x14ac:dyDescent="0.25">
      <c r="B33" s="49" t="s">
        <v>19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5" spans="2:24" x14ac:dyDescent="0.25">
      <c r="U35" s="46">
        <f>U29+'Land Val.'!F10</f>
        <v>2018221067.7076032</v>
      </c>
      <c r="X35" s="31"/>
    </row>
    <row r="36" spans="2:24" x14ac:dyDescent="0.25">
      <c r="U36" s="39">
        <v>2018221067.7076032</v>
      </c>
      <c r="V36" s="61">
        <v>1591673007.4160292</v>
      </c>
      <c r="X36" s="31"/>
    </row>
    <row r="37" spans="2:24" x14ac:dyDescent="0.25">
      <c r="U37" s="28">
        <f>U36*0.85</f>
        <v>1715487907.5514627</v>
      </c>
    </row>
    <row r="38" spans="2:24" x14ac:dyDescent="0.25">
      <c r="O38" s="22">
        <f>28/12</f>
        <v>2.3333333333333335</v>
      </c>
      <c r="S38" s="16"/>
      <c r="U38" s="28"/>
      <c r="V38" s="39">
        <v>1715487907.55146</v>
      </c>
      <c r="X38" s="22">
        <v>202</v>
      </c>
    </row>
    <row r="39" spans="2:24" x14ac:dyDescent="0.25">
      <c r="U39" s="28"/>
      <c r="X39" s="62">
        <f>X38*0.85</f>
        <v>171.7</v>
      </c>
    </row>
    <row r="40" spans="2:24" x14ac:dyDescent="0.25">
      <c r="U40" s="28"/>
      <c r="X40" s="22">
        <f>X38*0.75</f>
        <v>151.5</v>
      </c>
    </row>
    <row r="41" spans="2:24" x14ac:dyDescent="0.25">
      <c r="U41" s="28"/>
    </row>
  </sheetData>
  <autoFilter ref="B3:X24"/>
  <mergeCells count="11">
    <mergeCell ref="B32:X32"/>
    <mergeCell ref="B33:X33"/>
    <mergeCell ref="K26:Q26"/>
    <mergeCell ref="B2:X2"/>
    <mergeCell ref="B30:X30"/>
    <mergeCell ref="B31:X31"/>
    <mergeCell ref="B29:T29"/>
    <mergeCell ref="E27:P27"/>
    <mergeCell ref="E28:P28"/>
    <mergeCell ref="Q27:T27"/>
    <mergeCell ref="Q28:T28"/>
  </mergeCells>
  <dataValidations disablePrompts="1" count="1">
    <dataValidation type="list" allowBlank="1" showInputMessage="1" showErrorMessage="1" promptTitle="Condition of Structure" prompt="Condition of Structure" sqref="G4:G26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4"/>
  <sheetViews>
    <sheetView workbookViewId="0">
      <selection activeCell="J18" sqref="J18"/>
    </sheetView>
  </sheetViews>
  <sheetFormatPr defaultRowHeight="15" x14ac:dyDescent="0.25"/>
  <cols>
    <col min="2" max="2" width="28" bestFit="1" customWidth="1"/>
    <col min="3" max="3" width="11.5703125" bestFit="1" customWidth="1"/>
    <col min="4" max="4" width="14.28515625" bestFit="1" customWidth="1"/>
    <col min="5" max="5" width="12.5703125" bestFit="1" customWidth="1"/>
    <col min="6" max="6" width="15.28515625" bestFit="1" customWidth="1"/>
    <col min="8" max="8" width="11.5703125" bestFit="1" customWidth="1"/>
    <col min="10" max="10" width="12" bestFit="1" customWidth="1"/>
    <col min="11" max="11" width="12.5703125" bestFit="1" customWidth="1"/>
    <col min="12" max="12" width="11" bestFit="1" customWidth="1"/>
  </cols>
  <sheetData>
    <row r="3" spans="2:12" x14ac:dyDescent="0.25">
      <c r="B3" t="s">
        <v>74</v>
      </c>
      <c r="C3" s="19">
        <v>170726.633</v>
      </c>
      <c r="D3" s="21">
        <f>C3/4047</f>
        <v>42.185973066468989</v>
      </c>
    </row>
    <row r="4" spans="2:12" x14ac:dyDescent="0.25">
      <c r="B4" t="s">
        <v>75</v>
      </c>
      <c r="C4" s="19">
        <f>1271.986+625.381</f>
        <v>1897.3670000000002</v>
      </c>
      <c r="D4" s="21">
        <f>C4/4047</f>
        <v>0.46883296268841124</v>
      </c>
    </row>
    <row r="5" spans="2:12" x14ac:dyDescent="0.25">
      <c r="C5" s="41">
        <f>SUM(C3:C4)</f>
        <v>172624</v>
      </c>
      <c r="D5" s="41">
        <f>SUM(D3:D4)</f>
        <v>42.654806029157399</v>
      </c>
    </row>
    <row r="9" spans="2:12" x14ac:dyDescent="0.25">
      <c r="B9" s="42" t="s">
        <v>73</v>
      </c>
    </row>
    <row r="10" spans="2:12" x14ac:dyDescent="0.25">
      <c r="B10" t="s">
        <v>76</v>
      </c>
      <c r="C10" s="21">
        <f>D5</f>
        <v>42.654806029157399</v>
      </c>
      <c r="D10" s="20">
        <v>10000000</v>
      </c>
      <c r="E10" s="20">
        <f>D10*C10</f>
        <v>426548060.291574</v>
      </c>
      <c r="F10" s="20">
        <v>426548060.291574</v>
      </c>
    </row>
    <row r="11" spans="2:12" x14ac:dyDescent="0.25">
      <c r="B11" t="s">
        <v>77</v>
      </c>
      <c r="C11" s="21">
        <f>D3</f>
        <v>42.185973066468989</v>
      </c>
      <c r="D11" s="20">
        <v>120000</v>
      </c>
      <c r="E11" s="20">
        <f>D11*C11</f>
        <v>5062316.7679762784</v>
      </c>
      <c r="H11" s="20">
        <f>30*4047</f>
        <v>121410</v>
      </c>
    </row>
    <row r="12" spans="2:12" x14ac:dyDescent="0.25">
      <c r="E12" s="43">
        <f>SUM(E10:E11)</f>
        <v>431610377.05955029</v>
      </c>
    </row>
    <row r="13" spans="2:12" x14ac:dyDescent="0.25">
      <c r="E13" s="41">
        <f>E12/10^7</f>
        <v>43.161037705955032</v>
      </c>
    </row>
    <row r="15" spans="2:12" x14ac:dyDescent="0.25">
      <c r="B15" t="s">
        <v>78</v>
      </c>
      <c r="K15" t="s">
        <v>33</v>
      </c>
    </row>
    <row r="16" spans="2:12" x14ac:dyDescent="0.25">
      <c r="B16" t="s">
        <v>34</v>
      </c>
      <c r="C16" t="s">
        <v>32</v>
      </c>
      <c r="D16" t="s">
        <v>33</v>
      </c>
      <c r="K16" s="40">
        <f>D19+'Market Value'!X26</f>
        <v>893215389.35014427</v>
      </c>
      <c r="L16">
        <f>'Market Value'!X38*10^7</f>
        <v>2020000000</v>
      </c>
    </row>
    <row r="17" spans="2:12" x14ac:dyDescent="0.25">
      <c r="B17" s="19">
        <f>D5-2</f>
        <v>40.654806029157399</v>
      </c>
      <c r="C17" s="20">
        <v>6000000</v>
      </c>
      <c r="D17" s="40">
        <f>C17*B17</f>
        <v>243928836.1749444</v>
      </c>
      <c r="L17" s="63">
        <f>L16/K16</f>
        <v>2.2614926075889086</v>
      </c>
    </row>
    <row r="18" spans="2:12" x14ac:dyDescent="0.25">
      <c r="B18" s="19">
        <v>2</v>
      </c>
      <c r="C18" s="45">
        <f>C17*1.5</f>
        <v>9000000</v>
      </c>
      <c r="D18" s="40">
        <f>C18*B18</f>
        <v>18000000</v>
      </c>
      <c r="J18">
        <v>893215389.35014403</v>
      </c>
      <c r="K18" s="63">
        <f>K16/L16</f>
        <v>0.44218583631195263</v>
      </c>
    </row>
    <row r="19" spans="2:12" x14ac:dyDescent="0.25">
      <c r="D19" s="40">
        <f>SUM(D17:D18)</f>
        <v>261928836.1749444</v>
      </c>
      <c r="E19" s="40">
        <v>261928836.1749444</v>
      </c>
    </row>
    <row r="23" spans="2:12" x14ac:dyDescent="0.25">
      <c r="B23" t="s">
        <v>49</v>
      </c>
      <c r="C23" s="20">
        <v>3180</v>
      </c>
      <c r="D23" t="s">
        <v>79</v>
      </c>
    </row>
    <row r="24" spans="2:12" x14ac:dyDescent="0.25">
      <c r="B24" t="s">
        <v>50</v>
      </c>
      <c r="C24">
        <v>1.71</v>
      </c>
      <c r="D24">
        <v>0.9</v>
      </c>
      <c r="E24" s="44">
        <v>2.5</v>
      </c>
      <c r="F24" t="s">
        <v>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K7" sqref="K7"/>
    </sheetView>
  </sheetViews>
  <sheetFormatPr defaultRowHeight="15" x14ac:dyDescent="0.25"/>
  <cols>
    <col min="1" max="1" width="9.140625" style="13"/>
    <col min="2" max="2" width="4" style="8" customWidth="1"/>
    <col min="3" max="3" width="13.140625" style="8" customWidth="1"/>
    <col min="4" max="4" width="17.28515625" style="18" customWidth="1"/>
    <col min="5" max="5" width="29" style="18" customWidth="1"/>
    <col min="6" max="6" width="8.7109375" style="13" bestFit="1" customWidth="1"/>
    <col min="7" max="7" width="9" style="13" customWidth="1"/>
    <col min="8" max="8" width="6.85546875" style="13" customWidth="1"/>
    <col min="9" max="9" width="14.28515625" style="13" bestFit="1" customWidth="1"/>
    <col min="10" max="16384" width="9.140625" style="13"/>
  </cols>
  <sheetData>
    <row r="2" spans="2:9" ht="34.5" customHeight="1" x14ac:dyDescent="0.25">
      <c r="B2" s="56" t="s">
        <v>37</v>
      </c>
      <c r="C2" s="57"/>
      <c r="D2" s="57"/>
      <c r="E2" s="57"/>
      <c r="F2" s="57"/>
      <c r="G2" s="57"/>
      <c r="H2" s="58"/>
    </row>
    <row r="3" spans="2:9" s="14" customFormat="1" ht="32.25" customHeight="1" x14ac:dyDescent="0.25">
      <c r="B3" s="5" t="s">
        <v>14</v>
      </c>
      <c r="C3" s="5" t="s">
        <v>0</v>
      </c>
      <c r="D3" s="17" t="s">
        <v>22</v>
      </c>
      <c r="E3" s="17" t="s">
        <v>3</v>
      </c>
      <c r="F3" s="5" t="s">
        <v>11</v>
      </c>
      <c r="G3" s="5" t="s">
        <v>10</v>
      </c>
      <c r="H3" s="5" t="s">
        <v>13</v>
      </c>
    </row>
    <row r="4" spans="2:9" ht="42.75" x14ac:dyDescent="0.25">
      <c r="B4" s="7">
        <v>1</v>
      </c>
      <c r="C4" s="11" t="s">
        <v>21</v>
      </c>
      <c r="D4" s="11" t="s">
        <v>35</v>
      </c>
      <c r="E4" s="12" t="s">
        <v>36</v>
      </c>
      <c r="F4" s="4">
        <v>944.85</v>
      </c>
      <c r="G4" s="1">
        <f>F4/10.7639</f>
        <v>87.779522292106023</v>
      </c>
      <c r="H4" s="1">
        <f>4.5*10.7639</f>
        <v>48.437550000000002</v>
      </c>
      <c r="I4" s="15"/>
    </row>
    <row r="5" spans="2:9" ht="71.25" x14ac:dyDescent="0.25">
      <c r="B5" s="7">
        <v>2</v>
      </c>
      <c r="C5" s="11" t="s">
        <v>38</v>
      </c>
      <c r="D5" s="11" t="s">
        <v>35</v>
      </c>
      <c r="E5" s="12" t="s">
        <v>26</v>
      </c>
      <c r="F5" s="4">
        <v>679.63</v>
      </c>
      <c r="G5" s="1">
        <f t="shared" ref="G5:G8" si="0">F5/10.7639</f>
        <v>63.13975417831827</v>
      </c>
      <c r="H5" s="1">
        <f>3.6*10.7639</f>
        <v>38.750039999999998</v>
      </c>
      <c r="I5" s="15"/>
    </row>
    <row r="6" spans="2:9" ht="42.75" x14ac:dyDescent="0.25">
      <c r="B6" s="7">
        <v>3</v>
      </c>
      <c r="C6" s="11" t="s">
        <v>39</v>
      </c>
      <c r="D6" s="11" t="s">
        <v>35</v>
      </c>
      <c r="E6" s="12" t="s">
        <v>29</v>
      </c>
      <c r="F6" s="4">
        <v>155.43</v>
      </c>
      <c r="G6" s="1">
        <f t="shared" si="0"/>
        <v>14.439933481358988</v>
      </c>
      <c r="H6" s="1">
        <f>2.4*10.7639</f>
        <v>25.833359999999999</v>
      </c>
      <c r="I6" s="15"/>
    </row>
    <row r="7" spans="2:9" ht="57" x14ac:dyDescent="0.25">
      <c r="B7" s="7">
        <v>4</v>
      </c>
      <c r="C7" s="11" t="s">
        <v>21</v>
      </c>
      <c r="D7" s="11" t="s">
        <v>23</v>
      </c>
      <c r="E7" s="12" t="s">
        <v>27</v>
      </c>
      <c r="F7" s="4">
        <v>103.54</v>
      </c>
      <c r="G7" s="1">
        <f t="shared" si="0"/>
        <v>9.6191900705134774</v>
      </c>
      <c r="H7" s="1">
        <f>2.6*10.7639</f>
        <v>27.986139999999999</v>
      </c>
      <c r="I7" s="15"/>
    </row>
    <row r="8" spans="2:9" ht="28.5" x14ac:dyDescent="0.25">
      <c r="B8" s="7">
        <v>5</v>
      </c>
      <c r="C8" s="11" t="s">
        <v>21</v>
      </c>
      <c r="D8" s="11" t="s">
        <v>24</v>
      </c>
      <c r="E8" s="12" t="s">
        <v>28</v>
      </c>
      <c r="F8" s="4">
        <v>1061.32</v>
      </c>
      <c r="G8" s="1">
        <f t="shared" si="0"/>
        <v>98.599949832309846</v>
      </c>
      <c r="H8" s="1">
        <f>4.5*10.7639</f>
        <v>48.437550000000002</v>
      </c>
      <c r="I8" s="15"/>
    </row>
    <row r="9" spans="2:9" ht="42.75" x14ac:dyDescent="0.25">
      <c r="B9" s="7">
        <v>6</v>
      </c>
      <c r="C9" s="11" t="s">
        <v>21</v>
      </c>
      <c r="D9" s="11" t="s">
        <v>25</v>
      </c>
      <c r="E9" s="12" t="s">
        <v>30</v>
      </c>
      <c r="F9" s="59" t="s">
        <v>31</v>
      </c>
      <c r="G9" s="60"/>
      <c r="H9" s="4">
        <v>7</v>
      </c>
      <c r="I9" s="15"/>
    </row>
    <row r="10" spans="2:9" ht="15.75" customHeight="1" x14ac:dyDescent="0.25">
      <c r="B10" s="50" t="s">
        <v>5</v>
      </c>
      <c r="C10" s="50"/>
      <c r="D10" s="50"/>
      <c r="E10" s="50"/>
      <c r="F10" s="6">
        <f>SUM(F4:F8)</f>
        <v>2944.77</v>
      </c>
      <c r="G10" s="6">
        <f>SUM(G4:G8)</f>
        <v>273.57834985460659</v>
      </c>
      <c r="H10" s="10"/>
    </row>
  </sheetData>
  <mergeCells count="3">
    <mergeCell ref="B2:H2"/>
    <mergeCell ref="B10:E10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J24"/>
  <sheetViews>
    <sheetView workbookViewId="0">
      <selection activeCell="I24" sqref="I24"/>
    </sheetView>
  </sheetViews>
  <sheetFormatPr defaultRowHeight="15" x14ac:dyDescent="0.25"/>
  <sheetData>
    <row r="9" spans="5:5" x14ac:dyDescent="0.25">
      <c r="E9">
        <v>247.5</v>
      </c>
    </row>
    <row r="10" spans="5:5" x14ac:dyDescent="0.25">
      <c r="E10">
        <v>328.5</v>
      </c>
    </row>
    <row r="11" spans="5:5" x14ac:dyDescent="0.25">
      <c r="E11">
        <v>38.25</v>
      </c>
    </row>
    <row r="12" spans="5:5" x14ac:dyDescent="0.25">
      <c r="E12">
        <v>20.25</v>
      </c>
    </row>
    <row r="13" spans="5:5" x14ac:dyDescent="0.25">
      <c r="E13">
        <v>115.5</v>
      </c>
    </row>
    <row r="14" spans="5:5" x14ac:dyDescent="0.25">
      <c r="E14">
        <v>196</v>
      </c>
    </row>
    <row r="15" spans="5:5" x14ac:dyDescent="0.25">
      <c r="E15">
        <f>SUM(E9:E14)</f>
        <v>946</v>
      </c>
    </row>
    <row r="16" spans="5:5" x14ac:dyDescent="0.25">
      <c r="E16" s="19">
        <f>E15+C7</f>
        <v>946</v>
      </c>
    </row>
    <row r="21" spans="7:10" x14ac:dyDescent="0.25">
      <c r="I21">
        <v>65</v>
      </c>
    </row>
    <row r="22" spans="7:10" x14ac:dyDescent="0.25">
      <c r="G22">
        <f>H22*I22</f>
        <v>24.757199999999997</v>
      </c>
      <c r="H22">
        <v>10.763999999999999</v>
      </c>
      <c r="I22">
        <v>2.2999999999999998</v>
      </c>
      <c r="J22" t="s">
        <v>68</v>
      </c>
    </row>
    <row r="23" spans="7:10" x14ac:dyDescent="0.25">
      <c r="I23">
        <v>60</v>
      </c>
    </row>
    <row r="24" spans="7:10" x14ac:dyDescent="0.25">
      <c r="I24">
        <f>I23*I22</f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Market Value</vt:lpstr>
      <vt:lpstr>Land Val.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DELL</cp:lastModifiedBy>
  <dcterms:created xsi:type="dcterms:W3CDTF">2021-09-16T11:33:35Z</dcterms:created>
  <dcterms:modified xsi:type="dcterms:W3CDTF">2022-06-08T10:41:05Z</dcterms:modified>
</cp:coreProperties>
</file>