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Tejash Bharadwaj\Nagarujna Fertilisers and Chemical Limited (NFCL)\Wargal, Telangana\Final Working\"/>
    </mc:Choice>
  </mc:AlternateContent>
  <xr:revisionPtr revIDLastSave="0" documentId="8_{682D2992-6482-457F-9647-DC6B652A0BD1}" xr6:coauthVersionLast="47" xr6:coauthVersionMax="47" xr10:uidLastSave="{00000000-0000-0000-0000-000000000000}"/>
  <bookViews>
    <workbookView xWindow="-120" yWindow="-120" windowWidth="24240" windowHeight="13140" xr2:uid="{AE39EEC2-196E-41EE-98B1-C78BD7E8C766}"/>
  </bookViews>
  <sheets>
    <sheet name="Wargal Land Details" sheetId="1" r:id="rId1"/>
    <sheet name="Sheet2" sheetId="2" r:id="rId2"/>
    <sheet name="NARDI LEASE" sheetId="3" r:id="rId3"/>
    <sheet name="Wargal Land Guide Value" sheetId="4" r:id="rId4"/>
    <sheet name="Wargal Land Market value" sheetId="5" r:id="rId5"/>
  </sheets>
  <definedNames>
    <definedName name="_xlnm._FilterDatabase" localSheetId="2" hidden="1">'NARDI LEASE'!$C$4:$F$13</definedName>
    <definedName name="_xlnm._FilterDatabase" localSheetId="1" hidden="1">Sheet2!$B$5:$O$5</definedName>
    <definedName name="_xlnm._FilterDatabase" localSheetId="0" hidden="1">'Wargal Land Details'!$B$4:$F$40</definedName>
    <definedName name="_xlnm.Print_Area" localSheetId="0">'Wargal Land Details'!$L$5:$O$40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4" l="1"/>
  <c r="F5" i="3"/>
  <c r="F9" i="3"/>
  <c r="F13" i="3"/>
  <c r="F15" i="3"/>
  <c r="F40" i="3" s="1"/>
  <c r="F16" i="3"/>
  <c r="F17" i="3"/>
  <c r="F18" i="3"/>
  <c r="F19" i="3"/>
  <c r="F20" i="3"/>
  <c r="F21" i="3"/>
  <c r="F22" i="3"/>
  <c r="F25" i="3"/>
  <c r="F27" i="3"/>
  <c r="F28" i="3"/>
  <c r="F31" i="3"/>
  <c r="F32" i="3"/>
  <c r="F36" i="3"/>
  <c r="F37" i="3"/>
  <c r="D40" i="3"/>
  <c r="E40" i="3"/>
  <c r="E46" i="3" s="1"/>
  <c r="F41" i="3"/>
  <c r="F42" i="3"/>
  <c r="F43" i="3"/>
  <c r="F45" i="3" s="1"/>
  <c r="F44" i="3"/>
  <c r="D45" i="3"/>
  <c r="D46" i="3" s="1"/>
  <c r="E45" i="3"/>
  <c r="F19" i="2"/>
  <c r="H19" i="2"/>
  <c r="F30" i="2"/>
  <c r="H30" i="2"/>
  <c r="F32" i="2"/>
  <c r="H32" i="2"/>
  <c r="F5" i="1"/>
  <c r="H5" i="1" s="1"/>
  <c r="F6" i="1"/>
  <c r="H6" i="1" s="1"/>
  <c r="H7" i="1"/>
  <c r="H8" i="1"/>
  <c r="H9" i="1"/>
  <c r="M9" i="1"/>
  <c r="F10" i="1"/>
  <c r="H10" i="1"/>
  <c r="F11" i="1"/>
  <c r="H11" i="1" s="1"/>
  <c r="F12" i="1"/>
  <c r="H12" i="1" s="1"/>
  <c r="F13" i="1"/>
  <c r="H13" i="1"/>
  <c r="M13" i="1"/>
  <c r="H14" i="1"/>
  <c r="F15" i="1"/>
  <c r="H15" i="1" s="1"/>
  <c r="H44" i="1" s="1"/>
  <c r="H45" i="1" s="1"/>
  <c r="H16" i="1"/>
  <c r="H17" i="1"/>
  <c r="H18" i="1"/>
  <c r="H19" i="1"/>
  <c r="F20" i="1"/>
  <c r="H20" i="1"/>
  <c r="F21" i="1"/>
  <c r="H21" i="1"/>
  <c r="F22" i="1"/>
  <c r="H22" i="1"/>
  <c r="F23" i="1"/>
  <c r="H23" i="1"/>
  <c r="H24" i="1"/>
  <c r="M24" i="1"/>
  <c r="F25" i="1"/>
  <c r="H25" i="1" s="1"/>
  <c r="F26" i="1"/>
  <c r="H26" i="1"/>
  <c r="M26" i="1"/>
  <c r="G13" i="5" s="1"/>
  <c r="H27" i="1"/>
  <c r="M27" i="1"/>
  <c r="G14" i="4" s="1"/>
  <c r="F28" i="1"/>
  <c r="H28" i="1"/>
  <c r="F29" i="1"/>
  <c r="H29" i="1" s="1"/>
  <c r="H30" i="1"/>
  <c r="H31" i="1"/>
  <c r="M31" i="1"/>
  <c r="H32" i="1"/>
  <c r="M32" i="1"/>
  <c r="H33" i="1"/>
  <c r="H34" i="1"/>
  <c r="M34" i="1"/>
  <c r="G15" i="4" s="1"/>
  <c r="H35" i="1"/>
  <c r="M35" i="1"/>
  <c r="G16" i="5" s="1"/>
  <c r="H36" i="1"/>
  <c r="M36" i="1"/>
  <c r="H37" i="1"/>
  <c r="H38" i="1"/>
  <c r="H39" i="1"/>
  <c r="F40" i="1"/>
  <c r="F44" i="1"/>
  <c r="I15" i="4" l="1"/>
  <c r="F15" i="4"/>
  <c r="F14" i="4"/>
  <c r="I14" i="4"/>
  <c r="I13" i="5"/>
  <c r="F13" i="5"/>
  <c r="H40" i="1"/>
  <c r="F16" i="5"/>
  <c r="I16" i="5"/>
  <c r="F46" i="3"/>
  <c r="G16" i="4"/>
  <c r="G14" i="5"/>
  <c r="M8" i="1"/>
  <c r="M10" i="1" s="1"/>
  <c r="M23" i="1"/>
  <c r="M28" i="1" s="1"/>
  <c r="M38" i="1" s="1"/>
  <c r="G13" i="4"/>
  <c r="G15" i="5"/>
  <c r="M12" i="1"/>
  <c r="M14" i="1" s="1"/>
  <c r="C6" i="5" l="1"/>
  <c r="C6" i="4"/>
  <c r="F13" i="4"/>
  <c r="G17" i="4"/>
  <c r="I13" i="4"/>
  <c r="C8" i="4"/>
  <c r="C8" i="5"/>
  <c r="M16" i="1"/>
  <c r="I16" i="4"/>
  <c r="F16" i="4"/>
  <c r="C7" i="5"/>
  <c r="C7" i="4"/>
  <c r="F15" i="5"/>
  <c r="I15" i="5"/>
  <c r="I17" i="5" s="1"/>
  <c r="I14" i="5"/>
  <c r="F14" i="5"/>
  <c r="F17" i="5" s="1"/>
  <c r="G17" i="5"/>
  <c r="I17" i="4" l="1"/>
  <c r="K25" i="4"/>
  <c r="K26" i="4"/>
  <c r="J35" i="4"/>
  <c r="K36" i="4" s="1"/>
  <c r="K28" i="4"/>
  <c r="K29" i="4"/>
  <c r="F17" i="4"/>
  <c r="K30" i="4" l="1"/>
</calcChain>
</file>

<file path=xl/sharedStrings.xml><?xml version="1.0" encoding="utf-8"?>
<sst xmlns="http://schemas.openxmlformats.org/spreadsheetml/2006/main" count="362" uniqueCount="90">
  <si>
    <t>GRAND TOTAL</t>
  </si>
  <si>
    <t>Gouraram Village</t>
  </si>
  <si>
    <t>Dry</t>
  </si>
  <si>
    <t>Not Verified in Prohibited Land Details</t>
  </si>
  <si>
    <t>101/A</t>
  </si>
  <si>
    <t>Grand Total (1+2)</t>
  </si>
  <si>
    <t>100/AA</t>
  </si>
  <si>
    <t>100/E/2</t>
  </si>
  <si>
    <t>Sub-Total 2 (Gouraram Village)</t>
  </si>
  <si>
    <t>100/U/1</t>
  </si>
  <si>
    <t>Wet</t>
  </si>
  <si>
    <t>99</t>
  </si>
  <si>
    <t>101 E/3</t>
  </si>
  <si>
    <t>100 E/1</t>
  </si>
  <si>
    <t>Verified in Prohibited Land Details</t>
  </si>
  <si>
    <t>Area (Ac.)</t>
  </si>
  <si>
    <t>Wargal Village</t>
  </si>
  <si>
    <t>1197</t>
  </si>
  <si>
    <t>Sub-Total 1 (Wargal Village)</t>
  </si>
  <si>
    <t>1195</t>
  </si>
  <si>
    <t>1194</t>
  </si>
  <si>
    <t>2098AA</t>
  </si>
  <si>
    <t>2098A</t>
  </si>
  <si>
    <t>2098/A</t>
  </si>
  <si>
    <t>1223AA</t>
  </si>
  <si>
    <t>1223A</t>
  </si>
  <si>
    <t>1223EE</t>
  </si>
  <si>
    <t>DETAILED LAND STATUS  SUMMARY AS PER VILLAGES</t>
  </si>
  <si>
    <t>1223E</t>
  </si>
  <si>
    <t>1222</t>
  </si>
  <si>
    <t>1221</t>
  </si>
  <si>
    <t>Grand Total (Verified+Not Verified)</t>
  </si>
  <si>
    <t>1220</t>
  </si>
  <si>
    <t>Sub Total (Not Verified)</t>
  </si>
  <si>
    <t>1219</t>
  </si>
  <si>
    <t>1202A</t>
  </si>
  <si>
    <t>1202 AA</t>
  </si>
  <si>
    <t>Sub Total (Verified)</t>
  </si>
  <si>
    <t>1202E</t>
  </si>
  <si>
    <t>1201</t>
  </si>
  <si>
    <t>1200</t>
  </si>
  <si>
    <t>1199</t>
  </si>
  <si>
    <t>Total Area (Ac.)</t>
  </si>
  <si>
    <t>Particulars</t>
  </si>
  <si>
    <t>1196</t>
  </si>
  <si>
    <t>SUMMARY OF VERIFICATION OF WARGAL AND GOURARAM LAND PARCELS</t>
  </si>
  <si>
    <t>1224</t>
  </si>
  <si>
    <t>Total Amount</t>
  </si>
  <si>
    <t>Rate/Acre</t>
  </si>
  <si>
    <t>Area (Acre)</t>
  </si>
  <si>
    <t>Village</t>
  </si>
  <si>
    <t>Type of Land as per Deed</t>
  </si>
  <si>
    <t>Verification Status</t>
  </si>
  <si>
    <t>Survey No.</t>
  </si>
  <si>
    <t>AGRICULTURAL LAND VALUATION, WARGAL AND GOURARAM, ANDHRA PRADESH</t>
  </si>
  <si>
    <r>
      <rPr>
        <b/>
        <sz val="11"/>
        <color theme="1"/>
        <rFont val="Calibri Light"/>
        <family val="2"/>
        <scheme val="major"/>
      </rPr>
      <t xml:space="preserve">Note: </t>
    </r>
    <r>
      <rPr>
        <sz val="11"/>
        <color theme="1"/>
        <rFont val="Calibri Light"/>
        <family val="2"/>
        <scheme val="major"/>
      </rPr>
      <t>The Market rate of lands have been taken as per enquiry from various property dealers in the Area. However after taking a standard Land rate the same has been adjusted based on location, Size and type of property using Cadastral maps of the Villages taken from Dharani Portal of Governement of Telangana.</t>
    </r>
  </si>
  <si>
    <t>GRAND TOTAL (WARGAL VILLAGE +GOURARAM VILLAGE)</t>
  </si>
  <si>
    <t>SUB TOTAL (GOURARAM VILLAGE)</t>
  </si>
  <si>
    <t>SUB TOTAL (WARGAL VILLAGE)</t>
  </si>
  <si>
    <t>FAIR MARKET VALIUATION OF NON PROHIBITED LANDS</t>
  </si>
  <si>
    <t>VALUATION OF PROJECT LAND BY GOVT. GUIDLINE VALUE|M/s. NFCL|WARGAL AND GOURARAM AGRICULTURAL LANDS, TELANGANA</t>
  </si>
  <si>
    <t>Total</t>
  </si>
  <si>
    <t xml:space="preserve">SUB TOTAL </t>
  </si>
  <si>
    <t>Difference</t>
  </si>
  <si>
    <t>Leased area (Acre)</t>
  </si>
  <si>
    <t>Sr. No.</t>
  </si>
  <si>
    <t>NARDI LEASED AREA DETAILS</t>
  </si>
  <si>
    <t>-</t>
  </si>
  <si>
    <t>TOTAL</t>
  </si>
  <si>
    <t>AGRICULTURAL LAND (Wet)</t>
  </si>
  <si>
    <t>Gouraram</t>
  </si>
  <si>
    <t>AGRICULTURAL LAND (Dry)</t>
  </si>
  <si>
    <t>Wargal</t>
  </si>
  <si>
    <t>Andhra Pradesh</t>
  </si>
  <si>
    <t>Government Guideline Value of Project Land
 (INR)</t>
  </si>
  <si>
    <t>Govt. Guideline Rate Adopted for Guideline Valuation
 (Rs. Per Acre)</t>
  </si>
  <si>
    <t>Area 
(Acres)</t>
  </si>
  <si>
    <t>Area 
(Sq. mt.)</t>
  </si>
  <si>
    <t>State</t>
  </si>
  <si>
    <t>Particular</t>
  </si>
  <si>
    <t>GOVT. GUIDELINE VALUE OF LAND</t>
  </si>
  <si>
    <t>Prohibited Land</t>
  </si>
  <si>
    <t>Non Prohibited Land</t>
  </si>
  <si>
    <t>Wargal and Gauraram</t>
  </si>
  <si>
    <t>Location</t>
  </si>
  <si>
    <t>Market Value of Agricultural Land
 (INR)</t>
  </si>
  <si>
    <t>Market Rate Adopted for Guideline Valuation
 (Rs. Per Acre)</t>
  </si>
  <si>
    <t>STATE</t>
  </si>
  <si>
    <t>Sr.
No.</t>
  </si>
  <si>
    <t>MARKET VALUE OF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</si>
</sst>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u/>
      <sz val="12"/>
      <color theme="0"/>
      <name val="Calibri Light"/>
      <family val="2"/>
      <scheme val="major"/>
    </font>
    <font>
      <b/>
      <u/>
      <sz val="1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2"/>
      <color theme="0"/>
      <name val="Calibri"/>
      <family val="2"/>
      <scheme val="minor"/>
    </font>
    <font>
      <sz val="12"/>
      <color rgb="FFFF0000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8" tint="-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B8FA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/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 style="double">
        <color theme="4" tint="0.79998168889431442"/>
      </left>
      <right style="double">
        <color theme="4" tint="0.79998168889431442"/>
      </right>
      <top/>
      <bottom style="double">
        <color theme="4" tint="0.79998168889431442"/>
      </bottom>
      <diagonal/>
    </border>
    <border>
      <left/>
      <right/>
      <top style="medium">
        <color theme="4" tint="0.3999450666829432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 style="double">
        <color theme="4" tint="0.79995117038483843"/>
      </bottom>
      <diagonal/>
    </border>
    <border>
      <left/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/>
      <right/>
      <top style="double">
        <color theme="4" tint="0.79998168889431442"/>
      </top>
      <bottom style="double">
        <color theme="4" tint="0.79998168889431442"/>
      </bottom>
      <diagonal/>
    </border>
    <border>
      <left style="double">
        <color theme="4" tint="0.79998168889431442"/>
      </left>
      <right/>
      <top style="double">
        <color theme="4" tint="0.79998168889431442"/>
      </top>
      <bottom style="double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8" tint="-0.24994659260841701"/>
      </right>
      <top style="double">
        <color theme="8" tint="-0.24994659260841701"/>
      </top>
      <bottom style="double">
        <color theme="8" tint="-0.24994659260841701"/>
      </bottom>
      <diagonal/>
    </border>
    <border>
      <left/>
      <right/>
      <top style="double">
        <color theme="8" tint="-0.24994659260841701"/>
      </top>
      <bottom style="double">
        <color theme="8" tint="-0.24994659260841701"/>
      </bottom>
      <diagonal/>
    </border>
    <border>
      <left style="double">
        <color theme="8" tint="-0.24994659260841701"/>
      </left>
      <right/>
      <top style="double">
        <color theme="8" tint="-0.24994659260841701"/>
      </top>
      <bottom style="double">
        <color theme="8" tint="-0.24994659260841701"/>
      </bottom>
      <diagonal/>
    </border>
    <border>
      <left style="double">
        <color theme="4" tint="0.39982299264503923"/>
      </left>
      <right style="double">
        <color theme="4" tint="0.39985351115451523"/>
      </right>
      <top style="double">
        <color theme="4" tint="0.39988402966399123"/>
      </top>
      <bottom style="double">
        <color theme="4" tint="0.39988402966399123"/>
      </bottom>
      <diagonal/>
    </border>
    <border>
      <left style="double">
        <color theme="4" tint="0.39982299264503923"/>
      </left>
      <right style="double">
        <color theme="4" tint="0.39982299264503923"/>
      </right>
      <top style="double">
        <color theme="4" tint="0.39988402966399123"/>
      </top>
      <bottom style="double">
        <color theme="4" tint="0.39988402966399123"/>
      </bottom>
      <diagonal/>
    </border>
    <border>
      <left/>
      <right style="double">
        <color theme="4" tint="0.39982299264503923"/>
      </right>
      <top style="double">
        <color theme="4" tint="0.39988402966399123"/>
      </top>
      <bottom style="double">
        <color theme="4" tint="0.39988402966399123"/>
      </bottom>
      <diagonal/>
    </border>
    <border>
      <left style="double">
        <color theme="4" tint="0.39985351115451523"/>
      </left>
      <right/>
      <top style="double">
        <color theme="4" tint="0.39988402966399123"/>
      </top>
      <bottom style="double">
        <color theme="4" tint="0.39988402966399123"/>
      </bottom>
      <diagonal/>
    </border>
    <border>
      <left style="double">
        <color theme="4" tint="0.39991454817346722"/>
      </left>
      <right style="double">
        <color theme="4" tint="0.39991454817346722"/>
      </right>
      <top style="medium">
        <color theme="4" tint="0.39994506668294322"/>
      </top>
      <bottom style="double">
        <color theme="4" tint="0.39991454817346722"/>
      </bottom>
      <diagonal/>
    </border>
    <border>
      <left style="double">
        <color theme="4" tint="0.39991454817346722"/>
      </left>
      <right style="double">
        <color theme="4" tint="0.39991454817346722"/>
      </right>
      <top style="double">
        <color theme="4" tint="0.39991454817346722"/>
      </top>
      <bottom style="medium">
        <color theme="8" tint="-0.499984740745262"/>
      </bottom>
      <diagonal/>
    </border>
    <border>
      <left style="double">
        <color theme="4" tint="0.39991454817346722"/>
      </left>
      <right style="double">
        <color theme="4" tint="0.39991454817346722"/>
      </right>
      <top style="double">
        <color theme="4" tint="0.39991454817346722"/>
      </top>
      <bottom style="double">
        <color theme="4" tint="0.39991454817346722"/>
      </bottom>
      <diagonal/>
    </border>
    <border>
      <left style="double">
        <color theme="4" tint="0.39982299264503923"/>
      </left>
      <right style="double">
        <color theme="4" tint="0.39985351115451523"/>
      </right>
      <top style="double">
        <color theme="4" tint="0.39988402966399123"/>
      </top>
      <bottom style="medium">
        <color theme="4" tint="0.39994506668294322"/>
      </bottom>
      <diagonal/>
    </border>
    <border>
      <left style="double">
        <color theme="4" tint="0.39982299264503923"/>
      </left>
      <right style="double">
        <color theme="4" tint="0.39982299264503923"/>
      </right>
      <top style="double">
        <color theme="4" tint="0.39988402966399123"/>
      </top>
      <bottom style="medium">
        <color theme="4" tint="0.39994506668294322"/>
      </bottom>
      <diagonal/>
    </border>
    <border>
      <left style="double">
        <color theme="4" tint="0.39985351115451523"/>
      </left>
      <right style="double">
        <color theme="4" tint="0.39982299264503923"/>
      </right>
      <top style="double">
        <color theme="4" tint="0.39988402966399123"/>
      </top>
      <bottom style="medium">
        <color theme="4" tint="0.39994506668294322"/>
      </bottom>
      <diagonal/>
    </border>
    <border>
      <left style="double">
        <color theme="4" tint="0.39985351115451523"/>
      </left>
      <right style="double">
        <color theme="4" tint="0.39982299264503923"/>
      </right>
      <top style="double">
        <color theme="4" tint="0.39988402966399123"/>
      </top>
      <bottom style="double">
        <color theme="4" tint="0.39988402966399123"/>
      </bottom>
      <diagonal/>
    </border>
    <border>
      <left/>
      <right style="double">
        <color theme="4" tint="0.39988402966399123"/>
      </right>
      <top style="double">
        <color theme="4" tint="0.39988402966399123"/>
      </top>
      <bottom style="double">
        <color theme="4" tint="0.39988402966399123"/>
      </bottom>
      <diagonal/>
    </border>
    <border>
      <left/>
      <right/>
      <top style="double">
        <color theme="4" tint="0.39988402966399123"/>
      </top>
      <bottom style="double">
        <color theme="4" tint="0.39988402966399123"/>
      </bottom>
      <diagonal/>
    </border>
    <border>
      <left style="double">
        <color theme="4" tint="0.39988402966399123"/>
      </left>
      <right/>
      <top style="double">
        <color theme="4" tint="0.39988402966399123"/>
      </top>
      <bottom style="double">
        <color theme="4" tint="0.39988402966399123"/>
      </bottom>
      <diagonal/>
    </border>
    <border>
      <left style="double">
        <color theme="8" tint="-0.24994659260841701"/>
      </left>
      <right style="double">
        <color theme="8" tint="-0.24994659260841701"/>
      </right>
      <top style="double">
        <color theme="8" tint="-0.24994659260841701"/>
      </top>
      <bottom style="double">
        <color theme="8" tint="-0.24994659260841701"/>
      </bottom>
      <diagonal/>
    </border>
    <border>
      <left style="double">
        <color theme="8" tint="-0.24994659260841701"/>
      </left>
      <right style="double">
        <color theme="8" tint="-0.24994659260841701"/>
      </right>
      <top/>
      <bottom style="double">
        <color theme="8" tint="-0.24994659260841701"/>
      </bottom>
      <diagonal/>
    </border>
    <border>
      <left style="double">
        <color theme="8" tint="-0.24994659260841701"/>
      </left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 style="double">
        <color theme="8" tint="-0.24994659260841701"/>
      </right>
      <top/>
      <bottom/>
      <diagonal/>
    </border>
    <border>
      <left style="double">
        <color theme="7" tint="0.79998168889431442"/>
      </left>
      <right style="double">
        <color theme="7" tint="0.79998168889431442"/>
      </right>
      <top style="double">
        <color theme="7" tint="0.79998168889431442"/>
      </top>
      <bottom style="double">
        <color theme="7" tint="0.7999816888943144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/>
    <xf numFmtId="44" fontId="4" fillId="2" borderId="0" xfId="0" applyNumberFormat="1" applyFont="1" applyFill="1" applyAlignment="1">
      <alignment vertical="center"/>
    </xf>
    <xf numFmtId="44" fontId="4" fillId="2" borderId="0" xfId="0" applyNumberFormat="1" applyFont="1" applyFill="1"/>
    <xf numFmtId="2" fontId="4" fillId="2" borderId="0" xfId="0" applyNumberFormat="1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9" fontId="4" fillId="3" borderId="0" xfId="0" applyNumberFormat="1" applyFont="1" applyFill="1"/>
    <xf numFmtId="2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44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/>
    </xf>
    <xf numFmtId="44" fontId="4" fillId="2" borderId="2" xfId="1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/>
    <xf numFmtId="49" fontId="4" fillId="2" borderId="2" xfId="0" applyNumberFormat="1" applyFont="1" applyFill="1" applyBorder="1"/>
    <xf numFmtId="2" fontId="6" fillId="5" borderId="0" xfId="0" applyNumberFormat="1" applyFont="1" applyFill="1" applyAlignment="1">
      <alignment horizontal="right"/>
    </xf>
    <xf numFmtId="0" fontId="6" fillId="5" borderId="0" xfId="0" applyFont="1" applyFill="1"/>
    <xf numFmtId="44" fontId="4" fillId="2" borderId="3" xfId="1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/>
    <xf numFmtId="49" fontId="4" fillId="2" borderId="3" xfId="0" applyNumberFormat="1" applyFont="1" applyFill="1" applyBorder="1"/>
    <xf numFmtId="2" fontId="5" fillId="2" borderId="4" xfId="0" applyNumberFormat="1" applyFont="1" applyFill="1" applyBorder="1" applyAlignment="1">
      <alignment horizontal="right"/>
    </xf>
    <xf numFmtId="0" fontId="5" fillId="2" borderId="4" xfId="0" applyFont="1" applyFill="1" applyBorder="1"/>
    <xf numFmtId="2" fontId="4" fillId="2" borderId="0" xfId="0" applyNumberFormat="1" applyFont="1" applyFill="1" applyAlignment="1">
      <alignment horizontal="right"/>
    </xf>
    <xf numFmtId="0" fontId="5" fillId="6" borderId="0" xfId="0" applyFont="1" applyFill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5" fillId="7" borderId="0" xfId="0" applyFont="1" applyFill="1" applyAlignment="1">
      <alignment horizontal="right" vertical="center"/>
    </xf>
    <xf numFmtId="0" fontId="5" fillId="7" borderId="0" xfId="0" applyFont="1" applyFill="1" applyAlignment="1">
      <alignment horizontal="left" vertical="center"/>
    </xf>
    <xf numFmtId="2" fontId="4" fillId="2" borderId="5" xfId="0" applyNumberFormat="1" applyFont="1" applyFill="1" applyBorder="1" applyAlignment="1">
      <alignment vertical="center"/>
    </xf>
    <xf numFmtId="49" fontId="4" fillId="0" borderId="3" xfId="0" applyNumberFormat="1" applyFont="1" applyBorder="1"/>
    <xf numFmtId="0" fontId="7" fillId="8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right"/>
    </xf>
    <xf numFmtId="0" fontId="8" fillId="5" borderId="0" xfId="0" applyFont="1" applyFill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3" borderId="0" xfId="0" applyFont="1" applyFill="1"/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left" vertical="center"/>
    </xf>
    <xf numFmtId="49" fontId="9" fillId="9" borderId="0" xfId="0" applyNumberFormat="1" applyFont="1" applyFill="1" applyAlignment="1">
      <alignment horizontal="center" wrapText="1"/>
    </xf>
    <xf numFmtId="49" fontId="10" fillId="2" borderId="7" xfId="0" applyNumberFormat="1" applyFont="1" applyFill="1" applyBorder="1" applyAlignment="1">
      <alignment horizontal="left" vertical="center" wrapText="1"/>
    </xf>
    <xf numFmtId="49" fontId="10" fillId="2" borderId="8" xfId="0" applyNumberFormat="1" applyFont="1" applyFill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left" vertical="center" wrapText="1"/>
    </xf>
    <xf numFmtId="0" fontId="0" fillId="2" borderId="0" xfId="0" applyFill="1"/>
    <xf numFmtId="44" fontId="11" fillId="2" borderId="0" xfId="0" applyNumberFormat="1" applyFont="1" applyFill="1" applyAlignment="1">
      <alignment horizontal="center"/>
    </xf>
    <xf numFmtId="44" fontId="11" fillId="2" borderId="0" xfId="0" applyNumberFormat="1" applyFont="1" applyFill="1" applyAlignment="1">
      <alignment vertical="center"/>
    </xf>
    <xf numFmtId="2" fontId="11" fillId="2" borderId="0" xfId="0" applyNumberFormat="1" applyFont="1" applyFill="1" applyAlignment="1">
      <alignment horizontal="right"/>
    </xf>
    <xf numFmtId="49" fontId="11" fillId="2" borderId="0" xfId="0" applyNumberFormat="1" applyFont="1" applyFill="1" applyAlignment="1">
      <alignment horizontal="center"/>
    </xf>
    <xf numFmtId="44" fontId="11" fillId="10" borderId="1" xfId="0" applyNumberFormat="1" applyFont="1" applyFill="1" applyBorder="1" applyAlignment="1">
      <alignment horizontal="center"/>
    </xf>
    <xf numFmtId="44" fontId="11" fillId="10" borderId="1" xfId="0" applyNumberFormat="1" applyFont="1" applyFill="1" applyBorder="1" applyAlignment="1">
      <alignment vertical="center"/>
    </xf>
    <xf numFmtId="2" fontId="11" fillId="10" borderId="1" xfId="0" applyNumberFormat="1" applyFont="1" applyFill="1" applyBorder="1" applyAlignment="1">
      <alignment horizontal="right"/>
    </xf>
    <xf numFmtId="49" fontId="11" fillId="10" borderId="1" xfId="0" applyNumberFormat="1" applyFont="1" applyFill="1" applyBorder="1" applyAlignment="1">
      <alignment horizontal="center"/>
    </xf>
    <xf numFmtId="44" fontId="10" fillId="2" borderId="0" xfId="1" applyNumberFormat="1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49" fontId="10" fillId="2" borderId="0" xfId="0" applyNumberFormat="1" applyFont="1" applyFill="1"/>
    <xf numFmtId="44" fontId="11" fillId="9" borderId="3" xfId="1" applyNumberFormat="1" applyFont="1" applyFill="1" applyBorder="1" applyAlignment="1">
      <alignment horizontal="center" vertical="center"/>
    </xf>
    <xf numFmtId="2" fontId="11" fillId="9" borderId="10" xfId="0" applyNumberFormat="1" applyFont="1" applyFill="1" applyBorder="1" applyAlignment="1">
      <alignment vertical="center"/>
    </xf>
    <xf numFmtId="49" fontId="11" fillId="9" borderId="11" xfId="0" applyNumberFormat="1" applyFont="1" applyFill="1" applyBorder="1" applyAlignment="1">
      <alignment horizontal="center"/>
    </xf>
    <xf numFmtId="49" fontId="11" fillId="9" borderId="12" xfId="0" applyNumberFormat="1" applyFont="1" applyFill="1" applyBorder="1" applyAlignment="1">
      <alignment horizontal="center"/>
    </xf>
    <xf numFmtId="49" fontId="11" fillId="9" borderId="13" xfId="0" applyNumberFormat="1" applyFont="1" applyFill="1" applyBorder="1" applyAlignment="1">
      <alignment horizontal="center"/>
    </xf>
    <xf numFmtId="44" fontId="10" fillId="2" borderId="2" xfId="1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/>
    <xf numFmtId="44" fontId="10" fillId="2" borderId="3" xfId="1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/>
    <xf numFmtId="2" fontId="11" fillId="9" borderId="2" xfId="0" applyNumberFormat="1" applyFont="1" applyFill="1" applyBorder="1" applyAlignment="1">
      <alignment vertical="center"/>
    </xf>
    <xf numFmtId="49" fontId="10" fillId="0" borderId="3" xfId="0" applyNumberFormat="1" applyFont="1" applyBorder="1"/>
    <xf numFmtId="49" fontId="10" fillId="2" borderId="3" xfId="0" applyNumberFormat="1" applyFont="1" applyFill="1" applyBorder="1" applyAlignment="1">
      <alignment horizontal="left" vertical="center"/>
    </xf>
    <xf numFmtId="0" fontId="3" fillId="0" borderId="0" xfId="0" applyFont="1"/>
    <xf numFmtId="44" fontId="12" fillId="5" borderId="3" xfId="1" applyNumberFormat="1" applyFont="1" applyFill="1" applyBorder="1" applyAlignment="1">
      <alignment horizontal="center" vertical="center"/>
    </xf>
    <xf numFmtId="2" fontId="12" fillId="5" borderId="3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49" fontId="12" fillId="5" borderId="3" xfId="0" applyNumberFormat="1" applyFont="1" applyFill="1" applyBorder="1"/>
    <xf numFmtId="0" fontId="13" fillId="5" borderId="14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 vertical="center"/>
    </xf>
    <xf numFmtId="2" fontId="0" fillId="2" borderId="0" xfId="0" applyNumberForma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2" fontId="3" fillId="2" borderId="0" xfId="0" applyNumberFormat="1" applyFont="1" applyFill="1"/>
    <xf numFmtId="2" fontId="6" fillId="11" borderId="8" xfId="0" applyNumberFormat="1" applyFont="1" applyFill="1" applyBorder="1"/>
    <xf numFmtId="0" fontId="6" fillId="11" borderId="8" xfId="0" applyFont="1" applyFill="1" applyBorder="1" applyAlignment="1">
      <alignment horizontal="left"/>
    </xf>
    <xf numFmtId="0" fontId="6" fillId="11" borderId="8" xfId="0" applyFont="1" applyFill="1" applyBorder="1" applyAlignment="1">
      <alignment horizontal="center" vertical="center"/>
    </xf>
    <xf numFmtId="2" fontId="5" fillId="12" borderId="18" xfId="0" applyNumberFormat="1" applyFont="1" applyFill="1" applyBorder="1" applyAlignment="1">
      <alignment horizontal="right" vertical="center"/>
    </xf>
    <xf numFmtId="2" fontId="5" fillId="12" borderId="19" xfId="0" applyNumberFormat="1" applyFont="1" applyFill="1" applyBorder="1" applyAlignment="1">
      <alignment horizontal="right" vertical="center"/>
    </xf>
    <xf numFmtId="2" fontId="5" fillId="12" borderId="19" xfId="0" applyNumberFormat="1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center"/>
    </xf>
    <xf numFmtId="0" fontId="5" fillId="12" borderId="21" xfId="0" applyFont="1" applyFill="1" applyBorder="1" applyAlignment="1">
      <alignment horizontal="center" vertical="center"/>
    </xf>
    <xf numFmtId="2" fontId="14" fillId="2" borderId="22" xfId="0" applyNumberFormat="1" applyFont="1" applyFill="1" applyBorder="1" applyAlignment="1">
      <alignment horizontal="right" vertical="center"/>
    </xf>
    <xf numFmtId="2" fontId="14" fillId="2" borderId="23" xfId="0" applyNumberFormat="1" applyFont="1" applyFill="1" applyBorder="1" applyAlignment="1">
      <alignment horizontal="right" vertical="center"/>
    </xf>
    <xf numFmtId="1" fontId="14" fillId="2" borderId="23" xfId="0" applyNumberFormat="1" applyFont="1" applyFill="1" applyBorder="1" applyAlignment="1">
      <alignment vertical="center"/>
    </xf>
    <xf numFmtId="0" fontId="14" fillId="2" borderId="23" xfId="0" applyFont="1" applyFill="1" applyBorder="1" applyAlignment="1">
      <alignment horizontal="left"/>
    </xf>
    <xf numFmtId="0" fontId="14" fillId="2" borderId="23" xfId="0" applyFont="1" applyFill="1" applyBorder="1" applyAlignment="1">
      <alignment horizontal="center" vertical="center"/>
    </xf>
    <xf numFmtId="2" fontId="14" fillId="2" borderId="24" xfId="0" applyNumberFormat="1" applyFont="1" applyFill="1" applyBorder="1" applyAlignment="1">
      <alignment horizontal="right" vertical="center"/>
    </xf>
    <xf numFmtId="1" fontId="14" fillId="2" borderId="24" xfId="0" applyNumberFormat="1" applyFont="1" applyFill="1" applyBorder="1" applyAlignment="1">
      <alignment vertical="center"/>
    </xf>
    <xf numFmtId="0" fontId="14" fillId="2" borderId="24" xfId="0" applyFont="1" applyFill="1" applyBorder="1" applyAlignment="1">
      <alignment horizontal="left"/>
    </xf>
    <xf numFmtId="0" fontId="14" fillId="2" borderId="24" xfId="0" applyFont="1" applyFill="1" applyBorder="1" applyAlignment="1">
      <alignment horizontal="center" vertical="center"/>
    </xf>
    <xf numFmtId="1" fontId="14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>
      <alignment horizontal="left"/>
    </xf>
    <xf numFmtId="0" fontId="14" fillId="2" borderId="22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right" vertical="center"/>
    </xf>
    <xf numFmtId="2" fontId="4" fillId="2" borderId="26" xfId="0" applyNumberFormat="1" applyFont="1" applyFill="1" applyBorder="1" applyAlignment="1">
      <alignment horizontal="right" vertical="center"/>
    </xf>
    <xf numFmtId="2" fontId="4" fillId="2" borderId="26" xfId="0" applyNumberFormat="1" applyFont="1" applyFill="1" applyBorder="1" applyAlignment="1">
      <alignment vertical="center"/>
    </xf>
    <xf numFmtId="0" fontId="4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right" vertical="center"/>
    </xf>
    <xf numFmtId="2" fontId="4" fillId="2" borderId="19" xfId="0" applyNumberFormat="1" applyFont="1" applyFill="1" applyBorder="1" applyAlignment="1">
      <alignment horizontal="right" vertical="center"/>
    </xf>
    <xf numFmtId="2" fontId="4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2" fillId="11" borderId="29" xfId="0" applyFont="1" applyFill="1" applyBorder="1" applyAlignment="1">
      <alignment horizontal="right" vertical="center"/>
    </xf>
    <xf numFmtId="0" fontId="12" fillId="11" borderId="30" xfId="0" applyFont="1" applyFill="1" applyBorder="1" applyAlignment="1">
      <alignment vertical="center"/>
    </xf>
    <xf numFmtId="2" fontId="12" fillId="11" borderId="30" xfId="0" applyNumberFormat="1" applyFont="1" applyFill="1" applyBorder="1" applyAlignment="1">
      <alignment vertical="center"/>
    </xf>
    <xf numFmtId="0" fontId="12" fillId="11" borderId="30" xfId="0" applyFont="1" applyFill="1" applyBorder="1" applyAlignment="1">
      <alignment horizontal="left" vertical="center"/>
    </xf>
    <xf numFmtId="0" fontId="12" fillId="11" borderId="31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0" fillId="6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2" borderId="0" xfId="0" applyFill="1" applyAlignment="1">
      <alignment horizontal="center" wrapText="1"/>
    </xf>
    <xf numFmtId="44" fontId="3" fillId="12" borderId="32" xfId="0" applyNumberFormat="1" applyFont="1" applyFill="1" applyBorder="1" applyAlignment="1">
      <alignment horizontal="center" vertical="center"/>
    </xf>
    <xf numFmtId="2" fontId="3" fillId="12" borderId="32" xfId="0" applyNumberFormat="1" applyFont="1" applyFill="1" applyBorder="1" applyAlignment="1">
      <alignment horizontal="center" vertical="center"/>
    </xf>
    <xf numFmtId="43" fontId="3" fillId="12" borderId="32" xfId="0" applyNumberFormat="1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/>
    </xf>
    <xf numFmtId="0" fontId="3" fillId="12" borderId="32" xfId="0" applyFont="1" applyFill="1" applyBorder="1" applyAlignment="1">
      <alignment horizontal="center"/>
    </xf>
    <xf numFmtId="44" fontId="0" fillId="0" borderId="32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43" fontId="0" fillId="0" borderId="32" xfId="1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4" fontId="2" fillId="5" borderId="32" xfId="0" applyNumberFormat="1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vertical="center" wrapText="1"/>
    </xf>
    <xf numFmtId="0" fontId="15" fillId="5" borderId="32" xfId="0" applyFont="1" applyFill="1" applyBorder="1" applyAlignment="1">
      <alignment horizontal="center" vertical="center"/>
    </xf>
    <xf numFmtId="0" fontId="16" fillId="5" borderId="32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 wrapText="1"/>
    </xf>
    <xf numFmtId="2" fontId="3" fillId="12" borderId="36" xfId="0" applyNumberFormat="1" applyFont="1" applyFill="1" applyBorder="1" applyAlignment="1">
      <alignment horizontal="left" vertical="center"/>
    </xf>
    <xf numFmtId="0" fontId="17" fillId="12" borderId="36" xfId="0" applyFont="1" applyFill="1" applyBorder="1" applyAlignment="1">
      <alignment wrapText="1"/>
    </xf>
    <xf numFmtId="0" fontId="3" fillId="12" borderId="36" xfId="0" applyFont="1" applyFill="1" applyBorder="1" applyAlignment="1">
      <alignment horizontal="left"/>
    </xf>
    <xf numFmtId="0" fontId="17" fillId="12" borderId="36" xfId="0" applyFont="1" applyFill="1" applyBorder="1"/>
    <xf numFmtId="0" fontId="3" fillId="12" borderId="36" xfId="0" applyFont="1" applyFill="1" applyBorder="1"/>
    <xf numFmtId="0" fontId="18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92F6F-95EB-449D-809B-F4E72C5B7CFD}">
  <sheetPr>
    <tabColor theme="9" tint="-0.249977111117893"/>
  </sheetPr>
  <dimension ref="B2:O45"/>
  <sheetViews>
    <sheetView tabSelected="1" zoomScale="85" zoomScaleNormal="85" workbookViewId="0">
      <pane ySplit="4" topLeftCell="A29" activePane="bottomLeft" state="frozen"/>
      <selection activeCell="J29" sqref="J29:K29"/>
      <selection pane="bottomLeft" activeCell="B40" sqref="B40:H40"/>
    </sheetView>
  </sheetViews>
  <sheetFormatPr defaultColWidth="9.140625" defaultRowHeight="15.75" x14ac:dyDescent="0.25"/>
  <cols>
    <col min="1" max="1" width="2" style="1" customWidth="1"/>
    <col min="2" max="2" width="15.42578125" style="5" bestFit="1" customWidth="1"/>
    <col min="3" max="3" width="42.7109375" style="1" customWidth="1"/>
    <col min="4" max="4" width="35" style="4" bestFit="1" customWidth="1"/>
    <col min="5" max="5" width="18.140625" style="4" bestFit="1" customWidth="1"/>
    <col min="6" max="6" width="16" style="3" bestFit="1" customWidth="1"/>
    <col min="7" max="7" width="17.85546875" style="3" bestFit="1" customWidth="1"/>
    <col min="8" max="8" width="22.28515625" style="3" bestFit="1" customWidth="1"/>
    <col min="9" max="11" width="2" style="1" customWidth="1"/>
    <col min="12" max="12" width="43.5703125" style="1" customWidth="1"/>
    <col min="13" max="13" width="18.7109375" style="2" customWidth="1"/>
    <col min="14" max="15" width="2" style="1" customWidth="1"/>
    <col min="16" max="16384" width="9.140625" style="1"/>
  </cols>
  <sheetData>
    <row r="2" spans="2:15" ht="23.25" x14ac:dyDescent="0.35">
      <c r="B2" s="56" t="s">
        <v>54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2:15" ht="16.5" thickBot="1" x14ac:dyDescent="0.3"/>
    <row r="4" spans="2:15" s="49" customFormat="1" ht="17.25" thickTop="1" thickBot="1" x14ac:dyDescent="0.3">
      <c r="B4" s="55" t="s">
        <v>53</v>
      </c>
      <c r="C4" s="54" t="s">
        <v>52</v>
      </c>
      <c r="D4" s="52" t="s">
        <v>51</v>
      </c>
      <c r="E4" s="52" t="s">
        <v>50</v>
      </c>
      <c r="F4" s="53" t="s">
        <v>49</v>
      </c>
      <c r="G4" s="52" t="s">
        <v>48</v>
      </c>
      <c r="H4" s="52" t="s">
        <v>47</v>
      </c>
      <c r="J4" s="51"/>
      <c r="M4" s="50"/>
    </row>
    <row r="5" spans="2:15" ht="17.25" thickTop="1" thickBot="1" x14ac:dyDescent="0.3">
      <c r="B5" s="45" t="s">
        <v>46</v>
      </c>
      <c r="C5" s="44" t="s">
        <v>14</v>
      </c>
      <c r="D5" s="30" t="s">
        <v>2</v>
      </c>
      <c r="E5" s="30" t="s">
        <v>16</v>
      </c>
      <c r="F5" s="29">
        <f>2+(0.025*13)</f>
        <v>2.3250000000000002</v>
      </c>
      <c r="G5" s="28">
        <v>8000000</v>
      </c>
      <c r="H5" s="28">
        <f>F5*G5</f>
        <v>18600000</v>
      </c>
      <c r="J5" s="9"/>
      <c r="L5" s="48" t="s">
        <v>45</v>
      </c>
      <c r="M5" s="48"/>
      <c r="O5" s="15"/>
    </row>
    <row r="6" spans="2:15" ht="17.25" thickTop="1" thickBot="1" x14ac:dyDescent="0.3">
      <c r="B6" s="32" t="s">
        <v>44</v>
      </c>
      <c r="C6" s="31" t="s">
        <v>14</v>
      </c>
      <c r="D6" s="30" t="s">
        <v>2</v>
      </c>
      <c r="E6" s="30" t="s">
        <v>16</v>
      </c>
      <c r="F6" s="29">
        <f>1+(0.025*38)</f>
        <v>1.9500000000000002</v>
      </c>
      <c r="G6" s="28">
        <v>8500000</v>
      </c>
      <c r="H6" s="28">
        <f>F6*G6</f>
        <v>16575000.000000002</v>
      </c>
      <c r="J6" s="9"/>
      <c r="L6" s="27" t="s">
        <v>43</v>
      </c>
      <c r="M6" s="47" t="s">
        <v>42</v>
      </c>
      <c r="O6" s="15"/>
    </row>
    <row r="7" spans="2:15" ht="17.25" thickTop="1" thickBot="1" x14ac:dyDescent="0.3">
      <c r="B7" s="32" t="s">
        <v>41</v>
      </c>
      <c r="C7" s="31" t="s">
        <v>3</v>
      </c>
      <c r="D7" s="30" t="s">
        <v>2</v>
      </c>
      <c r="E7" s="30" t="s">
        <v>16</v>
      </c>
      <c r="F7" s="29">
        <v>3.34</v>
      </c>
      <c r="G7" s="28">
        <v>8000000</v>
      </c>
      <c r="H7" s="28">
        <f>F7*G7</f>
        <v>26720000</v>
      </c>
      <c r="J7" s="9"/>
      <c r="L7" s="40" t="s">
        <v>14</v>
      </c>
      <c r="M7" s="39" t="s">
        <v>15</v>
      </c>
      <c r="O7" s="15"/>
    </row>
    <row r="8" spans="2:15" ht="17.25" thickTop="1" thickBot="1" x14ac:dyDescent="0.3">
      <c r="B8" s="32" t="s">
        <v>40</v>
      </c>
      <c r="C8" s="31" t="s">
        <v>3</v>
      </c>
      <c r="D8" s="30" t="s">
        <v>2</v>
      </c>
      <c r="E8" s="30" t="s">
        <v>16</v>
      </c>
      <c r="F8" s="29">
        <v>1.35</v>
      </c>
      <c r="G8" s="28">
        <v>9000000</v>
      </c>
      <c r="H8" s="28">
        <f>F8*G8</f>
        <v>12150000</v>
      </c>
      <c r="J8" s="9"/>
      <c r="L8" s="1" t="s">
        <v>2</v>
      </c>
      <c r="M8" s="35">
        <f>SUMIFS($F$5:$F$39,$C$5:$C$39,$L$7,$D$5:$D$39,L8)</f>
        <v>28.79</v>
      </c>
      <c r="O8" s="15"/>
    </row>
    <row r="9" spans="2:15" ht="17.25" thickTop="1" thickBot="1" x14ac:dyDescent="0.3">
      <c r="B9" s="32" t="s">
        <v>39</v>
      </c>
      <c r="C9" s="31" t="s">
        <v>3</v>
      </c>
      <c r="D9" s="30" t="s">
        <v>2</v>
      </c>
      <c r="E9" s="30" t="s">
        <v>16</v>
      </c>
      <c r="F9" s="29">
        <v>4.0999999999999996</v>
      </c>
      <c r="G9" s="28">
        <v>8000000</v>
      </c>
      <c r="H9" s="28">
        <f>F9*G9</f>
        <v>32799999.999999996</v>
      </c>
      <c r="J9" s="9"/>
      <c r="L9" s="1" t="s">
        <v>10</v>
      </c>
      <c r="M9" s="35">
        <f>SUMIFS($F$5:$F$39,$C$5:$C$39,$L$7,$D$5:$D$39,L9)</f>
        <v>0</v>
      </c>
      <c r="O9" s="15"/>
    </row>
    <row r="10" spans="2:15" ht="17.25" thickTop="1" thickBot="1" x14ac:dyDescent="0.3">
      <c r="B10" s="32" t="s">
        <v>38</v>
      </c>
      <c r="C10" s="31" t="s">
        <v>14</v>
      </c>
      <c r="D10" s="30" t="s">
        <v>2</v>
      </c>
      <c r="E10" s="30" t="s">
        <v>16</v>
      </c>
      <c r="F10" s="29">
        <f>1+(0.025*21)</f>
        <v>1.5249999999999999</v>
      </c>
      <c r="G10" s="28">
        <v>9000000</v>
      </c>
      <c r="H10" s="28">
        <f>F10*G10</f>
        <v>13725000</v>
      </c>
      <c r="J10" s="9"/>
      <c r="L10" s="34" t="s">
        <v>37</v>
      </c>
      <c r="M10" s="33">
        <f>M8+M9</f>
        <v>28.79</v>
      </c>
      <c r="O10" s="15"/>
    </row>
    <row r="11" spans="2:15" ht="17.25" thickTop="1" thickBot="1" x14ac:dyDescent="0.3">
      <c r="B11" s="32" t="s">
        <v>34</v>
      </c>
      <c r="C11" s="31" t="s">
        <v>14</v>
      </c>
      <c r="D11" s="30" t="s">
        <v>2</v>
      </c>
      <c r="E11" s="30" t="s">
        <v>16</v>
      </c>
      <c r="F11" s="29">
        <f>0+(0.025*39)</f>
        <v>0.97500000000000009</v>
      </c>
      <c r="G11" s="28">
        <v>9000000</v>
      </c>
      <c r="H11" s="28">
        <f>F11*G11</f>
        <v>8775000</v>
      </c>
      <c r="J11" s="9"/>
      <c r="L11" s="46" t="s">
        <v>3</v>
      </c>
      <c r="M11" s="39" t="s">
        <v>15</v>
      </c>
      <c r="O11" s="15"/>
    </row>
    <row r="12" spans="2:15" ht="17.25" thickTop="1" thickBot="1" x14ac:dyDescent="0.3">
      <c r="B12" s="32" t="s">
        <v>36</v>
      </c>
      <c r="C12" s="31" t="s">
        <v>14</v>
      </c>
      <c r="D12" s="30" t="s">
        <v>2</v>
      </c>
      <c r="E12" s="30" t="s">
        <v>16</v>
      </c>
      <c r="F12" s="29">
        <f>1+(0.025*21)</f>
        <v>1.5249999999999999</v>
      </c>
      <c r="G12" s="28">
        <v>9000000</v>
      </c>
      <c r="H12" s="28">
        <f>F12*G12</f>
        <v>13725000</v>
      </c>
      <c r="J12" s="9"/>
      <c r="L12" s="1" t="s">
        <v>2</v>
      </c>
      <c r="M12" s="35">
        <f>SUMIFS($F$5:$F$39,$C$5:$C$39,$L$11,$D$5:$D$39,L12)</f>
        <v>54.934999999999988</v>
      </c>
      <c r="O12" s="15"/>
    </row>
    <row r="13" spans="2:15" ht="17.25" thickTop="1" thickBot="1" x14ac:dyDescent="0.3">
      <c r="B13" s="32" t="s">
        <v>35</v>
      </c>
      <c r="C13" s="31" t="s">
        <v>14</v>
      </c>
      <c r="D13" s="30" t="s">
        <v>2</v>
      </c>
      <c r="E13" s="30" t="s">
        <v>16</v>
      </c>
      <c r="F13" s="29">
        <f>1+(0.025*21)</f>
        <v>1.5249999999999999</v>
      </c>
      <c r="G13" s="28">
        <v>9000000</v>
      </c>
      <c r="H13" s="28">
        <f>F13*G13</f>
        <v>13725000</v>
      </c>
      <c r="J13" s="9"/>
      <c r="L13" s="1" t="s">
        <v>10</v>
      </c>
      <c r="M13" s="35">
        <f>SUMIFS($F$5:$F$39,$C$5:$C$39,$L$11,$D$5:$D$39,L13)</f>
        <v>0</v>
      </c>
      <c r="O13" s="15"/>
    </row>
    <row r="14" spans="2:15" ht="17.25" thickTop="1" thickBot="1" x14ac:dyDescent="0.3">
      <c r="B14" s="32" t="s">
        <v>34</v>
      </c>
      <c r="C14" s="31" t="s">
        <v>14</v>
      </c>
      <c r="D14" s="30" t="s">
        <v>2</v>
      </c>
      <c r="E14" s="30" t="s">
        <v>16</v>
      </c>
      <c r="F14" s="29">
        <v>3.39</v>
      </c>
      <c r="G14" s="28">
        <v>8000000</v>
      </c>
      <c r="H14" s="28">
        <f>F14*G14</f>
        <v>27120000</v>
      </c>
      <c r="J14" s="9"/>
      <c r="L14" s="34" t="s">
        <v>33</v>
      </c>
      <c r="M14" s="33">
        <f>M12+M13</f>
        <v>54.934999999999988</v>
      </c>
      <c r="O14" s="15"/>
    </row>
    <row r="15" spans="2:15" ht="17.25" thickTop="1" thickBot="1" x14ac:dyDescent="0.3">
      <c r="B15" s="32" t="s">
        <v>32</v>
      </c>
      <c r="C15" s="31" t="s">
        <v>3</v>
      </c>
      <c r="D15" s="30" t="s">
        <v>2</v>
      </c>
      <c r="E15" s="30" t="s">
        <v>16</v>
      </c>
      <c r="F15" s="29">
        <f>2+(0.025*19)</f>
        <v>2.4750000000000001</v>
      </c>
      <c r="G15" s="28">
        <v>8500000</v>
      </c>
      <c r="H15" s="28">
        <f>F15*G15</f>
        <v>21037500</v>
      </c>
      <c r="J15" s="9"/>
      <c r="O15" s="15"/>
    </row>
    <row r="16" spans="2:15" ht="17.25" thickTop="1" thickBot="1" x14ac:dyDescent="0.3">
      <c r="B16" s="32" t="s">
        <v>30</v>
      </c>
      <c r="C16" s="31" t="s">
        <v>3</v>
      </c>
      <c r="D16" s="30" t="s">
        <v>2</v>
      </c>
      <c r="E16" s="30" t="s">
        <v>16</v>
      </c>
      <c r="F16" s="29">
        <v>2</v>
      </c>
      <c r="G16" s="28">
        <v>8500000</v>
      </c>
      <c r="H16" s="28">
        <f>F16*G16</f>
        <v>17000000</v>
      </c>
      <c r="J16" s="9"/>
      <c r="L16" s="27" t="s">
        <v>31</v>
      </c>
      <c r="M16" s="26">
        <f>M10+M14</f>
        <v>83.724999999999994</v>
      </c>
      <c r="O16" s="15"/>
    </row>
    <row r="17" spans="2:15" ht="17.25" thickTop="1" thickBot="1" x14ac:dyDescent="0.3">
      <c r="B17" s="32" t="s">
        <v>30</v>
      </c>
      <c r="C17" s="31" t="s">
        <v>3</v>
      </c>
      <c r="D17" s="30" t="s">
        <v>2</v>
      </c>
      <c r="E17" s="30" t="s">
        <v>16</v>
      </c>
      <c r="F17" s="29">
        <v>3</v>
      </c>
      <c r="G17" s="28">
        <v>8000000</v>
      </c>
      <c r="H17" s="28">
        <f>F17*G17</f>
        <v>24000000</v>
      </c>
      <c r="J17" s="9"/>
      <c r="O17" s="15"/>
    </row>
    <row r="18" spans="2:15" ht="17.25" customHeight="1" thickTop="1" thickBot="1" x14ac:dyDescent="0.3">
      <c r="B18" s="45" t="s">
        <v>30</v>
      </c>
      <c r="C18" s="44" t="s">
        <v>3</v>
      </c>
      <c r="D18" s="30" t="s">
        <v>2</v>
      </c>
      <c r="E18" s="30" t="s">
        <v>16</v>
      </c>
      <c r="F18" s="29">
        <v>3</v>
      </c>
      <c r="G18" s="28">
        <v>8000000</v>
      </c>
      <c r="H18" s="28">
        <f>F18*G18</f>
        <v>24000000</v>
      </c>
      <c r="J18" s="9"/>
      <c r="L18" s="15"/>
      <c r="M18" s="16"/>
      <c r="N18" s="15"/>
      <c r="O18" s="15"/>
    </row>
    <row r="19" spans="2:15" ht="17.25" thickTop="1" thickBot="1" x14ac:dyDescent="0.3">
      <c r="B19" s="32" t="s">
        <v>29</v>
      </c>
      <c r="C19" s="31" t="s">
        <v>3</v>
      </c>
      <c r="D19" s="30" t="s">
        <v>2</v>
      </c>
      <c r="E19" s="30" t="s">
        <v>16</v>
      </c>
      <c r="F19" s="29">
        <v>3.08</v>
      </c>
      <c r="G19" s="28">
        <v>8000000</v>
      </c>
      <c r="H19" s="28">
        <f>F19*G19</f>
        <v>24640000</v>
      </c>
      <c r="J19" s="9"/>
      <c r="O19" s="15"/>
    </row>
    <row r="20" spans="2:15" ht="17.25" thickTop="1" thickBot="1" x14ac:dyDescent="0.3">
      <c r="B20" s="32" t="s">
        <v>28</v>
      </c>
      <c r="C20" s="31" t="s">
        <v>3</v>
      </c>
      <c r="D20" s="30" t="s">
        <v>2</v>
      </c>
      <c r="E20" s="30" t="s">
        <v>16</v>
      </c>
      <c r="F20" s="22">
        <f>2+(0.025*1)</f>
        <v>2.0249999999999999</v>
      </c>
      <c r="G20" s="28">
        <v>8500000</v>
      </c>
      <c r="H20" s="28">
        <f>F20*G20</f>
        <v>17212500</v>
      </c>
      <c r="J20" s="9"/>
      <c r="L20" s="43" t="s">
        <v>27</v>
      </c>
      <c r="M20" s="43"/>
      <c r="O20" s="15"/>
    </row>
    <row r="21" spans="2:15" ht="17.25" thickTop="1" thickBot="1" x14ac:dyDescent="0.3">
      <c r="B21" s="32" t="s">
        <v>26</v>
      </c>
      <c r="C21" s="31" t="s">
        <v>3</v>
      </c>
      <c r="D21" s="30" t="s">
        <v>2</v>
      </c>
      <c r="E21" s="30" t="s">
        <v>16</v>
      </c>
      <c r="F21" s="22">
        <f>2+(0.025*1)</f>
        <v>2.0249999999999999</v>
      </c>
      <c r="G21" s="28">
        <v>8500000</v>
      </c>
      <c r="H21" s="28">
        <f>F21*G21</f>
        <v>17212500</v>
      </c>
      <c r="J21" s="9"/>
      <c r="L21" s="40" t="s">
        <v>16</v>
      </c>
      <c r="M21" s="39" t="s">
        <v>15</v>
      </c>
      <c r="O21" s="15"/>
    </row>
    <row r="22" spans="2:15" ht="17.25" thickTop="1" thickBot="1" x14ac:dyDescent="0.3">
      <c r="B22" s="42" t="s">
        <v>25</v>
      </c>
      <c r="C22" s="31" t="s">
        <v>3</v>
      </c>
      <c r="D22" s="30" t="s">
        <v>2</v>
      </c>
      <c r="E22" s="30" t="s">
        <v>16</v>
      </c>
      <c r="F22" s="22">
        <f>2+(0.025*1)</f>
        <v>2.0249999999999999</v>
      </c>
      <c r="G22" s="28">
        <v>8500000</v>
      </c>
      <c r="H22" s="28">
        <f>F22*G22</f>
        <v>17212500</v>
      </c>
      <c r="J22" s="9"/>
      <c r="L22" s="38" t="s">
        <v>14</v>
      </c>
      <c r="M22" s="36"/>
      <c r="O22" s="15"/>
    </row>
    <row r="23" spans="2:15" ht="17.25" thickTop="1" thickBot="1" x14ac:dyDescent="0.3">
      <c r="B23" s="42" t="s">
        <v>24</v>
      </c>
      <c r="C23" s="31" t="s">
        <v>3</v>
      </c>
      <c r="D23" s="30" t="s">
        <v>2</v>
      </c>
      <c r="E23" s="30" t="s">
        <v>16</v>
      </c>
      <c r="F23" s="22">
        <f>2+(0.025*1)</f>
        <v>2.0249999999999999</v>
      </c>
      <c r="G23" s="28">
        <v>8500000</v>
      </c>
      <c r="H23" s="28">
        <f>F23*G23</f>
        <v>17212500</v>
      </c>
      <c r="J23" s="9"/>
      <c r="L23" s="1" t="s">
        <v>2</v>
      </c>
      <c r="M23" s="35">
        <f>SUMIFS($F$5:$F$39,$C$5:$C$39,L22,$E$5:$E$39,$L$21,$D$5:$D$39,L23)</f>
        <v>28.79</v>
      </c>
      <c r="O23" s="15"/>
    </row>
    <row r="24" spans="2:15" ht="17.25" thickTop="1" thickBot="1" x14ac:dyDescent="0.3">
      <c r="B24" s="42" t="s">
        <v>23</v>
      </c>
      <c r="C24" s="31" t="s">
        <v>14</v>
      </c>
      <c r="D24" s="30" t="s">
        <v>2</v>
      </c>
      <c r="E24" s="30" t="s">
        <v>16</v>
      </c>
      <c r="F24" s="29">
        <v>5.03</v>
      </c>
      <c r="G24" s="28">
        <v>8000000</v>
      </c>
      <c r="H24" s="28">
        <f>F24*G24</f>
        <v>40240000</v>
      </c>
      <c r="J24" s="9"/>
      <c r="L24" s="1" t="s">
        <v>10</v>
      </c>
      <c r="M24" s="35">
        <f>SUMIFS($F$5:$F$39,$C$5:$C$39,L23,$E$5:$E$39,$L$21,$D$5:$D$39,L24)</f>
        <v>0</v>
      </c>
      <c r="O24" s="15"/>
    </row>
    <row r="25" spans="2:15" ht="17.25" thickTop="1" thickBot="1" x14ac:dyDescent="0.3">
      <c r="B25" s="42" t="s">
        <v>22</v>
      </c>
      <c r="C25" s="31" t="s">
        <v>14</v>
      </c>
      <c r="D25" s="30" t="s">
        <v>2</v>
      </c>
      <c r="E25" s="30" t="s">
        <v>16</v>
      </c>
      <c r="F25" s="22">
        <f>5.22/2</f>
        <v>2.61</v>
      </c>
      <c r="G25" s="28">
        <v>8500000</v>
      </c>
      <c r="H25" s="28">
        <f>F25*G25</f>
        <v>22185000</v>
      </c>
      <c r="J25" s="9"/>
      <c r="L25" s="37" t="s">
        <v>3</v>
      </c>
      <c r="M25" s="36"/>
      <c r="O25" s="15"/>
    </row>
    <row r="26" spans="2:15" ht="17.25" thickTop="1" thickBot="1" x14ac:dyDescent="0.3">
      <c r="B26" s="42" t="s">
        <v>21</v>
      </c>
      <c r="C26" s="31" t="s">
        <v>14</v>
      </c>
      <c r="D26" s="30" t="s">
        <v>2</v>
      </c>
      <c r="E26" s="30" t="s">
        <v>16</v>
      </c>
      <c r="F26" s="41">
        <f>5.22/2</f>
        <v>2.61</v>
      </c>
      <c r="G26" s="28">
        <v>8500000</v>
      </c>
      <c r="H26" s="28">
        <f>F26*G26</f>
        <v>22185000</v>
      </c>
      <c r="J26" s="9"/>
      <c r="L26" s="1" t="s">
        <v>2</v>
      </c>
      <c r="M26" s="35">
        <f>SUMIFS($F$5:$F$39,$C$5:$C$39,$L$25,$E$5:$E$39,$L$21,$D$5:$D$39,L26)</f>
        <v>32.49499999999999</v>
      </c>
      <c r="O26" s="15"/>
    </row>
    <row r="27" spans="2:15" ht="17.25" thickTop="1" thickBot="1" x14ac:dyDescent="0.3">
      <c r="B27" s="32" t="s">
        <v>20</v>
      </c>
      <c r="C27" s="31" t="s">
        <v>14</v>
      </c>
      <c r="D27" s="30" t="s">
        <v>2</v>
      </c>
      <c r="E27" s="30" t="s">
        <v>16</v>
      </c>
      <c r="F27" s="29">
        <v>3.2</v>
      </c>
      <c r="G27" s="28">
        <v>8000000</v>
      </c>
      <c r="H27" s="28">
        <f>F27*G27</f>
        <v>25600000</v>
      </c>
      <c r="J27" s="9"/>
      <c r="L27" s="1" t="s">
        <v>10</v>
      </c>
      <c r="M27" s="35">
        <f>SUMIFS($F$5:$F$39,$C$5:$C$39,$L$25,$E$5:$E$39,$L$21,$D$5:$D$39,L27)</f>
        <v>0</v>
      </c>
      <c r="O27" s="15"/>
    </row>
    <row r="28" spans="2:15" ht="17.25" thickTop="1" thickBot="1" x14ac:dyDescent="0.3">
      <c r="B28" s="32" t="s">
        <v>19</v>
      </c>
      <c r="C28" s="31" t="s">
        <v>3</v>
      </c>
      <c r="D28" s="30" t="s">
        <v>2</v>
      </c>
      <c r="E28" s="30" t="s">
        <v>16</v>
      </c>
      <c r="F28" s="22">
        <f>2+(2*0.025)</f>
        <v>2.0499999999999998</v>
      </c>
      <c r="G28" s="28">
        <v>8500000</v>
      </c>
      <c r="H28" s="28">
        <f>F28*G28</f>
        <v>17425000</v>
      </c>
      <c r="J28" s="9"/>
      <c r="L28" s="34" t="s">
        <v>18</v>
      </c>
      <c r="M28" s="33">
        <f>M23+M24+M26+M27</f>
        <v>61.284999999999989</v>
      </c>
      <c r="O28" s="15"/>
    </row>
    <row r="29" spans="2:15" ht="17.25" thickTop="1" thickBot="1" x14ac:dyDescent="0.3">
      <c r="B29" s="32" t="s">
        <v>17</v>
      </c>
      <c r="C29" s="31" t="s">
        <v>14</v>
      </c>
      <c r="D29" s="30" t="s">
        <v>2</v>
      </c>
      <c r="E29" s="30" t="s">
        <v>16</v>
      </c>
      <c r="F29" s="41">
        <f>2+(0.025*5)</f>
        <v>2.125</v>
      </c>
      <c r="G29" s="28">
        <v>8500000</v>
      </c>
      <c r="H29" s="28">
        <f>F29*G29</f>
        <v>18062500</v>
      </c>
      <c r="J29" s="9"/>
      <c r="L29" s="40" t="s">
        <v>1</v>
      </c>
      <c r="M29" s="39" t="s">
        <v>15</v>
      </c>
      <c r="O29" s="15"/>
    </row>
    <row r="30" spans="2:15" ht="17.25" thickTop="1" thickBot="1" x14ac:dyDescent="0.3">
      <c r="B30" s="32" t="s">
        <v>11</v>
      </c>
      <c r="C30" s="31" t="s">
        <v>3</v>
      </c>
      <c r="D30" s="30" t="s">
        <v>2</v>
      </c>
      <c r="E30" s="30" t="s">
        <v>1</v>
      </c>
      <c r="F30" s="29">
        <v>4</v>
      </c>
      <c r="G30" s="28">
        <v>13500000</v>
      </c>
      <c r="H30" s="28">
        <f>F30*G30</f>
        <v>54000000</v>
      </c>
      <c r="J30" s="9"/>
      <c r="L30" s="38" t="s">
        <v>14</v>
      </c>
      <c r="M30" s="36"/>
      <c r="O30" s="15"/>
    </row>
    <row r="31" spans="2:15" ht="17.25" thickTop="1" thickBot="1" x14ac:dyDescent="0.3">
      <c r="B31" s="32" t="s">
        <v>11</v>
      </c>
      <c r="C31" s="31" t="s">
        <v>3</v>
      </c>
      <c r="D31" s="30" t="s">
        <v>2</v>
      </c>
      <c r="E31" s="30" t="s">
        <v>1</v>
      </c>
      <c r="F31" s="29">
        <v>4</v>
      </c>
      <c r="G31" s="28">
        <v>13500000</v>
      </c>
      <c r="H31" s="28">
        <f>F31*G31</f>
        <v>54000000</v>
      </c>
      <c r="J31" s="9"/>
      <c r="L31" s="1" t="s">
        <v>2</v>
      </c>
      <c r="M31" s="35">
        <f>SUMIFS($F$5:$F$39,$E$5:$E$39,$L$29,$D$5:$D$39,$L$31,$C$5:$C$39,L30)</f>
        <v>0</v>
      </c>
      <c r="O31" s="15"/>
    </row>
    <row r="32" spans="2:15" ht="17.25" thickTop="1" thickBot="1" x14ac:dyDescent="0.3">
      <c r="B32" s="32" t="s">
        <v>13</v>
      </c>
      <c r="C32" s="31" t="s">
        <v>3</v>
      </c>
      <c r="D32" s="30" t="s">
        <v>2</v>
      </c>
      <c r="E32" s="30" t="s">
        <v>1</v>
      </c>
      <c r="F32" s="29">
        <v>0.15</v>
      </c>
      <c r="G32" s="28">
        <v>15000000</v>
      </c>
      <c r="H32" s="28">
        <f>F32*G32</f>
        <v>2250000</v>
      </c>
      <c r="J32" s="9"/>
      <c r="L32" s="1" t="s">
        <v>10</v>
      </c>
      <c r="M32" s="35">
        <f>SUMIFS($F$5:$F$39,$E$5:$E$39,$L$29,$D$5:$D$39,$L$31,$C$5:$C$39,L31)</f>
        <v>0</v>
      </c>
      <c r="O32" s="15"/>
    </row>
    <row r="33" spans="2:15" ht="17.25" thickTop="1" thickBot="1" x14ac:dyDescent="0.3">
      <c r="B33" s="32" t="s">
        <v>12</v>
      </c>
      <c r="C33" s="31" t="s">
        <v>3</v>
      </c>
      <c r="D33" s="30" t="s">
        <v>2</v>
      </c>
      <c r="E33" s="30" t="s">
        <v>1</v>
      </c>
      <c r="F33" s="29">
        <v>0.15</v>
      </c>
      <c r="G33" s="28">
        <v>15000000</v>
      </c>
      <c r="H33" s="28">
        <f>F33*G33</f>
        <v>2250000</v>
      </c>
      <c r="J33" s="9"/>
      <c r="L33" s="37" t="s">
        <v>3</v>
      </c>
      <c r="M33" s="36"/>
      <c r="O33" s="15"/>
    </row>
    <row r="34" spans="2:15" ht="17.25" thickTop="1" thickBot="1" x14ac:dyDescent="0.3">
      <c r="B34" s="32" t="s">
        <v>11</v>
      </c>
      <c r="C34" s="31" t="s">
        <v>3</v>
      </c>
      <c r="D34" s="30" t="s">
        <v>2</v>
      </c>
      <c r="E34" s="30" t="s">
        <v>1</v>
      </c>
      <c r="F34" s="29">
        <v>4.07</v>
      </c>
      <c r="G34" s="28">
        <v>13500000</v>
      </c>
      <c r="H34" s="28">
        <f>F34*G34</f>
        <v>54945000.000000007</v>
      </c>
      <c r="J34" s="9"/>
      <c r="L34" s="1" t="s">
        <v>2</v>
      </c>
      <c r="M34" s="35">
        <f>SUMIFS($F$5:$F$39,$E$5:$E$39,$L$29,$D$5:$D$39,$L$34,$C$5:$C$39,L33)</f>
        <v>22.44</v>
      </c>
      <c r="O34" s="15"/>
    </row>
    <row r="35" spans="2:15" ht="17.25" thickTop="1" thickBot="1" x14ac:dyDescent="0.3">
      <c r="B35" s="32" t="s">
        <v>11</v>
      </c>
      <c r="C35" s="31" t="s">
        <v>3</v>
      </c>
      <c r="D35" s="30" t="s">
        <v>2</v>
      </c>
      <c r="E35" s="30" t="s">
        <v>1</v>
      </c>
      <c r="F35" s="29">
        <v>4.07</v>
      </c>
      <c r="G35" s="28">
        <v>13500000</v>
      </c>
      <c r="H35" s="28">
        <f>F35*G35</f>
        <v>54945000.000000007</v>
      </c>
      <c r="J35" s="9"/>
      <c r="L35" s="1" t="s">
        <v>10</v>
      </c>
      <c r="M35" s="35">
        <f>SUMIFS($F$5:$F$39,$E$5:$E$39,$L$29,$D$5:$D$39,$L$34,$C$5:$C$39,L34)</f>
        <v>0</v>
      </c>
      <c r="O35" s="15"/>
    </row>
    <row r="36" spans="2:15" ht="17.25" thickTop="1" thickBot="1" x14ac:dyDescent="0.3">
      <c r="B36" s="32" t="s">
        <v>9</v>
      </c>
      <c r="C36" s="31" t="s">
        <v>3</v>
      </c>
      <c r="D36" s="30" t="s">
        <v>2</v>
      </c>
      <c r="E36" s="30" t="s">
        <v>1</v>
      </c>
      <c r="F36" s="29">
        <v>1.5</v>
      </c>
      <c r="G36" s="28">
        <v>14500000</v>
      </c>
      <c r="H36" s="28">
        <f>F36*G36</f>
        <v>21750000</v>
      </c>
      <c r="J36" s="9"/>
      <c r="L36" s="34" t="s">
        <v>8</v>
      </c>
      <c r="M36" s="33">
        <f>M34+M35</f>
        <v>22.44</v>
      </c>
      <c r="O36" s="15"/>
    </row>
    <row r="37" spans="2:15" ht="17.25" thickTop="1" thickBot="1" x14ac:dyDescent="0.3">
      <c r="B37" s="32" t="s">
        <v>7</v>
      </c>
      <c r="C37" s="31" t="s">
        <v>3</v>
      </c>
      <c r="D37" s="30" t="s">
        <v>2</v>
      </c>
      <c r="E37" s="30" t="s">
        <v>1</v>
      </c>
      <c r="F37" s="29">
        <v>1.5</v>
      </c>
      <c r="G37" s="28">
        <v>14500000</v>
      </c>
      <c r="H37" s="28">
        <f>F37*G37</f>
        <v>21750000</v>
      </c>
      <c r="J37" s="9"/>
      <c r="O37" s="15"/>
    </row>
    <row r="38" spans="2:15" ht="17.25" thickTop="1" thickBot="1" x14ac:dyDescent="0.3">
      <c r="B38" s="32" t="s">
        <v>6</v>
      </c>
      <c r="C38" s="31" t="s">
        <v>3</v>
      </c>
      <c r="D38" s="30" t="s">
        <v>2</v>
      </c>
      <c r="E38" s="30" t="s">
        <v>1</v>
      </c>
      <c r="F38" s="29">
        <v>1.5</v>
      </c>
      <c r="G38" s="28">
        <v>14500000</v>
      </c>
      <c r="H38" s="28">
        <f>F38*G38</f>
        <v>21750000</v>
      </c>
      <c r="J38" s="9"/>
      <c r="L38" s="27" t="s">
        <v>5</v>
      </c>
      <c r="M38" s="26">
        <f>M28+M36</f>
        <v>83.724999999999994</v>
      </c>
      <c r="O38" s="15"/>
    </row>
    <row r="39" spans="2:15" ht="17.25" thickTop="1" thickBot="1" x14ac:dyDescent="0.3">
      <c r="B39" s="25" t="s">
        <v>4</v>
      </c>
      <c r="C39" s="24" t="s">
        <v>3</v>
      </c>
      <c r="D39" s="23" t="s">
        <v>2</v>
      </c>
      <c r="E39" s="23" t="s">
        <v>1</v>
      </c>
      <c r="F39" s="22">
        <v>1.5</v>
      </c>
      <c r="G39" s="21">
        <v>14500000</v>
      </c>
      <c r="H39" s="21">
        <f>F39*G39</f>
        <v>21750000</v>
      </c>
      <c r="J39" s="9"/>
      <c r="O39" s="15"/>
    </row>
    <row r="40" spans="2:15" ht="16.5" thickBot="1" x14ac:dyDescent="0.3">
      <c r="B40" s="20" t="s">
        <v>0</v>
      </c>
      <c r="C40" s="20"/>
      <c r="D40" s="20"/>
      <c r="E40" s="18"/>
      <c r="F40" s="19">
        <f>SUM(F5:F39)</f>
        <v>83.724999999999994</v>
      </c>
      <c r="G40" s="18"/>
      <c r="H40" s="17">
        <f>SUM(H5:H39)</f>
        <v>818530000</v>
      </c>
      <c r="J40" s="9"/>
      <c r="L40" s="15"/>
      <c r="M40" s="16"/>
      <c r="N40" s="15"/>
      <c r="O40" s="15"/>
    </row>
    <row r="41" spans="2:15" x14ac:dyDescent="0.25">
      <c r="B41" s="14"/>
      <c r="C41" s="14"/>
      <c r="D41" s="14"/>
      <c r="E41" s="14"/>
      <c r="F41" s="13"/>
      <c r="G41" s="13"/>
      <c r="H41" s="13"/>
      <c r="J41" s="9"/>
      <c r="L41" s="7"/>
    </row>
    <row r="42" spans="2:15" x14ac:dyDescent="0.25">
      <c r="B42" s="12"/>
      <c r="C42" s="9"/>
      <c r="D42" s="11"/>
      <c r="E42" s="11"/>
      <c r="F42" s="10"/>
      <c r="G42" s="10"/>
      <c r="H42" s="10"/>
      <c r="I42" s="9"/>
      <c r="J42" s="9"/>
    </row>
    <row r="44" spans="2:15" x14ac:dyDescent="0.25">
      <c r="F44" s="8">
        <f>SUM(F7:F9,F15:F23,F28,F30:F38,F39)</f>
        <v>54.934999999999988</v>
      </c>
      <c r="H44" s="6">
        <f>SUM(H7:H9,H15:H23,H28,H30:H38,H39)</f>
        <v>578012500</v>
      </c>
      <c r="L44" s="7"/>
    </row>
    <row r="45" spans="2:15" x14ac:dyDescent="0.25">
      <c r="H45" s="6">
        <f>H44/F44</f>
        <v>10521752.980795488</v>
      </c>
    </row>
  </sheetData>
  <autoFilter ref="B4:F40" xr:uid="{00000000-0009-0000-0000-000003000000}"/>
  <mergeCells count="4">
    <mergeCell ref="B40:D40"/>
    <mergeCell ref="L5:M5"/>
    <mergeCell ref="B2:M2"/>
    <mergeCell ref="L20:M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37B1-EFFF-41C2-A2FA-3366B8AA89DB}">
  <sheetPr>
    <tabColor theme="9" tint="-0.249977111117893"/>
  </sheetPr>
  <dimension ref="C2:I34"/>
  <sheetViews>
    <sheetView workbookViewId="0">
      <selection activeCell="B40" sqref="B40:H40"/>
    </sheetView>
  </sheetViews>
  <sheetFormatPr defaultRowHeight="15" x14ac:dyDescent="0.25"/>
  <cols>
    <col min="3" max="3" width="11.7109375" bestFit="1" customWidth="1"/>
    <col min="4" max="4" width="24" bestFit="1" customWidth="1"/>
    <col min="5" max="5" width="14.7109375" bestFit="1" customWidth="1"/>
    <col min="6" max="6" width="11.140625" bestFit="1" customWidth="1"/>
    <col min="7" max="7" width="15.140625" bestFit="1" customWidth="1"/>
    <col min="8" max="8" width="21.42578125" bestFit="1" customWidth="1"/>
  </cols>
  <sheetData>
    <row r="2" spans="3:9" ht="15.75" thickBot="1" x14ac:dyDescent="0.3"/>
    <row r="3" spans="3:9" s="60" customFormat="1" ht="31.15" customHeight="1" thickTop="1" thickBot="1" x14ac:dyDescent="0.3">
      <c r="C3" s="98" t="s">
        <v>60</v>
      </c>
      <c r="D3" s="97"/>
      <c r="E3" s="97"/>
      <c r="F3" s="97"/>
      <c r="G3" s="97"/>
      <c r="H3" s="96"/>
      <c r="I3" s="95"/>
    </row>
    <row r="4" spans="3:9" ht="17.25" thickTop="1" thickBot="1" x14ac:dyDescent="0.3">
      <c r="C4" s="94" t="s">
        <v>59</v>
      </c>
      <c r="D4" s="94"/>
      <c r="E4" s="94"/>
      <c r="F4" s="94"/>
      <c r="G4" s="94"/>
      <c r="H4" s="94"/>
    </row>
    <row r="5" spans="3:9" s="89" customFormat="1" ht="16.5" thickTop="1" thickBot="1" x14ac:dyDescent="0.3">
      <c r="C5" s="93" t="s">
        <v>53</v>
      </c>
      <c r="D5" s="92" t="s">
        <v>51</v>
      </c>
      <c r="E5" s="92" t="s">
        <v>50</v>
      </c>
      <c r="F5" s="91" t="s">
        <v>49</v>
      </c>
      <c r="G5" s="90" t="s">
        <v>48</v>
      </c>
      <c r="H5" s="90" t="s">
        <v>47</v>
      </c>
    </row>
    <row r="6" spans="3:9" ht="16.5" thickTop="1" thickBot="1" x14ac:dyDescent="0.3">
      <c r="C6" s="85" t="s">
        <v>41</v>
      </c>
      <c r="D6" s="84" t="s">
        <v>2</v>
      </c>
      <c r="E6" s="84" t="s">
        <v>16</v>
      </c>
      <c r="F6" s="83">
        <v>3.34</v>
      </c>
      <c r="G6" s="82">
        <v>8000000</v>
      </c>
      <c r="H6" s="82">
        <v>26720000</v>
      </c>
    </row>
    <row r="7" spans="3:9" ht="16.5" thickTop="1" thickBot="1" x14ac:dyDescent="0.3">
      <c r="C7" s="85" t="s">
        <v>40</v>
      </c>
      <c r="D7" s="84" t="s">
        <v>2</v>
      </c>
      <c r="E7" s="84" t="s">
        <v>16</v>
      </c>
      <c r="F7" s="83">
        <v>1.35</v>
      </c>
      <c r="G7" s="82">
        <v>9000000</v>
      </c>
      <c r="H7" s="82">
        <v>12150000</v>
      </c>
    </row>
    <row r="8" spans="3:9" ht="16.5" thickTop="1" thickBot="1" x14ac:dyDescent="0.3">
      <c r="C8" s="85" t="s">
        <v>39</v>
      </c>
      <c r="D8" s="84" t="s">
        <v>2</v>
      </c>
      <c r="E8" s="84" t="s">
        <v>16</v>
      </c>
      <c r="F8" s="83">
        <v>4.0999999999999996</v>
      </c>
      <c r="G8" s="82">
        <v>8000000</v>
      </c>
      <c r="H8" s="82">
        <v>32799999.999999996</v>
      </c>
    </row>
    <row r="9" spans="3:9" ht="16.5" thickTop="1" thickBot="1" x14ac:dyDescent="0.3">
      <c r="C9" s="85" t="s">
        <v>32</v>
      </c>
      <c r="D9" s="84" t="s">
        <v>2</v>
      </c>
      <c r="E9" s="84" t="s">
        <v>16</v>
      </c>
      <c r="F9" s="83">
        <v>2.4750000000000001</v>
      </c>
      <c r="G9" s="82">
        <v>8500000</v>
      </c>
      <c r="H9" s="82">
        <v>21037500</v>
      </c>
    </row>
    <row r="10" spans="3:9" ht="16.5" thickTop="1" thickBot="1" x14ac:dyDescent="0.3">
      <c r="C10" s="85" t="s">
        <v>30</v>
      </c>
      <c r="D10" s="84" t="s">
        <v>2</v>
      </c>
      <c r="E10" s="84" t="s">
        <v>16</v>
      </c>
      <c r="F10" s="83">
        <v>2</v>
      </c>
      <c r="G10" s="82">
        <v>8500000</v>
      </c>
      <c r="H10" s="82">
        <v>17000000</v>
      </c>
    </row>
    <row r="11" spans="3:9" ht="16.5" thickTop="1" thickBot="1" x14ac:dyDescent="0.3">
      <c r="C11" s="85" t="s">
        <v>30</v>
      </c>
      <c r="D11" s="84" t="s">
        <v>2</v>
      </c>
      <c r="E11" s="84" t="s">
        <v>16</v>
      </c>
      <c r="F11" s="83">
        <v>3</v>
      </c>
      <c r="G11" s="82">
        <v>8000000</v>
      </c>
      <c r="H11" s="82">
        <v>24000000</v>
      </c>
    </row>
    <row r="12" spans="3:9" ht="16.5" thickTop="1" thickBot="1" x14ac:dyDescent="0.3">
      <c r="C12" s="88" t="s">
        <v>30</v>
      </c>
      <c r="D12" s="84" t="s">
        <v>2</v>
      </c>
      <c r="E12" s="84" t="s">
        <v>16</v>
      </c>
      <c r="F12" s="83">
        <v>3</v>
      </c>
      <c r="G12" s="82">
        <v>8000000</v>
      </c>
      <c r="H12" s="82">
        <v>24000000</v>
      </c>
    </row>
    <row r="13" spans="3:9" ht="16.5" thickTop="1" thickBot="1" x14ac:dyDescent="0.3">
      <c r="C13" s="85" t="s">
        <v>29</v>
      </c>
      <c r="D13" s="84" t="s">
        <v>2</v>
      </c>
      <c r="E13" s="84" t="s">
        <v>16</v>
      </c>
      <c r="F13" s="83">
        <v>3.08</v>
      </c>
      <c r="G13" s="82">
        <v>8000000</v>
      </c>
      <c r="H13" s="82">
        <v>24640000</v>
      </c>
    </row>
    <row r="14" spans="3:9" ht="16.5" thickTop="1" thickBot="1" x14ac:dyDescent="0.3">
      <c r="C14" s="85" t="s">
        <v>28</v>
      </c>
      <c r="D14" s="84" t="s">
        <v>2</v>
      </c>
      <c r="E14" s="84" t="s">
        <v>16</v>
      </c>
      <c r="F14" s="79">
        <v>2.0249999999999999</v>
      </c>
      <c r="G14" s="82">
        <v>8500000</v>
      </c>
      <c r="H14" s="82">
        <v>17212500</v>
      </c>
    </row>
    <row r="15" spans="3:9" ht="16.5" thickTop="1" thickBot="1" x14ac:dyDescent="0.3">
      <c r="C15" s="85" t="s">
        <v>26</v>
      </c>
      <c r="D15" s="84" t="s">
        <v>2</v>
      </c>
      <c r="E15" s="84" t="s">
        <v>16</v>
      </c>
      <c r="F15" s="79">
        <v>2.0249999999999999</v>
      </c>
      <c r="G15" s="82">
        <v>8500000</v>
      </c>
      <c r="H15" s="82">
        <v>17212500</v>
      </c>
    </row>
    <row r="16" spans="3:9" ht="16.5" thickTop="1" thickBot="1" x14ac:dyDescent="0.3">
      <c r="C16" s="87" t="s">
        <v>25</v>
      </c>
      <c r="D16" s="84" t="s">
        <v>2</v>
      </c>
      <c r="E16" s="84" t="s">
        <v>16</v>
      </c>
      <c r="F16" s="79">
        <v>2.0249999999999999</v>
      </c>
      <c r="G16" s="82">
        <v>8500000</v>
      </c>
      <c r="H16" s="82">
        <v>17212500</v>
      </c>
    </row>
    <row r="17" spans="3:8" ht="16.5" thickTop="1" thickBot="1" x14ac:dyDescent="0.3">
      <c r="C17" s="87" t="s">
        <v>24</v>
      </c>
      <c r="D17" s="84" t="s">
        <v>2</v>
      </c>
      <c r="E17" s="84" t="s">
        <v>16</v>
      </c>
      <c r="F17" s="79">
        <v>2.0249999999999999</v>
      </c>
      <c r="G17" s="82">
        <v>8500000</v>
      </c>
      <c r="H17" s="82">
        <v>17212500</v>
      </c>
    </row>
    <row r="18" spans="3:8" ht="16.5" thickTop="1" thickBot="1" x14ac:dyDescent="0.3">
      <c r="C18" s="85" t="s">
        <v>19</v>
      </c>
      <c r="D18" s="84" t="s">
        <v>2</v>
      </c>
      <c r="E18" s="84" t="s">
        <v>16</v>
      </c>
      <c r="F18" s="79">
        <v>2.0499999999999998</v>
      </c>
      <c r="G18" s="82">
        <v>8500000</v>
      </c>
      <c r="H18" s="82">
        <v>17425000</v>
      </c>
    </row>
    <row r="19" spans="3:8" ht="16.5" thickTop="1" thickBot="1" x14ac:dyDescent="0.3">
      <c r="C19" s="77" t="s">
        <v>58</v>
      </c>
      <c r="D19" s="76"/>
      <c r="E19" s="75"/>
      <c r="F19" s="86">
        <f>SUM(F6:F18)</f>
        <v>32.49499999999999</v>
      </c>
      <c r="G19" s="73"/>
      <c r="H19" s="73">
        <f>SUM(H6:H18)</f>
        <v>268622500</v>
      </c>
    </row>
    <row r="20" spans="3:8" ht="16.5" thickTop="1" thickBot="1" x14ac:dyDescent="0.3">
      <c r="C20" s="85" t="s">
        <v>11</v>
      </c>
      <c r="D20" s="84" t="s">
        <v>2</v>
      </c>
      <c r="E20" s="84" t="s">
        <v>1</v>
      </c>
      <c r="F20" s="83">
        <v>4</v>
      </c>
      <c r="G20" s="82">
        <v>13500000</v>
      </c>
      <c r="H20" s="82">
        <v>54000000</v>
      </c>
    </row>
    <row r="21" spans="3:8" ht="16.5" thickTop="1" thickBot="1" x14ac:dyDescent="0.3">
      <c r="C21" s="85" t="s">
        <v>11</v>
      </c>
      <c r="D21" s="84" t="s">
        <v>2</v>
      </c>
      <c r="E21" s="84" t="s">
        <v>1</v>
      </c>
      <c r="F21" s="83">
        <v>4</v>
      </c>
      <c r="G21" s="82">
        <v>13500000</v>
      </c>
      <c r="H21" s="82">
        <v>54000000</v>
      </c>
    </row>
    <row r="22" spans="3:8" ht="16.5" thickTop="1" thickBot="1" x14ac:dyDescent="0.3">
      <c r="C22" s="85" t="s">
        <v>13</v>
      </c>
      <c r="D22" s="84" t="s">
        <v>2</v>
      </c>
      <c r="E22" s="84" t="s">
        <v>1</v>
      </c>
      <c r="F22" s="83">
        <v>0.15</v>
      </c>
      <c r="G22" s="82">
        <v>15000000</v>
      </c>
      <c r="H22" s="82">
        <v>2250000</v>
      </c>
    </row>
    <row r="23" spans="3:8" ht="16.5" thickTop="1" thickBot="1" x14ac:dyDescent="0.3">
      <c r="C23" s="85" t="s">
        <v>12</v>
      </c>
      <c r="D23" s="84" t="s">
        <v>2</v>
      </c>
      <c r="E23" s="84" t="s">
        <v>1</v>
      </c>
      <c r="F23" s="83">
        <v>0.15</v>
      </c>
      <c r="G23" s="82">
        <v>15000000</v>
      </c>
      <c r="H23" s="82">
        <v>2250000</v>
      </c>
    </row>
    <row r="24" spans="3:8" ht="16.5" thickTop="1" thickBot="1" x14ac:dyDescent="0.3">
      <c r="C24" s="85" t="s">
        <v>11</v>
      </c>
      <c r="D24" s="84" t="s">
        <v>2</v>
      </c>
      <c r="E24" s="84" t="s">
        <v>1</v>
      </c>
      <c r="F24" s="83">
        <v>4.07</v>
      </c>
      <c r="G24" s="82">
        <v>13500000</v>
      </c>
      <c r="H24" s="82">
        <v>54945000.000000007</v>
      </c>
    </row>
    <row r="25" spans="3:8" ht="16.5" thickTop="1" thickBot="1" x14ac:dyDescent="0.3">
      <c r="C25" s="85" t="s">
        <v>11</v>
      </c>
      <c r="D25" s="84" t="s">
        <v>2</v>
      </c>
      <c r="E25" s="84" t="s">
        <v>1</v>
      </c>
      <c r="F25" s="83">
        <v>4.07</v>
      </c>
      <c r="G25" s="82">
        <v>13500000</v>
      </c>
      <c r="H25" s="82">
        <v>54945000.000000007</v>
      </c>
    </row>
    <row r="26" spans="3:8" ht="16.5" thickTop="1" thickBot="1" x14ac:dyDescent="0.3">
      <c r="C26" s="85" t="s">
        <v>9</v>
      </c>
      <c r="D26" s="84" t="s">
        <v>2</v>
      </c>
      <c r="E26" s="84" t="s">
        <v>1</v>
      </c>
      <c r="F26" s="83">
        <v>1.5</v>
      </c>
      <c r="G26" s="82">
        <v>14500000</v>
      </c>
      <c r="H26" s="82">
        <v>21750000</v>
      </c>
    </row>
    <row r="27" spans="3:8" ht="16.5" thickTop="1" thickBot="1" x14ac:dyDescent="0.3">
      <c r="C27" s="85" t="s">
        <v>7</v>
      </c>
      <c r="D27" s="84" t="s">
        <v>2</v>
      </c>
      <c r="E27" s="84" t="s">
        <v>1</v>
      </c>
      <c r="F27" s="83">
        <v>1.5</v>
      </c>
      <c r="G27" s="82">
        <v>14500000</v>
      </c>
      <c r="H27" s="82">
        <v>21750000</v>
      </c>
    </row>
    <row r="28" spans="3:8" ht="16.5" thickTop="1" thickBot="1" x14ac:dyDescent="0.3">
      <c r="C28" s="85" t="s">
        <v>6</v>
      </c>
      <c r="D28" s="84" t="s">
        <v>2</v>
      </c>
      <c r="E28" s="84" t="s">
        <v>1</v>
      </c>
      <c r="F28" s="83">
        <v>1.5</v>
      </c>
      <c r="G28" s="82">
        <v>14500000</v>
      </c>
      <c r="H28" s="82">
        <v>21750000</v>
      </c>
    </row>
    <row r="29" spans="3:8" ht="16.5" thickTop="1" thickBot="1" x14ac:dyDescent="0.3">
      <c r="C29" s="81" t="s">
        <v>4</v>
      </c>
      <c r="D29" s="80" t="s">
        <v>2</v>
      </c>
      <c r="E29" s="80" t="s">
        <v>1</v>
      </c>
      <c r="F29" s="79">
        <v>1.5</v>
      </c>
      <c r="G29" s="78">
        <v>14500000</v>
      </c>
      <c r="H29" s="78">
        <v>21750000</v>
      </c>
    </row>
    <row r="30" spans="3:8" ht="16.5" thickTop="1" thickBot="1" x14ac:dyDescent="0.3">
      <c r="C30" s="77" t="s">
        <v>57</v>
      </c>
      <c r="D30" s="76"/>
      <c r="E30" s="75"/>
      <c r="F30" s="74">
        <f>SUM(F20:F29)</f>
        <v>22.44</v>
      </c>
      <c r="G30" s="73"/>
      <c r="H30" s="73">
        <f>SUM(H20:H29)</f>
        <v>309390000</v>
      </c>
    </row>
    <row r="31" spans="3:8" ht="16.5" thickTop="1" thickBot="1" x14ac:dyDescent="0.3">
      <c r="C31" s="72"/>
      <c r="D31" s="71"/>
      <c r="E31" s="71"/>
      <c r="F31" s="70"/>
      <c r="G31" s="69"/>
      <c r="H31" s="69"/>
    </row>
    <row r="32" spans="3:8" ht="15.75" thickBot="1" x14ac:dyDescent="0.3">
      <c r="C32" s="68" t="s">
        <v>56</v>
      </c>
      <c r="D32" s="68"/>
      <c r="E32" s="68"/>
      <c r="F32" s="67">
        <f>F19+F30</f>
        <v>54.934999999999988</v>
      </c>
      <c r="G32" s="66"/>
      <c r="H32" s="65">
        <f>H19+H30</f>
        <v>578012500</v>
      </c>
    </row>
    <row r="33" spans="3:8" s="60" customFormat="1" ht="15.75" thickBot="1" x14ac:dyDescent="0.3">
      <c r="C33" s="64"/>
      <c r="D33" s="64"/>
      <c r="E33" s="64"/>
      <c r="F33" s="63"/>
      <c r="G33" s="62"/>
      <c r="H33" s="61"/>
    </row>
    <row r="34" spans="3:8" ht="44.45" customHeight="1" thickBot="1" x14ac:dyDescent="0.3">
      <c r="C34" s="59" t="s">
        <v>55</v>
      </c>
      <c r="D34" s="58"/>
      <c r="E34" s="58"/>
      <c r="F34" s="58"/>
      <c r="G34" s="58"/>
      <c r="H34" s="57"/>
    </row>
  </sheetData>
  <autoFilter ref="B5:O5" xr:uid="{00000000-0009-0000-0000-000004000000}"/>
  <mergeCells count="6">
    <mergeCell ref="C32:E32"/>
    <mergeCell ref="C4:H4"/>
    <mergeCell ref="C34:H34"/>
    <mergeCell ref="C3:H3"/>
    <mergeCell ref="C19:E19"/>
    <mergeCell ref="C30:E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5E36-C3DD-4B0D-BA8E-C47C1F3341E0}">
  <sheetPr>
    <tabColor theme="9" tint="-0.249977111117893"/>
  </sheetPr>
  <dimension ref="B2:G48"/>
  <sheetViews>
    <sheetView topLeftCell="A39" workbookViewId="0">
      <selection activeCell="B40" sqref="B40:H40"/>
    </sheetView>
  </sheetViews>
  <sheetFormatPr defaultColWidth="8.85546875" defaultRowHeight="15" x14ac:dyDescent="0.25"/>
  <cols>
    <col min="1" max="1" width="2" style="60" customWidth="1"/>
    <col min="2" max="2" width="9.140625" style="102" customWidth="1"/>
    <col min="3" max="3" width="12.7109375" style="101" bestFit="1" customWidth="1"/>
    <col min="4" max="4" width="13.28515625" style="100" bestFit="1" customWidth="1"/>
    <col min="5" max="5" width="20.140625" style="60" bestFit="1" customWidth="1"/>
    <col min="6" max="6" width="9.5703125" style="99" bestFit="1" customWidth="1"/>
    <col min="7" max="16384" width="8.85546875" style="60"/>
  </cols>
  <sheetData>
    <row r="2" spans="2:6" ht="18.75" x14ac:dyDescent="0.25">
      <c r="B2" s="143" t="s">
        <v>66</v>
      </c>
      <c r="C2" s="143"/>
      <c r="D2" s="143"/>
      <c r="E2" s="143"/>
      <c r="F2" s="143"/>
    </row>
    <row r="3" spans="2:6" ht="15.75" thickBot="1" x14ac:dyDescent="0.3"/>
    <row r="4" spans="2:6" ht="16.5" thickTop="1" thickBot="1" x14ac:dyDescent="0.3">
      <c r="B4" s="142" t="s">
        <v>65</v>
      </c>
      <c r="C4" s="141" t="s">
        <v>53</v>
      </c>
      <c r="D4" s="140" t="s">
        <v>49</v>
      </c>
      <c r="E4" s="139" t="s">
        <v>64</v>
      </c>
      <c r="F4" s="138" t="s">
        <v>63</v>
      </c>
    </row>
    <row r="5" spans="2:6" ht="17.25" thickTop="1" thickBot="1" x14ac:dyDescent="0.3">
      <c r="B5" s="137">
        <v>1</v>
      </c>
      <c r="C5" s="133" t="s">
        <v>11</v>
      </c>
      <c r="D5" s="132">
        <v>4</v>
      </c>
      <c r="E5" s="131">
        <v>16.149999999999999</v>
      </c>
      <c r="F5" s="131">
        <f>E5-SUM(D5:D8)</f>
        <v>9.9999999999980105E-3</v>
      </c>
    </row>
    <row r="6" spans="2:6" ht="17.25" thickTop="1" thickBot="1" x14ac:dyDescent="0.3">
      <c r="B6" s="137">
        <v>2</v>
      </c>
      <c r="C6" s="133" t="s">
        <v>11</v>
      </c>
      <c r="D6" s="132">
        <v>4</v>
      </c>
      <c r="E6" s="131"/>
      <c r="F6" s="131"/>
    </row>
    <row r="7" spans="2:6" ht="17.25" thickTop="1" thickBot="1" x14ac:dyDescent="0.3">
      <c r="B7" s="137">
        <v>3</v>
      </c>
      <c r="C7" s="133" t="s">
        <v>11</v>
      </c>
      <c r="D7" s="132">
        <v>4.07</v>
      </c>
      <c r="E7" s="131"/>
      <c r="F7" s="131"/>
    </row>
    <row r="8" spans="2:6" ht="17.25" thickTop="1" thickBot="1" x14ac:dyDescent="0.3">
      <c r="B8" s="137">
        <v>4</v>
      </c>
      <c r="C8" s="133" t="s">
        <v>11</v>
      </c>
      <c r="D8" s="132">
        <v>4.07</v>
      </c>
      <c r="E8" s="131"/>
      <c r="F8" s="131"/>
    </row>
    <row r="9" spans="2:6" ht="17.25" thickTop="1" thickBot="1" x14ac:dyDescent="0.3">
      <c r="B9" s="137">
        <v>5</v>
      </c>
      <c r="C9" s="133" t="s">
        <v>13</v>
      </c>
      <c r="D9" s="132">
        <v>0.15</v>
      </c>
      <c r="E9" s="131">
        <v>2.31</v>
      </c>
      <c r="F9" s="131">
        <f>E9-SUM(D9:D12)</f>
        <v>-2.3400000000000003</v>
      </c>
    </row>
    <row r="10" spans="2:6" ht="17.25" thickTop="1" thickBot="1" x14ac:dyDescent="0.3">
      <c r="B10" s="137">
        <v>6</v>
      </c>
      <c r="C10" s="133" t="s">
        <v>9</v>
      </c>
      <c r="D10" s="132">
        <v>1.5</v>
      </c>
      <c r="E10" s="131"/>
      <c r="F10" s="131"/>
    </row>
    <row r="11" spans="2:6" ht="17.25" thickTop="1" thickBot="1" x14ac:dyDescent="0.3">
      <c r="B11" s="137">
        <v>7</v>
      </c>
      <c r="C11" s="133" t="s">
        <v>7</v>
      </c>
      <c r="D11" s="132">
        <v>1.5</v>
      </c>
      <c r="E11" s="131"/>
      <c r="F11" s="131"/>
    </row>
    <row r="12" spans="2:6" ht="17.25" thickTop="1" thickBot="1" x14ac:dyDescent="0.3">
      <c r="B12" s="137">
        <v>8</v>
      </c>
      <c r="C12" s="133" t="s">
        <v>6</v>
      </c>
      <c r="D12" s="132">
        <v>1.5</v>
      </c>
      <c r="E12" s="131"/>
      <c r="F12" s="131"/>
    </row>
    <row r="13" spans="2:6" ht="17.25" thickTop="1" thickBot="1" x14ac:dyDescent="0.3">
      <c r="B13" s="137">
        <v>9</v>
      </c>
      <c r="C13" s="133" t="s">
        <v>4</v>
      </c>
      <c r="D13" s="132">
        <v>1.5</v>
      </c>
      <c r="E13" s="131">
        <v>2.92</v>
      </c>
      <c r="F13" s="131">
        <f>E13-(D13+D14)</f>
        <v>1.27</v>
      </c>
    </row>
    <row r="14" spans="2:6" ht="17.25" thickTop="1" thickBot="1" x14ac:dyDescent="0.3">
      <c r="B14" s="137">
        <v>10</v>
      </c>
      <c r="C14" s="133" t="s">
        <v>12</v>
      </c>
      <c r="D14" s="132">
        <v>0.15</v>
      </c>
      <c r="E14" s="131"/>
      <c r="F14" s="131"/>
    </row>
    <row r="15" spans="2:6" ht="17.25" thickTop="1" thickBot="1" x14ac:dyDescent="0.3">
      <c r="B15" s="137">
        <v>11</v>
      </c>
      <c r="C15" s="133" t="s">
        <v>20</v>
      </c>
      <c r="D15" s="132">
        <v>3.2</v>
      </c>
      <c r="E15" s="132">
        <v>3.2</v>
      </c>
      <c r="F15" s="132">
        <f>E15-D15</f>
        <v>0</v>
      </c>
    </row>
    <row r="16" spans="2:6" ht="17.25" thickTop="1" thickBot="1" x14ac:dyDescent="0.3">
      <c r="B16" s="137">
        <v>12</v>
      </c>
      <c r="C16" s="133" t="s">
        <v>19</v>
      </c>
      <c r="D16" s="132">
        <v>2.0499999999999998</v>
      </c>
      <c r="E16" s="132">
        <v>2.02</v>
      </c>
      <c r="F16" s="132">
        <f>E16-D16</f>
        <v>-2.9999999999999805E-2</v>
      </c>
    </row>
    <row r="17" spans="2:6" ht="17.25" thickTop="1" thickBot="1" x14ac:dyDescent="0.3">
      <c r="B17" s="137">
        <v>13</v>
      </c>
      <c r="C17" s="133" t="s">
        <v>44</v>
      </c>
      <c r="D17" s="132">
        <v>1.9500000000000002</v>
      </c>
      <c r="E17" s="132">
        <v>1.38</v>
      </c>
      <c r="F17" s="132">
        <f>E17-D17</f>
        <v>-0.57000000000000028</v>
      </c>
    </row>
    <row r="18" spans="2:6" ht="17.25" thickTop="1" thickBot="1" x14ac:dyDescent="0.3">
      <c r="B18" s="137">
        <v>14</v>
      </c>
      <c r="C18" s="133" t="s">
        <v>17</v>
      </c>
      <c r="D18" s="132">
        <v>2.125</v>
      </c>
      <c r="E18" s="132">
        <v>2.0499999999999998</v>
      </c>
      <c r="F18" s="132">
        <f>E18-D18</f>
        <v>-7.5000000000000178E-2</v>
      </c>
    </row>
    <row r="19" spans="2:6" ht="17.25" thickTop="1" thickBot="1" x14ac:dyDescent="0.3">
      <c r="B19" s="137">
        <v>15</v>
      </c>
      <c r="C19" s="133" t="s">
        <v>41</v>
      </c>
      <c r="D19" s="132">
        <v>3.34</v>
      </c>
      <c r="E19" s="132">
        <v>3.34</v>
      </c>
      <c r="F19" s="132">
        <f>E19-D19</f>
        <v>0</v>
      </c>
    </row>
    <row r="20" spans="2:6" ht="17.25" thickTop="1" thickBot="1" x14ac:dyDescent="0.3">
      <c r="B20" s="137">
        <v>16</v>
      </c>
      <c r="C20" s="133" t="s">
        <v>40</v>
      </c>
      <c r="D20" s="132">
        <v>1.35</v>
      </c>
      <c r="E20" s="132">
        <v>1.35</v>
      </c>
      <c r="F20" s="132">
        <f>E20-D20</f>
        <v>0</v>
      </c>
    </row>
    <row r="21" spans="2:6" ht="17.25" thickTop="1" thickBot="1" x14ac:dyDescent="0.3">
      <c r="B21" s="137">
        <v>17</v>
      </c>
      <c r="C21" s="133" t="s">
        <v>39</v>
      </c>
      <c r="D21" s="132">
        <v>4.0999999999999996</v>
      </c>
      <c r="E21" s="132">
        <v>5</v>
      </c>
      <c r="F21" s="132">
        <f>E21-D21</f>
        <v>0.90000000000000036</v>
      </c>
    </row>
    <row r="22" spans="2:6" ht="17.25" thickTop="1" thickBot="1" x14ac:dyDescent="0.3">
      <c r="B22" s="137">
        <v>18</v>
      </c>
      <c r="C22" s="133" t="s">
        <v>38</v>
      </c>
      <c r="D22" s="132">
        <v>1.5249999999999999</v>
      </c>
      <c r="E22" s="131">
        <v>3.63</v>
      </c>
      <c r="F22" s="131">
        <f>E22-(D22+D23+D24)</f>
        <v>-0.9449999999999994</v>
      </c>
    </row>
    <row r="23" spans="2:6" ht="17.25" thickTop="1" thickBot="1" x14ac:dyDescent="0.3">
      <c r="B23" s="137">
        <v>19</v>
      </c>
      <c r="C23" s="133" t="s">
        <v>36</v>
      </c>
      <c r="D23" s="132">
        <v>1.5249999999999999</v>
      </c>
      <c r="E23" s="131"/>
      <c r="F23" s="131"/>
    </row>
    <row r="24" spans="2:6" ht="17.25" thickTop="1" thickBot="1" x14ac:dyDescent="0.3">
      <c r="B24" s="137">
        <v>20</v>
      </c>
      <c r="C24" s="133" t="s">
        <v>35</v>
      </c>
      <c r="D24" s="132">
        <v>1.5249999999999999</v>
      </c>
      <c r="E24" s="131"/>
      <c r="F24" s="131"/>
    </row>
    <row r="25" spans="2:6" ht="17.25" thickTop="1" thickBot="1" x14ac:dyDescent="0.3">
      <c r="B25" s="134">
        <v>21</v>
      </c>
      <c r="C25" s="133" t="s">
        <v>34</v>
      </c>
      <c r="D25" s="132">
        <v>0.97500000000000009</v>
      </c>
      <c r="E25" s="131">
        <v>3.39</v>
      </c>
      <c r="F25" s="130">
        <f>E25-(D26+D25)</f>
        <v>-0.97500000000000009</v>
      </c>
    </row>
    <row r="26" spans="2:6" ht="17.25" thickTop="1" thickBot="1" x14ac:dyDescent="0.3">
      <c r="B26" s="134">
        <v>22</v>
      </c>
      <c r="C26" s="133" t="s">
        <v>34</v>
      </c>
      <c r="D26" s="132">
        <v>3.39</v>
      </c>
      <c r="E26" s="131"/>
      <c r="F26" s="130"/>
    </row>
    <row r="27" spans="2:6" ht="17.25" thickTop="1" thickBot="1" x14ac:dyDescent="0.3">
      <c r="B27" s="134">
        <v>23</v>
      </c>
      <c r="C27" s="133" t="s">
        <v>32</v>
      </c>
      <c r="D27" s="132">
        <v>2.4750000000000001</v>
      </c>
      <c r="E27" s="132">
        <v>0.99</v>
      </c>
      <c r="F27" s="135">
        <f>E27-D27</f>
        <v>-1.4850000000000001</v>
      </c>
    </row>
    <row r="28" spans="2:6" ht="17.25" thickTop="1" thickBot="1" x14ac:dyDescent="0.3">
      <c r="B28" s="134">
        <v>24</v>
      </c>
      <c r="C28" s="133" t="s">
        <v>30</v>
      </c>
      <c r="D28" s="132">
        <v>2</v>
      </c>
      <c r="E28" s="131">
        <v>8</v>
      </c>
      <c r="F28" s="130">
        <f>E28-(D28+D29+D30)</f>
        <v>0</v>
      </c>
    </row>
    <row r="29" spans="2:6" ht="17.25" thickTop="1" thickBot="1" x14ac:dyDescent="0.3">
      <c r="B29" s="134">
        <v>25</v>
      </c>
      <c r="C29" s="133" t="s">
        <v>30</v>
      </c>
      <c r="D29" s="132">
        <v>3</v>
      </c>
      <c r="E29" s="131"/>
      <c r="F29" s="130"/>
    </row>
    <row r="30" spans="2:6" ht="17.25" thickTop="1" thickBot="1" x14ac:dyDescent="0.3">
      <c r="B30" s="134">
        <v>26</v>
      </c>
      <c r="C30" s="136" t="s">
        <v>30</v>
      </c>
      <c r="D30" s="132">
        <v>3</v>
      </c>
      <c r="E30" s="131"/>
      <c r="F30" s="130"/>
    </row>
    <row r="31" spans="2:6" ht="17.25" thickTop="1" thickBot="1" x14ac:dyDescent="0.3">
      <c r="B31" s="134">
        <v>27</v>
      </c>
      <c r="C31" s="133" t="s">
        <v>29</v>
      </c>
      <c r="D31" s="132">
        <v>3.08</v>
      </c>
      <c r="E31" s="132">
        <v>3.08</v>
      </c>
      <c r="F31" s="135">
        <f>E31-D31</f>
        <v>0</v>
      </c>
    </row>
    <row r="32" spans="2:6" ht="17.25" thickTop="1" thickBot="1" x14ac:dyDescent="0.3">
      <c r="B32" s="134">
        <v>28</v>
      </c>
      <c r="C32" s="133" t="s">
        <v>28</v>
      </c>
      <c r="D32" s="132">
        <v>2.0249999999999999</v>
      </c>
      <c r="E32" s="131">
        <v>7.52</v>
      </c>
      <c r="F32" s="130">
        <f>E32-(D32+D33+D34+D35)</f>
        <v>-0.58000000000000007</v>
      </c>
    </row>
    <row r="33" spans="2:7" ht="17.25" thickTop="1" thickBot="1" x14ac:dyDescent="0.3">
      <c r="B33" s="134">
        <v>29</v>
      </c>
      <c r="C33" s="133" t="s">
        <v>26</v>
      </c>
      <c r="D33" s="132">
        <v>2.0249999999999999</v>
      </c>
      <c r="E33" s="131"/>
      <c r="F33" s="130"/>
    </row>
    <row r="34" spans="2:7" ht="17.25" thickTop="1" thickBot="1" x14ac:dyDescent="0.3">
      <c r="B34" s="134">
        <v>30</v>
      </c>
      <c r="C34" s="133" t="s">
        <v>25</v>
      </c>
      <c r="D34" s="132">
        <v>2.0249999999999999</v>
      </c>
      <c r="E34" s="131"/>
      <c r="F34" s="130"/>
    </row>
    <row r="35" spans="2:7" ht="17.25" thickTop="1" thickBot="1" x14ac:dyDescent="0.3">
      <c r="B35" s="134">
        <v>31</v>
      </c>
      <c r="C35" s="133" t="s">
        <v>24</v>
      </c>
      <c r="D35" s="132">
        <v>2.0249999999999999</v>
      </c>
      <c r="E35" s="131"/>
      <c r="F35" s="130"/>
    </row>
    <row r="36" spans="2:7" ht="17.25" thickTop="1" thickBot="1" x14ac:dyDescent="0.3">
      <c r="B36" s="134">
        <v>32</v>
      </c>
      <c r="C36" s="136" t="s">
        <v>46</v>
      </c>
      <c r="D36" s="132">
        <v>2.3250000000000002</v>
      </c>
      <c r="E36" s="132">
        <v>2.13</v>
      </c>
      <c r="F36" s="135">
        <f>E36-D36</f>
        <v>-0.19500000000000028</v>
      </c>
    </row>
    <row r="37" spans="2:7" ht="17.25" thickTop="1" thickBot="1" x14ac:dyDescent="0.3">
      <c r="B37" s="134">
        <v>33</v>
      </c>
      <c r="C37" s="133" t="s">
        <v>23</v>
      </c>
      <c r="D37" s="132">
        <v>5.03</v>
      </c>
      <c r="E37" s="131">
        <v>9.68</v>
      </c>
      <c r="F37" s="130">
        <f>E37-(D37+D38+D39)</f>
        <v>-0.57000000000000028</v>
      </c>
    </row>
    <row r="38" spans="2:7" ht="17.25" thickTop="1" thickBot="1" x14ac:dyDescent="0.3">
      <c r="B38" s="134">
        <v>34</v>
      </c>
      <c r="C38" s="133" t="s">
        <v>22</v>
      </c>
      <c r="D38" s="132">
        <v>2.61</v>
      </c>
      <c r="E38" s="131"/>
      <c r="F38" s="130"/>
    </row>
    <row r="39" spans="2:7" ht="17.25" thickTop="1" thickBot="1" x14ac:dyDescent="0.3">
      <c r="B39" s="129">
        <v>35</v>
      </c>
      <c r="C39" s="128" t="s">
        <v>21</v>
      </c>
      <c r="D39" s="127">
        <v>2.61</v>
      </c>
      <c r="E39" s="126"/>
      <c r="F39" s="125"/>
    </row>
    <row r="40" spans="2:7" s="103" customFormat="1" ht="17.25" thickTop="1" thickBot="1" x14ac:dyDescent="0.3">
      <c r="B40" s="112" t="s">
        <v>62</v>
      </c>
      <c r="C40" s="111"/>
      <c r="D40" s="110">
        <f>SUM(D4:D39)</f>
        <v>83.725000000000023</v>
      </c>
      <c r="E40" s="109">
        <f>SUM(E4:E39)</f>
        <v>78.139999999999986</v>
      </c>
      <c r="F40" s="108">
        <f>SUM(F4:F39)</f>
        <v>-5.5850000000000026</v>
      </c>
    </row>
    <row r="41" spans="2:7" ht="17.25" thickTop="1" thickBot="1" x14ac:dyDescent="0.3">
      <c r="B41" s="124">
        <v>36</v>
      </c>
      <c r="C41" s="123">
        <v>102</v>
      </c>
      <c r="D41" s="122">
        <v>0</v>
      </c>
      <c r="E41" s="113">
        <v>5</v>
      </c>
      <c r="F41" s="113">
        <f>E41-D41</f>
        <v>5</v>
      </c>
    </row>
    <row r="42" spans="2:7" ht="17.25" thickTop="1" thickBot="1" x14ac:dyDescent="0.3">
      <c r="B42" s="121">
        <v>37</v>
      </c>
      <c r="C42" s="120">
        <v>1198</v>
      </c>
      <c r="D42" s="119">
        <v>0</v>
      </c>
      <c r="E42" s="118">
        <v>2</v>
      </c>
      <c r="F42" s="113">
        <f>E42-D42</f>
        <v>2</v>
      </c>
    </row>
    <row r="43" spans="2:7" ht="17.25" thickTop="1" thickBot="1" x14ac:dyDescent="0.3">
      <c r="B43" s="121">
        <v>38</v>
      </c>
      <c r="C43" s="120">
        <v>1203</v>
      </c>
      <c r="D43" s="119">
        <v>0</v>
      </c>
      <c r="E43" s="118">
        <v>4</v>
      </c>
      <c r="F43" s="113">
        <f>E43-D43</f>
        <v>4</v>
      </c>
    </row>
    <row r="44" spans="2:7" ht="17.25" thickTop="1" thickBot="1" x14ac:dyDescent="0.3">
      <c r="B44" s="117">
        <v>39</v>
      </c>
      <c r="C44" s="116">
        <v>1209</v>
      </c>
      <c r="D44" s="115">
        <v>0</v>
      </c>
      <c r="E44" s="114">
        <v>8</v>
      </c>
      <c r="F44" s="113">
        <f>E44-D44</f>
        <v>8</v>
      </c>
    </row>
    <row r="45" spans="2:7" ht="17.25" thickTop="1" thickBot="1" x14ac:dyDescent="0.3">
      <c r="B45" s="112" t="s">
        <v>62</v>
      </c>
      <c r="C45" s="111"/>
      <c r="D45" s="110">
        <f>SUM(D41:D44)</f>
        <v>0</v>
      </c>
      <c r="E45" s="109">
        <f>SUM(E41:E44)</f>
        <v>19</v>
      </c>
      <c r="F45" s="108">
        <f>SUM(F41:F44)</f>
        <v>19</v>
      </c>
    </row>
    <row r="46" spans="2:7" s="103" customFormat="1" ht="17.25" thickTop="1" thickBot="1" x14ac:dyDescent="0.3">
      <c r="B46" s="107"/>
      <c r="C46" s="106" t="s">
        <v>61</v>
      </c>
      <c r="D46" s="105">
        <f>D40+D45</f>
        <v>83.725000000000023</v>
      </c>
      <c r="E46" s="105">
        <f>E40+E45</f>
        <v>97.139999999999986</v>
      </c>
      <c r="F46" s="105">
        <f>F40+F45</f>
        <v>13.414999999999997</v>
      </c>
      <c r="G46" s="104"/>
    </row>
    <row r="48" spans="2:7" x14ac:dyDescent="0.25">
      <c r="F48" s="60"/>
    </row>
  </sheetData>
  <mergeCells count="19">
    <mergeCell ref="E5:E8"/>
    <mergeCell ref="E28:E30"/>
    <mergeCell ref="E32:E35"/>
    <mergeCell ref="F37:F39"/>
    <mergeCell ref="F32:F35"/>
    <mergeCell ref="F28:F30"/>
    <mergeCell ref="F22:F24"/>
    <mergeCell ref="F13:F14"/>
    <mergeCell ref="F9:F12"/>
    <mergeCell ref="E37:E39"/>
    <mergeCell ref="B45:C45"/>
    <mergeCell ref="B2:F2"/>
    <mergeCell ref="F5:F8"/>
    <mergeCell ref="E25:E26"/>
    <mergeCell ref="F25:F26"/>
    <mergeCell ref="B40:C40"/>
    <mergeCell ref="E22:E24"/>
    <mergeCell ref="E9:E12"/>
    <mergeCell ref="E13:E1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22277-535D-4FB9-A3EC-6DA07E0DF823}">
  <sheetPr>
    <tabColor theme="9" tint="-0.249977111117893"/>
  </sheetPr>
  <dimension ref="B2:O37"/>
  <sheetViews>
    <sheetView topLeftCell="A13" workbookViewId="0">
      <selection activeCell="B40" sqref="B40:H40"/>
    </sheetView>
  </sheetViews>
  <sheetFormatPr defaultColWidth="9.140625" defaultRowHeight="15" x14ac:dyDescent="0.25"/>
  <cols>
    <col min="1" max="1" width="2" style="60" customWidth="1"/>
    <col min="2" max="2" width="11" style="60" bestFit="1" customWidth="1"/>
    <col min="3" max="3" width="20.42578125" style="60" bestFit="1" customWidth="1"/>
    <col min="4" max="4" width="13" style="60" customWidth="1"/>
    <col min="5" max="5" width="11.42578125" style="95" customWidth="1"/>
    <col min="6" max="6" width="11.5703125" style="95" bestFit="1" customWidth="1"/>
    <col min="7" max="7" width="7.28515625" style="95" bestFit="1" customWidth="1"/>
    <col min="8" max="8" width="30.7109375" style="95" customWidth="1"/>
    <col min="9" max="9" width="21.85546875" style="95" customWidth="1"/>
    <col min="10" max="10" width="9.140625" style="95"/>
    <col min="11" max="16384" width="9.140625" style="60"/>
  </cols>
  <sheetData>
    <row r="2" spans="2:15" ht="23.25" x14ac:dyDescent="0.35">
      <c r="B2" s="172" t="s">
        <v>54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2:15" ht="15.75" thickBot="1" x14ac:dyDescent="0.3"/>
    <row r="4" spans="2:15" ht="16.5" thickTop="1" thickBot="1" x14ac:dyDescent="0.3">
      <c r="B4" s="170" t="s">
        <v>84</v>
      </c>
      <c r="C4" s="171" t="s">
        <v>83</v>
      </c>
    </row>
    <row r="5" spans="2:15" ht="16.5" thickTop="1" thickBot="1" x14ac:dyDescent="0.3">
      <c r="B5" s="170" t="s">
        <v>78</v>
      </c>
      <c r="C5" s="171" t="s">
        <v>73</v>
      </c>
    </row>
    <row r="6" spans="2:15" ht="16.5" thickTop="1" thickBot="1" x14ac:dyDescent="0.3">
      <c r="B6" s="170" t="s">
        <v>49</v>
      </c>
      <c r="C6" s="169">
        <f>'Wargal Land Details'!M38</f>
        <v>83.724999999999994</v>
      </c>
    </row>
    <row r="7" spans="2:15" ht="46.5" thickTop="1" thickBot="1" x14ac:dyDescent="0.3">
      <c r="B7" s="168" t="s">
        <v>82</v>
      </c>
      <c r="C7" s="167">
        <f>'Wargal Land Details'!M14</f>
        <v>54.934999999999988</v>
      </c>
    </row>
    <row r="8" spans="2:15" ht="31.5" thickTop="1" thickBot="1" x14ac:dyDescent="0.3">
      <c r="B8" s="168" t="s">
        <v>81</v>
      </c>
      <c r="C8" s="167">
        <f>'Wargal Land Details'!M10</f>
        <v>28.79</v>
      </c>
    </row>
    <row r="9" spans="2:15" ht="16.5" thickTop="1" thickBot="1" x14ac:dyDescent="0.3"/>
    <row r="10" spans="2:15" ht="15.75" customHeight="1" thickTop="1" thickBot="1" x14ac:dyDescent="0.3">
      <c r="B10" s="166" t="s">
        <v>60</v>
      </c>
      <c r="C10" s="166"/>
      <c r="D10" s="166"/>
      <c r="E10" s="166"/>
      <c r="F10" s="166"/>
      <c r="G10" s="166"/>
      <c r="H10" s="166"/>
      <c r="I10" s="166"/>
    </row>
    <row r="11" spans="2:15" ht="20.25" thickTop="1" thickBot="1" x14ac:dyDescent="0.3">
      <c r="B11" s="165" t="s">
        <v>80</v>
      </c>
      <c r="C11" s="164"/>
      <c r="D11" s="164"/>
      <c r="E11" s="164"/>
      <c r="F11" s="164"/>
      <c r="G11" s="164"/>
      <c r="H11" s="164"/>
      <c r="I11" s="164"/>
    </row>
    <row r="12" spans="2:15" ht="61.5" thickTop="1" thickBot="1" x14ac:dyDescent="0.3">
      <c r="B12" s="162" t="s">
        <v>65</v>
      </c>
      <c r="C12" s="163" t="s">
        <v>79</v>
      </c>
      <c r="D12" s="162" t="s">
        <v>78</v>
      </c>
      <c r="E12" s="162" t="s">
        <v>50</v>
      </c>
      <c r="F12" s="162" t="s">
        <v>77</v>
      </c>
      <c r="G12" s="162" t="s">
        <v>76</v>
      </c>
      <c r="H12" s="161" t="s">
        <v>75</v>
      </c>
      <c r="I12" s="161" t="s">
        <v>74</v>
      </c>
    </row>
    <row r="13" spans="2:15" ht="31.5" thickTop="1" thickBot="1" x14ac:dyDescent="0.3">
      <c r="B13" s="158">
        <v>1</v>
      </c>
      <c r="C13" s="157" t="s">
        <v>71</v>
      </c>
      <c r="D13" s="159" t="s">
        <v>73</v>
      </c>
      <c r="E13" s="159" t="s">
        <v>72</v>
      </c>
      <c r="F13" s="155">
        <f>G13*4046.85642</f>
        <v>131502.59936789997</v>
      </c>
      <c r="G13" s="154">
        <f>'Wargal Land Details'!M26</f>
        <v>32.49499999999999</v>
      </c>
      <c r="H13" s="153">
        <v>675000</v>
      </c>
      <c r="I13" s="153">
        <f>G13*H13</f>
        <v>21934124.999999993</v>
      </c>
    </row>
    <row r="14" spans="2:15" ht="31.5" thickTop="1" thickBot="1" x14ac:dyDescent="0.3">
      <c r="B14" s="158">
        <v>2</v>
      </c>
      <c r="C14" s="157" t="s">
        <v>69</v>
      </c>
      <c r="D14" s="160"/>
      <c r="E14" s="156"/>
      <c r="F14" s="155">
        <f>G14*4046.85642</f>
        <v>0</v>
      </c>
      <c r="G14" s="154">
        <f>'Wargal Land Details'!M27</f>
        <v>0</v>
      </c>
      <c r="H14" s="153">
        <v>0</v>
      </c>
      <c r="I14" s="153">
        <f>G14*H14</f>
        <v>0</v>
      </c>
    </row>
    <row r="15" spans="2:15" ht="31.5" thickTop="1" thickBot="1" x14ac:dyDescent="0.3">
      <c r="B15" s="158">
        <v>3</v>
      </c>
      <c r="C15" s="157" t="s">
        <v>71</v>
      </c>
      <c r="D15" s="160"/>
      <c r="E15" s="159" t="s">
        <v>70</v>
      </c>
      <c r="F15" s="155">
        <f>G15*4046.85642</f>
        <v>90811.458064800012</v>
      </c>
      <c r="G15" s="154">
        <f>'Wargal Land Details'!M34</f>
        <v>22.44</v>
      </c>
      <c r="H15" s="153">
        <v>787500</v>
      </c>
      <c r="I15" s="153">
        <f>G15*H15</f>
        <v>17671500</v>
      </c>
    </row>
    <row r="16" spans="2:15" ht="31.5" thickTop="1" thickBot="1" x14ac:dyDescent="0.3">
      <c r="B16" s="158">
        <v>4</v>
      </c>
      <c r="C16" s="157" t="s">
        <v>69</v>
      </c>
      <c r="D16" s="156"/>
      <c r="E16" s="156"/>
      <c r="F16" s="155">
        <f>G16*4046.85642</f>
        <v>0</v>
      </c>
      <c r="G16" s="154">
        <f>'Wargal Land Details'!M35</f>
        <v>0</v>
      </c>
      <c r="H16" s="153">
        <v>0</v>
      </c>
      <c r="I16" s="153">
        <f>G16*H16</f>
        <v>0</v>
      </c>
    </row>
    <row r="17" spans="2:11" ht="16.5" thickTop="1" thickBot="1" x14ac:dyDescent="0.3">
      <c r="B17" s="152" t="s">
        <v>68</v>
      </c>
      <c r="C17" s="152"/>
      <c r="D17" s="152"/>
      <c r="E17" s="151"/>
      <c r="F17" s="150">
        <f>SUM(F13:F16)</f>
        <v>222314.05743269998</v>
      </c>
      <c r="G17" s="149">
        <f>SUM(G13:G16)</f>
        <v>54.934999999999988</v>
      </c>
      <c r="H17" s="148" t="s">
        <v>67</v>
      </c>
      <c r="I17" s="148">
        <f>SUM(I13:I16)</f>
        <v>39605624.999999993</v>
      </c>
    </row>
    <row r="18" spans="2:11" ht="15.75" thickTop="1" x14ac:dyDescent="0.25"/>
    <row r="24" spans="2:11" x14ac:dyDescent="0.25">
      <c r="J24" s="146"/>
      <c r="K24" s="146"/>
    </row>
    <row r="25" spans="2:11" x14ac:dyDescent="0.25">
      <c r="K25" s="60">
        <f>SUMIFS($F$5:$F$43,$C$5:$C$43,J24,$E$5:$E$43,$J$23,$D$5:$D$43,J25)</f>
        <v>0</v>
      </c>
    </row>
    <row r="26" spans="2:11" x14ac:dyDescent="0.25">
      <c r="K26" s="60">
        <f>SUMIFS($F$5:$F$43,$C$5:$C$43,J25,$E$5:$E$43,$J$23,$D$5:$D$43,J26)</f>
        <v>0</v>
      </c>
    </row>
    <row r="27" spans="2:11" x14ac:dyDescent="0.25">
      <c r="J27" s="146" t="s">
        <v>3</v>
      </c>
      <c r="K27" s="146"/>
    </row>
    <row r="28" spans="2:11" x14ac:dyDescent="0.25">
      <c r="K28" s="60">
        <f>SUMIFS($F$5:$F$43,$C$5:$C$43,$J$27,$E$5:$E$43,$J$23,$D$5:$D$43,J28)</f>
        <v>0</v>
      </c>
    </row>
    <row r="29" spans="2:11" x14ac:dyDescent="0.25">
      <c r="K29" s="60">
        <f>SUMIFS($F$5:$F$43,$C$5:$C$43,$J$27,$E$5:$E$43,$J$23,$D$5:$D$43,J29)</f>
        <v>0</v>
      </c>
    </row>
    <row r="30" spans="2:11" x14ac:dyDescent="0.25">
      <c r="K30" s="60">
        <f>K25+K26+K28+K29</f>
        <v>0</v>
      </c>
    </row>
    <row r="32" spans="2:11" x14ac:dyDescent="0.25">
      <c r="J32" s="147"/>
      <c r="K32" s="147"/>
    </row>
    <row r="33" spans="10:11" x14ac:dyDescent="0.25">
      <c r="J33" s="146"/>
      <c r="K33" s="146"/>
    </row>
    <row r="34" spans="10:11" x14ac:dyDescent="0.25">
      <c r="K34" s="144"/>
    </row>
    <row r="35" spans="10:11" x14ac:dyDescent="0.25">
      <c r="J35" s="145">
        <f>SUMIFS($F$5:$F$43,$C$5:$C$43,J34,$E$5:$E$43,$J$23,$D$5:$D$43,#REF!)</f>
        <v>0</v>
      </c>
      <c r="K35" s="145"/>
    </row>
    <row r="36" spans="10:11" ht="15" customHeight="1" x14ac:dyDescent="0.25">
      <c r="K36" s="144">
        <f>SUMIFS($F$5:$F$43,$E$5:$E$43,$J$31,$D$5:$D$43,$J$36,$C$5:$C$43,J35)</f>
        <v>0</v>
      </c>
    </row>
    <row r="37" spans="10:11" x14ac:dyDescent="0.25">
      <c r="K37" s="144">
        <f>SUMIFS($F$5:$F$43,$E$5:$E$43,$J$31,$D$5:$D$43,$J$36,$C$5:$C$43,J36)</f>
        <v>0</v>
      </c>
    </row>
  </sheetData>
  <mergeCells count="12">
    <mergeCell ref="J35:K35"/>
    <mergeCell ref="D13:D16"/>
    <mergeCell ref="E13:E14"/>
    <mergeCell ref="E15:E16"/>
    <mergeCell ref="J27:K27"/>
    <mergeCell ref="B2:O2"/>
    <mergeCell ref="B10:I10"/>
    <mergeCell ref="B11:I11"/>
    <mergeCell ref="B17:D17"/>
    <mergeCell ref="J24:K24"/>
    <mergeCell ref="J33:K33"/>
    <mergeCell ref="J32:K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F247E-4E53-478B-BC0F-732E7BC5D4AD}">
  <sheetPr>
    <tabColor theme="9" tint="-0.249977111117893"/>
  </sheetPr>
  <dimension ref="B2:M36"/>
  <sheetViews>
    <sheetView topLeftCell="A7" zoomScaleNormal="100" workbookViewId="0">
      <selection activeCell="B40" sqref="B40:H40"/>
    </sheetView>
  </sheetViews>
  <sheetFormatPr defaultColWidth="9.140625" defaultRowHeight="15" x14ac:dyDescent="0.25"/>
  <cols>
    <col min="1" max="1" width="2" style="60" customWidth="1"/>
    <col min="2" max="2" width="11.85546875" style="60" customWidth="1"/>
    <col min="3" max="3" width="20.42578125" style="60" bestFit="1" customWidth="1"/>
    <col min="4" max="4" width="13" style="60" customWidth="1"/>
    <col min="5" max="5" width="11.42578125" style="95" customWidth="1"/>
    <col min="6" max="6" width="11.5703125" style="95" bestFit="1" customWidth="1"/>
    <col min="7" max="7" width="7.28515625" style="95" bestFit="1" customWidth="1"/>
    <col min="8" max="8" width="27.28515625" style="95" customWidth="1"/>
    <col min="9" max="9" width="21.85546875" style="95" customWidth="1"/>
    <col min="10" max="16384" width="9.140625" style="60"/>
  </cols>
  <sheetData>
    <row r="2" spans="2:13" ht="23.25" x14ac:dyDescent="0.35">
      <c r="B2" s="172" t="s">
        <v>54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2:13" ht="15.75" thickBot="1" x14ac:dyDescent="0.3"/>
    <row r="4" spans="2:13" ht="16.5" thickTop="1" thickBot="1" x14ac:dyDescent="0.3">
      <c r="B4" s="170" t="s">
        <v>84</v>
      </c>
      <c r="C4" s="171" t="s">
        <v>83</v>
      </c>
    </row>
    <row r="5" spans="2:13" ht="16.5" thickTop="1" thickBot="1" x14ac:dyDescent="0.3">
      <c r="B5" s="170" t="s">
        <v>78</v>
      </c>
      <c r="C5" s="171" t="s">
        <v>73</v>
      </c>
    </row>
    <row r="6" spans="2:13" ht="16.5" thickTop="1" thickBot="1" x14ac:dyDescent="0.3">
      <c r="B6" s="170" t="s">
        <v>49</v>
      </c>
      <c r="C6" s="169">
        <f>'Wargal Land Details'!M38</f>
        <v>83.724999999999994</v>
      </c>
    </row>
    <row r="7" spans="2:13" ht="46.5" thickTop="1" thickBot="1" x14ac:dyDescent="0.3">
      <c r="B7" s="168" t="s">
        <v>82</v>
      </c>
      <c r="C7" s="167">
        <f>'Wargal Land Details'!M14</f>
        <v>54.934999999999988</v>
      </c>
    </row>
    <row r="8" spans="2:13" ht="31.5" thickTop="1" thickBot="1" x14ac:dyDescent="0.3">
      <c r="B8" s="168" t="s">
        <v>81</v>
      </c>
      <c r="C8" s="167">
        <f>'Wargal Land Details'!M10</f>
        <v>28.79</v>
      </c>
    </row>
    <row r="9" spans="2:13" ht="16.5" thickTop="1" thickBot="1" x14ac:dyDescent="0.3"/>
    <row r="10" spans="2:13" ht="15.75" customHeight="1" thickTop="1" thickBot="1" x14ac:dyDescent="0.3">
      <c r="B10" s="166" t="s">
        <v>60</v>
      </c>
      <c r="C10" s="166"/>
      <c r="D10" s="166"/>
      <c r="E10" s="166"/>
      <c r="F10" s="166"/>
      <c r="G10" s="166"/>
      <c r="H10" s="166"/>
      <c r="I10" s="166"/>
    </row>
    <row r="11" spans="2:13" ht="20.25" thickTop="1" thickBot="1" x14ac:dyDescent="0.3">
      <c r="B11" s="165" t="s">
        <v>89</v>
      </c>
      <c r="C11" s="164"/>
      <c r="D11" s="164"/>
      <c r="E11" s="164"/>
      <c r="F11" s="164"/>
      <c r="G11" s="164"/>
      <c r="H11" s="164"/>
      <c r="I11" s="164"/>
    </row>
    <row r="12" spans="2:13" ht="46.5" thickTop="1" thickBot="1" x14ac:dyDescent="0.3">
      <c r="B12" s="162" t="s">
        <v>88</v>
      </c>
      <c r="C12" s="163" t="s">
        <v>79</v>
      </c>
      <c r="D12" s="162" t="s">
        <v>87</v>
      </c>
      <c r="E12" s="162" t="s">
        <v>50</v>
      </c>
      <c r="F12" s="162" t="s">
        <v>77</v>
      </c>
      <c r="G12" s="162" t="s">
        <v>76</v>
      </c>
      <c r="H12" s="161" t="s">
        <v>86</v>
      </c>
      <c r="I12" s="161" t="s">
        <v>85</v>
      </c>
    </row>
    <row r="13" spans="2:13" ht="31.5" thickTop="1" thickBot="1" x14ac:dyDescent="0.3">
      <c r="B13" s="158">
        <v>1</v>
      </c>
      <c r="C13" s="157" t="s">
        <v>71</v>
      </c>
      <c r="D13" s="159" t="s">
        <v>73</v>
      </c>
      <c r="E13" s="159" t="s">
        <v>72</v>
      </c>
      <c r="F13" s="155">
        <f>G13*4046.85642</f>
        <v>131502.59936789997</v>
      </c>
      <c r="G13" s="154">
        <f>'Wargal Land Details'!M26</f>
        <v>32.49499999999999</v>
      </c>
      <c r="H13" s="153">
        <v>11000000</v>
      </c>
      <c r="I13" s="153">
        <f>G13*H13</f>
        <v>357444999.99999988</v>
      </c>
    </row>
    <row r="14" spans="2:13" ht="31.5" thickTop="1" thickBot="1" x14ac:dyDescent="0.3">
      <c r="B14" s="158">
        <v>2</v>
      </c>
      <c r="C14" s="157" t="s">
        <v>69</v>
      </c>
      <c r="D14" s="159"/>
      <c r="E14" s="156"/>
      <c r="F14" s="155">
        <f>G14*4046.85642</f>
        <v>0</v>
      </c>
      <c r="G14" s="154">
        <f>'Wargal Land Details'!M27</f>
        <v>0</v>
      </c>
      <c r="H14" s="153">
        <v>0</v>
      </c>
      <c r="I14" s="153">
        <f>G14*H14</f>
        <v>0</v>
      </c>
    </row>
    <row r="15" spans="2:13" ht="31.5" thickTop="1" thickBot="1" x14ac:dyDescent="0.3">
      <c r="B15" s="158">
        <v>3</v>
      </c>
      <c r="C15" s="157" t="s">
        <v>71</v>
      </c>
      <c r="D15" s="160"/>
      <c r="E15" s="159" t="s">
        <v>70</v>
      </c>
      <c r="F15" s="155">
        <f>G15*4046.85642</f>
        <v>90811.458064800012</v>
      </c>
      <c r="G15" s="154">
        <f>'Wargal Land Details'!M34</f>
        <v>22.44</v>
      </c>
      <c r="H15" s="153">
        <v>11000000</v>
      </c>
      <c r="I15" s="153">
        <f>G15*H15</f>
        <v>246840000</v>
      </c>
    </row>
    <row r="16" spans="2:13" ht="31.5" thickTop="1" thickBot="1" x14ac:dyDescent="0.3">
      <c r="B16" s="158">
        <v>4</v>
      </c>
      <c r="C16" s="157" t="s">
        <v>69</v>
      </c>
      <c r="D16" s="156"/>
      <c r="E16" s="156"/>
      <c r="F16" s="155">
        <f>G16*4046.85642</f>
        <v>0</v>
      </c>
      <c r="G16" s="154">
        <f>'Wargal Land Details'!M35</f>
        <v>0</v>
      </c>
      <c r="H16" s="153">
        <v>0</v>
      </c>
      <c r="I16" s="153">
        <f>G16*H16</f>
        <v>0</v>
      </c>
    </row>
    <row r="17" spans="2:9" ht="16.5" thickTop="1" thickBot="1" x14ac:dyDescent="0.3">
      <c r="B17" s="152" t="s">
        <v>68</v>
      </c>
      <c r="C17" s="152"/>
      <c r="D17" s="152"/>
      <c r="E17" s="151"/>
      <c r="F17" s="150">
        <f>SUM(F13:F16)</f>
        <v>222314.05743269998</v>
      </c>
      <c r="G17" s="149">
        <f>SUM(G13:G16)</f>
        <v>54.934999999999988</v>
      </c>
      <c r="H17" s="148"/>
      <c r="I17" s="148">
        <f>SUM(I13:I16)</f>
        <v>604284999.99999988</v>
      </c>
    </row>
    <row r="18" spans="2:9" ht="15.75" thickTop="1" x14ac:dyDescent="0.25"/>
    <row r="36" ht="15" customHeight="1" x14ac:dyDescent="0.25"/>
  </sheetData>
  <mergeCells count="7">
    <mergeCell ref="B2:M2"/>
    <mergeCell ref="B10:I10"/>
    <mergeCell ref="B11:I11"/>
    <mergeCell ref="B17:D17"/>
    <mergeCell ref="D13:D16"/>
    <mergeCell ref="E13:E14"/>
    <mergeCell ref="E15:E16"/>
  </mergeCells>
  <pageMargins left="0.11811023622047245" right="0.11811023622047245" top="0.74803149606299213" bottom="0.74803149606299213" header="0.31496062992125984" footer="0.31496062992125984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Wargal Land Details</vt:lpstr>
      <vt:lpstr>Sheet2</vt:lpstr>
      <vt:lpstr>NARDI LEASE</vt:lpstr>
      <vt:lpstr>Wargal Land Guide Value</vt:lpstr>
      <vt:lpstr>Wargal Land Market value</vt:lpstr>
      <vt:lpstr>'Wargal Land Details'!Print_Area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Bharadwaj</dc:creator>
  <cp:lastModifiedBy>Tejas Bharadwaj</cp:lastModifiedBy>
  <dcterms:created xsi:type="dcterms:W3CDTF">2022-08-01T05:23:35Z</dcterms:created>
  <dcterms:modified xsi:type="dcterms:W3CDTF">2022-08-01T05:24:18Z</dcterms:modified>
</cp:coreProperties>
</file>