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2809\Desktop\"/>
    </mc:Choice>
  </mc:AlternateContent>
  <xr:revisionPtr revIDLastSave="0" documentId="8_{D27D92F3-5545-4198-8CB3-CA32B0573D1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nk Recovery _old" sheetId="8" state="hidden" r:id="rId1"/>
    <sheet name="Distribution" sheetId="2" r:id="rId2"/>
    <sheet name="Vs. NCLT" sheetId="9" state="hidden" r:id="rId3"/>
    <sheet name="Sintex_JC pari passu USL" sheetId="10" state="hidden" r:id="rId4"/>
    <sheet name="Bank Recovery_Revised" sheetId="5" state="hidden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44181.4117361111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C4" i="5"/>
  <c r="R3" i="5"/>
  <c r="S3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B26" i="5"/>
  <c r="R26" i="5"/>
  <c r="S26" i="5"/>
  <c r="T27" i="5"/>
  <c r="T28" i="5"/>
  <c r="T29" i="5"/>
  <c r="T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C43" i="5"/>
  <c r="N2" i="10"/>
  <c r="F11" i="10"/>
  <c r="F14" i="10"/>
  <c r="F17" i="10"/>
  <c r="F21" i="10" s="1"/>
  <c r="F20" i="10"/>
  <c r="F35" i="10"/>
  <c r="F37" i="10"/>
  <c r="F26" i="10"/>
  <c r="F29" i="10"/>
  <c r="F30" i="10"/>
  <c r="F31" i="10"/>
  <c r="F32" i="10"/>
  <c r="F42" i="10"/>
  <c r="G11" i="10"/>
  <c r="G14" i="10"/>
  <c r="G21" i="10"/>
  <c r="G38" i="10"/>
  <c r="G26" i="10"/>
  <c r="G32" i="10"/>
  <c r="G42" i="10"/>
  <c r="E56" i="10"/>
  <c r="E58" i="10"/>
  <c r="Q5" i="10"/>
  <c r="Q6" i="10"/>
  <c r="Q7" i="10"/>
  <c r="Q8" i="10"/>
  <c r="Q9" i="10"/>
  <c r="Q10" i="10"/>
  <c r="Q11" i="10"/>
  <c r="Q12" i="10"/>
  <c r="Q13" i="10"/>
  <c r="Q14" i="10"/>
  <c r="Q45" i="10" s="1"/>
  <c r="E17" i="10"/>
  <c r="Q17" i="10"/>
  <c r="E18" i="10"/>
  <c r="Q18" i="10"/>
  <c r="Q19" i="10"/>
  <c r="E20" i="10"/>
  <c r="Q20" i="10"/>
  <c r="Q21" i="10"/>
  <c r="Q24" i="10"/>
  <c r="Q25" i="10"/>
  <c r="Q26" i="10"/>
  <c r="Y26" i="10"/>
  <c r="Z27" i="10"/>
  <c r="Y27" i="10"/>
  <c r="E29" i="10"/>
  <c r="N29" i="10"/>
  <c r="Q29" i="10"/>
  <c r="E30" i="10"/>
  <c r="N30" i="10"/>
  <c r="Q30" i="10"/>
  <c r="N31" i="10"/>
  <c r="Q31" i="10"/>
  <c r="Q32" i="10"/>
  <c r="E35" i="10"/>
  <c r="N35" i="10"/>
  <c r="Q35" i="10"/>
  <c r="Q36" i="10"/>
  <c r="E37" i="10"/>
  <c r="Q37" i="10"/>
  <c r="Q38" i="10"/>
  <c r="E41" i="10"/>
  <c r="Q41" i="10"/>
  <c r="Q42" i="10"/>
  <c r="D4" i="9"/>
  <c r="M30" i="9" s="1"/>
  <c r="D39" i="9" s="1"/>
  <c r="D5" i="9"/>
  <c r="D17" i="9"/>
  <c r="D19" i="9" s="1"/>
  <c r="H17" i="9"/>
  <c r="H19" i="9" s="1"/>
  <c r="H21" i="9" s="1"/>
  <c r="H23" i="9" s="1"/>
  <c r="L17" i="9"/>
  <c r="L18" i="9"/>
  <c r="L19" i="9" s="1"/>
  <c r="L21" i="9" s="1"/>
  <c r="D20" i="9"/>
  <c r="D21" i="9"/>
  <c r="D23" i="9" s="1"/>
  <c r="M25" i="9"/>
  <c r="H28" i="9"/>
  <c r="L30" i="9"/>
  <c r="L31" i="9"/>
  <c r="E37" i="9"/>
  <c r="E38" i="9"/>
  <c r="E39" i="9"/>
  <c r="D12" i="2"/>
  <c r="D15" i="2" s="1"/>
  <c r="D22" i="2"/>
  <c r="D28" i="2"/>
  <c r="D35" i="2"/>
  <c r="D9" i="9" s="1"/>
  <c r="B3" i="8"/>
  <c r="C4" i="8"/>
  <c r="C26" i="8" s="1"/>
  <c r="R6" i="8"/>
  <c r="R7" i="8"/>
  <c r="R8" i="8"/>
  <c r="R9" i="8"/>
  <c r="R10" i="8"/>
  <c r="R11" i="8"/>
  <c r="J12" i="8"/>
  <c r="R12" i="8" s="1"/>
  <c r="B32" i="8"/>
  <c r="B13" i="8"/>
  <c r="C32" i="8"/>
  <c r="C13" i="8" s="1"/>
  <c r="C21" i="8" s="1"/>
  <c r="D32" i="8"/>
  <c r="D13" i="8" s="1"/>
  <c r="D21" i="8" s="1"/>
  <c r="E32" i="8"/>
  <c r="E13" i="8"/>
  <c r="E21" i="8" s="1"/>
  <c r="F32" i="8"/>
  <c r="F13" i="8" s="1"/>
  <c r="F21" i="8" s="1"/>
  <c r="G32" i="8"/>
  <c r="G13" i="8" s="1"/>
  <c r="G21" i="8" s="1"/>
  <c r="H32" i="8"/>
  <c r="H13" i="8" s="1"/>
  <c r="H21" i="8" s="1"/>
  <c r="I32" i="8"/>
  <c r="I13" i="8" s="1"/>
  <c r="I21" i="8" s="1"/>
  <c r="J32" i="8"/>
  <c r="J13" i="8"/>
  <c r="K32" i="8"/>
  <c r="K13" i="8" s="1"/>
  <c r="K21" i="8" s="1"/>
  <c r="L32" i="8"/>
  <c r="L13" i="8" s="1"/>
  <c r="L21" i="8" s="1"/>
  <c r="M32" i="8"/>
  <c r="M13" i="8" s="1"/>
  <c r="M21" i="8" s="1"/>
  <c r="N32" i="8"/>
  <c r="N13" i="8"/>
  <c r="N21" i="8" s="1"/>
  <c r="O32" i="8"/>
  <c r="O13" i="8" s="1"/>
  <c r="O21" i="8" s="1"/>
  <c r="P32" i="8"/>
  <c r="P13" i="8" s="1"/>
  <c r="P21" i="8" s="1"/>
  <c r="Q32" i="8"/>
  <c r="Q13" i="8" s="1"/>
  <c r="Q21" i="8" s="1"/>
  <c r="R14" i="8"/>
  <c r="J15" i="8"/>
  <c r="R15" i="8" s="1"/>
  <c r="R16" i="8"/>
  <c r="R17" i="8"/>
  <c r="R18" i="8"/>
  <c r="R19" i="8"/>
  <c r="R20" i="8"/>
  <c r="B26" i="8"/>
  <c r="R27" i="8"/>
  <c r="R28" i="8"/>
  <c r="R29" i="8"/>
  <c r="R30" i="8"/>
  <c r="R31" i="8"/>
  <c r="C44" i="8"/>
  <c r="D6" i="9" l="1"/>
  <c r="J21" i="8"/>
  <c r="F38" i="10"/>
  <c r="R32" i="8"/>
  <c r="C3" i="8"/>
  <c r="D7" i="9"/>
  <c r="F5" i="9" s="1"/>
  <c r="H26" i="9" s="1"/>
  <c r="D38" i="2"/>
  <c r="R13" i="8"/>
  <c r="R21" i="8" s="1"/>
  <c r="D4" i="8"/>
  <c r="B21" i="8"/>
  <c r="T31" i="5"/>
  <c r="M26" i="9"/>
  <c r="M31" i="9"/>
  <c r="D8" i="9"/>
  <c r="T21" i="5"/>
  <c r="C3" i="5"/>
  <c r="D4" i="5"/>
  <c r="C26" i="5"/>
  <c r="F45" i="10"/>
  <c r="J14" i="10" s="1"/>
  <c r="N36" i="10"/>
  <c r="N32" i="10"/>
  <c r="G45" i="10"/>
  <c r="F4" i="9" l="1"/>
  <c r="H25" i="9" s="1"/>
  <c r="H30" i="9" s="1"/>
  <c r="I30" i="9" s="1"/>
  <c r="D38" i="9" s="1"/>
  <c r="F6" i="9"/>
  <c r="F7" i="9"/>
  <c r="D10" i="9"/>
  <c r="E7" i="9" s="1"/>
  <c r="I26" i="9"/>
  <c r="H31" i="9"/>
  <c r="I31" i="9" s="1"/>
  <c r="J21" i="10"/>
  <c r="K20" i="10"/>
  <c r="K6" i="10"/>
  <c r="K11" i="10"/>
  <c r="K13" i="10"/>
  <c r="K8" i="10"/>
  <c r="K25" i="10"/>
  <c r="K30" i="10"/>
  <c r="K45" i="10"/>
  <c r="K5" i="10"/>
  <c r="K32" i="10"/>
  <c r="K38" i="10"/>
  <c r="K10" i="10"/>
  <c r="K12" i="10"/>
  <c r="K14" i="10"/>
  <c r="K7" i="10"/>
  <c r="K9" i="10"/>
  <c r="K26" i="10"/>
  <c r="K31" i="10"/>
  <c r="K41" i="10"/>
  <c r="K17" i="10"/>
  <c r="K18" i="10"/>
  <c r="K29" i="10"/>
  <c r="K19" i="10"/>
  <c r="K37" i="10"/>
  <c r="K35" i="10"/>
  <c r="K24" i="10"/>
  <c r="K36" i="10"/>
  <c r="D3" i="5"/>
  <c r="E4" i="5"/>
  <c r="D26" i="5"/>
  <c r="D26" i="9"/>
  <c r="J38" i="10"/>
  <c r="N37" i="10"/>
  <c r="K21" i="10"/>
  <c r="J9" i="10"/>
  <c r="J26" i="10"/>
  <c r="J31" i="10"/>
  <c r="J13" i="10"/>
  <c r="J36" i="10"/>
  <c r="J8" i="10"/>
  <c r="J5" i="10"/>
  <c r="J10" i="10"/>
  <c r="J12" i="10"/>
  <c r="J7" i="10"/>
  <c r="J42" i="10"/>
  <c r="J11" i="10"/>
  <c r="J6" i="10"/>
  <c r="J41" i="10"/>
  <c r="J17" i="10"/>
  <c r="J18" i="10"/>
  <c r="J25" i="10"/>
  <c r="J29" i="10"/>
  <c r="J30" i="10"/>
  <c r="J35" i="10"/>
  <c r="J19" i="10"/>
  <c r="J24" i="10"/>
  <c r="J20" i="10"/>
  <c r="J45" i="10"/>
  <c r="J37" i="10"/>
  <c r="J32" i="10"/>
  <c r="K42" i="10"/>
  <c r="D3" i="8"/>
  <c r="E4" i="8"/>
  <c r="D26" i="8"/>
  <c r="E6" i="9" l="1"/>
  <c r="D25" i="9"/>
  <c r="E25" i="9" s="1"/>
  <c r="I25" i="9"/>
  <c r="E4" i="9"/>
  <c r="E5" i="9"/>
  <c r="E10" i="9"/>
  <c r="E3" i="8"/>
  <c r="E26" i="8"/>
  <c r="F4" i="8"/>
  <c r="E26" i="5"/>
  <c r="E3" i="5"/>
  <c r="F4" i="5"/>
  <c r="N38" i="10"/>
  <c r="D31" i="9"/>
  <c r="E31" i="9" s="1"/>
  <c r="E26" i="9"/>
  <c r="D30" i="9" l="1"/>
  <c r="E30" i="9" s="1"/>
  <c r="D37" i="9" s="1"/>
  <c r="E40" i="9" s="1"/>
  <c r="F26" i="8"/>
  <c r="F3" i="8"/>
  <c r="G4" i="8"/>
  <c r="F3" i="5"/>
  <c r="F26" i="5"/>
  <c r="G4" i="5"/>
  <c r="N41" i="10"/>
  <c r="D32" i="9" l="1"/>
  <c r="G3" i="5"/>
  <c r="G26" i="5"/>
  <c r="H4" i="5"/>
  <c r="N42" i="10"/>
  <c r="G3" i="8"/>
  <c r="G26" i="8"/>
  <c r="H4" i="8"/>
  <c r="H26" i="5" l="1"/>
  <c r="H3" i="5"/>
  <c r="I4" i="5"/>
  <c r="H3" i="8"/>
  <c r="I4" i="8"/>
  <c r="H26" i="8"/>
  <c r="I26" i="5" l="1"/>
  <c r="I3" i="5"/>
  <c r="J4" i="5"/>
  <c r="I3" i="8"/>
  <c r="J4" i="8"/>
  <c r="I26" i="8"/>
  <c r="K4" i="8" l="1"/>
  <c r="J3" i="8"/>
  <c r="J26" i="8"/>
  <c r="J3" i="5"/>
  <c r="J26" i="5"/>
  <c r="K4" i="5"/>
  <c r="K26" i="8" l="1"/>
  <c r="K3" i="8"/>
  <c r="L4" i="8"/>
  <c r="K3" i="5"/>
  <c r="L4" i="5"/>
  <c r="K26" i="5"/>
  <c r="L3" i="5" l="1"/>
  <c r="M4" i="5"/>
  <c r="L26" i="5"/>
  <c r="L3" i="8"/>
  <c r="M4" i="8"/>
  <c r="L26" i="8"/>
  <c r="M26" i="5" l="1"/>
  <c r="M3" i="5"/>
  <c r="N4" i="5"/>
  <c r="M3" i="8"/>
  <c r="M26" i="8"/>
  <c r="N4" i="8"/>
  <c r="N3" i="5" l="1"/>
  <c r="N26" i="5"/>
  <c r="O4" i="5"/>
  <c r="O4" i="8"/>
  <c r="N26" i="8"/>
  <c r="N3" i="8"/>
  <c r="O3" i="5" l="1"/>
  <c r="O26" i="5"/>
  <c r="P4" i="5"/>
  <c r="O3" i="8"/>
  <c r="O26" i="8"/>
  <c r="P4" i="8"/>
  <c r="P26" i="5" l="1"/>
  <c r="P3" i="5"/>
  <c r="Q4" i="5"/>
  <c r="P3" i="8"/>
  <c r="P26" i="8"/>
  <c r="Q4" i="8"/>
  <c r="Q26" i="5" l="1"/>
  <c r="Q3" i="5"/>
  <c r="Q3" i="8"/>
  <c r="Q26" i="8"/>
  <c r="U18" i="5" l="1"/>
  <c r="U7" i="5"/>
  <c r="U21" i="5"/>
  <c r="U20" i="5"/>
  <c r="U8" i="5"/>
  <c r="U11" i="5"/>
  <c r="U31" i="5"/>
  <c r="U19" i="5"/>
  <c r="U27" i="5"/>
  <c r="U28" i="5"/>
  <c r="U15" i="5"/>
  <c r="U9" i="5"/>
  <c r="U12" i="5"/>
  <c r="U16" i="5"/>
  <c r="U29" i="5"/>
  <c r="U30" i="5"/>
  <c r="U10" i="5"/>
  <c r="B41" i="10" s="1"/>
  <c r="U17" i="5"/>
  <c r="B18" i="10" s="1"/>
  <c r="U13" i="5"/>
  <c r="U6" i="5"/>
  <c r="U14" i="5"/>
  <c r="S13" i="8"/>
  <c r="S17" i="8"/>
  <c r="S32" i="8"/>
  <c r="S14" i="8"/>
  <c r="S10" i="8"/>
  <c r="S18" i="8"/>
  <c r="S16" i="8"/>
  <c r="S27" i="8"/>
  <c r="S30" i="8"/>
  <c r="S9" i="8"/>
  <c r="S8" i="8"/>
  <c r="S28" i="8"/>
  <c r="S11" i="8"/>
  <c r="S31" i="8"/>
  <c r="S15" i="8"/>
  <c r="S20" i="8"/>
  <c r="S29" i="8"/>
  <c r="S12" i="8"/>
  <c r="S19" i="8"/>
  <c r="S7" i="8"/>
  <c r="S6" i="8"/>
  <c r="S21" i="8"/>
  <c r="U10" i="8" l="1"/>
  <c r="B30" i="10"/>
  <c r="V9" i="5"/>
  <c r="B19" i="10"/>
  <c r="B17" i="10"/>
  <c r="B20" i="10"/>
  <c r="B45" i="10" l="1"/>
  <c r="H17" i="10" s="1"/>
  <c r="H30" i="10" l="1"/>
  <c r="P30" i="10" s="1"/>
  <c r="R30" i="10" s="1"/>
  <c r="H20" i="10"/>
  <c r="I20" i="10" s="1"/>
  <c r="I17" i="10"/>
  <c r="H21" i="10"/>
  <c r="P17" i="10"/>
  <c r="H19" i="10"/>
  <c r="H13" i="10"/>
  <c r="H36" i="10"/>
  <c r="H29" i="10"/>
  <c r="H5" i="10"/>
  <c r="H10" i="10"/>
  <c r="H12" i="10"/>
  <c r="H35" i="10"/>
  <c r="H7" i="10"/>
  <c r="H9" i="10"/>
  <c r="H24" i="10"/>
  <c r="H31" i="10"/>
  <c r="H8" i="10"/>
  <c r="H25" i="10"/>
  <c r="H6" i="10"/>
  <c r="H37" i="10"/>
  <c r="H41" i="10"/>
  <c r="H18" i="10"/>
  <c r="P20" i="10" l="1"/>
  <c r="R20" i="10" s="1"/>
  <c r="I30" i="10"/>
  <c r="O30" i="10" s="1"/>
  <c r="S30" i="10" s="1"/>
  <c r="T30" i="10" s="1"/>
  <c r="U30" i="10" s="1"/>
  <c r="P7" i="10"/>
  <c r="R7" i="10" s="1"/>
  <c r="I7" i="10"/>
  <c r="I35" i="10"/>
  <c r="H38" i="10"/>
  <c r="P35" i="10"/>
  <c r="P10" i="10"/>
  <c r="R10" i="10" s="1"/>
  <c r="I10" i="10"/>
  <c r="P31" i="10"/>
  <c r="R31" i="10" s="1"/>
  <c r="I31" i="10"/>
  <c r="I29" i="10"/>
  <c r="P29" i="10"/>
  <c r="H32" i="10"/>
  <c r="P21" i="10"/>
  <c r="R21" i="10" s="1"/>
  <c r="R17" i="10"/>
  <c r="I19" i="10"/>
  <c r="P19" i="10"/>
  <c r="R19" i="10" s="1"/>
  <c r="I6" i="10"/>
  <c r="P6" i="10"/>
  <c r="R6" i="10" s="1"/>
  <c r="P12" i="10"/>
  <c r="R12" i="10" s="1"/>
  <c r="I12" i="10"/>
  <c r="P25" i="10"/>
  <c r="R25" i="10" s="1"/>
  <c r="I25" i="10"/>
  <c r="P8" i="10"/>
  <c r="R8" i="10" s="1"/>
  <c r="I8" i="10"/>
  <c r="I5" i="10"/>
  <c r="P5" i="10"/>
  <c r="H11" i="10"/>
  <c r="I24" i="10"/>
  <c r="P24" i="10"/>
  <c r="H26" i="10"/>
  <c r="I36" i="10"/>
  <c r="P36" i="10"/>
  <c r="R36" i="10" s="1"/>
  <c r="H42" i="10"/>
  <c r="I41" i="10"/>
  <c r="P41" i="10"/>
  <c r="P37" i="10"/>
  <c r="R37" i="10" s="1"/>
  <c r="I37" i="10"/>
  <c r="I18" i="10"/>
  <c r="P18" i="10"/>
  <c r="R18" i="10" s="1"/>
  <c r="P9" i="10"/>
  <c r="R9" i="10" s="1"/>
  <c r="I9" i="10"/>
  <c r="I13" i="10"/>
  <c r="P13" i="10"/>
  <c r="R13" i="10" s="1"/>
  <c r="I21" i="10"/>
  <c r="O37" i="10" l="1"/>
  <c r="S37" i="10" s="1"/>
  <c r="T37" i="10" s="1"/>
  <c r="U37" i="10" s="1"/>
  <c r="I26" i="10"/>
  <c r="P42" i="10"/>
  <c r="R42" i="10" s="1"/>
  <c r="R41" i="10"/>
  <c r="R29" i="10"/>
  <c r="P32" i="10"/>
  <c r="R32" i="10" s="1"/>
  <c r="I38" i="10"/>
  <c r="O35" i="10"/>
  <c r="S35" i="10" s="1"/>
  <c r="T35" i="10" s="1"/>
  <c r="U35" i="10" s="1"/>
  <c r="P26" i="10"/>
  <c r="R26" i="10" s="1"/>
  <c r="R24" i="10"/>
  <c r="I11" i="10"/>
  <c r="H14" i="10"/>
  <c r="I42" i="10"/>
  <c r="O41" i="10"/>
  <c r="S41" i="10" s="1"/>
  <c r="T41" i="10" s="1"/>
  <c r="U41" i="10" s="1"/>
  <c r="R5" i="10"/>
  <c r="P11" i="10"/>
  <c r="P38" i="10"/>
  <c r="R38" i="10" s="1"/>
  <c r="R35" i="10"/>
  <c r="O36" i="10"/>
  <c r="S36" i="10" s="1"/>
  <c r="T36" i="10" s="1"/>
  <c r="U36" i="10" s="1"/>
  <c r="I32" i="10"/>
  <c r="O29" i="10"/>
  <c r="S29" i="10" s="1"/>
  <c r="T29" i="10" s="1"/>
  <c r="U29" i="10" s="1"/>
  <c r="O31" i="10"/>
  <c r="S31" i="10" s="1"/>
  <c r="T31" i="10" s="1"/>
  <c r="U31" i="10" s="1"/>
  <c r="O38" i="10" l="1"/>
  <c r="S38" i="10" s="1"/>
  <c r="T38" i="10" s="1"/>
  <c r="U38" i="10" s="1"/>
  <c r="N50" i="10"/>
  <c r="O42" i="10"/>
  <c r="S42" i="10" s="1"/>
  <c r="T42" i="10" s="1"/>
  <c r="U42" i="10" s="1"/>
  <c r="I14" i="10"/>
  <c r="H45" i="10"/>
  <c r="O32" i="10"/>
  <c r="S32" i="10" s="1"/>
  <c r="T32" i="10" s="1"/>
  <c r="U32" i="10" s="1"/>
  <c r="P14" i="10"/>
  <c r="R11" i="10"/>
  <c r="I45" i="10" l="1"/>
  <c r="L14" i="10" s="1"/>
  <c r="Y14" i="10" s="1"/>
  <c r="R14" i="10"/>
  <c r="P45" i="10"/>
  <c r="N55" i="10"/>
  <c r="T50" i="10"/>
  <c r="T55" i="10" s="1"/>
  <c r="Y20" i="10" l="1"/>
  <c r="Z16" i="10"/>
  <c r="Y23" i="10"/>
  <c r="Y28" i="10" s="1"/>
  <c r="R45" i="10"/>
  <c r="E59" i="10"/>
  <c r="E60" i="10" s="1"/>
  <c r="L45" i="10"/>
  <c r="N54" i="10"/>
  <c r="L20" i="10"/>
  <c r="L30" i="10"/>
  <c r="L17" i="10"/>
  <c r="L37" i="10"/>
  <c r="L8" i="10"/>
  <c r="L41" i="10"/>
  <c r="L13" i="10"/>
  <c r="L29" i="10"/>
  <c r="L19" i="10"/>
  <c r="L35" i="10"/>
  <c r="L6" i="10"/>
  <c r="L31" i="10"/>
  <c r="L24" i="10"/>
  <c r="L7" i="10"/>
  <c r="L5" i="10"/>
  <c r="L25" i="10"/>
  <c r="L10" i="10"/>
  <c r="L36" i="10"/>
  <c r="L12" i="10"/>
  <c r="L9" i="10"/>
  <c r="L21" i="10"/>
  <c r="Y15" i="10" s="1"/>
  <c r="Y24" i="10" s="1"/>
  <c r="L18" i="10"/>
  <c r="L26" i="10"/>
  <c r="Y16" i="10" s="1"/>
  <c r="Y25" i="10" s="1"/>
  <c r="L42" i="10"/>
  <c r="Y19" i="10" s="1"/>
  <c r="Z19" i="10" s="1"/>
  <c r="L11" i="10"/>
  <c r="L32" i="10"/>
  <c r="Y17" i="10" s="1"/>
  <c r="Z17" i="10" s="1"/>
  <c r="L38" i="10"/>
  <c r="Y18" i="10" s="1"/>
  <c r="Z18" i="10" s="1"/>
  <c r="P54" i="10" l="1"/>
  <c r="N5" i="10" s="1"/>
  <c r="T54" i="10" l="1"/>
  <c r="N6" i="10"/>
  <c r="O5" i="10"/>
  <c r="S5" i="10" s="1"/>
  <c r="T5" i="10" s="1"/>
  <c r="U5" i="10" s="1"/>
  <c r="O6" i="10" l="1"/>
  <c r="S6" i="10" s="1"/>
  <c r="T6" i="10" s="1"/>
  <c r="U6" i="10" s="1"/>
  <c r="N7" i="10"/>
  <c r="O7" i="10" l="1"/>
  <c r="S7" i="10" s="1"/>
  <c r="T7" i="10" s="1"/>
  <c r="U7" i="10" s="1"/>
  <c r="N8" i="10"/>
  <c r="N9" i="10" l="1"/>
  <c r="O8" i="10"/>
  <c r="S8" i="10" s="1"/>
  <c r="T8" i="10" s="1"/>
  <c r="U8" i="10" s="1"/>
  <c r="N10" i="10" l="1"/>
  <c r="O9" i="10"/>
  <c r="S9" i="10" s="1"/>
  <c r="T9" i="10" s="1"/>
  <c r="U9" i="10" s="1"/>
  <c r="N11" i="10" l="1"/>
  <c r="O10" i="10"/>
  <c r="S10" i="10" s="1"/>
  <c r="T10" i="10" s="1"/>
  <c r="U10" i="10" s="1"/>
  <c r="N12" i="10" l="1"/>
  <c r="O11" i="10"/>
  <c r="S11" i="10" s="1"/>
  <c r="T11" i="10" s="1"/>
  <c r="U11" i="10" s="1"/>
  <c r="N13" i="10" l="1"/>
  <c r="O12" i="10"/>
  <c r="S12" i="10" s="1"/>
  <c r="T12" i="10" s="1"/>
  <c r="U12" i="10" s="1"/>
  <c r="N14" i="10" l="1"/>
  <c r="O13" i="10"/>
  <c r="S13" i="10" s="1"/>
  <c r="T13" i="10" s="1"/>
  <c r="U13" i="10" s="1"/>
  <c r="O14" i="10" l="1"/>
  <c r="N17" i="10"/>
  <c r="S14" i="10" l="1"/>
  <c r="O17" i="10"/>
  <c r="S17" i="10" s="1"/>
  <c r="T17" i="10" s="1"/>
  <c r="U17" i="10" s="1"/>
  <c r="N18" i="10"/>
  <c r="O18" i="10" l="1"/>
  <c r="S18" i="10" s="1"/>
  <c r="T18" i="10" s="1"/>
  <c r="U18" i="10" s="1"/>
  <c r="N19" i="10"/>
  <c r="T14" i="10"/>
  <c r="U14" i="10" l="1"/>
  <c r="O19" i="10"/>
  <c r="S19" i="10" s="1"/>
  <c r="T19" i="10" s="1"/>
  <c r="U19" i="10" s="1"/>
  <c r="N20" i="10"/>
  <c r="O20" i="10" l="1"/>
  <c r="S20" i="10" s="1"/>
  <c r="T20" i="10" s="1"/>
  <c r="U20" i="10" s="1"/>
  <c r="N21" i="10"/>
  <c r="O21" i="10" l="1"/>
  <c r="N24" i="10"/>
  <c r="S21" i="10" l="1"/>
  <c r="O24" i="10"/>
  <c r="S24" i="10" s="1"/>
  <c r="T24" i="10" s="1"/>
  <c r="U24" i="10" s="1"/>
  <c r="N25" i="10"/>
  <c r="N26" i="10" l="1"/>
  <c r="O26" i="10" s="1"/>
  <c r="O25" i="10"/>
  <c r="S25" i="10" s="1"/>
  <c r="T25" i="10" s="1"/>
  <c r="U25" i="10" s="1"/>
  <c r="T21" i="10"/>
  <c r="U21" i="10" l="1"/>
  <c r="S26" i="10"/>
  <c r="O45" i="10"/>
  <c r="T26" i="10" l="1"/>
  <c r="S45" i="10"/>
  <c r="U26" i="10" l="1"/>
  <c r="T4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Arunav Vaish</author>
  </authors>
  <commentList>
    <comment ref="E2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Arunav Vaish:</t>
        </r>
        <r>
          <rPr>
            <sz val="9"/>
            <color indexed="81"/>
            <rFont val="Tahoma"/>
            <family val="2"/>
          </rPr>
          <t xml:space="preserve">
https://drws17a9qx558.cloudfront.net/document/MCLR,%20Base%20Rate%20&amp;%20PLR/mclr-rates-february-22-2020.pdf</t>
        </r>
      </text>
    </comment>
    <comment ref="E4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Arunav Vaish:</t>
        </r>
        <r>
          <rPr>
            <sz val="9"/>
            <color indexed="81"/>
            <rFont val="Tahoma"/>
            <family val="2"/>
          </rPr>
          <t xml:space="preserve">
https://www.google.com/search?q=axis+bank+6+month+mclr&amp;rlz=1C1GCEV_enIN827IN827&amp;oq=axis+bank+6+month+MCLR&amp;aqs=chrome.0.0l5.3655j0j7&amp;sourceid=chrome&amp;ie=UTF-8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Shikha Pareek</author>
  </authors>
  <commentList>
    <comment ref="S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Shikha Pareek:</t>
        </r>
        <r>
          <rPr>
            <sz val="9"/>
            <color indexed="81"/>
            <rFont val="Tahoma"/>
            <family val="2"/>
          </rPr>
          <t xml:space="preserve">
Repayment of Borrowing Yes Bank: Balance in Yes Bank Current A/c as on 31.12.2020</t>
        </r>
      </text>
    </comment>
    <comment ref="S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Shikha Pareek:</t>
        </r>
        <r>
          <rPr>
            <sz val="9"/>
            <color indexed="81"/>
            <rFont val="Tahoma"/>
            <family val="2"/>
          </rPr>
          <t xml:space="preserve">
Represents Balance in Axis Current A/c</t>
        </r>
      </text>
    </comment>
  </commentList>
</comments>
</file>

<file path=xl/sharedStrings.xml><?xml version="1.0" encoding="utf-8"?>
<sst xmlns="http://schemas.openxmlformats.org/spreadsheetml/2006/main" count="339" uniqueCount="181">
  <si>
    <t>Secured NCDs</t>
  </si>
  <si>
    <t>HDFC</t>
  </si>
  <si>
    <t>Total</t>
  </si>
  <si>
    <t>Nief</t>
  </si>
  <si>
    <t>Net Proceeds</t>
  </si>
  <si>
    <t>Secured Term Lenders</t>
  </si>
  <si>
    <t>KIFS</t>
  </si>
  <si>
    <t>AIF</t>
  </si>
  <si>
    <t>BoI Axa</t>
  </si>
  <si>
    <t>Premji</t>
  </si>
  <si>
    <t>DSP</t>
  </si>
  <si>
    <t>Total KKR consortium</t>
  </si>
  <si>
    <t>HDFC Secured</t>
  </si>
  <si>
    <t>Total Secured Term Debt</t>
  </si>
  <si>
    <t>SBI</t>
  </si>
  <si>
    <t>BOB</t>
  </si>
  <si>
    <t>Yes Bank</t>
  </si>
  <si>
    <t>RBL Bank</t>
  </si>
  <si>
    <t>DB</t>
  </si>
  <si>
    <t>Total Unsecured Debt</t>
  </si>
  <si>
    <t>Total Debt</t>
  </si>
  <si>
    <t>Edelweiss ARC</t>
  </si>
  <si>
    <t>Interest rate</t>
  </si>
  <si>
    <t>8% / 9.25%</t>
  </si>
  <si>
    <t>Total Dues</t>
  </si>
  <si>
    <t>% Share
(Total Dues)</t>
  </si>
  <si>
    <t>% Share
(Principal Dues)</t>
  </si>
  <si>
    <t>&lt;---- assumed</t>
  </si>
  <si>
    <t>Rs in Crores</t>
  </si>
  <si>
    <t>Outflow</t>
  </si>
  <si>
    <t>Repayment of Borrowing Yes Bank</t>
  </si>
  <si>
    <t>Repayment of Borrowing HDFC</t>
  </si>
  <si>
    <t>Repayment of Borrowing HDFC (Recovery IU)</t>
  </si>
  <si>
    <t>Repayment of Borrowing Axis</t>
  </si>
  <si>
    <t>Repayment of Borrowing RBL</t>
  </si>
  <si>
    <t>DP Shortage Adjusted By Yes Bank</t>
  </si>
  <si>
    <t>Recovery/DP Shortage Adjusted By HDFC Bank</t>
  </si>
  <si>
    <t>SBI recovered dues of  SIL from SBAPL A/c</t>
  </si>
  <si>
    <t xml:space="preserve">Recovery by SBI </t>
  </si>
  <si>
    <t>Total Bank Payment</t>
  </si>
  <si>
    <t>Row Labels</t>
  </si>
  <si>
    <t>Grand Total</t>
  </si>
  <si>
    <t>YES Bank</t>
  </si>
  <si>
    <t>HDFC CC &amp; HDFC ECB</t>
  </si>
  <si>
    <t>RBL</t>
  </si>
  <si>
    <t>Bank Charges &amp; Others</t>
  </si>
  <si>
    <t>% Share
(Revised Total Dues)</t>
  </si>
  <si>
    <t>Arpwood Bid</t>
  </si>
  <si>
    <t>Recovery Proceeds:</t>
  </si>
  <si>
    <t>Principal
Dues</t>
  </si>
  <si>
    <t>Date</t>
  </si>
  <si>
    <t>Bank</t>
  </si>
  <si>
    <t>Amount</t>
  </si>
  <si>
    <t>Remarks</t>
  </si>
  <si>
    <t>SBI CC 9974</t>
  </si>
  <si>
    <t>Margin Credited by Bank</t>
  </si>
  <si>
    <t>Margin as per Our Book</t>
  </si>
  <si>
    <t>Debit Against TRA Margin Recovered</t>
  </si>
  <si>
    <t>Debit in CC AC 9974  - Corresponding Credit in TRA 5733 - Though LC Margin was to be released</t>
  </si>
  <si>
    <t>Note :</t>
  </si>
  <si>
    <t>Recovery by SBI  on consortium behalf of SBI</t>
  </si>
  <si>
    <t>Recovery by SBI  on consortium behalf of BoB</t>
  </si>
  <si>
    <t>Recovery by SBI  on consortium behalf of Yes Bank</t>
  </si>
  <si>
    <t>Recovery by SBI  on consortium behalf of HDFC</t>
  </si>
  <si>
    <t>Recovery by SBI  on consortium behalf of SBI??</t>
  </si>
  <si>
    <t>Interest Exp/Charges etc***</t>
  </si>
  <si>
    <t>Interest / Bank Charges***</t>
  </si>
  <si>
    <t>Details from SBI Pendng</t>
  </si>
  <si>
    <t>NA</t>
  </si>
  <si>
    <t>Total NFB Working Capital Debt</t>
  </si>
  <si>
    <t>Total FB Working Capital Debt</t>
  </si>
  <si>
    <t>1. Total Dues as on 30th Sept 2020</t>
  </si>
  <si>
    <t>2. Total Dues as per companys' data</t>
  </si>
  <si>
    <t>( Adjustemnt/Money recovered by HDFC from SIL/BVM Overseas)</t>
  </si>
  <si>
    <t>Distribution Principles:</t>
  </si>
  <si>
    <t>Pari-passu</t>
  </si>
  <si>
    <t>Total Proceeds to lenders</t>
  </si>
  <si>
    <t>I. Secured Term Lenders</t>
  </si>
  <si>
    <t>II. Secured Working Capital Lenders (Fund Based)</t>
  </si>
  <si>
    <t>III. Secured Working Capital Lenders (BGs)</t>
  </si>
  <si>
    <t>V. Unsecured</t>
  </si>
  <si>
    <t>Total Secured Junior Charge</t>
  </si>
  <si>
    <t>Pari-passu distribution:</t>
  </si>
  <si>
    <t>II. Secured FB Working Capital</t>
  </si>
  <si>
    <t>I. Secured Term</t>
  </si>
  <si>
    <t>III. Secured NFB Working Capital</t>
  </si>
  <si>
    <t>IV. Secured junior Charge</t>
  </si>
  <si>
    <t xml:space="preserve">V. Unsecured </t>
  </si>
  <si>
    <t>&lt;---- Secured allocation</t>
  </si>
  <si>
    <t>&lt;---- Junior charge allocation</t>
  </si>
  <si>
    <t>&lt;---- Unsecured allocation</t>
  </si>
  <si>
    <t>Yes</t>
  </si>
  <si>
    <t>No</t>
  </si>
  <si>
    <t>Distribution %</t>
  </si>
  <si>
    <t>(in Rs Crs)</t>
  </si>
  <si>
    <t>Assumptions</t>
  </si>
  <si>
    <t>Distribution Amount</t>
  </si>
  <si>
    <t>Amount already appropriated to be included in the pot:</t>
  </si>
  <si>
    <t>Negotiated</t>
  </si>
  <si>
    <t>Negotiated distribution:</t>
  </si>
  <si>
    <t>Considered in recovery above</t>
  </si>
  <si>
    <t>This is to be taken</t>
  </si>
  <si>
    <t>Notes</t>
  </si>
  <si>
    <t>Charge on WC created w/o NOC</t>
  </si>
  <si>
    <t xml:space="preserve">2nd charge on FA created </t>
  </si>
  <si>
    <t>15th Nov 2018. 30th sept 2017 - deemed secured</t>
  </si>
  <si>
    <t>28th sept 2018 sanction letter required NOC</t>
  </si>
  <si>
    <t>VI. Unsecured - Disputed</t>
  </si>
  <si>
    <t>&lt;---- Unsecured (disputed) allocation</t>
  </si>
  <si>
    <t>Less: tax and expenses</t>
  </si>
  <si>
    <t>Amt distributed</t>
  </si>
  <si>
    <t>Count</t>
  </si>
  <si>
    <t>Selection total</t>
  </si>
  <si>
    <t>Total recovery</t>
  </si>
  <si>
    <t>Distribution% on Total Recovery</t>
  </si>
  <si>
    <t>VI. Unsecured</t>
  </si>
  <si>
    <t>Axis</t>
  </si>
  <si>
    <t>ADCB ECB</t>
  </si>
  <si>
    <t>HDFC ECB</t>
  </si>
  <si>
    <t>IV. Secured with Junior Charge</t>
  </si>
  <si>
    <t>Add: already appropriated to WC lenders</t>
  </si>
  <si>
    <t>Proceeds due to lenders</t>
  </si>
  <si>
    <t>Amount already received in past</t>
  </si>
  <si>
    <t>Revised Total Dues After Considering Amount Already Received</t>
  </si>
  <si>
    <t>Column O - Column P</t>
  </si>
  <si>
    <t>Unsecured lenders</t>
  </si>
  <si>
    <t>Secured lenders</t>
  </si>
  <si>
    <t>% distribution</t>
  </si>
  <si>
    <t>Total dues</t>
  </si>
  <si>
    <t>SBI (from CC A/c)</t>
  </si>
  <si>
    <t>YES Bank ( from CC &amp; Current A/c)</t>
  </si>
  <si>
    <t>HDFC (from CC A/c)</t>
  </si>
  <si>
    <t>RBL (from CC A/c )</t>
  </si>
  <si>
    <t>Nov-20</t>
  </si>
  <si>
    <t>Dec-20</t>
  </si>
  <si>
    <t xml:space="preserve">Repayment of Borrowing Yes Bank </t>
  </si>
  <si>
    <t>Recovery HDFC vide collection recd.</t>
  </si>
  <si>
    <t>Recovery by SBI from CC A/c</t>
  </si>
  <si>
    <t>Interest Exp (Bank Wise breakup of Interest as per below) ***</t>
  </si>
  <si>
    <t>Adjustment/Money recovered by HDFC from SIL/BVM Overseas - to be excluded</t>
  </si>
  <si>
    <t>Old appropriation</t>
  </si>
  <si>
    <t>Difference</t>
  </si>
  <si>
    <t>(Rs Crs)</t>
  </si>
  <si>
    <t>Total Accrued</t>
  </si>
  <si>
    <t>% of total FC</t>
  </si>
  <si>
    <t>% of secured</t>
  </si>
  <si>
    <t>Total KKR Entities</t>
  </si>
  <si>
    <t>Total Secured</t>
  </si>
  <si>
    <t>Total FC</t>
  </si>
  <si>
    <t>Scenario I: NCLT Resolution</t>
  </si>
  <si>
    <t>Scenario II: NCLT Liquidation</t>
  </si>
  <si>
    <t>Scenario III: Outside NCLT Settlement</t>
  </si>
  <si>
    <t>TRA</t>
  </si>
  <si>
    <t>NEIF</t>
  </si>
  <si>
    <t xml:space="preserve">Total Cash </t>
  </si>
  <si>
    <t>Business Value</t>
  </si>
  <si>
    <t>Total Bid</t>
  </si>
  <si>
    <t>(-) Leakage for RP Cost + Misc</t>
  </si>
  <si>
    <t xml:space="preserve">Resolution Value </t>
  </si>
  <si>
    <t>% to secured</t>
  </si>
  <si>
    <t>Recovery to Secured</t>
  </si>
  <si>
    <t xml:space="preserve">Appropriated to </t>
  </si>
  <si>
    <t>% of Total Accrued</t>
  </si>
  <si>
    <t>Time for resolution (years)</t>
  </si>
  <si>
    <t>Time for liquidtaion (years)</t>
  </si>
  <si>
    <t>Time for Settlement (years)</t>
  </si>
  <si>
    <t>Discounting Rate</t>
  </si>
  <si>
    <t>Todays Value pf Recovery for</t>
  </si>
  <si>
    <t>Probability of Scenario</t>
  </si>
  <si>
    <t>Recovery</t>
  </si>
  <si>
    <t>Probability</t>
  </si>
  <si>
    <t>Total Junior Charge</t>
  </si>
  <si>
    <t>Total Unsecured</t>
  </si>
  <si>
    <t>Todays Value of Recovery for</t>
  </si>
  <si>
    <t>1% towards worksmen and Ocs</t>
  </si>
  <si>
    <t>Total under NCLT</t>
  </si>
  <si>
    <t>II. Secured Working Capital Lenders</t>
  </si>
  <si>
    <t>III. Secured with Junior Charge</t>
  </si>
  <si>
    <t>IV. Unsecured</t>
  </si>
  <si>
    <t>Lenders</t>
  </si>
  <si>
    <t>AXA MSF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</si>
</sst>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(* #,##0.00_);_(* \(#,##0.00\);_(* &quot;-&quot;??_);_(@_)"/>
    <numFmt numFmtId="166" formatCode="#,##0_);\(#,##0\);#,##0_);@_)"/>
    <numFmt numFmtId="167" formatCode="0%_);\(0%\);0%_);@_)"/>
    <numFmt numFmtId="168" formatCode="0.00%_);\(0.00%\);0.00%_);@_)"/>
    <numFmt numFmtId="169" formatCode="0.0%_);\(0.0%\);0.0%_);@_)"/>
    <numFmt numFmtId="170" formatCode="_(* #,##0_);_(* \(#,##0\);_(* &quot;-&quot;??_);_(@_)"/>
    <numFmt numFmtId="171" formatCode="_(* #,##0.0_);_(* \(#,##0.0\);_(* &quot;-&quot;??_);_(@_)"/>
    <numFmt numFmtId="172" formatCode="0.0%"/>
    <numFmt numFmtId="173" formatCode="0;\(0\)"/>
    <numFmt numFmtId="174" formatCode="#,##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rgb="FF222223"/>
      <name val="Calibri"/>
      <family val="2"/>
      <scheme val="minor"/>
    </font>
    <font>
      <sz val="11"/>
      <color rgb="FF22222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44444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22222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236">
    <xf numFmtId="0" fontId="0" fillId="0" borderId="0" xfId="0"/>
    <xf numFmtId="0" fontId="1" fillId="0" borderId="0" xfId="0" applyFont="1"/>
    <xf numFmtId="0" fontId="7" fillId="0" borderId="0" xfId="0" applyFont="1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horizontal="center" vertical="center" wrapText="1"/>
    </xf>
    <xf numFmtId="16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65" fontId="0" fillId="0" borderId="0" xfId="1" applyFont="1"/>
    <xf numFmtId="165" fontId="0" fillId="0" borderId="3" xfId="1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65" fontId="1" fillId="0" borderId="3" xfId="1" applyFont="1" applyBorder="1"/>
    <xf numFmtId="0" fontId="0" fillId="0" borderId="3" xfId="0" applyFont="1" applyBorder="1"/>
    <xf numFmtId="165" fontId="1" fillId="0" borderId="3" xfId="0" applyNumberFormat="1" applyFont="1" applyBorder="1"/>
    <xf numFmtId="0" fontId="0" fillId="0" borderId="0" xfId="0" applyFont="1"/>
    <xf numFmtId="165" fontId="1" fillId="0" borderId="3" xfId="1" applyFont="1" applyBorder="1" applyAlignment="1">
      <alignment horizontal="right"/>
    </xf>
    <xf numFmtId="165" fontId="0" fillId="0" borderId="4" xfId="1" applyFont="1" applyBorder="1"/>
    <xf numFmtId="0" fontId="0" fillId="0" borderId="3" xfId="2" applyFont="1" applyFill="1" applyBorder="1"/>
    <xf numFmtId="0" fontId="0" fillId="0" borderId="3" xfId="2" applyFont="1" applyFill="1" applyBorder="1" applyAlignment="1">
      <alignment horizontal="left" vertical="center"/>
    </xf>
    <xf numFmtId="0" fontId="14" fillId="4" borderId="3" xfId="2" applyFont="1" applyFill="1" applyBorder="1"/>
    <xf numFmtId="0" fontId="1" fillId="0" borderId="3" xfId="2" applyFont="1" applyFill="1" applyBorder="1"/>
    <xf numFmtId="165" fontId="1" fillId="0" borderId="3" xfId="1" applyFont="1" applyFill="1" applyBorder="1" applyAlignment="1">
      <alignment horizontal="right"/>
    </xf>
    <xf numFmtId="165" fontId="1" fillId="0" borderId="4" xfId="1" applyFont="1" applyFill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Font="1" applyBorder="1"/>
    <xf numFmtId="0" fontId="1" fillId="0" borderId="9" xfId="0" applyFont="1" applyBorder="1"/>
    <xf numFmtId="0" fontId="0" fillId="0" borderId="9" xfId="0" applyFont="1" applyBorder="1"/>
    <xf numFmtId="0" fontId="1" fillId="0" borderId="10" xfId="0" applyFont="1" applyBorder="1"/>
    <xf numFmtId="165" fontId="0" fillId="0" borderId="0" xfId="0" applyNumberFormat="1" applyFont="1"/>
    <xf numFmtId="14" fontId="0" fillId="0" borderId="3" xfId="0" applyNumberFormat="1" applyFont="1" applyBorder="1" applyAlignment="1">
      <alignment horizontal="left"/>
    </xf>
    <xf numFmtId="171" fontId="0" fillId="0" borderId="3" xfId="1" applyNumberFormat="1" applyFont="1" applyFill="1" applyBorder="1" applyAlignment="1">
      <alignment horizontal="right"/>
    </xf>
    <xf numFmtId="171" fontId="1" fillId="0" borderId="3" xfId="1" applyNumberFormat="1" applyFont="1" applyBorder="1" applyAlignment="1">
      <alignment horizontal="right"/>
    </xf>
    <xf numFmtId="171" fontId="0" fillId="0" borderId="3" xfId="1" applyNumberFormat="1" applyFont="1" applyFill="1" applyBorder="1"/>
    <xf numFmtId="171" fontId="0" fillId="0" borderId="3" xfId="1" applyNumberFormat="1" applyFont="1" applyFill="1" applyBorder="1" applyAlignment="1">
      <alignment horizontal="left" vertical="center"/>
    </xf>
    <xf numFmtId="171" fontId="14" fillId="4" borderId="3" xfId="1" applyNumberFormat="1" applyFont="1" applyFill="1" applyBorder="1" applyAlignment="1">
      <alignment horizontal="right"/>
    </xf>
    <xf numFmtId="171" fontId="0" fillId="0" borderId="3" xfId="1" applyNumberFormat="1" applyFont="1" applyBorder="1"/>
    <xf numFmtId="171" fontId="0" fillId="0" borderId="4" xfId="1" applyNumberFormat="1" applyFont="1" applyBorder="1"/>
    <xf numFmtId="171" fontId="1" fillId="0" borderId="11" xfId="1" applyNumberFormat="1" applyFont="1" applyBorder="1"/>
    <xf numFmtId="0" fontId="0" fillId="2" borderId="0" xfId="0" applyFont="1" applyFill="1"/>
    <xf numFmtId="170" fontId="7" fillId="5" borderId="0" xfId="1" applyNumberFormat="1" applyFont="1" applyFill="1" applyBorder="1" applyAlignment="1">
      <alignment horizontal="center" vertical="center" wrapText="1"/>
    </xf>
    <xf numFmtId="170" fontId="7" fillId="5" borderId="1" xfId="1" applyNumberFormat="1" applyFont="1" applyFill="1" applyBorder="1" applyAlignment="1">
      <alignment horizontal="center" vertical="center" wrapText="1"/>
    </xf>
    <xf numFmtId="170" fontId="7" fillId="0" borderId="1" xfId="1" applyNumberFormat="1" applyFont="1" applyFill="1" applyBorder="1" applyAlignment="1">
      <alignment horizontal="center" vertical="center" wrapText="1"/>
    </xf>
    <xf numFmtId="170" fontId="7" fillId="0" borderId="0" xfId="1" applyNumberFormat="1" applyFont="1" applyFill="1" applyBorder="1" applyAlignment="1">
      <alignment horizontal="center" vertical="center" wrapText="1"/>
    </xf>
    <xf numFmtId="165" fontId="0" fillId="2" borderId="3" xfId="1" applyFont="1" applyFill="1" applyBorder="1"/>
    <xf numFmtId="169" fontId="7" fillId="0" borderId="0" xfId="0" applyNumberFormat="1" applyFont="1" applyFill="1" applyBorder="1" applyAlignment="1">
      <alignment horizontal="left" vertical="center" wrapText="1"/>
    </xf>
    <xf numFmtId="171" fontId="1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0" fontId="0" fillId="0" borderId="0" xfId="1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172" fontId="0" fillId="0" borderId="0" xfId="3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5" fontId="1" fillId="0" borderId="0" xfId="0" applyNumberFormat="1" applyFont="1" applyBorder="1" applyAlignment="1">
      <alignment vertical="center"/>
    </xf>
    <xf numFmtId="170" fontId="1" fillId="0" borderId="0" xfId="1" applyNumberFormat="1" applyFont="1" applyBorder="1" applyAlignment="1">
      <alignment vertical="center"/>
    </xf>
    <xf numFmtId="15" fontId="1" fillId="0" borderId="0" xfId="0" applyNumberFormat="1" applyFont="1" applyFill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171" fontId="0" fillId="0" borderId="0" xfId="1" applyNumberFormat="1" applyFont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170" fontId="9" fillId="3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2" fontId="9" fillId="3" borderId="0" xfId="3" applyNumberFormat="1" applyFont="1" applyFill="1" applyBorder="1" applyAlignment="1">
      <alignment horizontal="center" vertical="center" wrapText="1"/>
    </xf>
    <xf numFmtId="172" fontId="0" fillId="0" borderId="0" xfId="3" applyNumberFormat="1" applyFont="1" applyAlignment="1">
      <alignment vertical="center"/>
    </xf>
    <xf numFmtId="166" fontId="0" fillId="0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0" fontId="6" fillId="0" borderId="0" xfId="1" applyNumberFormat="1" applyFont="1" applyFill="1" applyBorder="1" applyAlignment="1">
      <alignment horizontal="left" vertical="center" wrapText="1"/>
    </xf>
    <xf numFmtId="170" fontId="0" fillId="0" borderId="0" xfId="1" applyNumberFormat="1" applyFont="1" applyAlignment="1">
      <alignment vertical="center"/>
    </xf>
    <xf numFmtId="172" fontId="0" fillId="0" borderId="0" xfId="3" applyNumberFormat="1" applyFont="1" applyFill="1" applyAlignment="1">
      <alignment vertical="center"/>
    </xf>
    <xf numFmtId="167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  <xf numFmtId="168" fontId="0" fillId="0" borderId="0" xfId="0" applyNumberForma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6" fontId="0" fillId="0" borderId="2" xfId="0" applyNumberFormat="1" applyBorder="1" applyAlignment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170" fontId="8" fillId="0" borderId="2" xfId="1" applyNumberFormat="1" applyFont="1" applyFill="1" applyBorder="1" applyAlignment="1">
      <alignment horizontal="center" vertical="center" wrapText="1"/>
    </xf>
    <xf numFmtId="170" fontId="8" fillId="5" borderId="2" xfId="1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169" fontId="8" fillId="0" borderId="2" xfId="0" applyNumberFormat="1" applyFont="1" applyFill="1" applyBorder="1" applyAlignment="1">
      <alignment horizontal="center" vertical="center" wrapText="1"/>
    </xf>
    <xf numFmtId="169" fontId="8" fillId="0" borderId="0" xfId="0" applyNumberFormat="1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vertical="center"/>
    </xf>
    <xf numFmtId="10" fontId="0" fillId="0" borderId="1" xfId="0" applyNumberForma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70" fontId="8" fillId="0" borderId="1" xfId="1" applyNumberFormat="1" applyFont="1" applyFill="1" applyBorder="1" applyAlignment="1">
      <alignment horizontal="center" vertical="center" wrapText="1"/>
    </xf>
    <xf numFmtId="170" fontId="8" fillId="5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170" fontId="0" fillId="5" borderId="0" xfId="1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9" fontId="1" fillId="0" borderId="13" xfId="0" applyNumberFormat="1" applyFont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9" fontId="0" fillId="0" borderId="0" xfId="3" applyNumberFormat="1" applyFont="1" applyAlignment="1">
      <alignment vertical="center"/>
    </xf>
    <xf numFmtId="10" fontId="0" fillId="0" borderId="0" xfId="0" applyNumberFormat="1" applyAlignment="1">
      <alignment horizontal="right" vertical="center"/>
    </xf>
    <xf numFmtId="10" fontId="0" fillId="2" borderId="12" xfId="3" applyNumberFormat="1" applyFont="1" applyFill="1" applyBorder="1" applyAlignment="1">
      <alignment vertical="center"/>
    </xf>
    <xf numFmtId="9" fontId="1" fillId="0" borderId="13" xfId="3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0" fontId="0" fillId="0" borderId="0" xfId="0" applyNumberFormat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172" fontId="1" fillId="0" borderId="0" xfId="3" applyNumberFormat="1" applyFont="1" applyFill="1" applyAlignment="1">
      <alignment horizontal="right" vertical="center"/>
    </xf>
    <xf numFmtId="172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1" fontId="0" fillId="0" borderId="0" xfId="1" applyNumberFormat="1" applyFont="1" applyBorder="1" applyAlignment="1">
      <alignment vertical="center"/>
    </xf>
    <xf numFmtId="0" fontId="0" fillId="0" borderId="0" xfId="0" applyFill="1" applyAlignment="1">
      <alignment horizontal="left" vertical="center"/>
    </xf>
    <xf numFmtId="170" fontId="0" fillId="0" borderId="0" xfId="0" applyNumberFormat="1" applyFill="1" applyAlignment="1">
      <alignment vertical="center"/>
    </xf>
    <xf numFmtId="170" fontId="11" fillId="0" borderId="0" xfId="1" applyNumberFormat="1" applyFont="1" applyFill="1" applyAlignment="1">
      <alignment vertical="center"/>
    </xf>
    <xf numFmtId="170" fontId="0" fillId="0" borderId="0" xfId="0" applyNumberFormat="1" applyFont="1" applyFill="1" applyAlignment="1">
      <alignment vertical="center"/>
    </xf>
    <xf numFmtId="171" fontId="1" fillId="0" borderId="0" xfId="1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170" fontId="13" fillId="0" borderId="0" xfId="1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0" fontId="12" fillId="0" borderId="0" xfId="1" applyNumberFormat="1" applyFont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0" fontId="13" fillId="0" borderId="0" xfId="1" applyNumberFormat="1" applyFont="1" applyBorder="1" applyAlignment="1">
      <alignment vertical="center"/>
    </xf>
    <xf numFmtId="168" fontId="7" fillId="0" borderId="0" xfId="0" applyNumberFormat="1" applyFont="1" applyFill="1" applyBorder="1" applyAlignment="1">
      <alignment horizontal="center" vertical="center" wrapText="1"/>
    </xf>
    <xf numFmtId="168" fontId="8" fillId="0" borderId="2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10" fontId="0" fillId="0" borderId="0" xfId="3" applyNumberFormat="1" applyFont="1" applyAlignment="1">
      <alignment vertical="center"/>
    </xf>
    <xf numFmtId="172" fontId="17" fillId="0" borderId="0" xfId="3" applyNumberFormat="1" applyFont="1" applyAlignment="1">
      <alignment horizontal="center" vertical="center"/>
    </xf>
    <xf numFmtId="170" fontId="0" fillId="0" borderId="0" xfId="0" applyNumberFormat="1" applyAlignment="1">
      <alignment vertical="center"/>
    </xf>
    <xf numFmtId="0" fontId="9" fillId="6" borderId="0" xfId="0" applyFont="1" applyFill="1" applyBorder="1" applyAlignment="1">
      <alignment horizontal="center" vertical="center" wrapText="1"/>
    </xf>
    <xf numFmtId="172" fontId="7" fillId="0" borderId="0" xfId="3" applyNumberFormat="1" applyFont="1" applyFill="1" applyBorder="1" applyAlignment="1">
      <alignment horizontal="center" vertical="center" wrapText="1"/>
    </xf>
    <xf numFmtId="172" fontId="7" fillId="0" borderId="1" xfId="3" applyNumberFormat="1" applyFont="1" applyFill="1" applyBorder="1" applyAlignment="1">
      <alignment horizontal="center" vertical="center" wrapText="1"/>
    </xf>
    <xf numFmtId="172" fontId="8" fillId="0" borderId="2" xfId="3" applyNumberFormat="1" applyFont="1" applyFill="1" applyBorder="1" applyAlignment="1">
      <alignment horizontal="center" vertical="center" wrapText="1"/>
    </xf>
    <xf numFmtId="172" fontId="8" fillId="0" borderId="1" xfId="3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vertical="center"/>
    </xf>
    <xf numFmtId="165" fontId="1" fillId="0" borderId="0" xfId="1" applyFont="1" applyBorder="1" applyAlignment="1">
      <alignment horizontal="right"/>
    </xf>
    <xf numFmtId="0" fontId="0" fillId="0" borderId="0" xfId="0" applyFont="1" applyBorder="1"/>
    <xf numFmtId="17" fontId="1" fillId="0" borderId="3" xfId="1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171" fontId="1" fillId="0" borderId="4" xfId="1" applyNumberFormat="1" applyFont="1" applyBorder="1" applyAlignment="1">
      <alignment horizontal="right"/>
    </xf>
    <xf numFmtId="171" fontId="1" fillId="0" borderId="15" xfId="1" applyNumberFormat="1" applyFont="1" applyBorder="1"/>
    <xf numFmtId="0" fontId="1" fillId="0" borderId="3" xfId="0" applyFont="1" applyBorder="1" applyAlignment="1">
      <alignment horizontal="right"/>
    </xf>
    <xf numFmtId="0" fontId="1" fillId="0" borderId="16" xfId="0" applyFont="1" applyBorder="1"/>
    <xf numFmtId="17" fontId="1" fillId="0" borderId="17" xfId="1" quotePrefix="1" applyNumberFormat="1" applyFont="1" applyBorder="1" applyAlignment="1">
      <alignment horizontal="center"/>
    </xf>
    <xf numFmtId="0" fontId="1" fillId="7" borderId="3" xfId="0" applyFont="1" applyFill="1" applyBorder="1"/>
    <xf numFmtId="164" fontId="1" fillId="7" borderId="3" xfId="1" applyNumberFormat="1" applyFont="1" applyFill="1" applyBorder="1"/>
    <xf numFmtId="17" fontId="18" fillId="7" borderId="0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165" fontId="7" fillId="0" borderId="0" xfId="1" applyFont="1" applyFill="1" applyBorder="1" applyAlignment="1">
      <alignment horizontal="center" vertical="center" wrapText="1"/>
    </xf>
    <xf numFmtId="165" fontId="8" fillId="0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" fontId="18" fillId="0" borderId="0" xfId="0" applyNumberFormat="1" applyFont="1" applyFill="1" applyBorder="1" applyAlignment="1">
      <alignment horizontal="center" vertical="center"/>
    </xf>
    <xf numFmtId="172" fontId="0" fillId="0" borderId="0" xfId="3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66" fontId="7" fillId="0" borderId="0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170" fontId="1" fillId="0" borderId="0" xfId="0" applyNumberFormat="1" applyFont="1" applyAlignment="1">
      <alignment vertical="center"/>
    </xf>
    <xf numFmtId="170" fontId="1" fillId="0" borderId="0" xfId="1" applyNumberFormat="1" applyFont="1" applyAlignment="1">
      <alignment vertical="center"/>
    </xf>
    <xf numFmtId="0" fontId="1" fillId="0" borderId="0" xfId="0" applyFont="1" applyFill="1" applyBorder="1" applyAlignment="1">
      <alignment vertical="center"/>
    </xf>
    <xf numFmtId="172" fontId="1" fillId="0" borderId="0" xfId="3" applyNumberFormat="1" applyFont="1" applyAlignment="1">
      <alignment vertical="center"/>
    </xf>
    <xf numFmtId="170" fontId="0" fillId="0" borderId="0" xfId="0" applyNumberFormat="1" applyFill="1" applyBorder="1" applyAlignment="1">
      <alignment vertical="center"/>
    </xf>
    <xf numFmtId="172" fontId="7" fillId="0" borderId="0" xfId="3" applyNumberFormat="1" applyFont="1" applyAlignment="1">
      <alignment horizontal="center" vertical="center"/>
    </xf>
    <xf numFmtId="170" fontId="1" fillId="0" borderId="14" xfId="1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0" fontId="1" fillId="0" borderId="14" xfId="0" applyNumberFormat="1" applyFont="1" applyFill="1" applyBorder="1" applyAlignment="1">
      <alignment vertical="center"/>
    </xf>
    <xf numFmtId="0" fontId="6" fillId="8" borderId="0" xfId="0" applyFont="1" applyFill="1" applyBorder="1" applyAlignment="1">
      <alignment horizontal="left" vertical="center" wrapText="1"/>
    </xf>
    <xf numFmtId="165" fontId="0" fillId="0" borderId="0" xfId="1" applyNumberFormat="1" applyFont="1" applyBorder="1" applyAlignment="1">
      <alignment vertical="center"/>
    </xf>
    <xf numFmtId="1" fontId="0" fillId="0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9" fontId="1" fillId="0" borderId="0" xfId="3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72" fontId="14" fillId="0" borderId="2" xfId="3" applyNumberFormat="1" applyFont="1" applyFill="1" applyBorder="1" applyAlignment="1">
      <alignment horizontal="center" vertical="center" wrapText="1"/>
    </xf>
    <xf numFmtId="171" fontId="0" fillId="0" borderId="0" xfId="0" applyNumberFormat="1" applyFont="1"/>
    <xf numFmtId="0" fontId="1" fillId="0" borderId="0" xfId="0" applyFont="1" applyFill="1"/>
    <xf numFmtId="165" fontId="8" fillId="0" borderId="1" xfId="1" applyFont="1" applyFill="1" applyBorder="1" applyAlignment="1">
      <alignment horizontal="center" vertical="center" wrapText="1"/>
    </xf>
    <xf numFmtId="173" fontId="7" fillId="0" borderId="0" xfId="1" applyNumberFormat="1" applyFont="1" applyFill="1" applyBorder="1" applyAlignment="1">
      <alignment horizontal="center" vertical="center" wrapText="1"/>
    </xf>
    <xf numFmtId="173" fontId="8" fillId="0" borderId="2" xfId="1" applyNumberFormat="1" applyFont="1" applyFill="1" applyBorder="1" applyAlignment="1">
      <alignment horizontal="center" vertical="center" wrapText="1"/>
    </xf>
    <xf numFmtId="173" fontId="0" fillId="0" borderId="0" xfId="0" applyNumberFormat="1" applyFill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 vertical="center" wrapText="1"/>
    </xf>
    <xf numFmtId="173" fontId="7" fillId="0" borderId="1" xfId="0" applyNumberFormat="1" applyFont="1" applyFill="1" applyBorder="1" applyAlignment="1">
      <alignment horizontal="center" vertical="center" wrapText="1"/>
    </xf>
    <xf numFmtId="173" fontId="8" fillId="0" borderId="1" xfId="0" applyNumberFormat="1" applyFont="1" applyFill="1" applyBorder="1" applyAlignment="1">
      <alignment horizontal="center" vertical="center" wrapText="1"/>
    </xf>
    <xf numFmtId="173" fontId="8" fillId="0" borderId="2" xfId="0" applyNumberFormat="1" applyFont="1" applyFill="1" applyBorder="1" applyAlignment="1">
      <alignment horizontal="center" vertical="center" wrapText="1"/>
    </xf>
    <xf numFmtId="170" fontId="19" fillId="0" borderId="1" xfId="1" applyNumberFormat="1" applyFont="1" applyBorder="1"/>
    <xf numFmtId="170" fontId="1" fillId="0" borderId="1" xfId="1" applyNumberFormat="1" applyFont="1" applyBorder="1"/>
    <xf numFmtId="172" fontId="1" fillId="0" borderId="1" xfId="3" applyNumberFormat="1" applyFont="1" applyBorder="1" applyAlignment="1">
      <alignment horizontal="right"/>
    </xf>
    <xf numFmtId="0" fontId="0" fillId="0" borderId="0" xfId="0" applyAlignment="1">
      <alignment horizontal="left" indent="2"/>
    </xf>
    <xf numFmtId="170" fontId="17" fillId="0" borderId="0" xfId="1" applyNumberFormat="1" applyFont="1"/>
    <xf numFmtId="172" fontId="0" fillId="0" borderId="0" xfId="3" applyNumberFormat="1" applyFont="1"/>
    <xf numFmtId="170" fontId="1" fillId="0" borderId="0" xfId="1" applyNumberFormat="1" applyFont="1"/>
    <xf numFmtId="172" fontId="1" fillId="0" borderId="0" xfId="3" applyNumberFormat="1" applyFont="1"/>
    <xf numFmtId="172" fontId="1" fillId="0" borderId="0" xfId="3" applyNumberFormat="1" applyFont="1" applyAlignment="1">
      <alignment horizontal="right"/>
    </xf>
    <xf numFmtId="0" fontId="12" fillId="0" borderId="0" xfId="0" applyFont="1"/>
    <xf numFmtId="170" fontId="0" fillId="0" borderId="0" xfId="1" applyNumberFormat="1" applyFont="1"/>
    <xf numFmtId="172" fontId="13" fillId="0" borderId="0" xfId="3" applyNumberFormat="1" applyFont="1"/>
    <xf numFmtId="172" fontId="13" fillId="0" borderId="0" xfId="3" applyNumberFormat="1" applyFont="1" applyAlignment="1">
      <alignment horizontal="right"/>
    </xf>
    <xf numFmtId="170" fontId="1" fillId="0" borderId="0" xfId="1" applyNumberFormat="1" applyFont="1" applyAlignment="1">
      <alignment horizontal="right"/>
    </xf>
    <xf numFmtId="0" fontId="20" fillId="0" borderId="0" xfId="0" applyFont="1"/>
    <xf numFmtId="165" fontId="0" fillId="0" borderId="0" xfId="0" applyNumberFormat="1"/>
    <xf numFmtId="165" fontId="0" fillId="0" borderId="0" xfId="1" applyFont="1" applyAlignment="1">
      <alignment horizontal="right"/>
    </xf>
    <xf numFmtId="172" fontId="0" fillId="0" borderId="0" xfId="3" applyNumberFormat="1" applyFont="1" applyAlignment="1">
      <alignment horizontal="right"/>
    </xf>
    <xf numFmtId="172" fontId="0" fillId="2" borderId="0" xfId="3" applyNumberFormat="1" applyFont="1" applyFill="1"/>
    <xf numFmtId="0" fontId="1" fillId="0" borderId="0" xfId="0" applyFont="1" applyAlignment="1">
      <alignment horizontal="right"/>
    </xf>
    <xf numFmtId="170" fontId="1" fillId="0" borderId="14" xfId="1" applyNumberFormat="1" applyFont="1" applyBorder="1"/>
    <xf numFmtId="172" fontId="1" fillId="0" borderId="14" xfId="3" applyNumberFormat="1" applyFont="1" applyBorder="1"/>
    <xf numFmtId="172" fontId="11" fillId="0" borderId="0" xfId="3" applyNumberFormat="1" applyFont="1"/>
    <xf numFmtId="170" fontId="7" fillId="0" borderId="0" xfId="1" applyNumberFormat="1" applyFont="1"/>
    <xf numFmtId="170" fontId="11" fillId="0" borderId="0" xfId="1" applyNumberFormat="1" applyFont="1"/>
    <xf numFmtId="0" fontId="0" fillId="0" borderId="4" xfId="0" applyFont="1" applyBorder="1"/>
    <xf numFmtId="170" fontId="11" fillId="0" borderId="2" xfId="1" applyNumberFormat="1" applyFont="1" applyBorder="1"/>
    <xf numFmtId="172" fontId="11" fillId="0" borderId="2" xfId="3" applyNumberFormat="1" applyFont="1" applyBorder="1"/>
    <xf numFmtId="172" fontId="11" fillId="0" borderId="18" xfId="3" applyNumberFormat="1" applyFont="1" applyBorder="1"/>
    <xf numFmtId="0" fontId="1" fillId="0" borderId="2" xfId="0" applyFont="1" applyBorder="1"/>
    <xf numFmtId="0" fontId="1" fillId="0" borderId="14" xfId="0" applyFont="1" applyBorder="1"/>
    <xf numFmtId="172" fontId="17" fillId="0" borderId="0" xfId="3" applyNumberFormat="1" applyFont="1"/>
    <xf numFmtId="171" fontId="8" fillId="0" borderId="2" xfId="0" applyNumberFormat="1" applyFont="1" applyFill="1" applyBorder="1" applyAlignment="1">
      <alignment horizontal="right" vertical="center" wrapText="1"/>
    </xf>
    <xf numFmtId="165" fontId="17" fillId="0" borderId="0" xfId="1" applyFont="1"/>
    <xf numFmtId="3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vertical="center"/>
    </xf>
    <xf numFmtId="174" fontId="17" fillId="0" borderId="0" xfId="0" applyNumberFormat="1" applyFont="1" applyFill="1" applyBorder="1" applyAlignment="1">
      <alignment horizontal="center" vertical="center" wrapText="1"/>
    </xf>
    <xf numFmtId="174" fontId="17" fillId="0" borderId="1" xfId="0" applyNumberFormat="1" applyFont="1" applyFill="1" applyBorder="1" applyAlignment="1">
      <alignment horizontal="center" vertical="center" wrapText="1"/>
    </xf>
    <xf numFmtId="174" fontId="8" fillId="0" borderId="2" xfId="0" applyNumberFormat="1" applyFont="1" applyFill="1" applyBorder="1" applyAlignment="1">
      <alignment horizontal="center" vertical="center" wrapText="1"/>
    </xf>
    <xf numFmtId="174" fontId="8" fillId="0" borderId="1" xfId="0" applyNumberFormat="1" applyFont="1" applyFill="1" applyBorder="1" applyAlignment="1">
      <alignment horizontal="center" vertical="center" wrapText="1"/>
    </xf>
    <xf numFmtId="174" fontId="0" fillId="0" borderId="0" xfId="0" applyNumberFormat="1" applyFill="1" applyAlignment="1">
      <alignment vertical="center"/>
    </xf>
    <xf numFmtId="174" fontId="7" fillId="0" borderId="0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8" xfId="2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45"/>
  <sheetViews>
    <sheetView showGridLines="0" topLeftCell="D1" zoomScale="85" zoomScaleNormal="85" workbookViewId="0">
      <pane ySplit="4" topLeftCell="A5" activePane="bottomLeft" state="frozen"/>
      <selection activeCell="U10" sqref="U10"/>
      <selection pane="bottomLeft" activeCell="R8" sqref="R8"/>
    </sheetView>
  </sheetViews>
  <sheetFormatPr defaultColWidth="9.140625" defaultRowHeight="15" x14ac:dyDescent="0.25"/>
  <cols>
    <col min="1" max="1" width="52" style="15" customWidth="1"/>
    <col min="2" max="2" width="17.42578125" style="15" customWidth="1"/>
    <col min="3" max="3" width="21" style="15" customWidth="1"/>
    <col min="4" max="4" width="18.85546875" style="15" customWidth="1"/>
    <col min="5" max="16" width="9.85546875" style="15" bestFit="1" customWidth="1"/>
    <col min="17" max="17" width="9.85546875" style="15" customWidth="1"/>
    <col min="18" max="18" width="12.7109375" style="15" bestFit="1" customWidth="1"/>
    <col min="19" max="19" width="14" style="15" customWidth="1"/>
    <col min="20" max="16384" width="9.140625" style="15"/>
  </cols>
  <sheetData>
    <row r="2" spans="1:21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6" t="s">
        <v>28</v>
      </c>
      <c r="S2" s="143"/>
    </row>
    <row r="3" spans="1:21" x14ac:dyDescent="0.25">
      <c r="A3" s="152" t="s">
        <v>111</v>
      </c>
      <c r="B3" s="153" t="e">
        <f>IF(#REF!&lt;'Bank Recovery _old'!B4,1,0)</f>
        <v>#REF!</v>
      </c>
      <c r="C3" s="153" t="e">
        <f>IF(#REF!&lt;'Bank Recovery _old'!C4,1,0)</f>
        <v>#REF!</v>
      </c>
      <c r="D3" s="153" t="e">
        <f>IF(#REF!&lt;'Bank Recovery _old'!D4,1,0)</f>
        <v>#REF!</v>
      </c>
      <c r="E3" s="153" t="e">
        <f>IF(#REF!&lt;'Bank Recovery _old'!E4,1,0)</f>
        <v>#REF!</v>
      </c>
      <c r="F3" s="153" t="e">
        <f>IF(#REF!&lt;'Bank Recovery _old'!F4,1,0)</f>
        <v>#REF!</v>
      </c>
      <c r="G3" s="153" t="e">
        <f>IF(#REF!&lt;'Bank Recovery _old'!G4,1,0)</f>
        <v>#REF!</v>
      </c>
      <c r="H3" s="153" t="e">
        <f>IF(#REF!&lt;'Bank Recovery _old'!H4,1,0)</f>
        <v>#REF!</v>
      </c>
      <c r="I3" s="153" t="e">
        <f>IF(#REF!&lt;'Bank Recovery _old'!I4,1,0)</f>
        <v>#REF!</v>
      </c>
      <c r="J3" s="153" t="e">
        <f>IF(#REF!&lt;'Bank Recovery _old'!J4,1,0)</f>
        <v>#REF!</v>
      </c>
      <c r="K3" s="153" t="e">
        <f>IF(#REF!&lt;'Bank Recovery _old'!K4,1,0)</f>
        <v>#REF!</v>
      </c>
      <c r="L3" s="153" t="e">
        <f>IF(#REF!&lt;'Bank Recovery _old'!L4,1,0)</f>
        <v>#REF!</v>
      </c>
      <c r="M3" s="153" t="e">
        <f>IF(#REF!&lt;'Bank Recovery _old'!M4,1,0)</f>
        <v>#REF!</v>
      </c>
      <c r="N3" s="153" t="e">
        <f>IF(#REF!&lt;'Bank Recovery _old'!N4,1,0)</f>
        <v>#REF!</v>
      </c>
      <c r="O3" s="153" t="e">
        <f>IF(#REF!&lt;'Bank Recovery _old'!O4,1,0)</f>
        <v>#REF!</v>
      </c>
      <c r="P3" s="153" t="e">
        <f>IF(#REF!&lt;'Bank Recovery _old'!P4,1,0)</f>
        <v>#REF!</v>
      </c>
      <c r="Q3" s="153" t="e">
        <f>IF(#REF!&lt;'Bank Recovery _old'!Q4,1,0)</f>
        <v>#REF!</v>
      </c>
      <c r="R3" s="16"/>
      <c r="S3" s="143"/>
    </row>
    <row r="4" spans="1:21" x14ac:dyDescent="0.25">
      <c r="A4" s="150" t="s">
        <v>29</v>
      </c>
      <c r="B4" s="151">
        <v>43677</v>
      </c>
      <c r="C4" s="151">
        <f>EOMONTH(B4,1)</f>
        <v>43708</v>
      </c>
      <c r="D4" s="151">
        <f t="shared" ref="D4:Q4" si="0">EOMONTH(C4,1)</f>
        <v>43738</v>
      </c>
      <c r="E4" s="151">
        <f t="shared" si="0"/>
        <v>43769</v>
      </c>
      <c r="F4" s="151">
        <f t="shared" si="0"/>
        <v>43799</v>
      </c>
      <c r="G4" s="151">
        <f t="shared" si="0"/>
        <v>43830</v>
      </c>
      <c r="H4" s="151">
        <f t="shared" si="0"/>
        <v>43861</v>
      </c>
      <c r="I4" s="151">
        <f t="shared" si="0"/>
        <v>43890</v>
      </c>
      <c r="J4" s="151">
        <f t="shared" si="0"/>
        <v>43921</v>
      </c>
      <c r="K4" s="151">
        <f t="shared" si="0"/>
        <v>43951</v>
      </c>
      <c r="L4" s="151">
        <f t="shared" si="0"/>
        <v>43982</v>
      </c>
      <c r="M4" s="151">
        <f t="shared" si="0"/>
        <v>44012</v>
      </c>
      <c r="N4" s="151">
        <f t="shared" si="0"/>
        <v>44043</v>
      </c>
      <c r="O4" s="151">
        <f t="shared" si="0"/>
        <v>44074</v>
      </c>
      <c r="P4" s="151">
        <f t="shared" si="0"/>
        <v>44104</v>
      </c>
      <c r="Q4" s="151">
        <f t="shared" si="0"/>
        <v>44135</v>
      </c>
      <c r="R4" s="16" t="s">
        <v>2</v>
      </c>
      <c r="S4" s="16" t="s">
        <v>112</v>
      </c>
    </row>
    <row r="5" spans="1:21" x14ac:dyDescent="0.25">
      <c r="B5" s="9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9"/>
      <c r="S5" s="9"/>
    </row>
    <row r="6" spans="1:21" x14ac:dyDescent="0.25">
      <c r="A6" s="18" t="s">
        <v>30</v>
      </c>
      <c r="B6" s="33">
        <v>6.47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4">
        <f t="shared" ref="R6:R20" si="1">SUM(B6:Q6)</f>
        <v>6.47</v>
      </c>
      <c r="S6" s="34">
        <f>SUMIF($B$3:$Q$3,"&gt;0",B6:Q6)</f>
        <v>0</v>
      </c>
    </row>
    <row r="7" spans="1:21" x14ac:dyDescent="0.25">
      <c r="A7" s="18" t="s">
        <v>31</v>
      </c>
      <c r="B7" s="33">
        <v>5.7253289000000001</v>
      </c>
      <c r="C7" s="33">
        <v>0</v>
      </c>
      <c r="D7" s="33">
        <v>0</v>
      </c>
      <c r="E7" s="33">
        <v>0</v>
      </c>
      <c r="F7" s="33">
        <v>0</v>
      </c>
      <c r="G7" s="33">
        <v>0.9375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4">
        <f t="shared" si="1"/>
        <v>6.6628289000000001</v>
      </c>
      <c r="S7" s="34">
        <f t="shared" ref="S7:S21" si="2">SUMIF($B$3:$Q$3,"&gt;0",B7:Q7)</f>
        <v>0</v>
      </c>
    </row>
    <row r="8" spans="1:21" x14ac:dyDescent="0.25">
      <c r="A8" s="18" t="s">
        <v>32</v>
      </c>
      <c r="B8" s="35">
        <v>0</v>
      </c>
      <c r="C8" s="35">
        <v>20.67</v>
      </c>
      <c r="D8" s="35">
        <v>0</v>
      </c>
      <c r="E8" s="35">
        <v>0</v>
      </c>
      <c r="F8" s="35">
        <v>0</v>
      </c>
      <c r="G8" s="35">
        <v>17.010000000000002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4">
        <f t="shared" si="1"/>
        <v>37.680000000000007</v>
      </c>
      <c r="S8" s="34">
        <f t="shared" si="2"/>
        <v>0</v>
      </c>
      <c r="T8" s="41" t="s">
        <v>73</v>
      </c>
    </row>
    <row r="9" spans="1:21" x14ac:dyDescent="0.25">
      <c r="A9" s="18" t="s">
        <v>33</v>
      </c>
      <c r="B9" s="33">
        <v>7.942124327000001</v>
      </c>
      <c r="C9" s="33">
        <v>1.2838099000000001</v>
      </c>
      <c r="D9" s="33">
        <v>2.6475820740000002</v>
      </c>
      <c r="E9" s="33">
        <v>0.88087518599999992</v>
      </c>
      <c r="F9" s="33">
        <v>0.18194187100000001</v>
      </c>
      <c r="G9" s="33">
        <v>0.92</v>
      </c>
      <c r="H9" s="33">
        <v>0.40215621399999996</v>
      </c>
      <c r="I9" s="33">
        <v>0</v>
      </c>
      <c r="J9" s="33">
        <v>0.220396021</v>
      </c>
      <c r="K9" s="33">
        <v>0.1394</v>
      </c>
      <c r="L9" s="33">
        <v>0</v>
      </c>
      <c r="M9" s="33">
        <v>2.66</v>
      </c>
      <c r="N9" s="33">
        <v>0.05</v>
      </c>
      <c r="O9" s="33">
        <v>0</v>
      </c>
      <c r="P9" s="33">
        <v>0</v>
      </c>
      <c r="Q9" s="33">
        <v>0</v>
      </c>
      <c r="R9" s="34">
        <f t="shared" si="1"/>
        <v>17.328285593</v>
      </c>
      <c r="S9" s="34">
        <f t="shared" si="2"/>
        <v>0</v>
      </c>
    </row>
    <row r="10" spans="1:21" x14ac:dyDescent="0.25">
      <c r="A10" s="18" t="s">
        <v>34</v>
      </c>
      <c r="B10" s="33">
        <v>2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4">
        <f t="shared" si="1"/>
        <v>2</v>
      </c>
      <c r="S10" s="34">
        <f t="shared" si="2"/>
        <v>0</v>
      </c>
      <c r="U10" s="184">
        <f>'Bank Recovery _old'!S7+'Bank Recovery _old'!S12+'Bank Recovery _old'!S19+'Bank Recovery _old'!S29</f>
        <v>0</v>
      </c>
    </row>
    <row r="11" spans="1:21" x14ac:dyDescent="0.25">
      <c r="A11" s="18" t="s">
        <v>35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2.4500000000000002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4">
        <f t="shared" si="1"/>
        <v>2.4500000000000002</v>
      </c>
      <c r="S11" s="34">
        <f t="shared" si="2"/>
        <v>0</v>
      </c>
    </row>
    <row r="12" spans="1:21" x14ac:dyDescent="0.25">
      <c r="A12" s="18" t="s">
        <v>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f>35.1-19.76</f>
        <v>15.34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4">
        <f t="shared" si="1"/>
        <v>15.34</v>
      </c>
      <c r="S12" s="34">
        <f t="shared" si="2"/>
        <v>0</v>
      </c>
    </row>
    <row r="13" spans="1:21" x14ac:dyDescent="0.25">
      <c r="A13" s="18" t="s">
        <v>65</v>
      </c>
      <c r="B13" s="35">
        <f t="shared" ref="B13:Q13" si="3">B32</f>
        <v>2.9321417520000002</v>
      </c>
      <c r="C13" s="35">
        <f t="shared" si="3"/>
        <v>1.6895204390000003</v>
      </c>
      <c r="D13" s="35">
        <f t="shared" si="3"/>
        <v>1.4825602349999998</v>
      </c>
      <c r="E13" s="35">
        <f t="shared" si="3"/>
        <v>1.022269439</v>
      </c>
      <c r="F13" s="35">
        <f t="shared" si="3"/>
        <v>1.2044482430000001</v>
      </c>
      <c r="G13" s="35">
        <f t="shared" si="3"/>
        <v>0.82970275199999999</v>
      </c>
      <c r="H13" s="35">
        <f t="shared" si="3"/>
        <v>0.43049825500000005</v>
      </c>
      <c r="I13" s="35">
        <f t="shared" si="3"/>
        <v>0.39185615299999998</v>
      </c>
      <c r="J13" s="35">
        <f t="shared" si="3"/>
        <v>8.7747211000000007</v>
      </c>
      <c r="K13" s="35">
        <f t="shared" si="3"/>
        <v>0</v>
      </c>
      <c r="L13" s="35">
        <f t="shared" si="3"/>
        <v>0</v>
      </c>
      <c r="M13" s="35">
        <f t="shared" si="3"/>
        <v>0</v>
      </c>
      <c r="N13" s="35">
        <f t="shared" si="3"/>
        <v>0</v>
      </c>
      <c r="O13" s="35">
        <f t="shared" si="3"/>
        <v>0</v>
      </c>
      <c r="P13" s="35">
        <f t="shared" si="3"/>
        <v>0</v>
      </c>
      <c r="Q13" s="35">
        <f t="shared" si="3"/>
        <v>0</v>
      </c>
      <c r="R13" s="34">
        <f t="shared" si="1"/>
        <v>18.757718367999999</v>
      </c>
      <c r="S13" s="34">
        <f t="shared" si="2"/>
        <v>0</v>
      </c>
    </row>
    <row r="14" spans="1:21" x14ac:dyDescent="0.25">
      <c r="A14" s="19" t="s">
        <v>37</v>
      </c>
      <c r="B14" s="33">
        <v>1.7541264000000001</v>
      </c>
      <c r="C14" s="33">
        <v>3.9387536890000003</v>
      </c>
      <c r="D14" s="33">
        <v>0</v>
      </c>
      <c r="E14" s="33">
        <v>-9.9970000000000007E-4</v>
      </c>
      <c r="F14" s="33">
        <v>5.2562799999999994</v>
      </c>
      <c r="G14" s="33">
        <v>0.10234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1.5</v>
      </c>
      <c r="N14" s="33">
        <v>0</v>
      </c>
      <c r="O14" s="33">
        <v>0</v>
      </c>
      <c r="P14" s="33">
        <v>0</v>
      </c>
      <c r="Q14" s="33">
        <v>0</v>
      </c>
      <c r="R14" s="34">
        <f t="shared" si="1"/>
        <v>12.550500389</v>
      </c>
      <c r="S14" s="34">
        <f t="shared" si="2"/>
        <v>0</v>
      </c>
    </row>
    <row r="15" spans="1:21" x14ac:dyDescent="0.25">
      <c r="A15" s="19" t="s">
        <v>38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f>12.32-8.5</f>
        <v>3.8200000000000003</v>
      </c>
      <c r="K15" s="36">
        <v>3.72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4">
        <f t="shared" si="1"/>
        <v>7.5400000000000009</v>
      </c>
      <c r="S15" s="34">
        <f t="shared" si="2"/>
        <v>0</v>
      </c>
    </row>
    <row r="16" spans="1:21" x14ac:dyDescent="0.25">
      <c r="A16" s="19" t="s">
        <v>60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3">
        <v>0</v>
      </c>
      <c r="K16" s="33">
        <v>0</v>
      </c>
      <c r="L16" s="36">
        <v>30.54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4">
        <f t="shared" si="1"/>
        <v>30.54</v>
      </c>
      <c r="S16" s="34">
        <f t="shared" si="2"/>
        <v>0</v>
      </c>
    </row>
    <row r="17" spans="1:19" x14ac:dyDescent="0.25">
      <c r="A17" s="19" t="s">
        <v>61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3">
        <v>0</v>
      </c>
      <c r="K17" s="33">
        <v>0</v>
      </c>
      <c r="L17" s="36">
        <v>16.53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4">
        <f t="shared" si="1"/>
        <v>16.53</v>
      </c>
      <c r="S17" s="34">
        <f t="shared" si="2"/>
        <v>0</v>
      </c>
    </row>
    <row r="18" spans="1:19" x14ac:dyDescent="0.25">
      <c r="A18" s="19" t="s">
        <v>62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3">
        <v>0</v>
      </c>
      <c r="K18" s="33">
        <v>0</v>
      </c>
      <c r="L18" s="36">
        <v>6.57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4">
        <f t="shared" si="1"/>
        <v>6.57</v>
      </c>
      <c r="S18" s="34">
        <f t="shared" si="2"/>
        <v>0</v>
      </c>
    </row>
    <row r="19" spans="1:19" x14ac:dyDescent="0.25">
      <c r="A19" s="19" t="s">
        <v>63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3">
        <v>0</v>
      </c>
      <c r="K19" s="33">
        <v>0</v>
      </c>
      <c r="L19" s="36">
        <v>2.76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4">
        <f t="shared" si="1"/>
        <v>2.76</v>
      </c>
      <c r="S19" s="34">
        <f t="shared" si="2"/>
        <v>0</v>
      </c>
    </row>
    <row r="20" spans="1:19" x14ac:dyDescent="0.25">
      <c r="A20" s="19" t="s">
        <v>64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3">
        <v>0</v>
      </c>
      <c r="K20" s="33">
        <v>0</v>
      </c>
      <c r="L20" s="36">
        <v>4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4">
        <f t="shared" si="1"/>
        <v>4</v>
      </c>
      <c r="S20" s="34">
        <f t="shared" si="2"/>
        <v>0</v>
      </c>
    </row>
    <row r="21" spans="1:19" x14ac:dyDescent="0.25">
      <c r="A21" s="20" t="s">
        <v>39</v>
      </c>
      <c r="B21" s="37">
        <f>SUM(B6:B20)</f>
        <v>26.823721379000002</v>
      </c>
      <c r="C21" s="37">
        <f t="shared" ref="C21:R21" si="4">SUM(C6:C20)</f>
        <v>27.582084028000004</v>
      </c>
      <c r="D21" s="37">
        <f t="shared" si="4"/>
        <v>4.130142309</v>
      </c>
      <c r="E21" s="37">
        <f t="shared" si="4"/>
        <v>1.902144925</v>
      </c>
      <c r="F21" s="37">
        <f t="shared" si="4"/>
        <v>6.6426701139999995</v>
      </c>
      <c r="G21" s="37">
        <f t="shared" si="4"/>
        <v>19.799542752000004</v>
      </c>
      <c r="H21" s="37">
        <f t="shared" si="4"/>
        <v>0.83265446899999995</v>
      </c>
      <c r="I21" s="37">
        <f t="shared" si="4"/>
        <v>0.39185615299999998</v>
      </c>
      <c r="J21" s="37">
        <f t="shared" si="4"/>
        <v>30.605117120999999</v>
      </c>
      <c r="K21" s="37">
        <f t="shared" si="4"/>
        <v>3.8594000000000004</v>
      </c>
      <c r="L21" s="37">
        <f t="shared" si="4"/>
        <v>60.4</v>
      </c>
      <c r="M21" s="37">
        <f t="shared" si="4"/>
        <v>4.16</v>
      </c>
      <c r="N21" s="37">
        <f t="shared" si="4"/>
        <v>0.05</v>
      </c>
      <c r="O21" s="37">
        <f t="shared" si="4"/>
        <v>0</v>
      </c>
      <c r="P21" s="37">
        <f t="shared" si="4"/>
        <v>0</v>
      </c>
      <c r="Q21" s="37">
        <f t="shared" si="4"/>
        <v>0</v>
      </c>
      <c r="R21" s="37">
        <f t="shared" si="4"/>
        <v>187.17933325000001</v>
      </c>
      <c r="S21" s="37">
        <f t="shared" si="2"/>
        <v>0</v>
      </c>
    </row>
    <row r="22" spans="1:19" x14ac:dyDescent="0.25">
      <c r="A22" s="21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2"/>
      <c r="S22" s="22"/>
    </row>
    <row r="24" spans="1:19" ht="15.75" thickBot="1" x14ac:dyDescent="0.3"/>
    <row r="25" spans="1:19" x14ac:dyDescent="0.25">
      <c r="A25" s="24" t="s">
        <v>66</v>
      </c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  <c r="P25" s="26"/>
      <c r="Q25" s="26"/>
      <c r="R25" s="27"/>
      <c r="S25" s="144"/>
    </row>
    <row r="26" spans="1:19" x14ac:dyDescent="0.25">
      <c r="A26" s="28" t="s">
        <v>40</v>
      </c>
      <c r="B26" s="145">
        <f>B4</f>
        <v>43677</v>
      </c>
      <c r="C26" s="145">
        <f t="shared" ref="C26:Q26" si="5">C4</f>
        <v>43708</v>
      </c>
      <c r="D26" s="145">
        <f t="shared" si="5"/>
        <v>43738</v>
      </c>
      <c r="E26" s="145">
        <f t="shared" si="5"/>
        <v>43769</v>
      </c>
      <c r="F26" s="145">
        <f t="shared" si="5"/>
        <v>43799</v>
      </c>
      <c r="G26" s="145">
        <f t="shared" si="5"/>
        <v>43830</v>
      </c>
      <c r="H26" s="145">
        <f t="shared" si="5"/>
        <v>43861</v>
      </c>
      <c r="I26" s="145">
        <f t="shared" si="5"/>
        <v>43890</v>
      </c>
      <c r="J26" s="145">
        <f t="shared" si="5"/>
        <v>43921</v>
      </c>
      <c r="K26" s="145">
        <f t="shared" si="5"/>
        <v>43951</v>
      </c>
      <c r="L26" s="145">
        <f t="shared" si="5"/>
        <v>43982</v>
      </c>
      <c r="M26" s="145">
        <f t="shared" si="5"/>
        <v>44012</v>
      </c>
      <c r="N26" s="145">
        <f t="shared" si="5"/>
        <v>44043</v>
      </c>
      <c r="O26" s="145">
        <f t="shared" si="5"/>
        <v>44074</v>
      </c>
      <c r="P26" s="145">
        <f t="shared" si="5"/>
        <v>44104</v>
      </c>
      <c r="Q26" s="145">
        <f t="shared" si="5"/>
        <v>44135</v>
      </c>
      <c r="R26" s="146" t="s">
        <v>41</v>
      </c>
      <c r="S26" s="149"/>
    </row>
    <row r="27" spans="1:19" x14ac:dyDescent="0.25">
      <c r="A27" s="29" t="s">
        <v>14</v>
      </c>
      <c r="B27" s="38">
        <v>2.9586096000000055E-2</v>
      </c>
      <c r="C27" s="38">
        <v>6.1179289000000005E-2</v>
      </c>
      <c r="D27" s="38">
        <v>0</v>
      </c>
      <c r="E27" s="38">
        <v>0</v>
      </c>
      <c r="F27" s="38">
        <v>0</v>
      </c>
      <c r="G27" s="38">
        <v>0</v>
      </c>
      <c r="H27" s="38">
        <v>7.7615639999999986E-3</v>
      </c>
      <c r="I27" s="38">
        <v>2.0963935999999999E-2</v>
      </c>
      <c r="J27" s="38">
        <v>8.4954327000000003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147">
        <f t="shared" ref="R27:R31" si="6">SUM(B27:Q27)</f>
        <v>8.6149235849999997</v>
      </c>
      <c r="S27" s="37">
        <f t="shared" ref="S27:S32" si="7">SUMIF($B$3:$Q$3,"&gt;0",B27:Q27)</f>
        <v>0</v>
      </c>
    </row>
    <row r="28" spans="1:19" x14ac:dyDescent="0.25">
      <c r="A28" s="29" t="s">
        <v>42</v>
      </c>
      <c r="B28" s="38">
        <v>0.54468858100000006</v>
      </c>
      <c r="C28" s="38">
        <v>0.61725304000000003</v>
      </c>
      <c r="D28" s="38">
        <v>0.78721295899999999</v>
      </c>
      <c r="E28" s="38">
        <v>0.51790220799999998</v>
      </c>
      <c r="F28" s="38">
        <v>0.55592006000000005</v>
      </c>
      <c r="G28" s="38">
        <v>0.26312814300000004</v>
      </c>
      <c r="H28" s="38">
        <v>0.23583209100000002</v>
      </c>
      <c r="I28" s="38">
        <v>0.220617117</v>
      </c>
      <c r="J28" s="38">
        <v>0.05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147">
        <f t="shared" si="6"/>
        <v>3.792554199</v>
      </c>
      <c r="S28" s="37">
        <f t="shared" si="7"/>
        <v>0</v>
      </c>
    </row>
    <row r="29" spans="1:19" x14ac:dyDescent="0.25">
      <c r="A29" s="29" t="s">
        <v>43</v>
      </c>
      <c r="B29" s="38">
        <v>0.66804947399999992</v>
      </c>
      <c r="C29" s="38">
        <v>0.575916019</v>
      </c>
      <c r="D29" s="38">
        <v>0.6953472759999999</v>
      </c>
      <c r="E29" s="38">
        <v>0.50436723099999992</v>
      </c>
      <c r="F29" s="38">
        <v>0.64852818300000004</v>
      </c>
      <c r="G29" s="38">
        <v>0.5665746089999999</v>
      </c>
      <c r="H29" s="38">
        <v>0.1869046</v>
      </c>
      <c r="I29" s="38">
        <v>0.15027509999999999</v>
      </c>
      <c r="J29" s="38">
        <v>0.2292884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147">
        <f t="shared" si="6"/>
        <v>4.2252508919999991</v>
      </c>
      <c r="S29" s="37">
        <f t="shared" si="7"/>
        <v>0</v>
      </c>
    </row>
    <row r="30" spans="1:19" x14ac:dyDescent="0.25">
      <c r="A30" s="29" t="s">
        <v>44</v>
      </c>
      <c r="B30" s="38">
        <v>1.6588981009999999</v>
      </c>
      <c r="C30" s="38">
        <v>0.41567209100000008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147">
        <f t="shared" si="6"/>
        <v>2.0745701919999999</v>
      </c>
      <c r="S30" s="37">
        <f t="shared" si="7"/>
        <v>0</v>
      </c>
    </row>
    <row r="31" spans="1:19" x14ac:dyDescent="0.25">
      <c r="A31" s="29" t="s">
        <v>45</v>
      </c>
      <c r="B31" s="38">
        <v>3.0919499999999999E-2</v>
      </c>
      <c r="C31" s="38">
        <v>1.95E-2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147">
        <f t="shared" si="6"/>
        <v>5.0419499999999999E-2</v>
      </c>
      <c r="S31" s="37">
        <f t="shared" si="7"/>
        <v>0</v>
      </c>
    </row>
    <row r="32" spans="1:19" ht="15.75" thickBot="1" x14ac:dyDescent="0.3">
      <c r="A32" s="30" t="s">
        <v>41</v>
      </c>
      <c r="B32" s="40">
        <f t="shared" ref="B32:R32" si="8">SUM(B27:B31)</f>
        <v>2.9321417520000002</v>
      </c>
      <c r="C32" s="40">
        <f t="shared" si="8"/>
        <v>1.6895204390000003</v>
      </c>
      <c r="D32" s="40">
        <f t="shared" si="8"/>
        <v>1.4825602349999998</v>
      </c>
      <c r="E32" s="40">
        <f t="shared" si="8"/>
        <v>1.022269439</v>
      </c>
      <c r="F32" s="40">
        <f t="shared" si="8"/>
        <v>1.2044482430000001</v>
      </c>
      <c r="G32" s="40">
        <f t="shared" si="8"/>
        <v>0.82970275199999999</v>
      </c>
      <c r="H32" s="40">
        <f t="shared" si="8"/>
        <v>0.43049825500000005</v>
      </c>
      <c r="I32" s="40">
        <f t="shared" si="8"/>
        <v>0.39185615299999998</v>
      </c>
      <c r="J32" s="40">
        <f t="shared" si="8"/>
        <v>8.7747211000000007</v>
      </c>
      <c r="K32" s="40">
        <f t="shared" si="8"/>
        <v>0</v>
      </c>
      <c r="L32" s="40">
        <f t="shared" si="8"/>
        <v>0</v>
      </c>
      <c r="M32" s="40">
        <f t="shared" si="8"/>
        <v>0</v>
      </c>
      <c r="N32" s="40">
        <f t="shared" si="8"/>
        <v>0</v>
      </c>
      <c r="O32" s="40">
        <f t="shared" si="8"/>
        <v>0</v>
      </c>
      <c r="P32" s="40">
        <f t="shared" si="8"/>
        <v>0</v>
      </c>
      <c r="Q32" s="40">
        <f t="shared" si="8"/>
        <v>0</v>
      </c>
      <c r="R32" s="148">
        <f t="shared" si="8"/>
        <v>18.757718367999999</v>
      </c>
      <c r="S32" s="37">
        <f t="shared" si="7"/>
        <v>0</v>
      </c>
    </row>
    <row r="33" spans="1:19" x14ac:dyDescent="0.25">
      <c r="B33" s="31"/>
      <c r="C33" s="31"/>
      <c r="D33" s="31"/>
      <c r="E33" s="31"/>
      <c r="F33" s="31"/>
      <c r="G33" s="31"/>
      <c r="H33" s="31"/>
      <c r="I33" s="31"/>
    </row>
    <row r="35" spans="1:19" x14ac:dyDescent="0.25">
      <c r="A35" s="1" t="s">
        <v>67</v>
      </c>
      <c r="R35" s="31"/>
      <c r="S35" s="31"/>
    </row>
    <row r="36" spans="1:19" x14ac:dyDescent="0.25">
      <c r="A36" s="10" t="s">
        <v>50</v>
      </c>
      <c r="B36" s="11" t="s">
        <v>51</v>
      </c>
      <c r="C36" s="12" t="s">
        <v>52</v>
      </c>
      <c r="D36" s="11" t="s">
        <v>53</v>
      </c>
    </row>
    <row r="37" spans="1:19" x14ac:dyDescent="0.25">
      <c r="A37" s="32">
        <v>43921</v>
      </c>
      <c r="B37" s="13" t="s">
        <v>54</v>
      </c>
      <c r="C37" s="9">
        <v>-123225948</v>
      </c>
      <c r="D37" s="13" t="s">
        <v>55</v>
      </c>
      <c r="E37" s="15" t="s">
        <v>100</v>
      </c>
      <c r="J37" s="31"/>
    </row>
    <row r="38" spans="1:19" x14ac:dyDescent="0.25">
      <c r="A38" s="32">
        <v>43921</v>
      </c>
      <c r="B38" s="13" t="s">
        <v>54</v>
      </c>
      <c r="C38" s="9">
        <v>84954327</v>
      </c>
      <c r="D38" s="13" t="s">
        <v>56</v>
      </c>
      <c r="E38" s="15" t="s">
        <v>100</v>
      </c>
    </row>
    <row r="39" spans="1:19" x14ac:dyDescent="0.25">
      <c r="A39" s="32">
        <v>43925</v>
      </c>
      <c r="B39" s="13" t="s">
        <v>54</v>
      </c>
      <c r="C39" s="9">
        <v>-31527556</v>
      </c>
      <c r="D39" s="13" t="s">
        <v>55</v>
      </c>
      <c r="E39" s="15" t="s">
        <v>100</v>
      </c>
    </row>
    <row r="40" spans="1:19" x14ac:dyDescent="0.25">
      <c r="A40" s="32">
        <v>43925</v>
      </c>
      <c r="B40" s="13" t="s">
        <v>54</v>
      </c>
      <c r="C40" s="9">
        <v>-286470</v>
      </c>
      <c r="D40" s="13" t="s">
        <v>55</v>
      </c>
      <c r="E40" s="15" t="s">
        <v>100</v>
      </c>
    </row>
    <row r="41" spans="1:19" x14ac:dyDescent="0.25">
      <c r="A41" s="32">
        <v>43925</v>
      </c>
      <c r="B41" s="13" t="s">
        <v>54</v>
      </c>
      <c r="C41" s="9">
        <v>-5441284</v>
      </c>
      <c r="D41" s="13" t="s">
        <v>55</v>
      </c>
      <c r="E41" s="15" t="s">
        <v>100</v>
      </c>
    </row>
    <row r="42" spans="1:19" x14ac:dyDescent="0.25">
      <c r="A42" s="32">
        <v>43962</v>
      </c>
      <c r="B42" s="13" t="s">
        <v>54</v>
      </c>
      <c r="C42" s="9">
        <v>181767348.38</v>
      </c>
      <c r="D42" s="13" t="s">
        <v>57</v>
      </c>
      <c r="E42" s="15" t="s">
        <v>100</v>
      </c>
    </row>
    <row r="43" spans="1:19" x14ac:dyDescent="0.25">
      <c r="A43" s="32">
        <v>44004</v>
      </c>
      <c r="B43" s="13" t="s">
        <v>54</v>
      </c>
      <c r="C43" s="46">
        <v>66000000</v>
      </c>
      <c r="D43" s="13" t="s">
        <v>58</v>
      </c>
      <c r="E43" s="41" t="s">
        <v>101</v>
      </c>
    </row>
    <row r="44" spans="1:19" x14ac:dyDescent="0.25">
      <c r="A44" s="11"/>
      <c r="B44" s="11" t="s">
        <v>2</v>
      </c>
      <c r="C44" s="14">
        <f>SUM(C37:C43)</f>
        <v>172240417.38</v>
      </c>
      <c r="D44" s="11"/>
    </row>
    <row r="45" spans="1:19" x14ac:dyDescent="0.25">
      <c r="C45" s="31"/>
    </row>
  </sheetData>
  <pageMargins left="0.7" right="0.7" top="0.75" bottom="0.75" header="0.3" footer="0.3"/>
  <pageSetup orientation="portrait" horizontalDpi="360" verticalDpi="360" r:id="rId1"/>
  <headerFooter>
    <oddHeader>&amp;C&amp;"Calibri"&amp;11&amp;K008000 Classification - Public&amp;1#_x000D_</oddHeader>
    <oddFooter>&amp;C_x000D_&amp;1#&amp;"Calibri"&amp;11&amp;K008000 Classification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3"/>
  <sheetViews>
    <sheetView showGridLines="0" tabSelected="1" zoomScale="90" zoomScaleNormal="90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D33" sqref="D33"/>
    </sheetView>
  </sheetViews>
  <sheetFormatPr defaultColWidth="9.140625" defaultRowHeight="15" x14ac:dyDescent="0.25"/>
  <cols>
    <col min="1" max="1" width="2.5703125" style="58" customWidth="1"/>
    <col min="2" max="2" width="2.140625" style="59" customWidth="1"/>
    <col min="3" max="3" width="32.5703125" style="58" customWidth="1"/>
    <col min="4" max="4" width="12.5703125" style="58" customWidth="1"/>
    <col min="5" max="16384" width="9.140625" style="58"/>
  </cols>
  <sheetData>
    <row r="1" spans="2:4" s="49" customFormat="1" x14ac:dyDescent="0.25">
      <c r="B1" s="48"/>
    </row>
    <row r="2" spans="2:4" ht="15.75" x14ac:dyDescent="0.25">
      <c r="B2" s="48"/>
      <c r="C2" s="53" t="s">
        <v>94</v>
      </c>
      <c r="D2" s="54"/>
    </row>
    <row r="3" spans="2:4" x14ac:dyDescent="0.25">
      <c r="C3" s="60" t="s">
        <v>179</v>
      </c>
      <c r="D3" s="62" t="s">
        <v>24</v>
      </c>
    </row>
    <row r="4" spans="2:4" x14ac:dyDescent="0.25">
      <c r="C4" s="68" t="s">
        <v>77</v>
      </c>
      <c r="D4" s="69"/>
    </row>
    <row r="5" spans="2:4" x14ac:dyDescent="0.25">
      <c r="C5" s="69" t="s">
        <v>6</v>
      </c>
      <c r="D5" s="230">
        <v>417.7757923493819</v>
      </c>
    </row>
    <row r="6" spans="2:4" x14ac:dyDescent="0.25">
      <c r="C6" s="69" t="s">
        <v>7</v>
      </c>
      <c r="D6" s="230">
        <v>95.450475098932046</v>
      </c>
    </row>
    <row r="7" spans="2:4" x14ac:dyDescent="0.25">
      <c r="C7" s="69" t="s">
        <v>8</v>
      </c>
      <c r="D7" s="230">
        <v>265.3</v>
      </c>
    </row>
    <row r="8" spans="2:4" x14ac:dyDescent="0.25">
      <c r="C8" s="69" t="s">
        <v>21</v>
      </c>
      <c r="D8" s="230">
        <v>315.59138799999999</v>
      </c>
    </row>
    <row r="9" spans="2:4" x14ac:dyDescent="0.25">
      <c r="C9" s="69" t="s">
        <v>180</v>
      </c>
      <c r="D9" s="230">
        <v>40</v>
      </c>
    </row>
    <row r="10" spans="2:4" x14ac:dyDescent="0.25">
      <c r="C10" s="69" t="s">
        <v>9</v>
      </c>
      <c r="D10" s="230">
        <v>194.08487769999999</v>
      </c>
    </row>
    <row r="11" spans="2:4" x14ac:dyDescent="0.25">
      <c r="C11" s="79" t="s">
        <v>10</v>
      </c>
      <c r="D11" s="231">
        <v>134.38999999999999</v>
      </c>
    </row>
    <row r="12" spans="2:4" x14ac:dyDescent="0.25">
      <c r="C12" s="80" t="s">
        <v>11</v>
      </c>
      <c r="D12" s="232">
        <f t="shared" ref="D12" si="0">SUM(D5:D11)</f>
        <v>1462.592533148314</v>
      </c>
    </row>
    <row r="13" spans="2:4" x14ac:dyDescent="0.25">
      <c r="C13" s="69" t="s">
        <v>0</v>
      </c>
      <c r="D13" s="230">
        <v>237.74140560000001</v>
      </c>
    </row>
    <row r="14" spans="2:4" x14ac:dyDescent="0.25">
      <c r="C14" s="79" t="s">
        <v>12</v>
      </c>
      <c r="D14" s="231">
        <v>40.939944209000004</v>
      </c>
    </row>
    <row r="15" spans="2:4" x14ac:dyDescent="0.25">
      <c r="C15" s="92" t="s">
        <v>13</v>
      </c>
      <c r="D15" s="233">
        <f>+SUM(D12:D14)</f>
        <v>1741.2738829573141</v>
      </c>
    </row>
    <row r="16" spans="2:4" x14ac:dyDescent="0.25">
      <c r="C16" s="2"/>
      <c r="D16" s="234"/>
    </row>
    <row r="17" spans="2:5" x14ac:dyDescent="0.25">
      <c r="C17" s="101" t="s">
        <v>176</v>
      </c>
      <c r="D17" s="234"/>
      <c r="E17" s="229"/>
    </row>
    <row r="18" spans="2:5" x14ac:dyDescent="0.25">
      <c r="C18" s="69" t="s">
        <v>14</v>
      </c>
      <c r="D18" s="230">
        <v>243.79</v>
      </c>
      <c r="E18" s="229"/>
    </row>
    <row r="19" spans="2:5" x14ac:dyDescent="0.25">
      <c r="C19" s="69" t="s">
        <v>15</v>
      </c>
      <c r="D19" s="230">
        <v>134.39101828900002</v>
      </c>
      <c r="E19" s="229"/>
    </row>
    <row r="20" spans="2:5" x14ac:dyDescent="0.25">
      <c r="C20" s="69" t="s">
        <v>1</v>
      </c>
      <c r="D20" s="230">
        <v>32.624455026</v>
      </c>
      <c r="E20" s="229"/>
    </row>
    <row r="21" spans="2:5" x14ac:dyDescent="0.25">
      <c r="C21" s="79" t="s">
        <v>16</v>
      </c>
      <c r="D21" s="231">
        <v>47.577806200000005</v>
      </c>
      <c r="E21" s="229"/>
    </row>
    <row r="22" spans="2:5" x14ac:dyDescent="0.25">
      <c r="C22" s="92" t="s">
        <v>70</v>
      </c>
      <c r="D22" s="233">
        <f>SUM(D18:D21)</f>
        <v>458.38327951500003</v>
      </c>
    </row>
    <row r="23" spans="2:5" x14ac:dyDescent="0.25">
      <c r="C23" s="7"/>
      <c r="D23" s="234"/>
    </row>
    <row r="24" spans="2:5" x14ac:dyDescent="0.25">
      <c r="C24" s="109" t="s">
        <v>177</v>
      </c>
      <c r="D24" s="235"/>
    </row>
    <row r="25" spans="2:5" x14ac:dyDescent="0.25">
      <c r="C25" s="69" t="s">
        <v>44</v>
      </c>
      <c r="D25" s="230">
        <v>155.19</v>
      </c>
    </row>
    <row r="26" spans="2:5" s="49" customFormat="1" x14ac:dyDescent="0.25">
      <c r="B26" s="115"/>
      <c r="C26" s="69" t="s">
        <v>17</v>
      </c>
      <c r="D26" s="230">
        <v>63.28</v>
      </c>
    </row>
    <row r="27" spans="2:5" x14ac:dyDescent="0.25">
      <c r="C27" s="79" t="s">
        <v>16</v>
      </c>
      <c r="D27" s="231">
        <v>15.9846994</v>
      </c>
    </row>
    <row r="28" spans="2:5" x14ac:dyDescent="0.25">
      <c r="C28" s="92" t="s">
        <v>81</v>
      </c>
      <c r="D28" s="233">
        <f t="shared" ref="D28" si="1">SUM(D25:D27)</f>
        <v>234.45469940000001</v>
      </c>
    </row>
    <row r="29" spans="2:5" x14ac:dyDescent="0.25">
      <c r="C29" s="69"/>
      <c r="D29" s="235"/>
    </row>
    <row r="30" spans="2:5" x14ac:dyDescent="0.25">
      <c r="C30" s="109" t="s">
        <v>178</v>
      </c>
      <c r="D30" s="234"/>
    </row>
    <row r="31" spans="2:5" x14ac:dyDescent="0.25">
      <c r="C31" s="69" t="s">
        <v>117</v>
      </c>
      <c r="D31" s="230">
        <v>207.74098554</v>
      </c>
    </row>
    <row r="32" spans="2:5" x14ac:dyDescent="0.25">
      <c r="C32" s="69" t="s">
        <v>18</v>
      </c>
      <c r="D32" s="230">
        <v>62.325554191999998</v>
      </c>
    </row>
    <row r="33" spans="2:4" x14ac:dyDescent="0.25">
      <c r="C33" s="69" t="s">
        <v>118</v>
      </c>
      <c r="D33" s="230">
        <v>181.95</v>
      </c>
    </row>
    <row r="34" spans="2:4" x14ac:dyDescent="0.25">
      <c r="C34" s="79" t="s">
        <v>116</v>
      </c>
      <c r="D34" s="231">
        <v>280.31733743500001</v>
      </c>
    </row>
    <row r="35" spans="2:4" x14ac:dyDescent="0.25">
      <c r="C35" s="80" t="s">
        <v>19</v>
      </c>
      <c r="D35" s="232">
        <f t="shared" ref="D35" si="2">SUM(D31:D34)</f>
        <v>732.33387716700008</v>
      </c>
    </row>
    <row r="36" spans="2:4" x14ac:dyDescent="0.25">
      <c r="C36" s="2"/>
      <c r="D36" s="234"/>
    </row>
    <row r="37" spans="2:4" x14ac:dyDescent="0.25">
      <c r="C37" s="2"/>
      <c r="D37" s="234"/>
    </row>
    <row r="38" spans="2:4" s="74" customFormat="1" x14ac:dyDescent="0.25">
      <c r="B38" s="120"/>
      <c r="C38" s="80" t="s">
        <v>20</v>
      </c>
      <c r="D38" s="232">
        <f>+D15+D22+D28+D35</f>
        <v>3166.4457390393145</v>
      </c>
    </row>
    <row r="39" spans="2:4" x14ac:dyDescent="0.25">
      <c r="C39" s="123"/>
      <c r="D39" s="228"/>
    </row>
    <row r="41" spans="2:4" x14ac:dyDescent="0.25">
      <c r="C41" s="74"/>
    </row>
    <row r="53" spans="2:2" s="74" customFormat="1" x14ac:dyDescent="0.25">
      <c r="B53" s="120"/>
    </row>
  </sheetData>
  <pageMargins left="0.7" right="0.7" top="0.75" bottom="0.75" header="0.3" footer="0.3"/>
  <pageSetup paperSize="9" orientation="portrait" verticalDpi="360" r:id="rId1"/>
  <headerFooter>
    <oddHeader>&amp;C&amp;"Calibri"&amp;11&amp;K008000 Classification - Public&amp;1#_x000D_</oddHeader>
    <oddFooter>&amp;C_x000D_&amp;1#&amp;"Calibri"&amp;11&amp;K008000 Classification - Public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O41"/>
  <sheetViews>
    <sheetView showGridLines="0" zoomScale="90" zoomScaleNormal="90" workbookViewId="0">
      <selection activeCell="D2" sqref="D2"/>
    </sheetView>
  </sheetViews>
  <sheetFormatPr defaultRowHeight="15" outlineLevelRow="1" outlineLevelCol="1" x14ac:dyDescent="0.25"/>
  <cols>
    <col min="3" max="3" width="27.140625" bestFit="1" customWidth="1"/>
    <col min="4" max="4" width="14.5703125" style="204" bestFit="1" customWidth="1"/>
    <col min="5" max="5" width="17.5703125" style="199" bestFit="1" customWidth="1"/>
    <col min="6" max="6" width="12.28515625" bestFit="1" customWidth="1"/>
    <col min="7" max="7" width="27.140625" hidden="1" customWidth="1" outlineLevel="1"/>
    <col min="8" max="8" width="11.85546875" hidden="1" customWidth="1" outlineLevel="1"/>
    <col min="9" max="9" width="17.5703125" hidden="1" customWidth="1" outlineLevel="1"/>
    <col min="10" max="10" width="0" hidden="1" customWidth="1" outlineLevel="1"/>
    <col min="11" max="11" width="34.85546875" hidden="1" customWidth="1" outlineLevel="1"/>
    <col min="12" max="12" width="9.7109375" hidden="1" customWidth="1" outlineLevel="1"/>
    <col min="13" max="13" width="19.140625" customWidth="1" collapsed="1"/>
  </cols>
  <sheetData>
    <row r="3" spans="3:13" s="1" customFormat="1" x14ac:dyDescent="0.25">
      <c r="C3" s="194" t="s">
        <v>142</v>
      </c>
      <c r="D3" s="195" t="s">
        <v>143</v>
      </c>
      <c r="E3" s="196" t="s">
        <v>144</v>
      </c>
      <c r="F3" s="196" t="s">
        <v>145</v>
      </c>
    </row>
    <row r="4" spans="3:13" x14ac:dyDescent="0.25">
      <c r="C4" s="197" t="s">
        <v>6</v>
      </c>
      <c r="D4" s="217">
        <f>Distribution!D5</f>
        <v>417.7757923493819</v>
      </c>
      <c r="E4" s="199" t="e">
        <f>D4/$D$10</f>
        <v>#REF!</v>
      </c>
      <c r="F4" s="199" t="e">
        <f>D4/$D$7</f>
        <v>#REF!</v>
      </c>
    </row>
    <row r="5" spans="3:13" x14ac:dyDescent="0.25">
      <c r="C5" s="197" t="s">
        <v>7</v>
      </c>
      <c r="D5" s="217">
        <f>Distribution!D6</f>
        <v>95.450475098932046</v>
      </c>
      <c r="E5" s="216" t="e">
        <f t="shared" ref="E5:E10" si="0">D5/$D$10</f>
        <v>#REF!</v>
      </c>
      <c r="F5" s="216" t="e">
        <f t="shared" ref="F5:F7" si="1">D5/$D$7</f>
        <v>#REF!</v>
      </c>
    </row>
    <row r="6" spans="3:13" s="1" customFormat="1" x14ac:dyDescent="0.25">
      <c r="C6" s="223" t="s">
        <v>146</v>
      </c>
      <c r="D6" s="214">
        <f>SUM(D4:D5)</f>
        <v>513.22626744831393</v>
      </c>
      <c r="E6" s="215" t="e">
        <f t="shared" si="0"/>
        <v>#REF!</v>
      </c>
      <c r="F6" s="215" t="e">
        <f t="shared" si="1"/>
        <v>#REF!</v>
      </c>
    </row>
    <row r="7" spans="3:13" x14ac:dyDescent="0.25">
      <c r="C7" s="219" t="s">
        <v>147</v>
      </c>
      <c r="D7" s="220" t="e">
        <f>Distribution!D15+Distribution!D22+Distribution!#REF!</f>
        <v>#REF!</v>
      </c>
      <c r="E7" s="221" t="e">
        <f t="shared" si="0"/>
        <v>#REF!</v>
      </c>
      <c r="F7" s="222" t="e">
        <f t="shared" si="1"/>
        <v>#REF!</v>
      </c>
    </row>
    <row r="8" spans="3:13" x14ac:dyDescent="0.25">
      <c r="C8" s="15" t="s">
        <v>171</v>
      </c>
      <c r="D8" s="218">
        <f>Distribution!D28</f>
        <v>234.45469940000001</v>
      </c>
      <c r="E8" s="201"/>
      <c r="F8" s="201"/>
    </row>
    <row r="9" spans="3:13" x14ac:dyDescent="0.25">
      <c r="C9" s="15" t="s">
        <v>172</v>
      </c>
      <c r="D9" s="218">
        <f>+Distribution!D35</f>
        <v>732.33387716700008</v>
      </c>
      <c r="E9" s="201"/>
      <c r="F9" s="201"/>
    </row>
    <row r="10" spans="3:13" x14ac:dyDescent="0.25">
      <c r="C10" s="1" t="s">
        <v>148</v>
      </c>
      <c r="D10" s="200" t="e">
        <f>SUM(D7:D9)</f>
        <v>#REF!</v>
      </c>
      <c r="E10" s="201" t="e">
        <f t="shared" si="0"/>
        <v>#REF!</v>
      </c>
      <c r="F10" s="202" t="s">
        <v>68</v>
      </c>
    </row>
    <row r="14" spans="3:13" x14ac:dyDescent="0.25">
      <c r="C14" s="203" t="s">
        <v>149</v>
      </c>
      <c r="G14" s="203" t="s">
        <v>150</v>
      </c>
      <c r="H14" s="204"/>
      <c r="I14" s="199"/>
      <c r="K14" s="203" t="s">
        <v>151</v>
      </c>
      <c r="L14" s="204"/>
      <c r="M14" s="199"/>
    </row>
    <row r="15" spans="3:13" x14ac:dyDescent="0.25">
      <c r="C15" t="s">
        <v>152</v>
      </c>
      <c r="D15" s="204">
        <v>180</v>
      </c>
      <c r="G15" t="s">
        <v>152</v>
      </c>
      <c r="H15" s="204">
        <v>180</v>
      </c>
      <c r="I15" s="199"/>
      <c r="K15" t="s">
        <v>152</v>
      </c>
      <c r="L15" s="204">
        <v>180</v>
      </c>
      <c r="M15" s="199"/>
    </row>
    <row r="16" spans="3:13" x14ac:dyDescent="0.25">
      <c r="C16" t="s">
        <v>153</v>
      </c>
      <c r="D16" s="218">
        <v>430</v>
      </c>
      <c r="G16" t="s">
        <v>153</v>
      </c>
      <c r="H16" s="218">
        <v>430</v>
      </c>
      <c r="I16" s="199"/>
      <c r="K16" t="s">
        <v>153</v>
      </c>
      <c r="L16" s="218">
        <v>430</v>
      </c>
      <c r="M16" s="199"/>
    </row>
    <row r="17" spans="3:15" x14ac:dyDescent="0.25">
      <c r="C17" s="224" t="s">
        <v>154</v>
      </c>
      <c r="D17" s="214">
        <f>SUM(D15:D16)</f>
        <v>610</v>
      </c>
      <c r="G17" s="224" t="s">
        <v>154</v>
      </c>
      <c r="H17" s="214">
        <f>SUM(H15:H16)</f>
        <v>610</v>
      </c>
      <c r="I17" s="199"/>
      <c r="K17" s="224" t="s">
        <v>154</v>
      </c>
      <c r="L17" s="214">
        <f>SUM(L15:L16)</f>
        <v>610</v>
      </c>
      <c r="M17" s="199"/>
    </row>
    <row r="18" spans="3:15" x14ac:dyDescent="0.25">
      <c r="C18" t="s">
        <v>155</v>
      </c>
      <c r="D18" s="218">
        <v>416</v>
      </c>
      <c r="G18" t="s">
        <v>155</v>
      </c>
      <c r="H18" s="218">
        <v>0</v>
      </c>
      <c r="I18" s="199"/>
      <c r="K18" t="s">
        <v>155</v>
      </c>
      <c r="L18" s="218">
        <f>416</f>
        <v>416</v>
      </c>
      <c r="M18" s="199"/>
    </row>
    <row r="19" spans="3:15" x14ac:dyDescent="0.25">
      <c r="C19" s="224" t="s">
        <v>156</v>
      </c>
      <c r="D19" s="214">
        <f>D17+D18</f>
        <v>1026</v>
      </c>
      <c r="G19" s="224" t="s">
        <v>156</v>
      </c>
      <c r="H19" s="214">
        <f>H17+H18</f>
        <v>610</v>
      </c>
      <c r="I19" s="199"/>
      <c r="K19" s="224" t="s">
        <v>156</v>
      </c>
      <c r="L19" s="214">
        <f>L17+L18</f>
        <v>1026</v>
      </c>
      <c r="M19" s="199"/>
    </row>
    <row r="20" spans="3:15" x14ac:dyDescent="0.25">
      <c r="C20" t="s">
        <v>157</v>
      </c>
      <c r="D20" s="217">
        <f>-((0.5*12*D27)+(1.5%*D18))</f>
        <v>-15.24</v>
      </c>
      <c r="G20" t="s">
        <v>157</v>
      </c>
      <c r="H20" s="198">
        <v>-26</v>
      </c>
      <c r="I20" s="199"/>
      <c r="K20" t="s">
        <v>157</v>
      </c>
      <c r="L20" s="198">
        <v>0</v>
      </c>
      <c r="M20" s="199"/>
    </row>
    <row r="21" spans="3:15" x14ac:dyDescent="0.25">
      <c r="C21" s="224" t="s">
        <v>158</v>
      </c>
      <c r="D21" s="214">
        <f>D19+D20</f>
        <v>1010.76</v>
      </c>
      <c r="G21" s="224" t="s">
        <v>158</v>
      </c>
      <c r="H21" s="214">
        <f>H19+H20</f>
        <v>584</v>
      </c>
      <c r="I21" s="199"/>
      <c r="K21" s="224" t="s">
        <v>158</v>
      </c>
      <c r="L21" s="214">
        <f>L19+L20</f>
        <v>1026</v>
      </c>
      <c r="M21" s="199"/>
    </row>
    <row r="22" spans="3:15" x14ac:dyDescent="0.25">
      <c r="C22" t="s">
        <v>159</v>
      </c>
      <c r="D22" s="225">
        <v>0.99</v>
      </c>
      <c r="E22" s="199" t="s">
        <v>174</v>
      </c>
      <c r="G22" t="s">
        <v>159</v>
      </c>
      <c r="H22" s="205">
        <v>0.99</v>
      </c>
      <c r="I22" s="199"/>
      <c r="K22" t="s">
        <v>159</v>
      </c>
      <c r="L22" s="206" t="s">
        <v>68</v>
      </c>
      <c r="M22" s="199"/>
    </row>
    <row r="23" spans="3:15" x14ac:dyDescent="0.25">
      <c r="C23" s="224" t="s">
        <v>160</v>
      </c>
      <c r="D23" s="214">
        <f>D21*D22</f>
        <v>1000.6523999999999</v>
      </c>
      <c r="G23" s="1" t="s">
        <v>160</v>
      </c>
      <c r="H23" s="214">
        <f>H21*H22</f>
        <v>578.16</v>
      </c>
      <c r="I23" s="199"/>
      <c r="K23" s="1" t="s">
        <v>160</v>
      </c>
      <c r="L23" s="207" t="s">
        <v>68</v>
      </c>
      <c r="M23" s="199"/>
    </row>
    <row r="24" spans="3:15" x14ac:dyDescent="0.25">
      <c r="C24" s="208" t="s">
        <v>161</v>
      </c>
      <c r="E24" s="202" t="s">
        <v>162</v>
      </c>
      <c r="G24" s="208" t="s">
        <v>161</v>
      </c>
      <c r="H24" s="204"/>
      <c r="I24" s="202" t="s">
        <v>162</v>
      </c>
      <c r="K24" s="208" t="s">
        <v>161</v>
      </c>
      <c r="L24" s="204"/>
      <c r="M24" s="202" t="s">
        <v>162</v>
      </c>
    </row>
    <row r="25" spans="3:15" x14ac:dyDescent="0.25">
      <c r="C25" s="15" t="s">
        <v>6</v>
      </c>
      <c r="D25" s="204" t="e">
        <f>D23*F4</f>
        <v>#REF!</v>
      </c>
      <c r="E25" s="199" t="e">
        <f>D25/D4</f>
        <v>#REF!</v>
      </c>
      <c r="G25" s="15" t="s">
        <v>6</v>
      </c>
      <c r="H25" s="204" t="e">
        <f>H23*F4</f>
        <v>#REF!</v>
      </c>
      <c r="I25" s="199" t="e">
        <f>H25/D4</f>
        <v>#REF!</v>
      </c>
      <c r="K25" s="15" t="s">
        <v>6</v>
      </c>
      <c r="L25" s="204">
        <v>150</v>
      </c>
      <c r="M25" s="199">
        <f>L25/D4</f>
        <v>0.35904425949734403</v>
      </c>
      <c r="O25" s="209"/>
    </row>
    <row r="26" spans="3:15" x14ac:dyDescent="0.25">
      <c r="C26" t="s">
        <v>7</v>
      </c>
      <c r="D26" s="204" t="e">
        <f>D23*F5</f>
        <v>#REF!</v>
      </c>
      <c r="E26" s="199" t="e">
        <f>D26/D5</f>
        <v>#REF!</v>
      </c>
      <c r="G26" t="s">
        <v>7</v>
      </c>
      <c r="H26" s="204" t="e">
        <f>H23*F5</f>
        <v>#REF!</v>
      </c>
      <c r="I26" s="199" t="e">
        <f>H26/D5</f>
        <v>#REF!</v>
      </c>
      <c r="K26" t="s">
        <v>7</v>
      </c>
      <c r="L26" s="204">
        <v>34.200000000000003</v>
      </c>
      <c r="M26" s="199">
        <f>L26/D5</f>
        <v>0.35830099289241413</v>
      </c>
    </row>
    <row r="27" spans="3:15" x14ac:dyDescent="0.25">
      <c r="C27" t="s">
        <v>163</v>
      </c>
      <c r="D27" s="227">
        <v>1.5</v>
      </c>
      <c r="G27" t="s">
        <v>164</v>
      </c>
      <c r="H27" s="8">
        <v>3</v>
      </c>
      <c r="I27" s="199"/>
      <c r="K27" t="s">
        <v>165</v>
      </c>
      <c r="L27" s="210" t="s">
        <v>68</v>
      </c>
      <c r="M27" s="199"/>
    </row>
    <row r="28" spans="3:15" x14ac:dyDescent="0.25">
      <c r="C28" t="s">
        <v>166</v>
      </c>
      <c r="D28" s="225">
        <v>0.24</v>
      </c>
      <c r="G28" t="s">
        <v>166</v>
      </c>
      <c r="H28" s="199">
        <f>D28</f>
        <v>0.24</v>
      </c>
      <c r="I28" s="199"/>
      <c r="K28" t="s">
        <v>166</v>
      </c>
      <c r="L28" s="211" t="s">
        <v>68</v>
      </c>
      <c r="M28" s="199"/>
    </row>
    <row r="29" spans="3:15" x14ac:dyDescent="0.25">
      <c r="C29" s="208" t="s">
        <v>173</v>
      </c>
      <c r="G29" s="208" t="s">
        <v>167</v>
      </c>
      <c r="H29" s="204"/>
      <c r="I29" s="199"/>
      <c r="K29" s="208" t="s">
        <v>167</v>
      </c>
      <c r="L29" s="204"/>
      <c r="M29" s="199"/>
    </row>
    <row r="30" spans="3:15" x14ac:dyDescent="0.25">
      <c r="C30" s="15" t="s">
        <v>6</v>
      </c>
      <c r="D30" s="204" t="e">
        <f>D25/((1+$D$28)^$D$27)</f>
        <v>#REF!</v>
      </c>
      <c r="E30" s="199" t="e">
        <f>D30/D4</f>
        <v>#REF!</v>
      </c>
      <c r="G30" s="15" t="s">
        <v>6</v>
      </c>
      <c r="H30" s="204" t="e">
        <f>H25/((1+$H$28)^$H$27)</f>
        <v>#REF!</v>
      </c>
      <c r="I30" s="199" t="e">
        <f>H30/D4</f>
        <v>#REF!</v>
      </c>
      <c r="K30" s="15" t="s">
        <v>6</v>
      </c>
      <c r="L30" s="204">
        <f>L25</f>
        <v>150</v>
      </c>
      <c r="M30" s="199">
        <f>L30/D4</f>
        <v>0.35904425949734403</v>
      </c>
    </row>
    <row r="31" spans="3:15" x14ac:dyDescent="0.25">
      <c r="C31" t="s">
        <v>7</v>
      </c>
      <c r="D31" s="204" t="e">
        <f>D26/((1+$D$28)^$D$27)</f>
        <v>#REF!</v>
      </c>
      <c r="E31" s="199" t="e">
        <f>D31/D5</f>
        <v>#REF!</v>
      </c>
      <c r="G31" t="s">
        <v>7</v>
      </c>
      <c r="H31" s="204" t="e">
        <f>H26/((1+$H$28)^$H$27)</f>
        <v>#REF!</v>
      </c>
      <c r="I31" s="199" t="e">
        <f>H31/D5</f>
        <v>#REF!</v>
      </c>
      <c r="K31" t="s">
        <v>7</v>
      </c>
      <c r="L31" s="204">
        <f>L26</f>
        <v>34.200000000000003</v>
      </c>
      <c r="M31" s="199">
        <f>L31/D5</f>
        <v>0.35830099289241413</v>
      </c>
    </row>
    <row r="32" spans="3:15" s="1" customFormat="1" x14ac:dyDescent="0.25">
      <c r="C32" s="224" t="s">
        <v>175</v>
      </c>
      <c r="D32" s="214" t="e">
        <f>D30+D31</f>
        <v>#REF!</v>
      </c>
      <c r="E32" s="201"/>
      <c r="H32" s="200"/>
      <c r="I32" s="201"/>
      <c r="L32" s="200"/>
      <c r="M32" s="201"/>
    </row>
    <row r="33" spans="3:13" hidden="1" outlineLevel="1" x14ac:dyDescent="0.25">
      <c r="C33" t="s">
        <v>168</v>
      </c>
      <c r="D33" s="212">
        <v>0.75</v>
      </c>
      <c r="G33" t="s">
        <v>168</v>
      </c>
      <c r="H33" s="212">
        <v>0.15</v>
      </c>
      <c r="I33" s="199"/>
      <c r="K33" t="s">
        <v>168</v>
      </c>
      <c r="L33" s="212">
        <v>0.1</v>
      </c>
      <c r="M33" s="199"/>
    </row>
    <row r="34" spans="3:13" hidden="1" outlineLevel="1" x14ac:dyDescent="0.25"/>
    <row r="35" spans="3:13" hidden="1" outlineLevel="1" x14ac:dyDescent="0.25"/>
    <row r="36" spans="3:13" hidden="1" outlineLevel="1" x14ac:dyDescent="0.25">
      <c r="D36" s="207" t="s">
        <v>169</v>
      </c>
      <c r="E36" s="213" t="s">
        <v>170</v>
      </c>
    </row>
    <row r="37" spans="3:13" hidden="1" outlineLevel="1" x14ac:dyDescent="0.25">
      <c r="D37" s="199" t="e">
        <f>E30</f>
        <v>#REF!</v>
      </c>
      <c r="E37" s="199">
        <f>D33</f>
        <v>0.75</v>
      </c>
    </row>
    <row r="38" spans="3:13" hidden="1" outlineLevel="1" x14ac:dyDescent="0.25">
      <c r="D38" s="199" t="e">
        <f>I30</f>
        <v>#REF!</v>
      </c>
      <c r="E38" s="199">
        <f>H33</f>
        <v>0.15</v>
      </c>
    </row>
    <row r="39" spans="3:13" hidden="1" outlineLevel="1" x14ac:dyDescent="0.25">
      <c r="D39" s="199">
        <f>M30</f>
        <v>0.35904425949734403</v>
      </c>
      <c r="E39" s="199">
        <f>L33</f>
        <v>0.1</v>
      </c>
    </row>
    <row r="40" spans="3:13" hidden="1" outlineLevel="1" x14ac:dyDescent="0.25">
      <c r="E40" s="212" t="e">
        <f>SUMPRODUCT(D37:D39,E37:E39)</f>
        <v>#REF!</v>
      </c>
    </row>
    <row r="41" spans="3:13" collapsed="1" x14ac:dyDescent="0.25"/>
  </sheetData>
  <pageMargins left="0.7" right="0.7" top="0.75" bottom="0.75" header="0.3" footer="0.3"/>
  <pageSetup orientation="portrait" horizontalDpi="360" verticalDpi="360" r:id="rId1"/>
  <headerFooter>
    <oddHeader>&amp;C&amp;"Calibri"&amp;11&amp;K008000 Classification - Public&amp;1#_x000D_</oddHeader>
    <oddFooter>&amp;C_x000D_&amp;1#&amp;"Calibri"&amp;11&amp;K008000 Classification -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60"/>
  <sheetViews>
    <sheetView showGridLines="0" zoomScale="80" zoomScaleNormal="80" workbookViewId="0">
      <pane xSplit="4" ySplit="3" topLeftCell="E37" activePane="bottomRight" state="frozen"/>
      <selection pane="topRight" activeCell="E1" sqref="E1"/>
      <selection pane="bottomLeft" activeCell="A4" sqref="A4"/>
      <selection pane="bottomRight" activeCell="M37" sqref="M37"/>
    </sheetView>
  </sheetViews>
  <sheetFormatPr defaultColWidth="9.140625" defaultRowHeight="15" outlineLevelCol="1" x14ac:dyDescent="0.25"/>
  <cols>
    <col min="1" max="1" width="2.5703125" style="58" customWidth="1"/>
    <col min="2" max="2" width="9.140625" style="59" customWidth="1" outlineLevel="1"/>
    <col min="3" max="3" width="2.140625" style="59" customWidth="1"/>
    <col min="4" max="4" width="32.5703125" style="58" customWidth="1"/>
    <col min="5" max="5" width="11.85546875" style="58" customWidth="1"/>
    <col min="6" max="6" width="12.7109375" style="58" customWidth="1"/>
    <col min="7" max="7" width="12.5703125" style="58" customWidth="1"/>
    <col min="8" max="8" width="16.28515625" style="71" bestFit="1" customWidth="1"/>
    <col min="9" max="9" width="17.28515625" style="71" customWidth="1"/>
    <col min="10" max="12" width="9.5703125" style="58" hidden="1" customWidth="1" outlineLevel="1"/>
    <col min="13" max="13" width="1.7109375" style="51" customWidth="1" collapsed="1"/>
    <col min="14" max="14" width="11.5703125" style="51" customWidth="1"/>
    <col min="15" max="15" width="10.5703125" style="51" customWidth="1"/>
    <col min="16" max="16" width="13.5703125" style="51" customWidth="1"/>
    <col min="17" max="18" width="13.5703125" style="51" hidden="1" customWidth="1" outlineLevel="1"/>
    <col min="19" max="19" width="11.85546875" style="51" customWidth="1" collapsed="1"/>
    <col min="20" max="20" width="10.5703125" style="51" customWidth="1"/>
    <col min="21" max="21" width="11.7109375" style="51" customWidth="1"/>
    <col min="22" max="22" width="48.5703125" style="66" customWidth="1" outlineLevel="1"/>
    <col min="23" max="23" width="3.5703125" style="58" customWidth="1"/>
    <col min="24" max="24" width="51.28515625" style="58" bestFit="1" customWidth="1"/>
    <col min="25" max="27" width="12.5703125" style="58" customWidth="1"/>
    <col min="28" max="16384" width="9.140625" style="58"/>
  </cols>
  <sheetData>
    <row r="1" spans="2:27" s="49" customFormat="1" x14ac:dyDescent="0.25">
      <c r="B1" s="48"/>
      <c r="C1" s="48"/>
      <c r="H1" s="50"/>
      <c r="I1" s="175"/>
      <c r="M1" s="51"/>
      <c r="N1" s="51"/>
      <c r="O1" s="51"/>
      <c r="P1" s="154">
        <v>43830</v>
      </c>
      <c r="Q1" s="159"/>
      <c r="R1" s="159"/>
      <c r="S1" s="159"/>
      <c r="T1" s="159"/>
      <c r="U1" s="159"/>
      <c r="V1" s="52"/>
    </row>
    <row r="2" spans="2:27" ht="15.75" x14ac:dyDescent="0.25">
      <c r="B2" s="48"/>
      <c r="C2" s="48"/>
      <c r="D2" s="53" t="s">
        <v>94</v>
      </c>
      <c r="E2" s="49"/>
      <c r="F2" s="54"/>
      <c r="G2" s="54"/>
      <c r="H2" s="55"/>
      <c r="I2" s="55"/>
      <c r="J2" s="54"/>
      <c r="K2" s="54"/>
      <c r="L2" s="54"/>
      <c r="M2" s="56"/>
      <c r="N2" s="142">
        <f>P50</f>
        <v>0.21</v>
      </c>
      <c r="O2" s="56"/>
      <c r="P2" s="56"/>
      <c r="Q2" s="56"/>
      <c r="R2" s="56"/>
      <c r="S2" s="56"/>
      <c r="T2" s="178"/>
      <c r="U2" s="56"/>
      <c r="V2" s="52"/>
      <c r="W2" s="49"/>
      <c r="X2" s="57"/>
      <c r="Y2" s="57"/>
      <c r="Z2" s="49"/>
      <c r="AA2" s="49"/>
    </row>
    <row r="3" spans="2:27" ht="75" x14ac:dyDescent="0.25">
      <c r="D3" s="60" t="s">
        <v>5</v>
      </c>
      <c r="E3" s="61" t="s">
        <v>22</v>
      </c>
      <c r="F3" s="62" t="s">
        <v>49</v>
      </c>
      <c r="G3" s="62" t="s">
        <v>24</v>
      </c>
      <c r="H3" s="63" t="s">
        <v>122</v>
      </c>
      <c r="I3" s="63" t="s">
        <v>123</v>
      </c>
      <c r="J3" s="61" t="s">
        <v>26</v>
      </c>
      <c r="K3" s="61" t="s">
        <v>25</v>
      </c>
      <c r="L3" s="61" t="s">
        <v>46</v>
      </c>
      <c r="M3" s="64"/>
      <c r="N3" s="137" t="s">
        <v>93</v>
      </c>
      <c r="O3" s="137" t="s">
        <v>96</v>
      </c>
      <c r="P3" s="137" t="s">
        <v>122</v>
      </c>
      <c r="Q3" s="137" t="s">
        <v>140</v>
      </c>
      <c r="R3" s="137" t="s">
        <v>141</v>
      </c>
      <c r="S3" s="137" t="s">
        <v>124</v>
      </c>
      <c r="T3" s="137" t="s">
        <v>113</v>
      </c>
      <c r="U3" s="137" t="s">
        <v>114</v>
      </c>
      <c r="V3" s="65" t="s">
        <v>102</v>
      </c>
      <c r="X3" s="65" t="s">
        <v>95</v>
      </c>
      <c r="Y3" s="67"/>
    </row>
    <row r="4" spans="2:27" x14ac:dyDescent="0.25">
      <c r="D4" s="68" t="s">
        <v>77</v>
      </c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X4" s="51"/>
      <c r="Y4" s="67"/>
    </row>
    <row r="5" spans="2:27" x14ac:dyDescent="0.25">
      <c r="B5" s="59">
        <v>0</v>
      </c>
      <c r="D5" s="69" t="s">
        <v>6</v>
      </c>
      <c r="E5" s="73">
        <v>0.08</v>
      </c>
      <c r="F5" s="3">
        <v>350</v>
      </c>
      <c r="G5" s="179">
        <v>417.7757923493819</v>
      </c>
      <c r="H5" s="45" t="e">
        <f t="shared" ref="H5:H10" si="0">IF($Y$5=1,B5,0)/$B$45*60</f>
        <v>#DIV/0!</v>
      </c>
      <c r="I5" s="42" t="e">
        <f>H5+G5</f>
        <v>#DIV/0!</v>
      </c>
      <c r="J5" s="5">
        <f t="shared" ref="J5:J14" si="1">F5/$F$45</f>
        <v>0.13354274871268604</v>
      </c>
      <c r="K5" s="130">
        <f t="shared" ref="K5:K14" si="2">+G5/G$45</f>
        <v>0.13319871410578685</v>
      </c>
      <c r="L5" s="130" t="e">
        <f t="shared" ref="L5:L14" si="3">+I5/I$45</f>
        <v>#DIV/0!</v>
      </c>
      <c r="M5" s="3"/>
      <c r="N5" s="138" t="e">
        <f>$P$54</f>
        <v>#DIV/0!</v>
      </c>
      <c r="O5" s="3" t="e">
        <f>N5*$I5</f>
        <v>#DIV/0!</v>
      </c>
      <c r="P5" s="156" t="e">
        <f>H5</f>
        <v>#DIV/0!</v>
      </c>
      <c r="Q5" s="156" t="e">
        <f>#REF!</f>
        <v>#REF!</v>
      </c>
      <c r="R5" s="187" t="e">
        <f>P5-Q5</f>
        <v>#DIV/0!</v>
      </c>
      <c r="S5" s="3" t="e">
        <f>O5-P5</f>
        <v>#DIV/0!</v>
      </c>
      <c r="T5" s="3" t="e">
        <f t="shared" ref="T5:T14" si="4">S5+P5</f>
        <v>#DIV/0!</v>
      </c>
      <c r="U5" s="138" t="e">
        <f>T5/($G5)</f>
        <v>#DIV/0!</v>
      </c>
      <c r="V5" s="5"/>
      <c r="X5" s="74" t="s">
        <v>97</v>
      </c>
      <c r="Y5" s="75">
        <v>1</v>
      </c>
    </row>
    <row r="6" spans="2:27" x14ac:dyDescent="0.25">
      <c r="B6" s="59">
        <v>0</v>
      </c>
      <c r="D6" s="69" t="s">
        <v>7</v>
      </c>
      <c r="E6" s="73">
        <v>0.08</v>
      </c>
      <c r="F6" s="3">
        <v>80</v>
      </c>
      <c r="G6" s="179">
        <v>95.450475098932046</v>
      </c>
      <c r="H6" s="45" t="e">
        <f t="shared" si="0"/>
        <v>#DIV/0!</v>
      </c>
      <c r="I6" s="42" t="e">
        <f t="shared" ref="I6:I14" si="5">H6+G6</f>
        <v>#DIV/0!</v>
      </c>
      <c r="J6" s="5">
        <f t="shared" si="1"/>
        <v>3.0524056848613954E-2</v>
      </c>
      <c r="K6" s="130">
        <f t="shared" si="2"/>
        <v>3.0432305501635386E-2</v>
      </c>
      <c r="L6" s="130" t="e">
        <f t="shared" si="3"/>
        <v>#DIV/0!</v>
      </c>
      <c r="M6" s="3"/>
      <c r="N6" s="138" t="e">
        <f>N5</f>
        <v>#DIV/0!</v>
      </c>
      <c r="O6" s="3" t="e">
        <f t="shared" ref="O6:O14" si="6">N6*$I6</f>
        <v>#DIV/0!</v>
      </c>
      <c r="P6" s="156" t="e">
        <f t="shared" ref="P6:P10" si="7">H6</f>
        <v>#DIV/0!</v>
      </c>
      <c r="Q6" s="156" t="e">
        <f>#REF!</f>
        <v>#REF!</v>
      </c>
      <c r="R6" s="187" t="e">
        <f t="shared" ref="R6:R14" si="8">P6-Q6</f>
        <v>#DIV/0!</v>
      </c>
      <c r="S6" s="3" t="e">
        <f t="shared" ref="S6:S14" si="9">O6-P6</f>
        <v>#DIV/0!</v>
      </c>
      <c r="T6" s="3" t="e">
        <f t="shared" si="4"/>
        <v>#DIV/0!</v>
      </c>
      <c r="U6" s="138" t="e">
        <f t="shared" ref="U6:U14" si="10">T6/($G6)</f>
        <v>#DIV/0!</v>
      </c>
      <c r="V6" s="5"/>
      <c r="X6" s="76" t="s">
        <v>91</v>
      </c>
      <c r="Y6" s="58">
        <v>1</v>
      </c>
    </row>
    <row r="7" spans="2:27" x14ac:dyDescent="0.25">
      <c r="B7" s="59">
        <v>0</v>
      </c>
      <c r="D7" s="69" t="s">
        <v>8</v>
      </c>
      <c r="E7" s="77" t="s">
        <v>23</v>
      </c>
      <c r="F7" s="3">
        <v>240</v>
      </c>
      <c r="G7" s="179">
        <v>265.32299868879602</v>
      </c>
      <c r="H7" s="45" t="e">
        <f t="shared" si="0"/>
        <v>#DIV/0!</v>
      </c>
      <c r="I7" s="42" t="e">
        <f t="shared" si="5"/>
        <v>#DIV/0!</v>
      </c>
      <c r="J7" s="5">
        <f t="shared" si="1"/>
        <v>9.1572170545841866E-2</v>
      </c>
      <c r="K7" s="130">
        <f t="shared" si="2"/>
        <v>8.4592460585853971E-2</v>
      </c>
      <c r="L7" s="130" t="e">
        <f t="shared" si="3"/>
        <v>#DIV/0!</v>
      </c>
      <c r="M7" s="3"/>
      <c r="N7" s="138" t="e">
        <f t="shared" ref="N7:N14" si="11">N6</f>
        <v>#DIV/0!</v>
      </c>
      <c r="O7" s="3" t="e">
        <f t="shared" si="6"/>
        <v>#DIV/0!</v>
      </c>
      <c r="P7" s="156" t="e">
        <f t="shared" si="7"/>
        <v>#DIV/0!</v>
      </c>
      <c r="Q7" s="156" t="e">
        <f>#REF!</f>
        <v>#REF!</v>
      </c>
      <c r="R7" s="187" t="e">
        <f t="shared" si="8"/>
        <v>#DIV/0!</v>
      </c>
      <c r="S7" s="3" t="e">
        <f t="shared" si="9"/>
        <v>#DIV/0!</v>
      </c>
      <c r="T7" s="3" t="e">
        <f t="shared" si="4"/>
        <v>#DIV/0!</v>
      </c>
      <c r="U7" s="138" t="e">
        <f t="shared" si="10"/>
        <v>#DIV/0!</v>
      </c>
      <c r="V7" s="5"/>
      <c r="X7" s="76" t="s">
        <v>92</v>
      </c>
      <c r="Y7" s="58">
        <v>2</v>
      </c>
    </row>
    <row r="8" spans="2:27" x14ac:dyDescent="0.25">
      <c r="B8" s="59">
        <v>0</v>
      </c>
      <c r="D8" s="69" t="s">
        <v>21</v>
      </c>
      <c r="E8" s="73">
        <v>0.08</v>
      </c>
      <c r="F8" s="3">
        <v>270</v>
      </c>
      <c r="G8" s="179">
        <v>315.59138799999999</v>
      </c>
      <c r="H8" s="45" t="e">
        <f t="shared" si="0"/>
        <v>#DIV/0!</v>
      </c>
      <c r="I8" s="42" t="e">
        <f t="shared" si="5"/>
        <v>#DIV/0!</v>
      </c>
      <c r="J8" s="5">
        <f t="shared" si="1"/>
        <v>0.1030186918640721</v>
      </c>
      <c r="K8" s="130">
        <f t="shared" si="2"/>
        <v>0.10061944189745163</v>
      </c>
      <c r="L8" s="130" t="e">
        <f t="shared" si="3"/>
        <v>#DIV/0!</v>
      </c>
      <c r="M8" s="3"/>
      <c r="N8" s="138" t="e">
        <f t="shared" si="11"/>
        <v>#DIV/0!</v>
      </c>
      <c r="O8" s="3" t="e">
        <f t="shared" si="6"/>
        <v>#DIV/0!</v>
      </c>
      <c r="P8" s="156" t="e">
        <f t="shared" si="7"/>
        <v>#DIV/0!</v>
      </c>
      <c r="Q8" s="156" t="e">
        <f>#REF!</f>
        <v>#REF!</v>
      </c>
      <c r="R8" s="187" t="e">
        <f t="shared" si="8"/>
        <v>#DIV/0!</v>
      </c>
      <c r="S8" s="3" t="e">
        <f t="shared" si="9"/>
        <v>#DIV/0!</v>
      </c>
      <c r="T8" s="3" t="e">
        <f t="shared" si="4"/>
        <v>#DIV/0!</v>
      </c>
      <c r="U8" s="138" t="e">
        <f t="shared" si="10"/>
        <v>#DIV/0!</v>
      </c>
      <c r="V8" s="5"/>
    </row>
    <row r="9" spans="2:27" x14ac:dyDescent="0.25">
      <c r="B9" s="59">
        <v>0</v>
      </c>
      <c r="D9" s="69" t="s">
        <v>9</v>
      </c>
      <c r="E9" s="78">
        <v>9.2499999999999999E-2</v>
      </c>
      <c r="F9" s="3">
        <v>150</v>
      </c>
      <c r="G9" s="179">
        <v>194.08487769999999</v>
      </c>
      <c r="H9" s="45" t="e">
        <f t="shared" si="0"/>
        <v>#DIV/0!</v>
      </c>
      <c r="I9" s="42" t="e">
        <f t="shared" si="5"/>
        <v>#DIV/0!</v>
      </c>
      <c r="J9" s="5">
        <f t="shared" si="1"/>
        <v>5.7232606591151168E-2</v>
      </c>
      <c r="K9" s="130">
        <f t="shared" si="2"/>
        <v>6.1879736955652145E-2</v>
      </c>
      <c r="L9" s="130" t="e">
        <f t="shared" si="3"/>
        <v>#DIV/0!</v>
      </c>
      <c r="M9" s="3"/>
      <c r="N9" s="138" t="e">
        <f t="shared" si="11"/>
        <v>#DIV/0!</v>
      </c>
      <c r="O9" s="3" t="e">
        <f t="shared" si="6"/>
        <v>#DIV/0!</v>
      </c>
      <c r="P9" s="156" t="e">
        <f t="shared" si="7"/>
        <v>#DIV/0!</v>
      </c>
      <c r="Q9" s="156" t="e">
        <f>#REF!</f>
        <v>#REF!</v>
      </c>
      <c r="R9" s="187" t="e">
        <f t="shared" si="8"/>
        <v>#DIV/0!</v>
      </c>
      <c r="S9" s="3" t="e">
        <f t="shared" si="9"/>
        <v>#DIV/0!</v>
      </c>
      <c r="T9" s="3" t="e">
        <f t="shared" si="4"/>
        <v>#DIV/0!</v>
      </c>
      <c r="U9" s="138" t="e">
        <f t="shared" si="10"/>
        <v>#DIV/0!</v>
      </c>
      <c r="V9" s="5"/>
      <c r="X9" s="74" t="s">
        <v>74</v>
      </c>
      <c r="Y9" s="75">
        <v>2</v>
      </c>
    </row>
    <row r="10" spans="2:27" x14ac:dyDescent="0.25">
      <c r="B10" s="59">
        <v>0</v>
      </c>
      <c r="D10" s="79" t="s">
        <v>10</v>
      </c>
      <c r="E10" s="78">
        <v>9.2499999999999999E-2</v>
      </c>
      <c r="F10" s="4">
        <v>100</v>
      </c>
      <c r="G10" s="180">
        <v>134.38999999999999</v>
      </c>
      <c r="H10" s="44" t="e">
        <f t="shared" si="0"/>
        <v>#DIV/0!</v>
      </c>
      <c r="I10" s="43" t="e">
        <f t="shared" si="5"/>
        <v>#DIV/0!</v>
      </c>
      <c r="J10" s="5">
        <f t="shared" si="1"/>
        <v>3.8155071060767445E-2</v>
      </c>
      <c r="K10" s="130">
        <f t="shared" si="2"/>
        <v>4.2847325087966355E-2</v>
      </c>
      <c r="L10" s="130" t="e">
        <f t="shared" si="3"/>
        <v>#DIV/0!</v>
      </c>
      <c r="M10" s="3"/>
      <c r="N10" s="139" t="e">
        <f t="shared" si="11"/>
        <v>#DIV/0!</v>
      </c>
      <c r="O10" s="4" t="e">
        <f t="shared" si="6"/>
        <v>#DIV/0!</v>
      </c>
      <c r="P10" s="156" t="e">
        <f t="shared" si="7"/>
        <v>#DIV/0!</v>
      </c>
      <c r="Q10" s="156" t="e">
        <f>#REF!</f>
        <v>#REF!</v>
      </c>
      <c r="R10" s="187" t="e">
        <f t="shared" si="8"/>
        <v>#DIV/0!</v>
      </c>
      <c r="S10" s="4" t="e">
        <f t="shared" si="9"/>
        <v>#DIV/0!</v>
      </c>
      <c r="T10" s="4" t="e">
        <f t="shared" si="4"/>
        <v>#DIV/0!</v>
      </c>
      <c r="U10" s="139" t="e">
        <f t="shared" si="10"/>
        <v>#DIV/0!</v>
      </c>
      <c r="V10" s="5"/>
      <c r="X10" s="76" t="s">
        <v>75</v>
      </c>
      <c r="Y10" s="58">
        <v>1</v>
      </c>
    </row>
    <row r="11" spans="2:27" x14ac:dyDescent="0.25">
      <c r="D11" s="80" t="s">
        <v>11</v>
      </c>
      <c r="E11" s="81"/>
      <c r="F11" s="82">
        <f t="shared" ref="F11:H11" si="12">SUM(F5:F10)</f>
        <v>1190</v>
      </c>
      <c r="G11" s="82">
        <f t="shared" si="12"/>
        <v>1422.6155318371098</v>
      </c>
      <c r="H11" s="157" t="e">
        <f t="shared" si="12"/>
        <v>#DIV/0!</v>
      </c>
      <c r="I11" s="84" t="e">
        <f t="shared" si="5"/>
        <v>#DIV/0!</v>
      </c>
      <c r="J11" s="86">
        <f t="shared" si="1"/>
        <v>0.45404534562313259</v>
      </c>
      <c r="K11" s="131">
        <f t="shared" si="2"/>
        <v>0.45356998413434629</v>
      </c>
      <c r="L11" s="131" t="e">
        <f t="shared" si="3"/>
        <v>#DIV/0!</v>
      </c>
      <c r="M11" s="85"/>
      <c r="N11" s="140" t="e">
        <f t="shared" si="11"/>
        <v>#DIV/0!</v>
      </c>
      <c r="O11" s="82" t="e">
        <f t="shared" si="6"/>
        <v>#DIV/0!</v>
      </c>
      <c r="P11" s="157" t="e">
        <f t="shared" ref="P11" si="13">SUM(P5:P10)</f>
        <v>#DIV/0!</v>
      </c>
      <c r="Q11" s="157" t="e">
        <f>#REF!</f>
        <v>#REF!</v>
      </c>
      <c r="R11" s="188" t="e">
        <f t="shared" si="8"/>
        <v>#DIV/0!</v>
      </c>
      <c r="S11" s="82" t="e">
        <f t="shared" si="9"/>
        <v>#DIV/0!</v>
      </c>
      <c r="T11" s="82" t="e">
        <f t="shared" si="4"/>
        <v>#DIV/0!</v>
      </c>
      <c r="U11" s="140" t="e">
        <f t="shared" si="10"/>
        <v>#DIV/0!</v>
      </c>
      <c r="V11" s="87"/>
      <c r="X11" s="76" t="s">
        <v>98</v>
      </c>
      <c r="Y11" s="58">
        <v>2</v>
      </c>
    </row>
    <row r="12" spans="2:27" x14ac:dyDescent="0.25">
      <c r="B12" s="59">
        <v>0</v>
      </c>
      <c r="D12" s="69" t="s">
        <v>0</v>
      </c>
      <c r="E12" s="89">
        <v>9.3600000000000003E-2</v>
      </c>
      <c r="F12" s="3">
        <v>200</v>
      </c>
      <c r="G12" s="179">
        <v>229.95</v>
      </c>
      <c r="H12" s="45" t="e">
        <f t="shared" ref="H12:H13" si="14">IF($Y$5=1,B12,0)/$B$45*60</f>
        <v>#DIV/0!</v>
      </c>
      <c r="I12" s="42" t="e">
        <f t="shared" si="5"/>
        <v>#DIV/0!</v>
      </c>
      <c r="J12" s="5">
        <f t="shared" si="1"/>
        <v>7.6310142121534891E-2</v>
      </c>
      <c r="K12" s="130">
        <f t="shared" si="2"/>
        <v>7.3314550219345659E-2</v>
      </c>
      <c r="L12" s="130" t="e">
        <f t="shared" si="3"/>
        <v>#DIV/0!</v>
      </c>
      <c r="M12" s="3"/>
      <c r="N12" s="138" t="e">
        <f t="shared" si="11"/>
        <v>#DIV/0!</v>
      </c>
      <c r="O12" s="3" t="e">
        <f t="shared" si="6"/>
        <v>#DIV/0!</v>
      </c>
      <c r="P12" s="156" t="e">
        <f t="shared" ref="P12:P13" si="15">H12</f>
        <v>#DIV/0!</v>
      </c>
      <c r="Q12" s="156" t="e">
        <f>#REF!</f>
        <v>#REF!</v>
      </c>
      <c r="R12" s="187" t="e">
        <f t="shared" si="8"/>
        <v>#DIV/0!</v>
      </c>
      <c r="S12" s="3" t="e">
        <f t="shared" si="9"/>
        <v>#DIV/0!</v>
      </c>
      <c r="T12" s="3" t="e">
        <f t="shared" si="4"/>
        <v>#DIV/0!</v>
      </c>
      <c r="U12" s="138" t="e">
        <f t="shared" si="10"/>
        <v>#DIV/0!</v>
      </c>
      <c r="V12" s="5"/>
    </row>
    <row r="13" spans="2:27" x14ac:dyDescent="0.25">
      <c r="B13" s="59">
        <v>0</v>
      </c>
      <c r="D13" s="79" t="s">
        <v>12</v>
      </c>
      <c r="E13" s="90">
        <v>9.9500000000000005E-2</v>
      </c>
      <c r="F13" s="4">
        <v>35.263100000000001</v>
      </c>
      <c r="G13" s="180">
        <v>40.939944209000004</v>
      </c>
      <c r="H13" s="44" t="e">
        <f t="shared" si="14"/>
        <v>#DIV/0!</v>
      </c>
      <c r="I13" s="43" t="e">
        <f t="shared" si="5"/>
        <v>#DIV/0!</v>
      </c>
      <c r="J13" s="6">
        <f t="shared" si="1"/>
        <v>1.3454660863229485E-2</v>
      </c>
      <c r="K13" s="132">
        <f t="shared" si="2"/>
        <v>1.3052809722495937E-2</v>
      </c>
      <c r="L13" s="132" t="e">
        <f t="shared" si="3"/>
        <v>#DIV/0!</v>
      </c>
      <c r="M13" s="3"/>
      <c r="N13" s="139" t="e">
        <f t="shared" si="11"/>
        <v>#DIV/0!</v>
      </c>
      <c r="O13" s="4" t="e">
        <f t="shared" si="6"/>
        <v>#DIV/0!</v>
      </c>
      <c r="P13" s="156" t="e">
        <f t="shared" si="15"/>
        <v>#DIV/0!</v>
      </c>
      <c r="Q13" s="156" t="e">
        <f>#REF!</f>
        <v>#REF!</v>
      </c>
      <c r="R13" s="187" t="e">
        <f t="shared" si="8"/>
        <v>#DIV/0!</v>
      </c>
      <c r="S13" s="4" t="e">
        <f t="shared" si="9"/>
        <v>#DIV/0!</v>
      </c>
      <c r="T13" s="4" t="e">
        <f t="shared" si="4"/>
        <v>#DIV/0!</v>
      </c>
      <c r="U13" s="139" t="e">
        <f t="shared" si="10"/>
        <v>#DIV/0!</v>
      </c>
      <c r="V13" s="5"/>
      <c r="X13" s="91" t="s">
        <v>82</v>
      </c>
    </row>
    <row r="14" spans="2:27" x14ac:dyDescent="0.25">
      <c r="D14" s="92" t="s">
        <v>13</v>
      </c>
      <c r="E14" s="93"/>
      <c r="F14" s="94">
        <f>+SUM(F11:F13)</f>
        <v>1425.2630999999999</v>
      </c>
      <c r="G14" s="94">
        <f>+SUM(G11:G13)</f>
        <v>1693.5054760461098</v>
      </c>
      <c r="H14" s="186" t="e">
        <f>+SUM(H11:H13)</f>
        <v>#DIV/0!</v>
      </c>
      <c r="I14" s="96" t="e">
        <f t="shared" si="5"/>
        <v>#DIV/0!</v>
      </c>
      <c r="J14" s="88">
        <f t="shared" si="1"/>
        <v>0.54381014860789689</v>
      </c>
      <c r="K14" s="133">
        <f t="shared" si="2"/>
        <v>0.53993734407618788</v>
      </c>
      <c r="L14" s="133" t="e">
        <f t="shared" si="3"/>
        <v>#DIV/0!</v>
      </c>
      <c r="M14" s="97"/>
      <c r="N14" s="141" t="e">
        <f t="shared" si="11"/>
        <v>#DIV/0!</v>
      </c>
      <c r="O14" s="94" t="e">
        <f t="shared" si="6"/>
        <v>#DIV/0!</v>
      </c>
      <c r="P14" s="157" t="e">
        <f>+SUM(P11:P13)</f>
        <v>#DIV/0!</v>
      </c>
      <c r="Q14" s="157" t="e">
        <f>#REF!</f>
        <v>#REF!</v>
      </c>
      <c r="R14" s="188" t="e">
        <f t="shared" si="8"/>
        <v>#DIV/0!</v>
      </c>
      <c r="S14" s="94" t="e">
        <f t="shared" si="9"/>
        <v>#DIV/0!</v>
      </c>
      <c r="T14" s="94" t="e">
        <f t="shared" si="4"/>
        <v>#DIV/0!</v>
      </c>
      <c r="U14" s="141" t="e">
        <f t="shared" si="10"/>
        <v>#DIV/0!</v>
      </c>
      <c r="V14" s="87"/>
      <c r="X14" s="76" t="s">
        <v>84</v>
      </c>
      <c r="Y14" s="98" t="e">
        <f>L14</f>
        <v>#DIV/0!</v>
      </c>
    </row>
    <row r="15" spans="2:27" x14ac:dyDescent="0.25">
      <c r="D15" s="2"/>
      <c r="F15" s="99"/>
      <c r="G15" s="99"/>
      <c r="I15" s="100"/>
      <c r="K15" s="78"/>
      <c r="L15" s="78"/>
      <c r="N15" s="72"/>
      <c r="O15" s="99"/>
      <c r="P15" s="158"/>
      <c r="Q15" s="158"/>
      <c r="R15" s="189"/>
      <c r="S15" s="158"/>
      <c r="T15" s="161"/>
      <c r="U15" s="160"/>
      <c r="V15" s="58"/>
      <c r="X15" s="76" t="s">
        <v>83</v>
      </c>
      <c r="Y15" s="98" t="e">
        <f>L21</f>
        <v>#DIV/0!</v>
      </c>
    </row>
    <row r="16" spans="2:27" x14ac:dyDescent="0.25">
      <c r="D16" s="101" t="s">
        <v>78</v>
      </c>
      <c r="F16" s="99"/>
      <c r="G16" s="99"/>
      <c r="I16" s="100"/>
      <c r="K16" s="78"/>
      <c r="L16" s="78"/>
      <c r="N16" s="72"/>
      <c r="O16" s="99"/>
      <c r="P16" s="158"/>
      <c r="Q16" s="158"/>
      <c r="R16" s="189"/>
      <c r="S16" s="158"/>
      <c r="T16" s="158"/>
      <c r="U16" s="160"/>
      <c r="V16" s="58"/>
      <c r="X16" s="76" t="s">
        <v>85</v>
      </c>
      <c r="Y16" s="98" t="e">
        <f>L26</f>
        <v>#DIV/0!</v>
      </c>
      <c r="Z16" s="98" t="e">
        <f>SUM(Y14:Y16)</f>
        <v>#DIV/0!</v>
      </c>
      <c r="AA16" s="58" t="s">
        <v>88</v>
      </c>
    </row>
    <row r="17" spans="2:28" x14ac:dyDescent="0.25">
      <c r="B17" s="59">
        <f>'Bank Recovery_Revised'!U14+'Bank Recovery_Revised'!U15+'Bank Recovery_Revised'!U16+'Bank Recovery_Revised'!U20+'Bank Recovery_Revised'!U27</f>
        <v>0</v>
      </c>
      <c r="D17" s="69" t="s">
        <v>14</v>
      </c>
      <c r="E17" s="89">
        <f>8.1%+2.25%</f>
        <v>0.10350000000000001</v>
      </c>
      <c r="F17" s="3">
        <f>106.4+71.6</f>
        <v>178</v>
      </c>
      <c r="G17" s="179">
        <v>243.79</v>
      </c>
      <c r="H17" s="45" t="e">
        <f>IF($Y$5=1,B17,0)/$B$45*60</f>
        <v>#DIV/0!</v>
      </c>
      <c r="I17" s="42" t="e">
        <f t="shared" ref="I17:I20" si="16">H17+G17</f>
        <v>#DIV/0!</v>
      </c>
      <c r="J17" s="5">
        <f>F17/$F$45</f>
        <v>6.7916026488166054E-2</v>
      </c>
      <c r="K17" s="130">
        <f>+G17/G$45</f>
        <v>7.7727132846159078E-2</v>
      </c>
      <c r="L17" s="130" t="e">
        <f>+I17/I$45</f>
        <v>#DIV/0!</v>
      </c>
      <c r="M17" s="3"/>
      <c r="N17" s="138" t="e">
        <f>N14</f>
        <v>#DIV/0!</v>
      </c>
      <c r="O17" s="3" t="e">
        <f t="shared" ref="O17:O21" si="17">N17*$I17</f>
        <v>#DIV/0!</v>
      </c>
      <c r="P17" s="3" t="e">
        <f t="shared" ref="P17:P20" si="18">H17</f>
        <v>#DIV/0!</v>
      </c>
      <c r="Q17" s="3" t="e">
        <f>#REF!</f>
        <v>#REF!</v>
      </c>
      <c r="R17" s="190" t="e">
        <f t="shared" ref="R17:R21" si="19">P17-Q17</f>
        <v>#DIV/0!</v>
      </c>
      <c r="S17" s="3" t="e">
        <f t="shared" ref="S17:S21" si="20">O17-P17</f>
        <v>#DIV/0!</v>
      </c>
      <c r="T17" s="3" t="e">
        <f>S17+P17</f>
        <v>#DIV/0!</v>
      </c>
      <c r="U17" s="138" t="e">
        <f t="shared" ref="U17:U21" si="21">T17/($G17)</f>
        <v>#DIV/0!</v>
      </c>
      <c r="V17" s="5"/>
      <c r="X17" s="76" t="s">
        <v>86</v>
      </c>
      <c r="Y17" s="98" t="e">
        <f>L32</f>
        <v>#DIV/0!</v>
      </c>
      <c r="Z17" s="98" t="e">
        <f>Y17</f>
        <v>#DIV/0!</v>
      </c>
      <c r="AA17" s="58" t="s">
        <v>89</v>
      </c>
    </row>
    <row r="18" spans="2:28" x14ac:dyDescent="0.25">
      <c r="B18" s="59">
        <f>'Bank Recovery_Revised'!U17</f>
        <v>0</v>
      </c>
      <c r="D18" s="69" t="s">
        <v>15</v>
      </c>
      <c r="E18" s="89">
        <f>8.15%+3.25%</f>
        <v>0.114</v>
      </c>
      <c r="F18" s="3">
        <v>108.1</v>
      </c>
      <c r="G18" s="181">
        <v>131.03</v>
      </c>
      <c r="H18" s="45" t="e">
        <f t="shared" ref="H18:H20" si="22">IF($Y$5=1,B18,0)/$B$45*60</f>
        <v>#DIV/0!</v>
      </c>
      <c r="I18" s="42" t="e">
        <f t="shared" si="16"/>
        <v>#DIV/0!</v>
      </c>
      <c r="J18" s="5">
        <f>F18/$F$45</f>
        <v>4.1245631816689603E-2</v>
      </c>
      <c r="K18" s="130">
        <f>+G18/G$45</f>
        <v>4.1776062253711083E-2</v>
      </c>
      <c r="L18" s="130" t="e">
        <f>+I18/I$45</f>
        <v>#DIV/0!</v>
      </c>
      <c r="M18" s="3"/>
      <c r="N18" s="138" t="e">
        <f t="shared" ref="N18:N21" si="23">N17</f>
        <v>#DIV/0!</v>
      </c>
      <c r="O18" s="3" t="e">
        <f t="shared" si="17"/>
        <v>#DIV/0!</v>
      </c>
      <c r="P18" s="3" t="e">
        <f t="shared" si="18"/>
        <v>#DIV/0!</v>
      </c>
      <c r="Q18" s="3" t="e">
        <f>#REF!</f>
        <v>#REF!</v>
      </c>
      <c r="R18" s="190" t="e">
        <f t="shared" si="19"/>
        <v>#DIV/0!</v>
      </c>
      <c r="S18" s="3" t="e">
        <f t="shared" si="20"/>
        <v>#DIV/0!</v>
      </c>
      <c r="T18" s="3" t="e">
        <f t="shared" ref="T18:T19" si="24">S18+P18</f>
        <v>#DIV/0!</v>
      </c>
      <c r="U18" s="138" t="e">
        <f t="shared" si="21"/>
        <v>#DIV/0!</v>
      </c>
      <c r="V18" s="5"/>
      <c r="X18" s="76" t="s">
        <v>87</v>
      </c>
      <c r="Y18" s="98" t="e">
        <f>L38</f>
        <v>#DIV/0!</v>
      </c>
      <c r="Z18" s="98" t="e">
        <f>Y18</f>
        <v>#DIV/0!</v>
      </c>
      <c r="AA18" s="58" t="s">
        <v>90</v>
      </c>
    </row>
    <row r="19" spans="2:28" x14ac:dyDescent="0.25">
      <c r="B19" s="59">
        <f>'Bank Recovery_Revised'!U7+'Bank Recovery_Revised'!U9+'Bank Recovery_Revised'!U19+'Bank Recovery_Revised'!U29</f>
        <v>0</v>
      </c>
      <c r="D19" s="69" t="s">
        <v>1</v>
      </c>
      <c r="E19" s="89">
        <v>0.1</v>
      </c>
      <c r="F19" s="3">
        <v>18.5593</v>
      </c>
      <c r="G19" s="179">
        <v>32.624455026</v>
      </c>
      <c r="H19" s="45" t="e">
        <f t="shared" si="22"/>
        <v>#DIV/0!</v>
      </c>
      <c r="I19" s="42" t="e">
        <f t="shared" si="16"/>
        <v>#DIV/0!</v>
      </c>
      <c r="J19" s="5">
        <f>F19/$F$45</f>
        <v>7.0813141033810121E-3</v>
      </c>
      <c r="K19" s="130">
        <f>+G19/G$45</f>
        <v>1.0401597070591264E-2</v>
      </c>
      <c r="L19" s="130" t="e">
        <f>+I19/I$45</f>
        <v>#DIV/0!</v>
      </c>
      <c r="M19" s="3"/>
      <c r="N19" s="138" t="e">
        <f t="shared" si="23"/>
        <v>#DIV/0!</v>
      </c>
      <c r="O19" s="3" t="e">
        <f t="shared" si="17"/>
        <v>#DIV/0!</v>
      </c>
      <c r="P19" s="3" t="e">
        <f t="shared" si="18"/>
        <v>#DIV/0!</v>
      </c>
      <c r="Q19" s="3" t="e">
        <f>#REF!</f>
        <v>#REF!</v>
      </c>
      <c r="R19" s="190" t="e">
        <f t="shared" si="19"/>
        <v>#DIV/0!</v>
      </c>
      <c r="S19" s="3" t="e">
        <f t="shared" si="20"/>
        <v>#DIV/0!</v>
      </c>
      <c r="T19" s="3" t="e">
        <f t="shared" si="24"/>
        <v>#DIV/0!</v>
      </c>
      <c r="U19" s="138" t="e">
        <f t="shared" si="21"/>
        <v>#DIV/0!</v>
      </c>
      <c r="V19" s="5"/>
      <c r="X19" s="58" t="s">
        <v>107</v>
      </c>
      <c r="Y19" s="98" t="e">
        <f>L42</f>
        <v>#DIV/0!</v>
      </c>
      <c r="Z19" s="98" t="e">
        <f>Y19</f>
        <v>#DIV/0!</v>
      </c>
      <c r="AA19" s="58" t="s">
        <v>108</v>
      </c>
    </row>
    <row r="20" spans="2:28" ht="15.75" thickBot="1" x14ac:dyDescent="0.3">
      <c r="B20" s="59">
        <f>'Bank Recovery_Revised'!U6+'Bank Recovery_Revised'!U12+'Bank Recovery_Revised'!U18+'Bank Recovery_Revised'!U28</f>
        <v>0</v>
      </c>
      <c r="D20" s="79" t="s">
        <v>16</v>
      </c>
      <c r="E20" s="90">
        <f>9.7%+1.55%</f>
        <v>0.11249999999999999</v>
      </c>
      <c r="F20" s="4">
        <f>8.8462+27+4.69</f>
        <v>40.536199999999994</v>
      </c>
      <c r="G20" s="180">
        <v>47.577806200000005</v>
      </c>
      <c r="H20" s="44" t="e">
        <f t="shared" si="22"/>
        <v>#DIV/0!</v>
      </c>
      <c r="I20" s="43" t="e">
        <f t="shared" si="16"/>
        <v>#DIV/0!</v>
      </c>
      <c r="J20" s="5">
        <f>F20/$F$45</f>
        <v>1.5466615915334809E-2</v>
      </c>
      <c r="K20" s="130">
        <f>+G20/G$45</f>
        <v>1.5169147475434642E-2</v>
      </c>
      <c r="L20" s="130" t="e">
        <f>+I20/I$45</f>
        <v>#DIV/0!</v>
      </c>
      <c r="M20" s="3"/>
      <c r="N20" s="139" t="e">
        <f t="shared" si="23"/>
        <v>#DIV/0!</v>
      </c>
      <c r="O20" s="4" t="e">
        <f t="shared" si="17"/>
        <v>#DIV/0!</v>
      </c>
      <c r="P20" s="4" t="e">
        <f t="shared" si="18"/>
        <v>#DIV/0!</v>
      </c>
      <c r="Q20" s="4" t="e">
        <f>#REF!</f>
        <v>#REF!</v>
      </c>
      <c r="R20" s="191" t="e">
        <f t="shared" si="19"/>
        <v>#DIV/0!</v>
      </c>
      <c r="S20" s="4" t="e">
        <f t="shared" si="20"/>
        <v>#DIV/0!</v>
      </c>
      <c r="T20" s="4" t="e">
        <f>S20+P20</f>
        <v>#DIV/0!</v>
      </c>
      <c r="U20" s="139" t="e">
        <f t="shared" si="21"/>
        <v>#DIV/0!</v>
      </c>
      <c r="V20" s="116" t="s">
        <v>105</v>
      </c>
      <c r="X20" s="74" t="s">
        <v>2</v>
      </c>
      <c r="Y20" s="102" t="e">
        <f>SUM(Y14:Y19)</f>
        <v>#DIV/0!</v>
      </c>
    </row>
    <row r="21" spans="2:28" ht="15.75" thickTop="1" x14ac:dyDescent="0.25">
      <c r="D21" s="92" t="s">
        <v>70</v>
      </c>
      <c r="E21" s="93"/>
      <c r="F21" s="103">
        <f>SUM(F17:F20)</f>
        <v>345.19550000000004</v>
      </c>
      <c r="G21" s="103">
        <f>SUM(G17:G20)</f>
        <v>455.02226122600001</v>
      </c>
      <c r="H21" s="95" t="e">
        <f>SUM(H17:H20)</f>
        <v>#DIV/0!</v>
      </c>
      <c r="I21" s="96" t="e">
        <f>SUM(I17:I20)</f>
        <v>#DIV/0!</v>
      </c>
      <c r="J21" s="86">
        <f>F21/$F$45</f>
        <v>0.13170958832357149</v>
      </c>
      <c r="K21" s="131">
        <f>+G21/G$45</f>
        <v>0.14507393964589607</v>
      </c>
      <c r="L21" s="131" t="e">
        <f>+I21/I$45</f>
        <v>#DIV/0!</v>
      </c>
      <c r="M21" s="104"/>
      <c r="N21" s="141" t="e">
        <f t="shared" si="23"/>
        <v>#DIV/0!</v>
      </c>
      <c r="O21" s="103" t="e">
        <f t="shared" si="17"/>
        <v>#DIV/0!</v>
      </c>
      <c r="P21" s="103" t="e">
        <f>SUM(P17:P20)</f>
        <v>#DIV/0!</v>
      </c>
      <c r="Q21" s="103" t="e">
        <f>#REF!</f>
        <v>#REF!</v>
      </c>
      <c r="R21" s="192" t="e">
        <f t="shared" si="19"/>
        <v>#DIV/0!</v>
      </c>
      <c r="S21" s="103" t="e">
        <f t="shared" si="20"/>
        <v>#DIV/0!</v>
      </c>
      <c r="T21" s="103" t="e">
        <f>S21+P21</f>
        <v>#DIV/0!</v>
      </c>
      <c r="U21" s="141" t="e">
        <f t="shared" si="21"/>
        <v>#DIV/0!</v>
      </c>
      <c r="V21" s="87"/>
    </row>
    <row r="22" spans="2:28" x14ac:dyDescent="0.25">
      <c r="D22" s="7"/>
      <c r="F22" s="99"/>
      <c r="G22" s="99"/>
      <c r="I22" s="100"/>
      <c r="K22" s="78"/>
      <c r="L22" s="78"/>
      <c r="N22" s="72"/>
      <c r="O22" s="99"/>
      <c r="P22" s="158"/>
      <c r="Q22" s="158"/>
      <c r="R22" s="189"/>
      <c r="S22" s="158"/>
      <c r="T22" s="161"/>
      <c r="U22" s="160"/>
      <c r="V22" s="58"/>
      <c r="X22" s="91" t="s">
        <v>99</v>
      </c>
    </row>
    <row r="23" spans="2:28" x14ac:dyDescent="0.25">
      <c r="D23" s="101" t="s">
        <v>79</v>
      </c>
      <c r="F23" s="99"/>
      <c r="G23" s="99"/>
      <c r="I23" s="100"/>
      <c r="K23" s="78"/>
      <c r="L23" s="78"/>
      <c r="N23" s="72"/>
      <c r="O23" s="99"/>
      <c r="P23" s="158"/>
      <c r="Q23" s="158"/>
      <c r="R23" s="189"/>
      <c r="S23" s="158"/>
      <c r="T23" s="3"/>
      <c r="U23" s="160"/>
      <c r="V23" s="58"/>
      <c r="X23" s="76" t="s">
        <v>84</v>
      </c>
      <c r="Y23" s="105" t="e">
        <f>$Z$25*(Y14/SUM($Y$14:$Y$16))</f>
        <v>#DIV/0!</v>
      </c>
    </row>
    <row r="24" spans="2:28" x14ac:dyDescent="0.25">
      <c r="B24" s="59">
        <v>0</v>
      </c>
      <c r="D24" s="69" t="s">
        <v>14</v>
      </c>
      <c r="E24" s="106" t="s">
        <v>68</v>
      </c>
      <c r="F24" s="3">
        <v>31.36</v>
      </c>
      <c r="G24" s="179">
        <v>29.83</v>
      </c>
      <c r="H24" s="45" t="e">
        <f t="shared" ref="H24:H25" si="25">IF($Y$5=1,B24,0)/$B$45*60</f>
        <v>#DIV/0!</v>
      </c>
      <c r="I24" s="42" t="e">
        <f t="shared" ref="I24:I25" si="26">H24+G24</f>
        <v>#DIV/0!</v>
      </c>
      <c r="J24" s="5">
        <f>F24/$F$45</f>
        <v>1.1965430284656671E-2</v>
      </c>
      <c r="K24" s="130">
        <f>+G24/G$45</f>
        <v>9.5106459362604093E-3</v>
      </c>
      <c r="L24" s="130" t="e">
        <f>+I24/I$45</f>
        <v>#DIV/0!</v>
      </c>
      <c r="M24" s="3"/>
      <c r="N24" s="138" t="e">
        <f>N21</f>
        <v>#DIV/0!</v>
      </c>
      <c r="O24" s="3" t="e">
        <f t="shared" ref="O24:O26" si="27">N24*$I24</f>
        <v>#DIV/0!</v>
      </c>
      <c r="P24" s="156" t="e">
        <f t="shared" ref="P24:P25" si="28">H24</f>
        <v>#DIV/0!</v>
      </c>
      <c r="Q24" s="156" t="e">
        <f>#REF!</f>
        <v>#REF!</v>
      </c>
      <c r="R24" s="187" t="e">
        <f t="shared" ref="R24:R26" si="29">P24-Q24</f>
        <v>#DIV/0!</v>
      </c>
      <c r="S24" s="3" t="e">
        <f t="shared" ref="S24:S26" si="30">O24-P24</f>
        <v>#DIV/0!</v>
      </c>
      <c r="T24" s="3" t="e">
        <f t="shared" ref="T24:T26" si="31">S24+P24</f>
        <v>#DIV/0!</v>
      </c>
      <c r="U24" s="138" t="e">
        <f t="shared" ref="U24:U26" si="32">T24/($G24)</f>
        <v>#DIV/0!</v>
      </c>
      <c r="V24" s="5"/>
      <c r="X24" s="76" t="s">
        <v>83</v>
      </c>
      <c r="Y24" s="105" t="e">
        <f>$Z$25*(Y15/SUM($Y$14:$Y$16))</f>
        <v>#DIV/0!</v>
      </c>
    </row>
    <row r="25" spans="2:28" x14ac:dyDescent="0.25">
      <c r="B25" s="59">
        <v>0</v>
      </c>
      <c r="D25" s="69" t="s">
        <v>16</v>
      </c>
      <c r="E25" s="106" t="s">
        <v>68</v>
      </c>
      <c r="F25" s="3">
        <v>2.36</v>
      </c>
      <c r="G25" s="179">
        <v>0.76774010000000004</v>
      </c>
      <c r="H25" s="45" t="e">
        <f t="shared" si="25"/>
        <v>#DIV/0!</v>
      </c>
      <c r="I25" s="42" t="e">
        <f t="shared" si="26"/>
        <v>#DIV/0!</v>
      </c>
      <c r="J25" s="5">
        <f>F25/$F$45</f>
        <v>9.0045967703411165E-4</v>
      </c>
      <c r="K25" s="130">
        <f>+G25/G$45</f>
        <v>2.4477721294566414E-4</v>
      </c>
      <c r="L25" s="130" t="e">
        <f>+I25/I$45</f>
        <v>#DIV/0!</v>
      </c>
      <c r="M25" s="3"/>
      <c r="N25" s="138" t="e">
        <f>N24</f>
        <v>#DIV/0!</v>
      </c>
      <c r="O25" s="3" t="e">
        <f t="shared" si="27"/>
        <v>#DIV/0!</v>
      </c>
      <c r="P25" s="156" t="e">
        <f t="shared" si="28"/>
        <v>#DIV/0!</v>
      </c>
      <c r="Q25" s="156" t="e">
        <f>#REF!</f>
        <v>#REF!</v>
      </c>
      <c r="R25" s="187" t="e">
        <f t="shared" si="29"/>
        <v>#DIV/0!</v>
      </c>
      <c r="S25" s="3" t="e">
        <f t="shared" si="30"/>
        <v>#DIV/0!</v>
      </c>
      <c r="T25" s="3" t="e">
        <f t="shared" si="31"/>
        <v>#DIV/0!</v>
      </c>
      <c r="U25" s="138" t="e">
        <f t="shared" si="32"/>
        <v>#DIV/0!</v>
      </c>
      <c r="V25" s="116" t="s">
        <v>105</v>
      </c>
      <c r="X25" s="76" t="s">
        <v>85</v>
      </c>
      <c r="Y25" s="105" t="e">
        <f>$Z$25*(Y16/SUM($Y$14:$Y$16))</f>
        <v>#DIV/0!</v>
      </c>
      <c r="Z25" s="107">
        <v>0.87</v>
      </c>
      <c r="AA25" s="58" t="s">
        <v>88</v>
      </c>
    </row>
    <row r="26" spans="2:28" x14ac:dyDescent="0.25">
      <c r="D26" s="80" t="s">
        <v>69</v>
      </c>
      <c r="E26" s="182"/>
      <c r="F26" s="155">
        <f>SUM(F24:F25)</f>
        <v>33.72</v>
      </c>
      <c r="G26" s="155">
        <f>SUM(G24:G25)</f>
        <v>30.597740099999999</v>
      </c>
      <c r="H26" s="83" t="e">
        <f>SUM(H24:H25)</f>
        <v>#DIV/0!</v>
      </c>
      <c r="I26" s="84" t="e">
        <f>SUM(I24:I25)</f>
        <v>#DIV/0!</v>
      </c>
      <c r="J26" s="86">
        <f>F26/$F$45</f>
        <v>1.2865889961690781E-2</v>
      </c>
      <c r="K26" s="131">
        <f>+G26/G$45</f>
        <v>9.7554231492060738E-3</v>
      </c>
      <c r="L26" s="131" t="e">
        <f>+I26/I$45</f>
        <v>#DIV/0!</v>
      </c>
      <c r="M26" s="104"/>
      <c r="N26" s="183" t="e">
        <f>N25</f>
        <v>#DIV/0!</v>
      </c>
      <c r="O26" s="155" t="e">
        <f t="shared" si="27"/>
        <v>#DIV/0!</v>
      </c>
      <c r="P26" s="157" t="e">
        <f>SUM(P24:P25)</f>
        <v>#DIV/0!</v>
      </c>
      <c r="Q26" s="157" t="e">
        <f>#REF!</f>
        <v>#REF!</v>
      </c>
      <c r="R26" s="188" t="e">
        <f t="shared" si="29"/>
        <v>#DIV/0!</v>
      </c>
      <c r="S26" s="155" t="e">
        <f t="shared" si="30"/>
        <v>#DIV/0!</v>
      </c>
      <c r="T26" s="155" t="e">
        <f t="shared" si="31"/>
        <v>#DIV/0!</v>
      </c>
      <c r="U26" s="140" t="e">
        <f t="shared" si="32"/>
        <v>#DIV/0!</v>
      </c>
      <c r="V26" s="87"/>
      <c r="X26" s="76" t="s">
        <v>87</v>
      </c>
      <c r="Y26" s="105">
        <f>Z26</f>
        <v>0.06</v>
      </c>
      <c r="Z26" s="107">
        <v>0.06</v>
      </c>
      <c r="AA26" s="58" t="s">
        <v>90</v>
      </c>
    </row>
    <row r="27" spans="2:28" x14ac:dyDescent="0.25">
      <c r="D27" s="69"/>
      <c r="E27" s="89"/>
      <c r="F27" s="3"/>
      <c r="G27" s="3"/>
      <c r="H27" s="45"/>
      <c r="I27" s="42"/>
      <c r="J27" s="5"/>
      <c r="K27" s="130"/>
      <c r="L27" s="130"/>
      <c r="M27" s="3"/>
      <c r="N27" s="138"/>
      <c r="O27" s="3"/>
      <c r="P27" s="3"/>
      <c r="Q27" s="3"/>
      <c r="R27" s="190"/>
      <c r="S27" s="3"/>
      <c r="T27" s="161"/>
      <c r="U27" s="138"/>
      <c r="V27" s="5"/>
      <c r="X27" s="58" t="s">
        <v>107</v>
      </c>
      <c r="Y27" s="105">
        <f>Z27</f>
        <v>7.0000000000000062E-2</v>
      </c>
      <c r="Z27" s="107">
        <f>1-SUM(Z25:Z26)</f>
        <v>7.0000000000000062E-2</v>
      </c>
      <c r="AA27" s="58" t="s">
        <v>108</v>
      </c>
    </row>
    <row r="28" spans="2:28" ht="15.75" thickBot="1" x14ac:dyDescent="0.3">
      <c r="D28" s="109" t="s">
        <v>119</v>
      </c>
      <c r="E28" s="89"/>
      <c r="F28" s="3"/>
      <c r="G28" s="3"/>
      <c r="H28" s="45"/>
      <c r="I28" s="42"/>
      <c r="J28" s="5"/>
      <c r="K28" s="130"/>
      <c r="L28" s="130"/>
      <c r="M28" s="3"/>
      <c r="N28" s="138"/>
      <c r="O28" s="3"/>
      <c r="P28" s="3"/>
      <c r="Q28" s="3"/>
      <c r="R28" s="190"/>
      <c r="S28" s="3"/>
      <c r="T28" s="3"/>
      <c r="U28" s="138"/>
      <c r="V28" s="5"/>
      <c r="X28" s="74" t="s">
        <v>2</v>
      </c>
      <c r="Y28" s="108" t="e">
        <f>SUM(Y23:Y27)</f>
        <v>#DIV/0!</v>
      </c>
    </row>
    <row r="29" spans="2:28" ht="15.75" thickTop="1" x14ac:dyDescent="0.25">
      <c r="B29" s="59">
        <v>0</v>
      </c>
      <c r="D29" s="174" t="s">
        <v>44</v>
      </c>
      <c r="E29" s="110">
        <f>9.05%+1%</f>
        <v>0.10050000000000001</v>
      </c>
      <c r="F29" s="3">
        <f>30.53+100</f>
        <v>130.53</v>
      </c>
      <c r="G29" s="179">
        <v>155.19</v>
      </c>
      <c r="H29" s="45" t="e">
        <f t="shared" ref="H29:H31" si="33">IF($Y$5=1,B29,0)/$B$45*60</f>
        <v>#DIV/0!</v>
      </c>
      <c r="I29" s="42" t="e">
        <f>H29+G29</f>
        <v>#DIV/0!</v>
      </c>
      <c r="J29" s="5">
        <f>F29/$F$45</f>
        <v>4.9803814255619742E-2</v>
      </c>
      <c r="K29" s="130">
        <f>+G29/G$45</f>
        <v>4.9478952157165704E-2</v>
      </c>
      <c r="L29" s="130" t="e">
        <f>+I29/I$45</f>
        <v>#DIV/0!</v>
      </c>
      <c r="M29" s="3"/>
      <c r="N29" s="138">
        <f t="shared" ref="N29:N31" si="34">$P$50</f>
        <v>0.21</v>
      </c>
      <c r="O29" s="3" t="e">
        <f t="shared" ref="O29:O32" si="35">N29*$I29</f>
        <v>#DIV/0!</v>
      </c>
      <c r="P29" s="45" t="e">
        <f t="shared" ref="P29:P31" si="36">H29</f>
        <v>#DIV/0!</v>
      </c>
      <c r="Q29" s="45" t="e">
        <f>#REF!</f>
        <v>#REF!</v>
      </c>
      <c r="R29" s="187" t="e">
        <f t="shared" ref="R29:R32" si="37">P29-Q29</f>
        <v>#DIV/0!</v>
      </c>
      <c r="S29" s="3" t="e">
        <f t="shared" ref="S29:S32" si="38">O29-P29</f>
        <v>#DIV/0!</v>
      </c>
      <c r="T29" s="3" t="e">
        <f t="shared" ref="T29:T32" si="39">S29+P29</f>
        <v>#DIV/0!</v>
      </c>
      <c r="U29" s="138" t="e">
        <f t="shared" ref="U29:U32" si="40">T29/($G29)</f>
        <v>#DIV/0!</v>
      </c>
      <c r="V29" s="47" t="s">
        <v>104</v>
      </c>
      <c r="X29" s="111"/>
      <c r="Y29" s="112"/>
      <c r="Z29" s="113"/>
      <c r="AA29" s="114"/>
    </row>
    <row r="30" spans="2:28" s="49" customFormat="1" x14ac:dyDescent="0.25">
      <c r="B30" s="115">
        <f>'Bank Recovery_Revised'!U11+'Bank Recovery_Revised'!U30</f>
        <v>0</v>
      </c>
      <c r="C30" s="115"/>
      <c r="D30" s="69" t="s">
        <v>17</v>
      </c>
      <c r="E30" s="110">
        <f>9.05%+1.5%</f>
        <v>0.10550000000000001</v>
      </c>
      <c r="F30" s="3">
        <f>38+17.71</f>
        <v>55.71</v>
      </c>
      <c r="G30" s="179">
        <v>63.28</v>
      </c>
      <c r="H30" s="45" t="e">
        <f t="shared" si="33"/>
        <v>#DIV/0!</v>
      </c>
      <c r="I30" s="42" t="e">
        <f>H30+G30</f>
        <v>#DIV/0!</v>
      </c>
      <c r="J30" s="5">
        <f>F30/$F$45</f>
        <v>2.1256190087953541E-2</v>
      </c>
      <c r="K30" s="130">
        <f>+G30/G$45</f>
        <v>2.017545004514109E-2</v>
      </c>
      <c r="L30" s="130" t="e">
        <f>+I30/I$45</f>
        <v>#DIV/0!</v>
      </c>
      <c r="M30" s="3"/>
      <c r="N30" s="138">
        <f t="shared" si="34"/>
        <v>0.21</v>
      </c>
      <c r="O30" s="3" t="e">
        <f t="shared" si="35"/>
        <v>#DIV/0!</v>
      </c>
      <c r="P30" s="45" t="e">
        <f t="shared" si="36"/>
        <v>#DIV/0!</v>
      </c>
      <c r="Q30" s="45" t="e">
        <f>#REF!</f>
        <v>#REF!</v>
      </c>
      <c r="R30" s="187" t="e">
        <f t="shared" si="37"/>
        <v>#DIV/0!</v>
      </c>
      <c r="S30" s="3" t="e">
        <f t="shared" si="38"/>
        <v>#DIV/0!</v>
      </c>
      <c r="T30" s="3" t="e">
        <f t="shared" si="39"/>
        <v>#DIV/0!</v>
      </c>
      <c r="U30" s="138" t="e">
        <f t="shared" si="40"/>
        <v>#DIV/0!</v>
      </c>
      <c r="V30" s="47" t="s">
        <v>103</v>
      </c>
      <c r="X30" s="116"/>
      <c r="Y30" s="112"/>
      <c r="Z30" s="113"/>
      <c r="AA30" s="117"/>
      <c r="AB30" s="58"/>
    </row>
    <row r="31" spans="2:28" x14ac:dyDescent="0.25">
      <c r="B31" s="59">
        <v>0</v>
      </c>
      <c r="D31" s="79" t="s">
        <v>16</v>
      </c>
      <c r="E31" s="90">
        <v>0.11249999999999999</v>
      </c>
      <c r="F31" s="4">
        <f>14.1533</f>
        <v>14.1533</v>
      </c>
      <c r="G31" s="180">
        <v>15.9846994</v>
      </c>
      <c r="H31" s="44" t="e">
        <f t="shared" si="33"/>
        <v>#DIV/0!</v>
      </c>
      <c r="I31" s="43" t="e">
        <f>H31+G31</f>
        <v>#DIV/0!</v>
      </c>
      <c r="J31" s="5">
        <f>F31/$F$45</f>
        <v>5.4002016724435985E-3</v>
      </c>
      <c r="K31" s="130">
        <f>+G31/G$45</f>
        <v>5.0963733285603156E-3</v>
      </c>
      <c r="L31" s="130" t="e">
        <f>+I31/I$45</f>
        <v>#DIV/0!</v>
      </c>
      <c r="M31" s="3"/>
      <c r="N31" s="139">
        <f t="shared" si="34"/>
        <v>0.21</v>
      </c>
      <c r="O31" s="4" t="e">
        <f t="shared" si="35"/>
        <v>#DIV/0!</v>
      </c>
      <c r="P31" s="45" t="e">
        <f t="shared" si="36"/>
        <v>#DIV/0!</v>
      </c>
      <c r="Q31" s="45" t="e">
        <f>#REF!</f>
        <v>#REF!</v>
      </c>
      <c r="R31" s="187" t="e">
        <f t="shared" si="37"/>
        <v>#DIV/0!</v>
      </c>
      <c r="S31" s="4" t="e">
        <f t="shared" si="38"/>
        <v>#DIV/0!</v>
      </c>
      <c r="T31" s="3" t="e">
        <f t="shared" si="39"/>
        <v>#DIV/0!</v>
      </c>
      <c r="U31" s="138" t="e">
        <f t="shared" si="40"/>
        <v>#DIV/0!</v>
      </c>
      <c r="V31" s="116" t="s">
        <v>106</v>
      </c>
      <c r="X31" s="116"/>
      <c r="Y31" s="118"/>
      <c r="Z31" s="118"/>
      <c r="AA31" s="117"/>
      <c r="AB31" s="49"/>
    </row>
    <row r="32" spans="2:28" x14ac:dyDescent="0.25">
      <c r="D32" s="92" t="s">
        <v>81</v>
      </c>
      <c r="E32" s="93"/>
      <c r="F32" s="103">
        <f>SUM(F29:F31)</f>
        <v>200.39330000000001</v>
      </c>
      <c r="G32" s="103">
        <f t="shared" ref="G32:H32" si="41">SUM(G29:G31)</f>
        <v>234.45469940000001</v>
      </c>
      <c r="H32" s="95" t="e">
        <f t="shared" si="41"/>
        <v>#DIV/0!</v>
      </c>
      <c r="I32" s="96" t="e">
        <f>SUM(I29:I31)</f>
        <v>#DIV/0!</v>
      </c>
      <c r="J32" s="86">
        <f>F32/$F$45</f>
        <v>7.6460206016016885E-2</v>
      </c>
      <c r="K32" s="131">
        <f>+G32/G$45</f>
        <v>7.475077553086712E-2</v>
      </c>
      <c r="L32" s="131" t="e">
        <f>+I32/I$45</f>
        <v>#DIV/0!</v>
      </c>
      <c r="M32" s="104"/>
      <c r="N32" s="141">
        <f t="shared" ref="N32" si="42">N31</f>
        <v>0.21</v>
      </c>
      <c r="O32" s="103" t="e">
        <f t="shared" si="35"/>
        <v>#DIV/0!</v>
      </c>
      <c r="P32" s="155" t="e">
        <f t="shared" ref="P32" si="43">SUM(P29:P31)</f>
        <v>#DIV/0!</v>
      </c>
      <c r="Q32" s="155" t="e">
        <f>#REF!</f>
        <v>#REF!</v>
      </c>
      <c r="R32" s="193" t="e">
        <f t="shared" si="37"/>
        <v>#DIV/0!</v>
      </c>
      <c r="S32" s="103" t="e">
        <f t="shared" si="38"/>
        <v>#DIV/0!</v>
      </c>
      <c r="T32" s="155" t="e">
        <f t="shared" si="39"/>
        <v>#DIV/0!</v>
      </c>
      <c r="U32" s="140" t="e">
        <f t="shared" si="40"/>
        <v>#DIV/0!</v>
      </c>
      <c r="V32" s="87"/>
      <c r="X32" s="116"/>
      <c r="Y32" s="118"/>
      <c r="Z32" s="118"/>
      <c r="AA32" s="117"/>
    </row>
    <row r="33" spans="2:27" x14ac:dyDescent="0.25">
      <c r="D33" s="69"/>
      <c r="E33" s="89"/>
      <c r="F33" s="3"/>
      <c r="G33" s="3"/>
      <c r="H33" s="45"/>
      <c r="I33" s="42"/>
      <c r="J33" s="5"/>
      <c r="K33" s="130"/>
      <c r="L33" s="130"/>
      <c r="M33" s="3"/>
      <c r="N33" s="138"/>
      <c r="O33" s="3"/>
      <c r="P33" s="3"/>
      <c r="Q33" s="3"/>
      <c r="R33" s="190"/>
      <c r="S33" s="162"/>
      <c r="T33" s="161"/>
      <c r="U33" s="138"/>
      <c r="V33" s="5"/>
      <c r="X33" s="116"/>
      <c r="Y33" s="119"/>
      <c r="Z33" s="119"/>
      <c r="AA33" s="117"/>
    </row>
    <row r="34" spans="2:27" x14ac:dyDescent="0.25">
      <c r="D34" s="109" t="s">
        <v>80</v>
      </c>
      <c r="F34" s="99"/>
      <c r="G34" s="99"/>
      <c r="I34" s="100"/>
      <c r="K34" s="78"/>
      <c r="L34" s="78"/>
      <c r="N34" s="72"/>
      <c r="O34" s="99"/>
      <c r="P34" s="158"/>
      <c r="Q34" s="158"/>
      <c r="R34" s="189"/>
      <c r="S34" s="99"/>
      <c r="T34" s="158"/>
      <c r="U34" s="160"/>
      <c r="V34" s="58"/>
      <c r="X34" s="116"/>
      <c r="Y34" s="119"/>
      <c r="Z34" s="119"/>
      <c r="AA34" s="117"/>
    </row>
    <row r="35" spans="2:27" x14ac:dyDescent="0.25">
      <c r="B35" s="59">
        <v>0</v>
      </c>
      <c r="D35" s="69" t="s">
        <v>117</v>
      </c>
      <c r="E35" s="89">
        <f>1.7%+3.4%</f>
        <v>5.1000000000000004E-2</v>
      </c>
      <c r="F35" s="3">
        <f>184.5</f>
        <v>184.5</v>
      </c>
      <c r="G35" s="179">
        <v>207.74098554</v>
      </c>
      <c r="H35" s="45" t="e">
        <f t="shared" ref="H35:H37" si="44">IF($Y$5=1,B35,0)/$B$45*60</f>
        <v>#DIV/0!</v>
      </c>
      <c r="I35" s="42" t="e">
        <f t="shared" ref="I35:I37" si="45">H35+G35</f>
        <v>#DIV/0!</v>
      </c>
      <c r="J35" s="5">
        <f>F35/$F$45</f>
        <v>7.0396106107115927E-2</v>
      </c>
      <c r="K35" s="130">
        <f>+G35/G$45</f>
        <v>6.6233689571596838E-2</v>
      </c>
      <c r="L35" s="130" t="e">
        <f>+I35/I$45</f>
        <v>#DIV/0!</v>
      </c>
      <c r="M35" s="3"/>
      <c r="N35" s="138">
        <f>$P$50</f>
        <v>0.21</v>
      </c>
      <c r="O35" s="3" t="e">
        <f t="shared" ref="O35:O38" si="46">N35*$I35</f>
        <v>#DIV/0!</v>
      </c>
      <c r="P35" s="156" t="e">
        <f t="shared" ref="P35:P37" si="47">H35</f>
        <v>#DIV/0!</v>
      </c>
      <c r="Q35" s="156" t="e">
        <f>#REF!</f>
        <v>#REF!</v>
      </c>
      <c r="R35" s="187" t="e">
        <f t="shared" ref="R35:R38" si="48">P35-Q35</f>
        <v>#DIV/0!</v>
      </c>
      <c r="S35" s="3" t="e">
        <f t="shared" ref="S35:S38" si="49">O35-P35</f>
        <v>#DIV/0!</v>
      </c>
      <c r="T35" s="3" t="e">
        <f t="shared" ref="T35:T38" si="50">S35+P35</f>
        <v>#DIV/0!</v>
      </c>
      <c r="U35" s="138" t="e">
        <f t="shared" ref="U35:U38" si="51">T35/($G35)</f>
        <v>#DIV/0!</v>
      </c>
      <c r="V35" s="5"/>
    </row>
    <row r="36" spans="2:27" x14ac:dyDescent="0.25">
      <c r="B36" s="59">
        <v>0</v>
      </c>
      <c r="D36" s="69" t="s">
        <v>18</v>
      </c>
      <c r="E36" s="89">
        <v>0.14499999999999999</v>
      </c>
      <c r="F36" s="3">
        <v>49.982199999999999</v>
      </c>
      <c r="G36" s="179">
        <v>62.325554191999998</v>
      </c>
      <c r="H36" s="45" t="e">
        <f t="shared" si="44"/>
        <v>#DIV/0!</v>
      </c>
      <c r="I36" s="42" t="e">
        <f t="shared" si="45"/>
        <v>#DIV/0!</v>
      </c>
      <c r="J36" s="5">
        <f>F36/$F$45</f>
        <v>1.9070743927734904E-2</v>
      </c>
      <c r="K36" s="130">
        <f>+G36/G$45</f>
        <v>1.9871145782813366E-2</v>
      </c>
      <c r="L36" s="130" t="e">
        <f>+I36/I$45</f>
        <v>#DIV/0!</v>
      </c>
      <c r="M36" s="3"/>
      <c r="N36" s="138">
        <f>N35</f>
        <v>0.21</v>
      </c>
      <c r="O36" s="3" t="e">
        <f t="shared" si="46"/>
        <v>#DIV/0!</v>
      </c>
      <c r="P36" s="156" t="e">
        <f t="shared" si="47"/>
        <v>#DIV/0!</v>
      </c>
      <c r="Q36" s="156" t="e">
        <f>#REF!</f>
        <v>#REF!</v>
      </c>
      <c r="R36" s="187" t="e">
        <f t="shared" si="48"/>
        <v>#DIV/0!</v>
      </c>
      <c r="S36" s="3" t="e">
        <f t="shared" si="49"/>
        <v>#DIV/0!</v>
      </c>
      <c r="T36" s="3" t="e">
        <f t="shared" si="50"/>
        <v>#DIV/0!</v>
      </c>
      <c r="U36" s="138" t="e">
        <f t="shared" si="51"/>
        <v>#DIV/0!</v>
      </c>
      <c r="V36" s="5"/>
    </row>
    <row r="37" spans="2:27" x14ac:dyDescent="0.25">
      <c r="B37" s="59">
        <v>0</v>
      </c>
      <c r="D37" s="79" t="s">
        <v>118</v>
      </c>
      <c r="E37" s="90">
        <f>1.7%+3%</f>
        <v>4.7E-2</v>
      </c>
      <c r="F37" s="4">
        <f>166.05</f>
        <v>166.05</v>
      </c>
      <c r="G37" s="180">
        <v>172.52112276899999</v>
      </c>
      <c r="H37" s="44" t="e">
        <f t="shared" si="44"/>
        <v>#DIV/0!</v>
      </c>
      <c r="I37" s="43" t="e">
        <f t="shared" si="45"/>
        <v>#DIV/0!</v>
      </c>
      <c r="J37" s="6">
        <f>F37/$F$45</f>
        <v>6.3356495496404347E-2</v>
      </c>
      <c r="K37" s="132">
        <f>+G37/G$45</f>
        <v>5.500460325786366E-2</v>
      </c>
      <c r="L37" s="132" t="e">
        <f>+I37/I$45</f>
        <v>#DIV/0!</v>
      </c>
      <c r="M37" s="3"/>
      <c r="N37" s="139">
        <f t="shared" ref="N37:N38" si="52">N36</f>
        <v>0.21</v>
      </c>
      <c r="O37" s="4" t="e">
        <f t="shared" si="46"/>
        <v>#DIV/0!</v>
      </c>
      <c r="P37" s="156" t="e">
        <f t="shared" si="47"/>
        <v>#DIV/0!</v>
      </c>
      <c r="Q37" s="156" t="e">
        <f>#REF!</f>
        <v>#REF!</v>
      </c>
      <c r="R37" s="187" t="e">
        <f t="shared" si="48"/>
        <v>#DIV/0!</v>
      </c>
      <c r="S37" s="4" t="e">
        <f t="shared" si="49"/>
        <v>#DIV/0!</v>
      </c>
      <c r="T37" s="3" t="e">
        <f t="shared" si="50"/>
        <v>#DIV/0!</v>
      </c>
      <c r="U37" s="138" t="e">
        <f t="shared" si="51"/>
        <v>#DIV/0!</v>
      </c>
      <c r="V37" s="5"/>
    </row>
    <row r="38" spans="2:27" x14ac:dyDescent="0.25">
      <c r="D38" s="92" t="s">
        <v>19</v>
      </c>
      <c r="E38" s="93"/>
      <c r="F38" s="103">
        <f>SUM(F35:F37)</f>
        <v>400.53219999999999</v>
      </c>
      <c r="G38" s="103">
        <f>SUM(G35:G37)</f>
        <v>442.58766250100001</v>
      </c>
      <c r="H38" s="95" t="e">
        <f>SUM(H35:H37)</f>
        <v>#DIV/0!</v>
      </c>
      <c r="I38" s="96" t="e">
        <f>SUM(I35:I37)</f>
        <v>#DIV/0!</v>
      </c>
      <c r="J38" s="88">
        <f>F38/$F$45</f>
        <v>0.15282334553125518</v>
      </c>
      <c r="K38" s="133">
        <f>+G38/G$45</f>
        <v>0.14110943861227387</v>
      </c>
      <c r="L38" s="133" t="e">
        <f>+I38/I$45</f>
        <v>#DIV/0!</v>
      </c>
      <c r="M38" s="104"/>
      <c r="N38" s="141">
        <f t="shared" si="52"/>
        <v>0.21</v>
      </c>
      <c r="O38" s="103" t="e">
        <f t="shared" si="46"/>
        <v>#DIV/0!</v>
      </c>
      <c r="P38" s="157" t="e">
        <f>SUM(P35:P37)</f>
        <v>#DIV/0!</v>
      </c>
      <c r="Q38" s="157" t="e">
        <f>#REF!</f>
        <v>#REF!</v>
      </c>
      <c r="R38" s="188" t="e">
        <f t="shared" si="48"/>
        <v>#DIV/0!</v>
      </c>
      <c r="S38" s="103" t="e">
        <f t="shared" si="49"/>
        <v>#DIV/0!</v>
      </c>
      <c r="T38" s="155" t="e">
        <f t="shared" si="50"/>
        <v>#DIV/0!</v>
      </c>
      <c r="U38" s="140" t="e">
        <f t="shared" si="51"/>
        <v>#DIV/0!</v>
      </c>
      <c r="V38" s="87"/>
    </row>
    <row r="39" spans="2:27" x14ac:dyDescent="0.25">
      <c r="D39" s="2"/>
      <c r="F39" s="99"/>
      <c r="G39" s="99"/>
      <c r="I39" s="100"/>
      <c r="J39" s="98"/>
      <c r="K39" s="78"/>
      <c r="L39" s="78"/>
      <c r="N39" s="72"/>
      <c r="O39" s="99"/>
      <c r="P39" s="158"/>
      <c r="Q39" s="158"/>
      <c r="R39" s="189"/>
      <c r="S39" s="99"/>
      <c r="T39" s="161"/>
      <c r="U39" s="160"/>
      <c r="V39" s="98"/>
    </row>
    <row r="40" spans="2:27" x14ac:dyDescent="0.25">
      <c r="D40" s="109" t="s">
        <v>115</v>
      </c>
      <c r="F40" s="99"/>
      <c r="G40" s="99"/>
      <c r="I40" s="100"/>
      <c r="J40" s="98"/>
      <c r="K40" s="78"/>
      <c r="L40" s="78"/>
      <c r="N40" s="72"/>
      <c r="O40" s="99"/>
      <c r="P40" s="158"/>
      <c r="Q40" s="158"/>
      <c r="R40" s="189"/>
      <c r="S40" s="99"/>
      <c r="T40" s="158"/>
      <c r="U40" s="160"/>
      <c r="V40" s="98"/>
    </row>
    <row r="41" spans="2:27" x14ac:dyDescent="0.25">
      <c r="B41" s="59">
        <f>'Bank Recovery_Revised'!U10</f>
        <v>0</v>
      </c>
      <c r="D41" s="79" t="s">
        <v>116</v>
      </c>
      <c r="E41" s="90">
        <f>8.1%+1.25%</f>
        <v>9.35E-2</v>
      </c>
      <c r="F41" s="4">
        <v>215.77950000000001</v>
      </c>
      <c r="G41" s="180">
        <v>280.31733743500001</v>
      </c>
      <c r="H41" s="44" t="e">
        <f>IF($Y$5=1,B41,0)/$B$45*60</f>
        <v>#DIV/0!</v>
      </c>
      <c r="I41" s="43" t="e">
        <f>H41+G41</f>
        <v>#DIV/0!</v>
      </c>
      <c r="J41" s="6">
        <f>F41/$F$45</f>
        <v>8.2330821559568695E-2</v>
      </c>
      <c r="K41" s="132">
        <f>+G41/G$45</f>
        <v>8.9373078985568927E-2</v>
      </c>
      <c r="L41" s="132" t="e">
        <f>+I41/I$45</f>
        <v>#DIV/0!</v>
      </c>
      <c r="M41" s="3"/>
      <c r="N41" s="139">
        <f>N38</f>
        <v>0.21</v>
      </c>
      <c r="O41" s="4" t="e">
        <f t="shared" ref="O41:O42" si="53">N41*$I41</f>
        <v>#DIV/0!</v>
      </c>
      <c r="P41" s="3" t="e">
        <f t="shared" ref="P41" si="54">H41</f>
        <v>#DIV/0!</v>
      </c>
      <c r="Q41" s="3" t="e">
        <f>#REF!</f>
        <v>#REF!</v>
      </c>
      <c r="R41" s="190" t="e">
        <f t="shared" ref="R41:R42" si="55">P41-Q41</f>
        <v>#DIV/0!</v>
      </c>
      <c r="S41" s="3" t="e">
        <f>O41-P41</f>
        <v>#DIV/0!</v>
      </c>
      <c r="T41" s="3" t="e">
        <f t="shared" ref="T41:T42" si="56">S41+P41</f>
        <v>#DIV/0!</v>
      </c>
      <c r="U41" s="138" t="e">
        <f t="shared" ref="U41:U42" si="57">T41/($G41)</f>
        <v>#DIV/0!</v>
      </c>
      <c r="V41" s="5"/>
    </row>
    <row r="42" spans="2:27" x14ac:dyDescent="0.25">
      <c r="D42" s="92" t="s">
        <v>19</v>
      </c>
      <c r="E42" s="93"/>
      <c r="F42" s="103">
        <f>F41</f>
        <v>215.77950000000001</v>
      </c>
      <c r="G42" s="103">
        <f>G41</f>
        <v>280.31733743500001</v>
      </c>
      <c r="H42" s="95" t="e">
        <f>H41</f>
        <v>#DIV/0!</v>
      </c>
      <c r="I42" s="96" t="e">
        <f>I41</f>
        <v>#DIV/0!</v>
      </c>
      <c r="J42" s="88">
        <f>F42/$F$45</f>
        <v>8.2330821559568695E-2</v>
      </c>
      <c r="K42" s="133">
        <f>+G42/G$45</f>
        <v>8.9373078985568927E-2</v>
      </c>
      <c r="L42" s="133" t="e">
        <f>+I42/I$45</f>
        <v>#DIV/0!</v>
      </c>
      <c r="M42" s="104"/>
      <c r="N42" s="141">
        <f>N41</f>
        <v>0.21</v>
      </c>
      <c r="O42" s="103" t="e">
        <f t="shared" si="53"/>
        <v>#DIV/0!</v>
      </c>
      <c r="P42" s="155" t="e">
        <f>SUM(P41)</f>
        <v>#DIV/0!</v>
      </c>
      <c r="Q42" s="155" t="e">
        <f>#REF!</f>
        <v>#REF!</v>
      </c>
      <c r="R42" s="193" t="e">
        <f t="shared" si="55"/>
        <v>#DIV/0!</v>
      </c>
      <c r="S42" s="155" t="e">
        <f t="shared" ref="S42" si="58">O42-P42</f>
        <v>#DIV/0!</v>
      </c>
      <c r="T42" s="155" t="e">
        <f t="shared" si="56"/>
        <v>#DIV/0!</v>
      </c>
      <c r="U42" s="140" t="e">
        <f t="shared" si="57"/>
        <v>#DIV/0!</v>
      </c>
      <c r="V42" s="98"/>
    </row>
    <row r="43" spans="2:27" x14ac:dyDescent="0.25">
      <c r="D43" s="2"/>
      <c r="F43" s="99"/>
      <c r="G43" s="176"/>
      <c r="I43" s="100"/>
      <c r="J43" s="98"/>
      <c r="K43" s="78"/>
      <c r="L43" s="78"/>
      <c r="N43" s="99"/>
      <c r="O43" s="99"/>
      <c r="P43" s="158"/>
      <c r="Q43" s="158"/>
      <c r="R43" s="189"/>
      <c r="S43" s="158"/>
      <c r="T43" s="161"/>
      <c r="U43" s="158"/>
      <c r="V43" s="98"/>
    </row>
    <row r="44" spans="2:27" x14ac:dyDescent="0.25">
      <c r="D44" s="2"/>
      <c r="F44" s="99"/>
      <c r="G44" s="177"/>
      <c r="I44" s="100"/>
      <c r="J44" s="98"/>
      <c r="K44" s="78"/>
      <c r="L44" s="78"/>
      <c r="N44" s="99"/>
      <c r="O44" s="99"/>
      <c r="P44" s="158"/>
      <c r="Q44" s="158"/>
      <c r="R44" s="189"/>
      <c r="S44" s="158"/>
      <c r="T44" s="158"/>
      <c r="U44" s="158"/>
      <c r="V44" s="98"/>
    </row>
    <row r="45" spans="2:27" s="74" customFormat="1" x14ac:dyDescent="0.25">
      <c r="B45" s="59">
        <f>SUM(B5:B44)</f>
        <v>0</v>
      </c>
      <c r="C45" s="120"/>
      <c r="D45" s="80" t="s">
        <v>20</v>
      </c>
      <c r="E45" s="121"/>
      <c r="F45" s="122">
        <f>+F14+F21+F38+F26+F32+F42</f>
        <v>2620.8836000000001</v>
      </c>
      <c r="G45" s="122">
        <f>+G14+G21+G38+G26+G32+G42</f>
        <v>3136.48517670811</v>
      </c>
      <c r="H45" s="226" t="e">
        <f>+H14+H21+H38+H26+H32+H42</f>
        <v>#DIV/0!</v>
      </c>
      <c r="I45" s="84" t="e">
        <f t="shared" ref="I45" si="59">+I14+I21+I38+I26+I32+I42</f>
        <v>#DIV/0!</v>
      </c>
      <c r="J45" s="86">
        <f>F45/$F$45</f>
        <v>1</v>
      </c>
      <c r="K45" s="131">
        <f>+G45/G$45</f>
        <v>1</v>
      </c>
      <c r="L45" s="131" t="e">
        <f>+I45/I$45</f>
        <v>#DIV/0!</v>
      </c>
      <c r="M45" s="97"/>
      <c r="N45" s="122"/>
      <c r="O45" s="122" t="e">
        <f>+O14+O21+O38+O26+O32+O42</f>
        <v>#DIV/0!</v>
      </c>
      <c r="P45" s="122" t="e">
        <f>+P14+P21+P38+P26+P32+P42</f>
        <v>#DIV/0!</v>
      </c>
      <c r="Q45" s="122" t="e">
        <f>+Q14+Q21+Q38+Q26+Q32+Q42</f>
        <v>#REF!</v>
      </c>
      <c r="R45" s="193" t="e">
        <f t="shared" ref="R45" si="60">P45-Q45</f>
        <v>#DIV/0!</v>
      </c>
      <c r="S45" s="122" t="e">
        <f>+S14+S21+S38+S26+S32+S42</f>
        <v>#DIV/0!</v>
      </c>
      <c r="T45" s="122" t="e">
        <f>+T14+T21+T38+T26+T32+T42</f>
        <v>#DIV/0!</v>
      </c>
      <c r="U45" s="122"/>
      <c r="V45" s="87"/>
    </row>
    <row r="46" spans="2:27" x14ac:dyDescent="0.25">
      <c r="D46" s="123"/>
    </row>
    <row r="48" spans="2:27" x14ac:dyDescent="0.25">
      <c r="D48" s="74" t="s">
        <v>59</v>
      </c>
      <c r="I48" s="134"/>
    </row>
    <row r="49" spans="2:22" x14ac:dyDescent="0.25">
      <c r="D49" s="58" t="s">
        <v>71</v>
      </c>
      <c r="N49" s="165" t="s">
        <v>128</v>
      </c>
      <c r="O49" s="166"/>
      <c r="P49" s="74" t="s">
        <v>127</v>
      </c>
      <c r="Q49" s="74"/>
      <c r="R49" s="74"/>
      <c r="S49" s="74"/>
      <c r="T49" s="74" t="s">
        <v>110</v>
      </c>
    </row>
    <row r="50" spans="2:22" x14ac:dyDescent="0.25">
      <c r="D50" s="58" t="s">
        <v>72</v>
      </c>
      <c r="I50" s="71" t="s">
        <v>125</v>
      </c>
      <c r="N50" s="71" t="e">
        <f>I42+I38+I32</f>
        <v>#DIV/0!</v>
      </c>
      <c r="P50" s="135">
        <v>0.21</v>
      </c>
      <c r="Q50" s="135"/>
      <c r="R50" s="135"/>
      <c r="S50" s="135"/>
      <c r="T50" s="136" t="e">
        <f>N50*P50</f>
        <v>#DIV/0!</v>
      </c>
    </row>
    <row r="51" spans="2:22" x14ac:dyDescent="0.25">
      <c r="S51" s="136"/>
      <c r="T51" s="168"/>
    </row>
    <row r="52" spans="2:22" x14ac:dyDescent="0.25">
      <c r="N52" s="168"/>
      <c r="P52" s="135"/>
      <c r="Q52" s="135"/>
      <c r="R52" s="135"/>
      <c r="T52" s="136"/>
    </row>
    <row r="53" spans="2:22" x14ac:dyDescent="0.25">
      <c r="D53" s="74" t="s">
        <v>48</v>
      </c>
    </row>
    <row r="54" spans="2:22" x14ac:dyDescent="0.25">
      <c r="D54" s="124" t="s">
        <v>3</v>
      </c>
      <c r="E54" s="50">
        <v>485.7</v>
      </c>
      <c r="F54" s="49"/>
      <c r="I54" s="71" t="s">
        <v>126</v>
      </c>
      <c r="N54" s="136" t="e">
        <f>I45-N50</f>
        <v>#DIV/0!</v>
      </c>
      <c r="P54" s="169" t="e">
        <f>($E$60-T50)/N54</f>
        <v>#DIV/0!</v>
      </c>
      <c r="Q54" s="169"/>
      <c r="R54" s="169"/>
      <c r="T54" s="168" t="e">
        <f>N54*P54</f>
        <v>#DIV/0!</v>
      </c>
    </row>
    <row r="55" spans="2:22" x14ac:dyDescent="0.25">
      <c r="D55" s="124" t="s">
        <v>109</v>
      </c>
      <c r="E55" s="125">
        <v>-65</v>
      </c>
      <c r="F55" s="49" t="s">
        <v>27</v>
      </c>
      <c r="I55" s="170" t="s">
        <v>2</v>
      </c>
      <c r="J55" s="171"/>
      <c r="K55" s="171"/>
      <c r="L55" s="171"/>
      <c r="M55" s="172"/>
      <c r="N55" s="173" t="e">
        <f>SUM(N50:N54)</f>
        <v>#DIV/0!</v>
      </c>
      <c r="O55" s="172"/>
      <c r="P55" s="172"/>
      <c r="Q55" s="172"/>
      <c r="R55" s="172"/>
      <c r="S55" s="172"/>
      <c r="T55" s="173" t="e">
        <f>SUM(T50:T54)</f>
        <v>#DIV/0!</v>
      </c>
    </row>
    <row r="56" spans="2:22" x14ac:dyDescent="0.25">
      <c r="D56" s="126" t="s">
        <v>4</v>
      </c>
      <c r="E56" s="127">
        <f>+E54+E55</f>
        <v>420.7</v>
      </c>
      <c r="F56" s="49"/>
    </row>
    <row r="57" spans="2:22" x14ac:dyDescent="0.25">
      <c r="D57" s="128" t="s">
        <v>47</v>
      </c>
      <c r="E57" s="129">
        <v>606</v>
      </c>
      <c r="F57" s="49"/>
    </row>
    <row r="58" spans="2:22" x14ac:dyDescent="0.25">
      <c r="D58" s="126" t="s">
        <v>76</v>
      </c>
      <c r="E58" s="55">
        <f>+E56+E57</f>
        <v>1026.7</v>
      </c>
      <c r="F58" s="49"/>
    </row>
    <row r="59" spans="2:22" x14ac:dyDescent="0.25">
      <c r="D59" s="58" t="s">
        <v>120</v>
      </c>
      <c r="E59" s="163" t="e">
        <f>P45</f>
        <v>#DIV/0!</v>
      </c>
    </row>
    <row r="60" spans="2:22" s="74" customFormat="1" x14ac:dyDescent="0.25">
      <c r="B60" s="120"/>
      <c r="C60" s="120"/>
      <c r="D60" s="74" t="s">
        <v>121</v>
      </c>
      <c r="E60" s="164" t="e">
        <f>E58+E59</f>
        <v>#DIV/0!</v>
      </c>
      <c r="H60" s="165"/>
      <c r="I60" s="165"/>
      <c r="M60" s="166"/>
      <c r="N60" s="166"/>
      <c r="O60" s="166"/>
      <c r="P60" s="166"/>
      <c r="Q60" s="166"/>
      <c r="R60" s="166"/>
      <c r="S60" s="166"/>
      <c r="T60" s="166"/>
      <c r="U60" s="166"/>
      <c r="V60" s="167"/>
    </row>
  </sheetData>
  <dataValidations disablePrompts="1" count="2">
    <dataValidation type="list" allowBlank="1" showInputMessage="1" showErrorMessage="1" sqref="Y5" xr:uid="{00000000-0002-0000-0300-000000000000}">
      <formula1>$Y$6:$Y$7</formula1>
    </dataValidation>
    <dataValidation type="list" allowBlank="1" showInputMessage="1" showErrorMessage="1" sqref="Y9" xr:uid="{00000000-0002-0000-0300-000001000000}">
      <formula1>$Y$10:$Y$11</formula1>
    </dataValidation>
  </dataValidations>
  <pageMargins left="0.7" right="0.7" top="0.75" bottom="0.75" header="0.3" footer="0.3"/>
  <pageSetup paperSize="9" orientation="portrait" verticalDpi="360" r:id="rId1"/>
  <headerFooter>
    <oddHeader>&amp;C&amp;"Calibri"&amp;11&amp;K008000 Classification - Public&amp;1#_x000D_</oddHeader>
    <oddFooter>&amp;C_x000D_&amp;1#&amp;"Calibri"&amp;11&amp;K008000 Classification - Public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44"/>
  <sheetViews>
    <sheetView showGridLines="0" topLeftCell="F1" zoomScale="85" zoomScaleNormal="85" workbookViewId="0">
      <pane ySplit="4" topLeftCell="A5" activePane="bottomLeft" state="frozen"/>
      <selection pane="bottomLeft" activeCell="T8" sqref="T8"/>
    </sheetView>
  </sheetViews>
  <sheetFormatPr defaultColWidth="9.140625" defaultRowHeight="15" x14ac:dyDescent="0.25"/>
  <cols>
    <col min="1" max="1" width="52" style="15" customWidth="1"/>
    <col min="2" max="2" width="17.42578125" style="15" customWidth="1"/>
    <col min="3" max="3" width="21" style="15" customWidth="1"/>
    <col min="4" max="4" width="18.85546875" style="15" customWidth="1"/>
    <col min="5" max="16" width="9.85546875" style="15" bestFit="1" customWidth="1"/>
    <col min="17" max="19" width="9.85546875" style="15" customWidth="1"/>
    <col min="20" max="20" width="12.7109375" style="15" bestFit="1" customWidth="1"/>
    <col min="21" max="21" width="14" style="15" customWidth="1"/>
    <col min="22" max="16384" width="9.140625" style="15"/>
  </cols>
  <sheetData>
    <row r="2" spans="1:22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6" t="s">
        <v>28</v>
      </c>
      <c r="U2" s="143"/>
    </row>
    <row r="3" spans="1:22" x14ac:dyDescent="0.25">
      <c r="A3" s="152" t="s">
        <v>111</v>
      </c>
      <c r="B3" s="153" t="e">
        <f>IF(Distribution!#REF!&lt;'Bank Recovery_Revised'!B4,1,0)</f>
        <v>#REF!</v>
      </c>
      <c r="C3" s="153" t="e">
        <f>IF(Distribution!#REF!&lt;'Bank Recovery_Revised'!C4,1,0)</f>
        <v>#REF!</v>
      </c>
      <c r="D3" s="153" t="e">
        <f>IF(Distribution!#REF!&lt;'Bank Recovery_Revised'!D4,1,0)</f>
        <v>#REF!</v>
      </c>
      <c r="E3" s="153" t="e">
        <f>IF(Distribution!#REF!&lt;'Bank Recovery_Revised'!E4,1,0)</f>
        <v>#REF!</v>
      </c>
      <c r="F3" s="153" t="e">
        <f>IF(Distribution!#REF!&lt;'Bank Recovery_Revised'!F4,1,0)</f>
        <v>#REF!</v>
      </c>
      <c r="G3" s="153" t="e">
        <f>IF(Distribution!#REF!&lt;'Bank Recovery_Revised'!G4,1,0)</f>
        <v>#REF!</v>
      </c>
      <c r="H3" s="153" t="e">
        <f>IF(Distribution!#REF!&lt;'Bank Recovery_Revised'!H4,1,0)</f>
        <v>#REF!</v>
      </c>
      <c r="I3" s="153" t="e">
        <f>IF(Distribution!#REF!&lt;'Bank Recovery_Revised'!I4,1,0)</f>
        <v>#REF!</v>
      </c>
      <c r="J3" s="153" t="e">
        <f>IF(Distribution!#REF!&lt;'Bank Recovery_Revised'!J4,1,0)</f>
        <v>#REF!</v>
      </c>
      <c r="K3" s="153" t="e">
        <f>IF(Distribution!#REF!&lt;'Bank Recovery_Revised'!K4,1,0)</f>
        <v>#REF!</v>
      </c>
      <c r="L3" s="153" t="e">
        <f>IF(Distribution!#REF!&lt;'Bank Recovery_Revised'!L4,1,0)</f>
        <v>#REF!</v>
      </c>
      <c r="M3" s="153" t="e">
        <f>IF(Distribution!#REF!&lt;'Bank Recovery_Revised'!M4,1,0)</f>
        <v>#REF!</v>
      </c>
      <c r="N3" s="153" t="e">
        <f>IF(Distribution!#REF!&lt;'Bank Recovery_Revised'!N4,1,0)</f>
        <v>#REF!</v>
      </c>
      <c r="O3" s="153" t="e">
        <f>IF(Distribution!#REF!&lt;'Bank Recovery_Revised'!O4,1,0)</f>
        <v>#REF!</v>
      </c>
      <c r="P3" s="153" t="e">
        <f>IF(Distribution!#REF!&lt;'Bank Recovery_Revised'!P4,1,0)</f>
        <v>#REF!</v>
      </c>
      <c r="Q3" s="153" t="e">
        <f>IF(Distribution!#REF!&lt;'Bank Recovery_Revised'!Q4,1,0)</f>
        <v>#REF!</v>
      </c>
      <c r="R3" s="153" t="e">
        <f>IF(Distribution!#REF!&lt;'Bank Recovery_Revised'!R4,1,0)</f>
        <v>#REF!</v>
      </c>
      <c r="S3" s="153" t="e">
        <f>IF(Distribution!#REF!&lt;'Bank Recovery_Revised'!S4,1,0)</f>
        <v>#REF!</v>
      </c>
      <c r="T3" s="16"/>
      <c r="U3" s="143"/>
    </row>
    <row r="4" spans="1:22" x14ac:dyDescent="0.25">
      <c r="A4" s="150" t="s">
        <v>29</v>
      </c>
      <c r="B4" s="151">
        <v>43677</v>
      </c>
      <c r="C4" s="151">
        <f>EOMONTH(B4,1)</f>
        <v>43708</v>
      </c>
      <c r="D4" s="151">
        <f t="shared" ref="D4:Q4" si="0">EOMONTH(C4,1)</f>
        <v>43738</v>
      </c>
      <c r="E4" s="151">
        <f t="shared" si="0"/>
        <v>43769</v>
      </c>
      <c r="F4" s="151">
        <f t="shared" si="0"/>
        <v>43799</v>
      </c>
      <c r="G4" s="151">
        <f t="shared" si="0"/>
        <v>43830</v>
      </c>
      <c r="H4" s="151">
        <f t="shared" si="0"/>
        <v>43861</v>
      </c>
      <c r="I4" s="151">
        <f t="shared" si="0"/>
        <v>43890</v>
      </c>
      <c r="J4" s="151">
        <f t="shared" si="0"/>
        <v>43921</v>
      </c>
      <c r="K4" s="151">
        <f t="shared" si="0"/>
        <v>43951</v>
      </c>
      <c r="L4" s="151">
        <f t="shared" si="0"/>
        <v>43982</v>
      </c>
      <c r="M4" s="151">
        <f t="shared" si="0"/>
        <v>44012</v>
      </c>
      <c r="N4" s="151">
        <f t="shared" si="0"/>
        <v>44043</v>
      </c>
      <c r="O4" s="151">
        <f t="shared" si="0"/>
        <v>44074</v>
      </c>
      <c r="P4" s="151">
        <f t="shared" si="0"/>
        <v>44104</v>
      </c>
      <c r="Q4" s="151">
        <f t="shared" si="0"/>
        <v>44135</v>
      </c>
      <c r="R4" s="151" t="s">
        <v>133</v>
      </c>
      <c r="S4" s="151" t="s">
        <v>134</v>
      </c>
      <c r="T4" s="16" t="s">
        <v>2</v>
      </c>
      <c r="U4" s="16" t="s">
        <v>112</v>
      </c>
    </row>
    <row r="5" spans="1:22" x14ac:dyDescent="0.25">
      <c r="B5" s="9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9"/>
      <c r="U5" s="9"/>
    </row>
    <row r="6" spans="1:22" x14ac:dyDescent="0.25">
      <c r="A6" s="18" t="s">
        <v>135</v>
      </c>
      <c r="B6" s="35">
        <v>6.4700000000000006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3">
        <v>0.53520000000000001</v>
      </c>
      <c r="T6" s="34">
        <f>SUM(B6:S6)</f>
        <v>7.0052000000000003</v>
      </c>
      <c r="U6" s="34">
        <f>SUMIF($B$3:$S$3,"&gt;0",B6:S6)</f>
        <v>0</v>
      </c>
    </row>
    <row r="7" spans="1:22" x14ac:dyDescent="0.25">
      <c r="A7" s="18" t="s">
        <v>31</v>
      </c>
      <c r="B7" s="35">
        <v>0</v>
      </c>
      <c r="C7" s="35">
        <v>5.7249999999999996</v>
      </c>
      <c r="D7" s="35">
        <v>0</v>
      </c>
      <c r="E7" s="35">
        <v>0</v>
      </c>
      <c r="F7" s="35">
        <v>0</v>
      </c>
      <c r="G7" s="35">
        <v>0.9375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4">
        <f t="shared" ref="T7:T20" si="1">SUM(B7:S7)</f>
        <v>6.6624999999999996</v>
      </c>
      <c r="U7" s="34">
        <f t="shared" ref="U7:U21" si="2">SUMIF($B$3:$S$3,"&gt;0",B7:S7)</f>
        <v>0</v>
      </c>
    </row>
    <row r="8" spans="1:22" x14ac:dyDescent="0.25">
      <c r="A8" s="18" t="s">
        <v>32</v>
      </c>
      <c r="B8" s="35">
        <v>0</v>
      </c>
      <c r="C8" s="35">
        <v>20.67</v>
      </c>
      <c r="D8" s="35">
        <v>0</v>
      </c>
      <c r="E8" s="35">
        <v>0</v>
      </c>
      <c r="F8" s="35">
        <v>17.010000000000002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4">
        <f t="shared" si="1"/>
        <v>37.680000000000007</v>
      </c>
      <c r="U8" s="34">
        <f t="shared" si="2"/>
        <v>0</v>
      </c>
      <c r="V8" s="185" t="s">
        <v>139</v>
      </c>
    </row>
    <row r="9" spans="1:22" x14ac:dyDescent="0.25">
      <c r="A9" s="18" t="s">
        <v>136</v>
      </c>
      <c r="B9" s="35">
        <v>0</v>
      </c>
      <c r="C9" s="35">
        <v>0</v>
      </c>
      <c r="D9" s="35">
        <v>0</v>
      </c>
      <c r="E9" s="35">
        <v>5.8299999999999998E-2</v>
      </c>
      <c r="F9" s="35">
        <v>4.0600000000001302E-2</v>
      </c>
      <c r="G9" s="35">
        <v>9.6401999999999998E-3</v>
      </c>
      <c r="H9" s="35">
        <v>2.9899999999999999E-2</v>
      </c>
      <c r="I9" s="35">
        <v>1.89E-2</v>
      </c>
      <c r="J9" s="35">
        <v>1.4999999999999999E-2</v>
      </c>
      <c r="K9" s="35">
        <v>1.18E-2</v>
      </c>
      <c r="L9" s="35">
        <v>0</v>
      </c>
      <c r="M9" s="35">
        <v>0</v>
      </c>
      <c r="N9" s="35">
        <v>7.7000000000000002E-3</v>
      </c>
      <c r="O9" s="35">
        <v>0</v>
      </c>
      <c r="P9" s="35">
        <v>0</v>
      </c>
      <c r="Q9" s="35">
        <v>0</v>
      </c>
      <c r="R9" s="35">
        <v>0</v>
      </c>
      <c r="S9" s="33">
        <v>0</v>
      </c>
      <c r="T9" s="34">
        <f t="shared" si="1"/>
        <v>0.19184020000000129</v>
      </c>
      <c r="U9" s="34">
        <f t="shared" si="2"/>
        <v>0</v>
      </c>
      <c r="V9" s="184">
        <f>'Bank Recovery_Revised'!U7+'Bank Recovery_Revised'!U19+'Bank Recovery_Revised'!U29</f>
        <v>0</v>
      </c>
    </row>
    <row r="10" spans="1:22" x14ac:dyDescent="0.25">
      <c r="A10" s="18" t="s">
        <v>33</v>
      </c>
      <c r="B10" s="35">
        <v>7.942124327000001</v>
      </c>
      <c r="C10" s="35">
        <v>1.2838099000000001</v>
      </c>
      <c r="D10" s="35">
        <v>2.6475820740000002</v>
      </c>
      <c r="E10" s="35">
        <v>0.88087518599999992</v>
      </c>
      <c r="F10" s="35">
        <v>0.18194187100000001</v>
      </c>
      <c r="G10" s="35">
        <v>0.1077</v>
      </c>
      <c r="H10" s="35">
        <v>0.40215621399999996</v>
      </c>
      <c r="I10" s="35">
        <v>0</v>
      </c>
      <c r="J10" s="35">
        <v>0.220396021</v>
      </c>
      <c r="K10" s="35">
        <v>0.1391</v>
      </c>
      <c r="L10" s="35">
        <v>0</v>
      </c>
      <c r="M10" s="35">
        <v>2.6652</v>
      </c>
      <c r="N10" s="35">
        <v>5.2600000000000001E-2</v>
      </c>
      <c r="O10" s="35">
        <v>0</v>
      </c>
      <c r="P10" s="35">
        <v>0</v>
      </c>
      <c r="Q10" s="35">
        <v>0</v>
      </c>
      <c r="R10" s="35">
        <v>0</v>
      </c>
      <c r="S10" s="33">
        <v>1.6296999999999999</v>
      </c>
      <c r="T10" s="34">
        <f t="shared" si="1"/>
        <v>18.153185593</v>
      </c>
      <c r="U10" s="34">
        <f t="shared" si="2"/>
        <v>0</v>
      </c>
    </row>
    <row r="11" spans="1:22" x14ac:dyDescent="0.25">
      <c r="A11" s="18" t="s">
        <v>34</v>
      </c>
      <c r="B11" s="35">
        <v>2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3">
        <v>0</v>
      </c>
      <c r="T11" s="34">
        <f t="shared" si="1"/>
        <v>2</v>
      </c>
      <c r="U11" s="34">
        <f t="shared" si="2"/>
        <v>0</v>
      </c>
    </row>
    <row r="12" spans="1:22" x14ac:dyDescent="0.25">
      <c r="A12" s="18" t="s">
        <v>35</v>
      </c>
      <c r="B12" s="35">
        <v>1.519999999999996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3">
        <v>0</v>
      </c>
      <c r="T12" s="34">
        <f t="shared" si="1"/>
        <v>1.519999999999996</v>
      </c>
      <c r="U12" s="34">
        <f t="shared" si="2"/>
        <v>0</v>
      </c>
    </row>
    <row r="13" spans="1:22" x14ac:dyDescent="0.25">
      <c r="A13" s="18" t="s">
        <v>138</v>
      </c>
      <c r="B13" s="35">
        <v>2.6484070900000001</v>
      </c>
      <c r="C13" s="35">
        <v>1.6295802179999999</v>
      </c>
      <c r="D13" s="35">
        <v>1.3563112399999999</v>
      </c>
      <c r="E13" s="35">
        <v>0.39875399100000003</v>
      </c>
      <c r="F13" s="35">
        <v>0.37683278599999998</v>
      </c>
      <c r="G13" s="35">
        <v>0.228601677</v>
      </c>
      <c r="H13" s="35">
        <v>0.23635742599999998</v>
      </c>
      <c r="I13" s="35">
        <v>0.23583209100000002</v>
      </c>
      <c r="J13" s="35">
        <v>12.44445148</v>
      </c>
      <c r="K13" s="35">
        <v>0</v>
      </c>
      <c r="L13" s="35">
        <v>6.3600000000000004E-2</v>
      </c>
      <c r="M13" s="35">
        <v>5.3949999999999998E-2</v>
      </c>
      <c r="N13" s="35">
        <v>3.9511200000000003E-2</v>
      </c>
      <c r="O13" s="35">
        <v>0</v>
      </c>
      <c r="P13" s="35">
        <v>0.02</v>
      </c>
      <c r="Q13" s="35">
        <v>0.01</v>
      </c>
      <c r="R13" s="35">
        <v>0.02</v>
      </c>
      <c r="S13" s="35">
        <v>0</v>
      </c>
      <c r="T13" s="34">
        <f t="shared" si="1"/>
        <v>19.762189199000002</v>
      </c>
      <c r="U13" s="34">
        <f t="shared" si="2"/>
        <v>0</v>
      </c>
    </row>
    <row r="14" spans="1:22" x14ac:dyDescent="0.25">
      <c r="A14" s="19" t="s">
        <v>37</v>
      </c>
      <c r="B14" s="35">
        <v>1.7542</v>
      </c>
      <c r="C14" s="35">
        <v>3.8831226889999999</v>
      </c>
      <c r="D14" s="35">
        <v>0</v>
      </c>
      <c r="E14" s="35">
        <v>0</v>
      </c>
      <c r="F14" s="35">
        <v>5.2545000000000002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1.546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3">
        <v>0</v>
      </c>
      <c r="T14" s="34">
        <f t="shared" si="1"/>
        <v>12.437822688999999</v>
      </c>
      <c r="U14" s="34">
        <f t="shared" si="2"/>
        <v>0</v>
      </c>
    </row>
    <row r="15" spans="1:22" x14ac:dyDescent="0.25">
      <c r="A15" s="19" t="s">
        <v>137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0.14770000000000039</v>
      </c>
      <c r="K15" s="35">
        <v>3.72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6">
        <v>0</v>
      </c>
      <c r="T15" s="34">
        <f t="shared" si="1"/>
        <v>3.8677000000000006</v>
      </c>
      <c r="U15" s="34">
        <f t="shared" si="2"/>
        <v>0</v>
      </c>
    </row>
    <row r="16" spans="1:22" x14ac:dyDescent="0.25">
      <c r="A16" s="19" t="s">
        <v>60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30.54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6">
        <v>0</v>
      </c>
      <c r="T16" s="34">
        <f t="shared" si="1"/>
        <v>30.54</v>
      </c>
      <c r="U16" s="34">
        <f t="shared" si="2"/>
        <v>0</v>
      </c>
    </row>
    <row r="17" spans="1:21" x14ac:dyDescent="0.25">
      <c r="A17" s="19" t="s">
        <v>61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16.53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6">
        <v>0</v>
      </c>
      <c r="T17" s="34">
        <f t="shared" si="1"/>
        <v>16.53</v>
      </c>
      <c r="U17" s="34">
        <f t="shared" si="2"/>
        <v>0</v>
      </c>
    </row>
    <row r="18" spans="1:21" x14ac:dyDescent="0.25">
      <c r="A18" s="19" t="s">
        <v>62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6.57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6">
        <v>0</v>
      </c>
      <c r="T18" s="34">
        <f t="shared" si="1"/>
        <v>6.57</v>
      </c>
      <c r="U18" s="34">
        <f t="shared" si="2"/>
        <v>0</v>
      </c>
    </row>
    <row r="19" spans="1:21" x14ac:dyDescent="0.25">
      <c r="A19" s="19" t="s">
        <v>63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2.76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6">
        <v>0</v>
      </c>
      <c r="T19" s="34">
        <f t="shared" si="1"/>
        <v>2.76</v>
      </c>
      <c r="U19" s="34">
        <f t="shared" si="2"/>
        <v>0</v>
      </c>
    </row>
    <row r="20" spans="1:21" x14ac:dyDescent="0.25">
      <c r="A20" s="19" t="s">
        <v>64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4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6">
        <v>0</v>
      </c>
      <c r="T20" s="34">
        <f t="shared" si="1"/>
        <v>4</v>
      </c>
      <c r="U20" s="34">
        <f t="shared" si="2"/>
        <v>0</v>
      </c>
    </row>
    <row r="21" spans="1:21" x14ac:dyDescent="0.25">
      <c r="A21" s="20" t="s">
        <v>39</v>
      </c>
      <c r="B21" s="37">
        <f t="shared" ref="B21:T21" si="3">SUM(B6:B20)</f>
        <v>22.334731416999997</v>
      </c>
      <c r="C21" s="37">
        <f t="shared" si="3"/>
        <v>33.191512807000002</v>
      </c>
      <c r="D21" s="37">
        <f t="shared" si="3"/>
        <v>4.0038933139999999</v>
      </c>
      <c r="E21" s="37">
        <f t="shared" si="3"/>
        <v>1.3379291769999999</v>
      </c>
      <c r="F21" s="37">
        <f t="shared" si="3"/>
        <v>22.863874657000004</v>
      </c>
      <c r="G21" s="37">
        <f t="shared" si="3"/>
        <v>1.283441877</v>
      </c>
      <c r="H21" s="37">
        <f t="shared" si="3"/>
        <v>0.66841363999999992</v>
      </c>
      <c r="I21" s="37">
        <f t="shared" si="3"/>
        <v>0.25473209100000005</v>
      </c>
      <c r="J21" s="37">
        <f t="shared" si="3"/>
        <v>12.827547501</v>
      </c>
      <c r="K21" s="37">
        <f t="shared" si="3"/>
        <v>3.8709000000000002</v>
      </c>
      <c r="L21" s="37">
        <f t="shared" si="3"/>
        <v>60.4636</v>
      </c>
      <c r="M21" s="37">
        <f t="shared" si="3"/>
        <v>4.2651500000000002</v>
      </c>
      <c r="N21" s="37">
        <f t="shared" si="3"/>
        <v>9.9811200000000003E-2</v>
      </c>
      <c r="O21" s="37">
        <f t="shared" si="3"/>
        <v>0</v>
      </c>
      <c r="P21" s="37">
        <f t="shared" si="3"/>
        <v>0.02</v>
      </c>
      <c r="Q21" s="37">
        <f t="shared" si="3"/>
        <v>0.01</v>
      </c>
      <c r="R21" s="37">
        <f t="shared" si="3"/>
        <v>0.02</v>
      </c>
      <c r="S21" s="37">
        <f t="shared" si="3"/>
        <v>2.1648999999999998</v>
      </c>
      <c r="T21" s="37">
        <f t="shared" si="3"/>
        <v>169.680437681</v>
      </c>
      <c r="U21" s="37">
        <f t="shared" si="2"/>
        <v>0</v>
      </c>
    </row>
    <row r="22" spans="1:21" x14ac:dyDescent="0.25">
      <c r="A22" s="21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2"/>
      <c r="U22" s="22"/>
    </row>
    <row r="24" spans="1:21" ht="15.75" thickBot="1" x14ac:dyDescent="0.3"/>
    <row r="25" spans="1:21" x14ac:dyDescent="0.25">
      <c r="A25" s="24" t="s">
        <v>66</v>
      </c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  <c r="P25" s="26"/>
      <c r="Q25" s="26"/>
      <c r="R25" s="26"/>
      <c r="S25" s="26"/>
      <c r="T25" s="27"/>
      <c r="U25" s="144"/>
    </row>
    <row r="26" spans="1:21" x14ac:dyDescent="0.25">
      <c r="A26" s="28" t="s">
        <v>40</v>
      </c>
      <c r="B26" s="145">
        <f t="shared" ref="B26:Q26" si="4">B4</f>
        <v>43677</v>
      </c>
      <c r="C26" s="145">
        <f t="shared" si="4"/>
        <v>43708</v>
      </c>
      <c r="D26" s="145">
        <f t="shared" si="4"/>
        <v>43738</v>
      </c>
      <c r="E26" s="145">
        <f t="shared" si="4"/>
        <v>43769</v>
      </c>
      <c r="F26" s="145">
        <f t="shared" si="4"/>
        <v>43799</v>
      </c>
      <c r="G26" s="145">
        <f t="shared" si="4"/>
        <v>43830</v>
      </c>
      <c r="H26" s="145">
        <f t="shared" si="4"/>
        <v>43861</v>
      </c>
      <c r="I26" s="145">
        <f t="shared" si="4"/>
        <v>43890</v>
      </c>
      <c r="J26" s="145">
        <f t="shared" si="4"/>
        <v>43921</v>
      </c>
      <c r="K26" s="145">
        <f t="shared" si="4"/>
        <v>43951</v>
      </c>
      <c r="L26" s="145">
        <f t="shared" si="4"/>
        <v>43982</v>
      </c>
      <c r="M26" s="145">
        <f t="shared" si="4"/>
        <v>44012</v>
      </c>
      <c r="N26" s="145">
        <f t="shared" si="4"/>
        <v>44043</v>
      </c>
      <c r="O26" s="145">
        <f t="shared" si="4"/>
        <v>44074</v>
      </c>
      <c r="P26" s="145">
        <f t="shared" si="4"/>
        <v>44104</v>
      </c>
      <c r="Q26" s="145">
        <f t="shared" si="4"/>
        <v>44135</v>
      </c>
      <c r="R26" s="145" t="str">
        <f t="shared" ref="R26:S26" si="5">R4</f>
        <v>Nov-20</v>
      </c>
      <c r="S26" s="145" t="str">
        <f t="shared" si="5"/>
        <v>Dec-20</v>
      </c>
      <c r="T26" s="146" t="s">
        <v>41</v>
      </c>
      <c r="U26" s="149"/>
    </row>
    <row r="27" spans="1:21" x14ac:dyDescent="0.25">
      <c r="A27" s="29" t="s">
        <v>129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12.174799999999999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147">
        <f t="shared" ref="T27:T31" si="6">SUM(B27:S27)</f>
        <v>12.174799999999999</v>
      </c>
      <c r="U27" s="37">
        <f t="shared" ref="U27:U31" si="7">SUMIF($B$3:$S$3,"&gt;0",B27:S27)</f>
        <v>0</v>
      </c>
    </row>
    <row r="28" spans="1:21" x14ac:dyDescent="0.25">
      <c r="A28" s="29" t="s">
        <v>130</v>
      </c>
      <c r="B28" s="38">
        <v>0.35138356200000004</v>
      </c>
      <c r="C28" s="38">
        <v>0.62899210800000005</v>
      </c>
      <c r="D28" s="38">
        <v>0.66095785699999998</v>
      </c>
      <c r="E28" s="38">
        <v>0.39875399100000003</v>
      </c>
      <c r="F28" s="38">
        <v>0.37683278599999998</v>
      </c>
      <c r="G28" s="38">
        <v>0.228601677</v>
      </c>
      <c r="H28" s="38">
        <v>0.23635742599999998</v>
      </c>
      <c r="I28" s="38">
        <v>0.23583209100000002</v>
      </c>
      <c r="J28" s="38">
        <v>0.26965148</v>
      </c>
      <c r="K28" s="39">
        <v>0</v>
      </c>
      <c r="L28" s="39">
        <v>6.3600000000000004E-2</v>
      </c>
      <c r="M28" s="39">
        <v>5.3949999999999998E-2</v>
      </c>
      <c r="N28" s="39">
        <v>3.9511200000000003E-2</v>
      </c>
      <c r="O28" s="39">
        <v>0</v>
      </c>
      <c r="P28" s="39">
        <v>0.02</v>
      </c>
      <c r="Q28" s="39">
        <v>0.01</v>
      </c>
      <c r="R28" s="39">
        <v>0.02</v>
      </c>
      <c r="S28" s="39">
        <v>0</v>
      </c>
      <c r="T28" s="147">
        <f t="shared" si="6"/>
        <v>3.5944241780000001</v>
      </c>
      <c r="U28" s="37">
        <f t="shared" si="7"/>
        <v>0</v>
      </c>
    </row>
    <row r="29" spans="1:21" x14ac:dyDescent="0.25">
      <c r="A29" s="29" t="s">
        <v>131</v>
      </c>
      <c r="B29" s="38">
        <v>0.66662352799999991</v>
      </c>
      <c r="C29" s="38">
        <v>0.5849160189999999</v>
      </c>
      <c r="D29" s="38">
        <v>0.69535338299999994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147">
        <f t="shared" si="6"/>
        <v>1.9468929299999997</v>
      </c>
      <c r="U29" s="37">
        <f t="shared" si="7"/>
        <v>0</v>
      </c>
    </row>
    <row r="30" spans="1:21" x14ac:dyDescent="0.25">
      <c r="A30" s="29" t="s">
        <v>132</v>
      </c>
      <c r="B30" s="38">
        <v>1.6303999999999998</v>
      </c>
      <c r="C30" s="38">
        <v>0.41567209100000008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147">
        <f t="shared" si="6"/>
        <v>2.0460720910000001</v>
      </c>
      <c r="U30" s="37">
        <f t="shared" si="7"/>
        <v>0</v>
      </c>
    </row>
    <row r="31" spans="1:21" ht="15.75" thickBot="1" x14ac:dyDescent="0.3">
      <c r="A31" s="30" t="s">
        <v>41</v>
      </c>
      <c r="B31" s="40">
        <f t="shared" ref="B31:Q31" si="8">SUM(B27:B30)</f>
        <v>2.6484070900000001</v>
      </c>
      <c r="C31" s="40">
        <f t="shared" si="8"/>
        <v>1.6295802179999999</v>
      </c>
      <c r="D31" s="40">
        <f t="shared" si="8"/>
        <v>1.3563112399999999</v>
      </c>
      <c r="E31" s="40">
        <f t="shared" si="8"/>
        <v>0.39875399100000003</v>
      </c>
      <c r="F31" s="40">
        <f t="shared" si="8"/>
        <v>0.37683278599999998</v>
      </c>
      <c r="G31" s="40">
        <f t="shared" si="8"/>
        <v>0.228601677</v>
      </c>
      <c r="H31" s="40">
        <f t="shared" si="8"/>
        <v>0.23635742599999998</v>
      </c>
      <c r="I31" s="40">
        <f t="shared" si="8"/>
        <v>0.23583209100000002</v>
      </c>
      <c r="J31" s="40">
        <f t="shared" si="8"/>
        <v>12.44445148</v>
      </c>
      <c r="K31" s="40">
        <f t="shared" si="8"/>
        <v>0</v>
      </c>
      <c r="L31" s="40">
        <f t="shared" si="8"/>
        <v>6.3600000000000004E-2</v>
      </c>
      <c r="M31" s="40">
        <f t="shared" si="8"/>
        <v>5.3949999999999998E-2</v>
      </c>
      <c r="N31" s="40">
        <f t="shared" si="8"/>
        <v>3.9511200000000003E-2</v>
      </c>
      <c r="O31" s="40">
        <f t="shared" si="8"/>
        <v>0</v>
      </c>
      <c r="P31" s="40">
        <f t="shared" si="8"/>
        <v>0.02</v>
      </c>
      <c r="Q31" s="40">
        <f t="shared" si="8"/>
        <v>0.01</v>
      </c>
      <c r="R31" s="40">
        <f t="shared" ref="R31:S31" si="9">SUM(R27:R30)</f>
        <v>0.02</v>
      </c>
      <c r="S31" s="40">
        <f t="shared" si="9"/>
        <v>0</v>
      </c>
      <c r="T31" s="148">
        <f t="shared" si="6"/>
        <v>19.762189199000002</v>
      </c>
      <c r="U31" s="37">
        <f t="shared" si="7"/>
        <v>0</v>
      </c>
    </row>
    <row r="32" spans="1:21" x14ac:dyDescent="0.25">
      <c r="B32" s="31"/>
      <c r="C32" s="31"/>
      <c r="D32" s="31"/>
      <c r="E32" s="31"/>
      <c r="F32" s="31"/>
      <c r="G32" s="31"/>
      <c r="H32" s="31"/>
      <c r="I32" s="31"/>
    </row>
    <row r="34" spans="1:21" x14ac:dyDescent="0.25">
      <c r="A34" s="1" t="s">
        <v>67</v>
      </c>
      <c r="T34" s="31"/>
      <c r="U34" s="31"/>
    </row>
    <row r="35" spans="1:21" x14ac:dyDescent="0.25">
      <c r="A35" s="10" t="s">
        <v>50</v>
      </c>
      <c r="B35" s="11" t="s">
        <v>51</v>
      </c>
      <c r="C35" s="12" t="s">
        <v>52</v>
      </c>
      <c r="D35" s="11" t="s">
        <v>53</v>
      </c>
    </row>
    <row r="36" spans="1:21" x14ac:dyDescent="0.25">
      <c r="A36" s="32">
        <v>43921</v>
      </c>
      <c r="B36" s="13" t="s">
        <v>54</v>
      </c>
      <c r="C36" s="9">
        <v>-123225948</v>
      </c>
      <c r="D36" s="13" t="s">
        <v>55</v>
      </c>
      <c r="E36" s="15" t="s">
        <v>100</v>
      </c>
      <c r="J36" s="31"/>
    </row>
    <row r="37" spans="1:21" x14ac:dyDescent="0.25">
      <c r="A37" s="32">
        <v>43921</v>
      </c>
      <c r="B37" s="13" t="s">
        <v>54</v>
      </c>
      <c r="C37" s="9">
        <v>84954327</v>
      </c>
      <c r="D37" s="13" t="s">
        <v>56</v>
      </c>
      <c r="E37" s="15" t="s">
        <v>100</v>
      </c>
    </row>
    <row r="38" spans="1:21" x14ac:dyDescent="0.25">
      <c r="A38" s="32">
        <v>43925</v>
      </c>
      <c r="B38" s="13" t="s">
        <v>54</v>
      </c>
      <c r="C38" s="9">
        <v>-31527556</v>
      </c>
      <c r="D38" s="13" t="s">
        <v>55</v>
      </c>
      <c r="E38" s="15" t="s">
        <v>100</v>
      </c>
    </row>
    <row r="39" spans="1:21" x14ac:dyDescent="0.25">
      <c r="A39" s="32">
        <v>43925</v>
      </c>
      <c r="B39" s="13" t="s">
        <v>54</v>
      </c>
      <c r="C39" s="9">
        <v>-286470</v>
      </c>
      <c r="D39" s="13" t="s">
        <v>55</v>
      </c>
      <c r="E39" s="15" t="s">
        <v>100</v>
      </c>
    </row>
    <row r="40" spans="1:21" x14ac:dyDescent="0.25">
      <c r="A40" s="32">
        <v>43925</v>
      </c>
      <c r="B40" s="13" t="s">
        <v>54</v>
      </c>
      <c r="C40" s="9">
        <v>-5441284</v>
      </c>
      <c r="D40" s="13" t="s">
        <v>55</v>
      </c>
      <c r="E40" s="15" t="s">
        <v>100</v>
      </c>
    </row>
    <row r="41" spans="1:21" x14ac:dyDescent="0.25">
      <c r="A41" s="32">
        <v>43962</v>
      </c>
      <c r="B41" s="13" t="s">
        <v>54</v>
      </c>
      <c r="C41" s="9">
        <v>181767348.38</v>
      </c>
      <c r="D41" s="13" t="s">
        <v>57</v>
      </c>
      <c r="E41" s="15" t="s">
        <v>100</v>
      </c>
    </row>
    <row r="42" spans="1:21" x14ac:dyDescent="0.25">
      <c r="A42" s="32">
        <v>44004</v>
      </c>
      <c r="B42" s="13" t="s">
        <v>54</v>
      </c>
      <c r="C42" s="46">
        <v>66000000</v>
      </c>
      <c r="D42" s="13" t="s">
        <v>58</v>
      </c>
      <c r="E42" s="41" t="s">
        <v>101</v>
      </c>
    </row>
    <row r="43" spans="1:21" x14ac:dyDescent="0.25">
      <c r="A43" s="11"/>
      <c r="B43" s="11" t="s">
        <v>2</v>
      </c>
      <c r="C43" s="14">
        <f>SUM(C36:C42)</f>
        <v>172240417.38</v>
      </c>
      <c r="D43" s="11"/>
    </row>
    <row r="44" spans="1:21" x14ac:dyDescent="0.25">
      <c r="C44" s="31"/>
    </row>
  </sheetData>
  <pageMargins left="0.7" right="0.7" top="0.75" bottom="0.75" header="0.3" footer="0.3"/>
  <pageSetup orientation="portrait" horizontalDpi="360" verticalDpi="360" r:id="rId1"/>
  <headerFooter>
    <oddHeader>&amp;C&amp;"Calibri"&amp;11&amp;K008000 Classification - Public&amp;1#_x000D_</oddHeader>
    <oddFooter>&amp;C_x000D_&amp;1#&amp;"Calibri"&amp;11&amp;K008000 Classification -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Bank Recovery _old</vt:lpstr>
      <vt:lpstr>Distribution</vt:lpstr>
      <vt:lpstr>Vs. NCLT</vt:lpstr>
      <vt:lpstr>Sintex_JC pari passu USL</vt:lpstr>
      <vt:lpstr>Bank Recovery_Revised</vt:lpstr>
    </vt:vector>
  </TitlesOfParts>
  <Company>KKR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 Pareek</dc:creator>
  <cp:lastModifiedBy>Manish Nyati</cp:lastModifiedBy>
  <cp:lastPrinted>2020-01-06T08:19:12Z</cp:lastPrinted>
  <dcterms:created xsi:type="dcterms:W3CDTF">2020-01-06T07:54:53Z</dcterms:created>
  <dcterms:modified xsi:type="dcterms:W3CDTF">2022-06-14T05:19:26Z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6082814-9072-4546-abf0-7b9df0d26ba0_Enabled">
    <vt:lpwstr>true</vt:lpwstr>
  </property>
  <property fmtid="{D5CDD505-2E9C-101B-9397-08002B2CF9AE}" pid="3" name="MSIP_Label_26082814-9072-4546-abf0-7b9df0d26ba0_SetDate">
    <vt:lpwstr>2022-06-14T05:18:35Z</vt:lpwstr>
  </property>
  <property fmtid="{D5CDD505-2E9C-101B-9397-08002B2CF9AE}" pid="4" name="MSIP_Label_26082814-9072-4546-abf0-7b9df0d26ba0_Method">
    <vt:lpwstr>Privileged</vt:lpwstr>
  </property>
  <property fmtid="{D5CDD505-2E9C-101B-9397-08002B2CF9AE}" pid="5" name="MSIP_Label_26082814-9072-4546-abf0-7b9df0d26ba0_Name">
    <vt:lpwstr>MIP Policy 1 - Public</vt:lpwstr>
  </property>
  <property fmtid="{D5CDD505-2E9C-101B-9397-08002B2CF9AE}" pid="6" name="MSIP_Label_26082814-9072-4546-abf0-7b9df0d26ba0_SiteId">
    <vt:lpwstr>827fd022-05a6-4e57-be9c-cc069b6ae62d</vt:lpwstr>
  </property>
  <property fmtid="{D5CDD505-2E9C-101B-9397-08002B2CF9AE}" pid="7" name="MSIP_Label_26082814-9072-4546-abf0-7b9df0d26ba0_ActionId">
    <vt:lpwstr>c28e2201-18fc-464f-9472-a18e7d019f93</vt:lpwstr>
  </property>
  <property fmtid="{D5CDD505-2E9C-101B-9397-08002B2CF9AE}" pid="8" name="MSIP_Label_26082814-9072-4546-abf0-7b9df0d26ba0_ContentBits">
    <vt:lpwstr>3</vt:lpwstr>
  </property>
</Properties>
</file>