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aurav Sharma\VIS(2022-23)-PL115-O97-184- Ms. Sintex BAPL Limited\"/>
    </mc:Choice>
  </mc:AlternateContent>
  <xr:revisionPtr revIDLastSave="0" documentId="13_ncr:1_{EB61E1FD-23C2-4EC8-B9AC-5A00B7B320E2}" xr6:coauthVersionLast="47" xr6:coauthVersionMax="47" xr10:uidLastSave="{00000000-0000-0000-0000-000000000000}"/>
  <bookViews>
    <workbookView xWindow="-120" yWindow="-120" windowWidth="21840" windowHeight="13140" activeTab="1" xr2:uid="{C2821E3A-0110-41CA-91B6-6770AC323483}"/>
  </bookViews>
  <sheets>
    <sheet name="Sheet1 (2)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1" hidden="1">Sheet1!$B$2:$P$18</definedName>
    <definedName name="_xlnm._FilterDatabase" localSheetId="0" hidden="1">'Sheet1 (2)'!$B$2:$M$18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1" l="1"/>
  <c r="N16" i="1"/>
  <c r="N14" i="1"/>
  <c r="N13" i="1"/>
  <c r="N12" i="1"/>
  <c r="N11" i="1"/>
  <c r="N9" i="1"/>
  <c r="N8" i="1"/>
  <c r="N7" i="1"/>
  <c r="N5" i="1"/>
  <c r="N3" i="1"/>
  <c r="N18" i="1"/>
  <c r="O18" i="1" s="1"/>
  <c r="P18" i="1"/>
  <c r="P21" i="1"/>
  <c r="O21" i="1"/>
  <c r="I19" i="1"/>
  <c r="J19" i="1"/>
  <c r="J23" i="1" s="1"/>
  <c r="K19" i="1"/>
  <c r="M19" i="1"/>
  <c r="H13" i="1"/>
  <c r="M8" i="1"/>
  <c r="K8" i="1" l="1"/>
  <c r="M16" i="1" l="1"/>
  <c r="M15" i="1" l="1"/>
  <c r="M14" i="1" l="1"/>
  <c r="M13" i="1" l="1"/>
  <c r="M11" i="1" l="1"/>
  <c r="M10" i="1" l="1"/>
  <c r="M9" i="1" l="1"/>
  <c r="M7" i="1" l="1"/>
  <c r="M5" i="1" l="1"/>
  <c r="M3" i="1" l="1"/>
  <c r="K16" i="1" l="1"/>
  <c r="K14" i="1" l="1"/>
  <c r="K13" i="1" l="1"/>
  <c r="K12" i="1" l="1"/>
  <c r="K11" i="1" l="1"/>
  <c r="J11" i="1"/>
  <c r="K9" i="1" l="1"/>
  <c r="K7" i="1" l="1"/>
  <c r="J7" i="1" l="1"/>
  <c r="K5" i="1" l="1"/>
  <c r="K3" i="1" l="1"/>
  <c r="K17" i="1" l="1"/>
  <c r="K6" i="1"/>
  <c r="K4" i="1"/>
  <c r="I13" i="1"/>
  <c r="I11" i="1"/>
  <c r="I12" i="1"/>
  <c r="I5" i="1"/>
  <c r="I7" i="1"/>
  <c r="I3" i="1"/>
  <c r="I9" i="1"/>
  <c r="I17" i="2" l="1"/>
  <c r="K17" i="2" s="1"/>
  <c r="J16" i="2"/>
  <c r="I16" i="2"/>
  <c r="H16" i="2"/>
  <c r="K16" i="2" s="1"/>
  <c r="J15" i="2"/>
  <c r="K15" i="2" s="1"/>
  <c r="J14" i="2"/>
  <c r="I14" i="2"/>
  <c r="H14" i="2"/>
  <c r="J13" i="2"/>
  <c r="I13" i="2"/>
  <c r="H13" i="2"/>
  <c r="K13" i="2" s="1"/>
  <c r="J12" i="2"/>
  <c r="I12" i="2"/>
  <c r="H12" i="2"/>
  <c r="J11" i="2"/>
  <c r="I11" i="2"/>
  <c r="H11" i="2"/>
  <c r="J10" i="2"/>
  <c r="K10" i="2" s="1"/>
  <c r="J9" i="2"/>
  <c r="I9" i="2"/>
  <c r="K9" i="2" s="1"/>
  <c r="H9" i="2"/>
  <c r="J8" i="2"/>
  <c r="I8" i="2"/>
  <c r="K8" i="2" s="1"/>
  <c r="J7" i="2"/>
  <c r="I7" i="2"/>
  <c r="H7" i="2"/>
  <c r="I6" i="2"/>
  <c r="K6" i="2" s="1"/>
  <c r="M6" i="2" s="1"/>
  <c r="K5" i="2"/>
  <c r="M5" i="2" s="1"/>
  <c r="J5" i="2"/>
  <c r="I5" i="2"/>
  <c r="H5" i="2"/>
  <c r="I4" i="2"/>
  <c r="K4" i="2" s="1"/>
  <c r="J3" i="2"/>
  <c r="I3" i="2"/>
  <c r="H3" i="2"/>
  <c r="K3" i="2" s="1"/>
  <c r="L16" i="1"/>
  <c r="L15" i="1"/>
  <c r="N15" i="1" s="1"/>
  <c r="L14" i="1"/>
  <c r="L13" i="1"/>
  <c r="L12" i="1"/>
  <c r="L11" i="1"/>
  <c r="L10" i="1"/>
  <c r="N10" i="1" s="1"/>
  <c r="L9" i="1"/>
  <c r="L8" i="1"/>
  <c r="L7" i="1"/>
  <c r="L5" i="1"/>
  <c r="L3" i="1"/>
  <c r="J17" i="1"/>
  <c r="N17" i="1" s="1"/>
  <c r="J6" i="1"/>
  <c r="N6" i="1" s="1"/>
  <c r="J4" i="1"/>
  <c r="K14" i="2" l="1"/>
  <c r="K7" i="2"/>
  <c r="K11" i="2"/>
  <c r="L11" i="2" s="1"/>
  <c r="K12" i="2"/>
  <c r="M12" i="2" s="1"/>
  <c r="L19" i="1"/>
  <c r="N4" i="1"/>
  <c r="O4" i="1" s="1"/>
  <c r="M17" i="2"/>
  <c r="L17" i="2"/>
  <c r="M10" i="2"/>
  <c r="L10" i="2"/>
  <c r="L4" i="2"/>
  <c r="M4" i="2"/>
  <c r="L7" i="2"/>
  <c r="M7" i="2"/>
  <c r="M11" i="2"/>
  <c r="M15" i="2"/>
  <c r="L15" i="2"/>
  <c r="L3" i="2"/>
  <c r="M3" i="2"/>
  <c r="M9" i="2"/>
  <c r="L9" i="2"/>
  <c r="M16" i="2"/>
  <c r="L16" i="2"/>
  <c r="L8" i="2"/>
  <c r="M8" i="2"/>
  <c r="L13" i="2"/>
  <c r="M13" i="2"/>
  <c r="M14" i="2"/>
  <c r="L14" i="2"/>
  <c r="L5" i="2"/>
  <c r="L6" i="2"/>
  <c r="P6" i="1"/>
  <c r="P10" i="1"/>
  <c r="O15" i="1"/>
  <c r="P17" i="1"/>
  <c r="H14" i="1"/>
  <c r="H11" i="1"/>
  <c r="H12" i="1"/>
  <c r="H5" i="1"/>
  <c r="H7" i="1"/>
  <c r="H3" i="1"/>
  <c r="H9" i="1"/>
  <c r="H16" i="1"/>
  <c r="L12" i="2" l="1"/>
  <c r="K18" i="2"/>
  <c r="L18" i="2" s="1"/>
  <c r="H19" i="1"/>
  <c r="M18" i="2"/>
  <c r="O17" i="1"/>
  <c r="O10" i="1"/>
  <c r="O6" i="1"/>
  <c r="P4" i="1"/>
  <c r="P15" i="1"/>
  <c r="J16" i="1"/>
  <c r="P19" i="1" l="1"/>
  <c r="O19" i="1"/>
  <c r="O16" i="1"/>
  <c r="P16" i="1"/>
  <c r="J14" i="1"/>
  <c r="P14" i="1" l="1"/>
  <c r="O14" i="1"/>
  <c r="J13" i="1"/>
  <c r="P13" i="1" l="1"/>
  <c r="O13" i="1"/>
  <c r="J12" i="1"/>
  <c r="O12" i="1" l="1"/>
  <c r="P12" i="1"/>
  <c r="O11" i="1" l="1"/>
  <c r="P11" i="1"/>
  <c r="J9" i="1"/>
  <c r="P9" i="1" l="1"/>
  <c r="O9" i="1"/>
  <c r="J8" i="1"/>
  <c r="P8" i="1" l="1"/>
  <c r="O8" i="1"/>
  <c r="O7" i="1" l="1"/>
  <c r="P7" i="1"/>
  <c r="J5" i="1"/>
  <c r="P5" i="1" l="1"/>
  <c r="O5" i="1"/>
  <c r="J3" i="1"/>
  <c r="O3" i="1" l="1"/>
  <c r="P3" i="1" l="1"/>
</calcChain>
</file>

<file path=xl/sharedStrings.xml><?xml version="1.0" encoding="utf-8"?>
<sst xmlns="http://schemas.openxmlformats.org/spreadsheetml/2006/main" count="179" uniqueCount="70">
  <si>
    <t>Total Area</t>
  </si>
  <si>
    <t>Owned
(Free Hold)</t>
  </si>
  <si>
    <t>MUM-85</t>
  </si>
  <si>
    <t>MUM-86</t>
  </si>
  <si>
    <t>MUM-87</t>
  </si>
  <si>
    <t>MUM-88</t>
  </si>
  <si>
    <t>MUM-89</t>
  </si>
  <si>
    <t>MUM-90</t>
  </si>
  <si>
    <t>MUM-91</t>
  </si>
  <si>
    <t>MUM-92</t>
  </si>
  <si>
    <t>MUM-93</t>
  </si>
  <si>
    <t>MUM-94</t>
  </si>
  <si>
    <t>MUM-95</t>
  </si>
  <si>
    <t>MUM-96</t>
  </si>
  <si>
    <t>MUM-97</t>
  </si>
  <si>
    <t>MUM-98</t>
  </si>
  <si>
    <t>MUM-99</t>
  </si>
  <si>
    <t>File No.</t>
  </si>
  <si>
    <t>Plot No. 04, Sector-01, Industrial Estate, Roz-Ka-Meo, Tehsil Nuh, District Mewat, Haryana</t>
  </si>
  <si>
    <t>Land Area – 26575 sq.mtr/ 31780.112 sq.yds</t>
  </si>
  <si>
    <t>Industrial Land &amp; Building and Plant &amp; Machinery</t>
  </si>
  <si>
    <t>Type of Property</t>
  </si>
  <si>
    <t>Premises Bearing No. 417, 418, 419, On 4th Floor, Sahara Plaza Co-Operative Society Ltd. Mathuradas Vasanji (M.V Road), Andheri (E), Mumbai - 400059</t>
  </si>
  <si>
    <t>Commercial Office Unit</t>
  </si>
  <si>
    <t>145.48 sq. mtr/ 1566 sq. ft.</t>
  </si>
  <si>
    <t>Plot Nos. 40(P) &amp; 41, Uluberia Industrial Growth Centre, R.S. Plot Nos. 84(P), 91(P), 92, 93(P), 94(P), 98(P), 100(P), 101(P) &amp; 216, Mouza-Harinarayan Chak, J.L No.55, P.S. Uluberia, District Howrah, West Bengal</t>
  </si>
  <si>
    <t>5.099 acres/ 308.49 Katha/ 20634.88 sq.mtr</t>
  </si>
  <si>
    <t>Lease hold</t>
  </si>
  <si>
    <t>Survey No. 345/2 + 3/903 + / 904 / , Unit No. 903 – 904, Ninth Floor Shilp Near Gov. Survent Society, Navrangpura, Ahmedabad – 380009, Gujarat</t>
  </si>
  <si>
    <t>140 sq.mtr./ 1517.6 sq.ft</t>
  </si>
  <si>
    <t>Industrial Land &amp; Building
and Plant &amp; Machinery</t>
  </si>
  <si>
    <t>Plot No- 186, Pithampur Industrial Area, District- Dhar, Madhya Pradesh</t>
  </si>
  <si>
    <t>4 Acres/ 16188 sq. mtr.</t>
  </si>
  <si>
    <t>Plot No. C-11, Sipcot Industrial Park, Irrungattukottai, Sriperumbdur Taluk, Kancheepuram, Tamilnadu</t>
  </si>
  <si>
    <t>44529 sq.ft.
(additional 5037 sq.ft.)</t>
  </si>
  <si>
    <t>6.85 Acers/ 27,720.97 sq.mtr</t>
  </si>
  <si>
    <t>Free hold</t>
  </si>
  <si>
    <t>Survey No. 131- 135, 248, Ezhichur- Village, Sriperumbudur- Taluk, Kancheepuram- District, Tamil Nadu.</t>
  </si>
  <si>
    <t>11903 sq. mtr/128114 sq. ft.</t>
  </si>
  <si>
    <t>Survey No. 927/1b Part, 927/3a Part, 927/3b Part, 927/2,927/5b, 927/5a, 930/2, Village Bairamanglam, Taluk Denkanikottai, District Krishnagiri, Tamil Nadu</t>
  </si>
  <si>
    <t xml:space="preserve"> Village- Navani, Taluka &amp; District- Namakkal, Tamil Nadu</t>
  </si>
  <si>
    <t>47.25 Acres/ 1,91,214 sq.mtr.</t>
  </si>
  <si>
    <t>5.39 acres/ 21812.36 sq.mtr</t>
  </si>
  <si>
    <t xml:space="preserve"> Survey No. 14/8,14/9,14/10,14/11,15/1,15/2,15/4a,15/5a,15/6a,36/1b2b, Village Sandhiyur Attaiyyampatti, Chandipur, &amp; Chandiyur Adiyyampatti, District Salem, Tamil Nadu.</t>
  </si>
  <si>
    <t xml:space="preserve"> Village- Bhatian, Tehsil- Nalagarh, District- Solan, Himanchal Pradesh</t>
  </si>
  <si>
    <t>18.76 Acres/ 75917.16 sq.mtr.</t>
  </si>
  <si>
    <t>All That Pieces of Land Parcels Pertaining to Sintex Bapl Ltd. Situated in Village Saij &amp; Kalol, Taluka Kalol, District Gandhi Nagar, Gujarat</t>
  </si>
  <si>
    <t>109069 sq.mtr/ 45.87 bigha</t>
  </si>
  <si>
    <t>Gat no. 1225 – (1 Hectare 59.2 Ares)
Gat no. 1226/1 –(7000 sq. mtr)</t>
  </si>
  <si>
    <t>Gat No. 1225, 1226/1, Village Sansawadi, Taluka- Shirur, Pune, Maharashtra</t>
  </si>
  <si>
    <t>Plot No. J-11, Butibori Industrial Area, Village – Mandwa, Taluka – Hingna, District - Nagpur</t>
  </si>
  <si>
    <t>40000 sq. mtr.</t>
  </si>
  <si>
    <t>126.35 sq. mtr. / 1360 sq. ft.</t>
  </si>
  <si>
    <t>Flat No. 301, 3rd Floor, Swapnalok Complex, Sarojini Devi Road (Old Oxford Street), Secunderabad, Telangana</t>
  </si>
  <si>
    <t>Fair Market Value (P&amp;M)</t>
  </si>
  <si>
    <t>New</t>
  </si>
  <si>
    <t>-</t>
  </si>
  <si>
    <t>Fair Market Value (Land)</t>
  </si>
  <si>
    <t>Fair Market Value (Building)</t>
  </si>
  <si>
    <t>Reliazable Value</t>
  </si>
  <si>
    <t>Distress Value</t>
  </si>
  <si>
    <t>Address</t>
  </si>
  <si>
    <t>Total Estimated Fair Market Value</t>
  </si>
  <si>
    <t>Constitution of the Property</t>
  </si>
  <si>
    <t>Previous</t>
  </si>
  <si>
    <t>Total</t>
  </si>
  <si>
    <t>MUM-100</t>
  </si>
  <si>
    <t>Office No. 2011, Situated on 2nd Floor, Building Known As “Farena Corporate Park”, Village- Hadapsar &amp; District – Pune, Maharashtra</t>
  </si>
  <si>
    <t>Office Equipment’s &amp; Other Items</t>
  </si>
  <si>
    <t xml:space="preserve">6890 sq.ft.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</si>
</sst>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0.0%_);[Red]\(0.0%\)"/>
    <numFmt numFmtId="166" formatCode="_ &quot;₹&quot;\ * #,##0_ ;_ &quot;₹&quot;\ * \-#,##0_ ;_ &quot;₹&quot;\ * &quot;-&quot;??_ ;_ @_ "/>
    <numFmt numFmtId="167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39" fontId="18" fillId="0" borderId="0"/>
    <xf numFmtId="44" fontId="3" fillId="0" borderId="0" applyFont="0" applyFill="0" applyBorder="0" applyAlignment="0" applyProtection="0"/>
    <xf numFmtId="0" fontId="19" fillId="0" borderId="0"/>
    <xf numFmtId="0" fontId="19" fillId="0" borderId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22" fillId="0" borderId="0" applyFont="0" applyFill="0" applyBorder="0" applyAlignment="0" applyProtection="0"/>
    <xf numFmtId="0" fontId="19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6" fontId="23" fillId="0" borderId="1" xfId="0" applyNumberFormat="1" applyFont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4" fillId="34" borderId="1" xfId="0" applyFont="1" applyFill="1" applyBorder="1" applyAlignment="1">
      <alignment horizontal="center" vertical="center"/>
    </xf>
    <xf numFmtId="0" fontId="24" fillId="34" borderId="1" xfId="0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24" fillId="34" borderId="1" xfId="0" applyNumberFormat="1" applyFont="1" applyFill="1" applyBorder="1" applyAlignment="1">
      <alignment horizontal="center" vertical="center" wrapText="1"/>
    </xf>
    <xf numFmtId="0" fontId="0" fillId="33" borderId="1" xfId="0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</cellXfs>
  <cellStyles count="74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2" xr:uid="{A5A07CF5-E6CC-4EBC-A928-8EAC6A6F3F0F}"/>
    <cellStyle name="60% - Accent2 2" xfId="43" xr:uid="{540D6402-7F64-4944-B5BD-1A1511F99CCB}"/>
    <cellStyle name="60% - Accent3 2" xfId="44" xr:uid="{2CAA230C-14FF-49EE-98BE-63BBE6736047}"/>
    <cellStyle name="60% - Accent4 2" xfId="45" xr:uid="{475A620E-69DC-45D6-A2A1-ABF21780B699}"/>
    <cellStyle name="60% - Accent5 2" xfId="46" xr:uid="{E15CA465-5B9B-4387-8067-F79D698771F3}"/>
    <cellStyle name="60% - Accent6 2" xfId="47" xr:uid="{43F69A80-5080-40C8-8802-AC18F26A7FC9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34" xr:uid="{12006FEF-7EF5-4764-8686-4C2BEEA30149}"/>
    <cellStyle name="Comma 2 2" xfId="52" xr:uid="{F5744C31-4BB4-4BBA-A7F8-5EF26437C93B}"/>
    <cellStyle name="Comma 2 2 2" xfId="71" xr:uid="{83D3A0D2-281C-488E-BFB6-C9324C669859}"/>
    <cellStyle name="Comma 2 21" xfId="67" xr:uid="{663CB761-015D-4A2A-A954-9D1DF021EF6B}"/>
    <cellStyle name="Comma 2 3" xfId="61" xr:uid="{1A053B91-288D-44AB-90E0-A6F9CC51013B}"/>
    <cellStyle name="Comma 2 4" xfId="66" xr:uid="{414C28D7-C1A9-4D34-9858-A165628E52C6}"/>
    <cellStyle name="Comma 2 5" xfId="65" xr:uid="{73DD50BD-D9DA-4436-B932-3C373863E87F}"/>
    <cellStyle name="Comma 3" xfId="60" xr:uid="{0E894FC7-EBD5-4CCF-A0EF-0A6EF6FF02B1}"/>
    <cellStyle name="Comma 3 2" xfId="62" xr:uid="{8A79B8EB-A151-42FD-9A1B-2BA182356696}"/>
    <cellStyle name="Comma 4" xfId="69" xr:uid="{E1F6920E-EE78-471D-8147-AA015A0A28CE}"/>
    <cellStyle name="Comma 5" xfId="72" xr:uid="{421E8765-55B9-4036-84F9-C223DC719CB2}"/>
    <cellStyle name="Comma 8 3 2" xfId="56" xr:uid="{AABE0777-BE0B-409B-ABBB-57D14E3C26C2}"/>
    <cellStyle name="Currency 2" xfId="36" xr:uid="{1DFB33D0-B2AD-4AF0-9D3C-C3426073D80A}"/>
    <cellStyle name="Currency 2 2" xfId="48" xr:uid="{1E729E78-E1AC-49F8-A1CC-0E4E930874B7}"/>
    <cellStyle name="Currency 2 3" xfId="68" xr:uid="{3A4C4175-9975-4E66-B2A3-0F177C0E09C9}"/>
    <cellStyle name="Currency 3" xfId="39" xr:uid="{07C95E41-F01C-4B1C-9BAA-B2DF32658C7E}"/>
    <cellStyle name="Currency 3 2" xfId="70" xr:uid="{3E347475-11F5-4A88-AB10-4CC959015303}"/>
    <cellStyle name="Currency 4" xfId="59" xr:uid="{B1257EF2-521F-4FF6-8029-17820DEFE0AF}"/>
    <cellStyle name="Currency 5" xfId="73" xr:uid="{6D4D89B1-9484-4F68-8B37-A2A56B123409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1" xr:uid="{63140442-1C48-4247-84AA-1D588E37E8FC}"/>
    <cellStyle name="Normal" xfId="0" builtinId="0"/>
    <cellStyle name="Normal 10" xfId="64" xr:uid="{5A1A07C9-0962-49C0-AB74-F23E9A15674E}"/>
    <cellStyle name="Normal 10 2 2 2" xfId="49" xr:uid="{A2F82C2C-9A6B-4AAD-B477-CB3265723B84}"/>
    <cellStyle name="Normal 10_April-09 Vat Summary (2)" xfId="37" xr:uid="{F1696490-C6C1-484C-B6D0-F3CB518D51B4}"/>
    <cellStyle name="Normal 15" xfId="63" xr:uid="{BB50E1B4-B831-4427-A858-7F1FD873FDF6}"/>
    <cellStyle name="Normal 2" xfId="38" xr:uid="{00FAB079-EFE4-44A4-9E4C-6FE9AABC1E9C}"/>
    <cellStyle name="Normal 2 16" xfId="57" xr:uid="{438988C2-CFFB-4847-B042-C8153685127A}"/>
    <cellStyle name="Normal 2 5" xfId="53" xr:uid="{3FF796C2-E254-4504-AC82-72ABDBBA2D46}"/>
    <cellStyle name="Normal 3" xfId="54" xr:uid="{9437CF7A-F393-4417-9B02-52D93B973B98}"/>
    <cellStyle name="Normal 30 2" xfId="50" xr:uid="{B72E6DF4-692F-4159-B2DE-5FAD467C7064}"/>
    <cellStyle name="Normal 4" xfId="55" xr:uid="{FE2A76B4-3739-433F-B8F1-8EB6BED2CCE7}"/>
    <cellStyle name="Normal 520" xfId="35" xr:uid="{E45FF813-A20D-4762-BE94-81173947CD7C}"/>
    <cellStyle name="Normal 89" xfId="58" xr:uid="{3FCD2A6F-9283-4A31-9732-94E91B9C241C}"/>
    <cellStyle name="Note" xfId="13" builtinId="10" customBuiltin="1"/>
    <cellStyle name="Output" xfId="8" builtinId="21" customBuiltin="1"/>
    <cellStyle name="Percent 2" xfId="51" xr:uid="{B9838532-BE37-4644-A5E2-EBC87798911C}"/>
    <cellStyle name="Title 2" xfId="40" xr:uid="{0354F3B3-1753-44EA-A35F-7F3DBF41BC5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urav%20Sharma/SintexP&amp;M%20Revised/All%20Properties%20Comparabl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8%20RK%20Building%20Sheet%20-%20NAGPU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All%20Properties%20Comparabl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85,%20SOHNA\Building%20Shee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85,%20SOHNA\Working-Sohn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87-ULUBERIA\RK%20Building%20Sheet%20-ULUBERI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87-ULUBERIA\Working-%20Uluberi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Sintex%20Building/MUM-89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Report%20Supported%20Document\2020-21\PRIVATE\MUMBAI\Sintex%2085%20to%20100\Automobile\MUM-89,%20Sintex%20BAPL%20Pithampur%20Indore\RK%20Valuation\MUM-89%20(CONSTRUCTION%20SHEET)MS%20SINTEXBAPL%20LTD%20(SBI,%20SARG%20BRANCH,%20MUMBAI)(PITHAMPUR%20PLANT).xlsx?779308EB" TargetMode="External"/><Relationship Id="rId1" Type="http://schemas.openxmlformats.org/officeDocument/2006/relationships/externalLinkPath" Target="file:///\\779308EB\MUM-89%20(CONSTRUCTION%20SHEET)MS%20SINTEXBAPL%20LTD%20(SBI,%20SARG%20BRANCH,%20MUMBAI)(PITHAMPUR%20PLANT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8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89,%20Sintex%20BAPL%20Pithampur%20Indore\RK%20Valuation\WORKING%20SHEET%20P%20&amp;M-%20Updated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90-%20Ms.%20sintex%20Industries%20Limited-%20Chennai-%20SARG%20Mumbai\P&amp;M%20Valuation%20sheet-%20Chennai%20-I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91-%20CHENNAI-2%20&amp;%202A\Building%20&amp;%20Infrastructure%20Valu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91-%20CHENNAI-2%20&amp;%202A\FAR%20working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Automobile\Mum-92-%20HOSUR\P&amp;M%20Valuation%20shee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Sintex%20Building/MUM-9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3-%20NAMAKAL\RK%20Building%20Sheet%20-NAMAKKAL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3-%20NAMAKAL\RK%20VALUATIONS-%20Revised'\Working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4,%20Salem\MUM-94,%20Building%20Sheet%20-%20Salem%20-%20updated%20-%20170320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5,%20Nalagarh-%20Himachal\Building%20Sheet\RK%20Building%20Sheet%20-NALAGAR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run%20Tomar/Arun%20Tomar/Sintex/All%20Comparables/Copy%20of%20All%20Properties%20Comparable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5,%20Nalagarh-%20Himachal\RK%20VALUATIONS\nalagarh\RK%20VALUATIONS\NALAGARH(land%20&amp;%20Buildings%20&amp;%20P&amp;M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6,%20KALOL\Building%20Sheet%20-KALOL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6,%20KALOL\Working-%20Kalol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Mum-97-Pune\RK%20Report\Pune%20Plant.xlsb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8,%20BUTIBOORI\Report%20&amp;%20Working\MUM-98%20RK%20Building%20Sheet%20-%20NAGPUR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%20Supported%20Document\2020-21\PRIVATE\MUMBAI\Sintex%2085%20to%20100\Plastic\MUM-98,%20BUTIBOORI\Report%20&amp;%20Working\MUM-98,%20Butibori,%20Nagpur%20Working%20(P&amp;M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8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89%20(CONSTRUCTION%20SHEET)MS%20SINTEXBAPL%20LTD%20(SBI,%20SARG%20BRANCH,%20MUMBAI)(PITHAMPUR%20PLANT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elcome\Desktop\Sintex%20Building\MUM-94,%20Building%20Sheet%20-%20Salem%20-%20updated%20-%2017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bles"/>
      <sheetName val="Refrence Link"/>
    </sheetNames>
    <sheetDataSet>
      <sheetData sheetId="0">
        <row r="4">
          <cell r="AS4">
            <v>130000000</v>
          </cell>
        </row>
        <row r="8">
          <cell r="AS8">
            <v>41100000</v>
          </cell>
        </row>
        <row r="10">
          <cell r="AS10">
            <v>411912500</v>
          </cell>
        </row>
        <row r="11">
          <cell r="AS11">
            <v>65625000</v>
          </cell>
        </row>
        <row r="12">
          <cell r="AS12">
            <v>137673223.14049587</v>
          </cell>
        </row>
        <row r="13">
          <cell r="AS13">
            <v>29645000</v>
          </cell>
        </row>
        <row r="14">
          <cell r="AS14">
            <v>141750000</v>
          </cell>
        </row>
        <row r="15">
          <cell r="AS15">
            <v>24388000.000000004</v>
          </cell>
        </row>
        <row r="16">
          <cell r="AS16">
            <v>717982857.10765851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"/>
    </sheetNames>
    <sheetDataSet>
      <sheetData sheetId="0">
        <row r="31">
          <cell r="N31">
            <v>82175318.084980011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208">
          <cell r="L208">
            <v>570461674.66441989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18">
          <cell r="N18">
            <v>39437575.10061001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al"/>
      <sheetName val="Commercial"/>
      <sheetName val="Refrence Link"/>
    </sheetNames>
    <sheetDataSet>
      <sheetData sheetId="0">
        <row r="8">
          <cell r="AO8">
            <v>34250000</v>
          </cell>
        </row>
        <row r="10">
          <cell r="AO10">
            <v>318864000</v>
          </cell>
        </row>
        <row r="11">
          <cell r="AO11">
            <v>60800000</v>
          </cell>
        </row>
        <row r="12">
          <cell r="AO12">
            <v>92546850</v>
          </cell>
        </row>
        <row r="13">
          <cell r="AO13">
            <v>32340000</v>
          </cell>
        </row>
        <row r="14">
          <cell r="AO14">
            <v>94500000</v>
          </cell>
        </row>
        <row r="15">
          <cell r="AO15">
            <v>181620000</v>
          </cell>
          <cell r="AS15">
            <v>201800000</v>
          </cell>
        </row>
      </sheetData>
      <sheetData sheetId="1">
        <row r="4">
          <cell r="AP4">
            <v>32900000</v>
          </cell>
        </row>
        <row r="5">
          <cell r="AP5">
            <v>9105600</v>
          </cell>
        </row>
        <row r="6">
          <cell r="AP6">
            <v>8568000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19">
          <cell r="L19">
            <v>94681768.647500008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Machinery"/>
      <sheetName val="Mould &amp; Dies"/>
      <sheetName val="Electrical Equipment"/>
      <sheetName val="Office Equipment"/>
      <sheetName val="Furniture &amp; Fixture"/>
      <sheetName val="Software"/>
      <sheetName val="Vehicle"/>
      <sheetName val="Summa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F11">
            <v>633763686.97700512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36">
          <cell r="L36">
            <v>31792478.459625002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Land"/>
      <sheetName val="Building"/>
      <sheetName val="Building-Summary"/>
      <sheetName val="Building "/>
      <sheetName val="Main Plant"/>
      <sheetName val="Dies &amp; Moulds"/>
      <sheetName val="Electrical Machinery &amp; Equipmen"/>
      <sheetName val="Computer Equipment"/>
      <sheetName val="Furniture &amp; Fixture"/>
      <sheetName val="Motor Vehicle"/>
      <sheetName val="Intangible Asset"/>
      <sheetName val="Dead Stock"/>
      <sheetName val="P&amp;M-Summary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>
            <v>183512893.34276134</v>
          </cell>
        </row>
      </sheetData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O18">
            <v>70835946.299999997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N18">
            <v>51070496.5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19">
          <cell r="M19">
            <v>97911714.865250006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Building"/>
      <sheetName val="P&amp;M"/>
      <sheetName val="inflation"/>
      <sheetName val="OTHER SOFTWARE"/>
      <sheetName val="OFFICE EQUIPMENT"/>
      <sheetName val="MOULDS 7 DIES"/>
      <sheetName val="FURNITURE FIXTURES"/>
      <sheetName val="FACTORY EQUIPMENT"/>
      <sheetName val="ERP SOFTWARE"/>
      <sheetName val="COMPUTER &amp; accessories"/>
      <sheetName val="VEHICLES"/>
      <sheetName val="SUMMARY"/>
      <sheetName val="Consolidated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K18">
            <v>68710942.144441515</v>
          </cell>
        </row>
      </sheetData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WPI"/>
      <sheetName val="Building"/>
      <sheetName val="Plant &amp; Machinery"/>
      <sheetName val="Mould &amp; Dies"/>
      <sheetName val="COMPUTER"/>
      <sheetName val="Vehicle"/>
      <sheetName val="Furniture  &amp; Fixture"/>
      <sheetName val="Office Equipment"/>
      <sheetName val="Software"/>
      <sheetName val="Electrical Installs"/>
      <sheetName val="Summary P &amp; M"/>
      <sheetName val="Sheet2"/>
    </sheetNames>
    <sheetDataSet>
      <sheetData sheetId="0"/>
      <sheetData sheetId="1"/>
      <sheetData sheetId="2">
        <row r="9">
          <cell r="O9">
            <v>425653.25495334237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">
          <cell r="I14">
            <v>237188629.29602918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ummary"/>
    </sheetNames>
    <sheetDataSet>
      <sheetData sheetId="0">
        <row r="44">
          <cell r="M44">
            <v>216396759.37322003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ivot"/>
      <sheetName val="FAR as on 30.09.2020"/>
      <sheetName val="WPI Sheet"/>
      <sheetName val="Land"/>
      <sheetName val="Factory Building"/>
      <sheetName val="Building"/>
      <sheetName val="Plant &amp; machinery "/>
      <sheetName val="Moulds &amp; Dies"/>
      <sheetName val="Factory Equipments"/>
      <sheetName val="Software &amp; hardware for CPPM"/>
      <sheetName val="Software"/>
      <sheetName val="office equipments"/>
      <sheetName val="Furniture &amp; fixtures "/>
      <sheetName val="ERP Software"/>
      <sheetName val="COMPUTERS &amp; ACCESSORIES"/>
      <sheetName val="Vehicles"/>
      <sheetName val="Summary "/>
      <sheetName val="Conso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L15">
            <v>446591121.70311785</v>
          </cell>
        </row>
      </sheetData>
      <sheetData sheetId="1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AR"/>
      <sheetName val="Plant &amp; Machinery"/>
      <sheetName val="Factory Equipment"/>
      <sheetName val="COMPUTER"/>
      <sheetName val="Summary P &amp; M"/>
      <sheetName val="Sheet1"/>
    </sheetNames>
    <sheetDataSet>
      <sheetData sheetId="0"/>
      <sheetData sheetId="1"/>
      <sheetData sheetId="2"/>
      <sheetData sheetId="3"/>
      <sheetData sheetId="4">
        <row r="9">
          <cell r="I9">
            <v>150472401.60545808</v>
          </cell>
        </row>
      </sheetData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ummary"/>
    </sheetNames>
    <sheetDataSet>
      <sheetData sheetId="0"/>
      <sheetData sheetId="1"/>
      <sheetData sheetId="2"/>
      <sheetData sheetId="3"/>
      <sheetData sheetId="4">
        <row r="15">
          <cell r="H15">
            <v>106415575.27620001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ummary"/>
    </sheetNames>
    <sheetDataSet>
      <sheetData sheetId="0"/>
      <sheetData sheetId="1"/>
      <sheetData sheetId="2"/>
      <sheetData sheetId="3"/>
      <sheetData sheetId="4">
        <row r="15">
          <cell r="H15">
            <v>103703470.501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nd"/>
      <sheetName val="FAR"/>
      <sheetName val="Building"/>
      <sheetName val="Building-Summary"/>
      <sheetName val="Building "/>
      <sheetName val="Main Plant"/>
      <sheetName val="Dies &amp; Moulds"/>
      <sheetName val="Electrical Machinery &amp; Equipmen"/>
      <sheetName val="Computer Equipment"/>
      <sheetName val="Furniture &amp; Fixture"/>
      <sheetName val="Motor Vehicle"/>
      <sheetName val="Dead Stock"/>
      <sheetName val="Borewell"/>
      <sheetName val="P&amp;M-Summary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>
            <v>747498284.39674222</v>
          </cell>
        </row>
      </sheetData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tup Area-4"/>
      <sheetName val="Sheet1"/>
    </sheetNames>
    <sheetDataSet>
      <sheetData sheetId="0"/>
      <sheetData sheetId="1">
        <row r="15">
          <cell r="I15">
            <v>21403261.676999997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land details"/>
    </sheetNames>
    <sheetDataSet>
      <sheetData sheetId="0">
        <row r="31">
          <cell r="M31">
            <v>79866043.042799994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al"/>
      <sheetName val="Commercial"/>
      <sheetName val="Refrence Link"/>
    </sheetNames>
    <sheetDataSet>
      <sheetData sheetId="0"/>
      <sheetData sheetId="1">
        <row r="4">
          <cell r="AU4">
            <v>56376000</v>
          </cell>
        </row>
        <row r="5">
          <cell r="AU5">
            <v>8726200</v>
          </cell>
        </row>
        <row r="6">
          <cell r="AU6">
            <v>8160000</v>
          </cell>
        </row>
      </sheetData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LAGARH FAR"/>
      <sheetName val="wpi"/>
      <sheetName val="computers"/>
      <sheetName val="dead stock"/>
      <sheetName val="electrical installations"/>
      <sheetName val="P&amp;M"/>
      <sheetName val="moulds &amp; dies"/>
      <sheetName val="software"/>
      <sheetName val="furniture fixtures"/>
      <sheetName val="vehicles"/>
      <sheetName val="Land"/>
      <sheetName val="Building"/>
      <sheetName val="summa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I17">
            <v>109269062.07329215</v>
          </cell>
        </row>
      </sheetData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208">
          <cell r="K208">
            <v>555487559.98434997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R"/>
      <sheetName val="Land"/>
      <sheetName val="Building"/>
      <sheetName val="Building-Summary"/>
      <sheetName val="Building Sheet"/>
      <sheetName val="Main Plant"/>
      <sheetName val="Dies &amp; Moulds"/>
      <sheetName val="Electrical Machinery &amp; Equipmen"/>
      <sheetName val="Computer Equipment"/>
      <sheetName val="Furniture &amp; Fixture"/>
      <sheetName val="Motor Vehicle"/>
      <sheetName val="Softwares"/>
      <sheetName val="Dead Stock"/>
      <sheetName val="Intangible Assets"/>
      <sheetName val="P&amp;M-Summary"/>
      <sheetName val="Summary"/>
      <sheetName val="Inf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H13">
            <v>7188689130.4722204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&amp; Machinery"/>
      <sheetName val="Mould &amp; Dies "/>
      <sheetName val="Factory Equipment "/>
      <sheetName val="Office Equipment"/>
      <sheetName val="Computer &amp; Accessores"/>
      <sheetName val="ERP Software"/>
      <sheetName val="Furniture &amp; Fixtures"/>
      <sheetName val="Other Software"/>
      <sheetName val="Vehicl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K16">
            <v>514341266.12753159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18">
          <cell r="M18">
            <v>37935338.956699997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AR"/>
      <sheetName val="Factory Freehold"/>
      <sheetName val="Non - Factory Free Hold"/>
      <sheetName val="Plant &amp; Machinery"/>
      <sheetName val="Electrical Installs"/>
      <sheetName val="Vehicle"/>
      <sheetName val="Dead Stock"/>
      <sheetName val="Mould &amp; Dies"/>
      <sheetName val="Furniture  &amp; Fixture"/>
      <sheetName val="COMPUTER"/>
      <sheetName val="Summary P &amp; 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I13">
            <v>157522096.54394749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heet4"/>
    </sheetNames>
    <sheetDataSet>
      <sheetData sheetId="0">
        <row r="36">
          <cell r="M36">
            <v>32669626.802125003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Q18">
            <v>102883406.3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(2)"/>
    </sheetNames>
    <sheetDataSet>
      <sheetData sheetId="0">
        <row r="9">
          <cell r="O9">
            <v>386008.7397333699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ummary"/>
    </sheetNames>
    <sheetDataSet>
      <sheetData sheetId="0">
        <row r="44">
          <cell r="N44">
            <v>223684014.598892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ding Sheet"/>
      <sheetName val="Boundary Wall Length"/>
      <sheetName val="Lenght or Area of Road"/>
      <sheetName val="Drainage length"/>
      <sheetName val="Summary"/>
    </sheetNames>
    <sheetDataSet>
      <sheetData sheetId="0">
        <row r="21">
          <cell r="L21">
            <v>18302986.699999999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ltup Area-4"/>
      <sheetName val="Sheet1"/>
    </sheetNames>
    <sheetDataSet>
      <sheetData sheetId="0" refreshError="1"/>
      <sheetData sheetId="1">
        <row r="15">
          <cell r="J15">
            <v>22212089.647335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DFDA-BC71-4AA2-B5E9-FFADC04C1D37}">
  <dimension ref="B1:M18"/>
  <sheetViews>
    <sheetView topLeftCell="D1" workbookViewId="0">
      <selection activeCell="K18" sqref="K18"/>
    </sheetView>
  </sheetViews>
  <sheetFormatPr defaultRowHeight="15" x14ac:dyDescent="0.25"/>
  <cols>
    <col min="1" max="1" width="3.85546875" style="3" customWidth="1"/>
    <col min="2" max="2" width="9.42578125" style="9" customWidth="1"/>
    <col min="3" max="3" width="34.85546875" style="6" customWidth="1"/>
    <col min="4" max="4" width="22.28515625" style="3" customWidth="1"/>
    <col min="5" max="5" width="15.140625" style="3" bestFit="1" customWidth="1"/>
    <col min="6" max="6" width="22.28515625" style="3" customWidth="1"/>
    <col min="7" max="7" width="23.140625" style="3" hidden="1" customWidth="1"/>
    <col min="8" max="8" width="23.140625" style="3" bestFit="1" customWidth="1"/>
    <col min="9" max="10" width="17" style="15" customWidth="1"/>
    <col min="11" max="11" width="27.5703125" style="3" bestFit="1" customWidth="1"/>
    <col min="12" max="12" width="16.85546875" style="3" bestFit="1" customWidth="1"/>
    <col min="13" max="13" width="17.28515625" style="3" customWidth="1"/>
    <col min="14" max="16384" width="9.140625" style="3"/>
  </cols>
  <sheetData>
    <row r="1" spans="2:13" x14ac:dyDescent="0.25">
      <c r="C1" s="5"/>
      <c r="D1" s="4"/>
      <c r="F1" s="4"/>
      <c r="G1" s="19" t="s">
        <v>55</v>
      </c>
      <c r="H1" s="19"/>
    </row>
    <row r="2" spans="2:13" ht="47.25" x14ac:dyDescent="0.25">
      <c r="B2" s="10" t="s">
        <v>17</v>
      </c>
      <c r="C2" s="14" t="s">
        <v>61</v>
      </c>
      <c r="D2" s="13" t="s">
        <v>21</v>
      </c>
      <c r="E2" s="14" t="s">
        <v>63</v>
      </c>
      <c r="F2" s="13" t="s">
        <v>0</v>
      </c>
      <c r="H2" s="14" t="s">
        <v>57</v>
      </c>
      <c r="I2" s="16" t="s">
        <v>58</v>
      </c>
      <c r="J2" s="14" t="s">
        <v>54</v>
      </c>
      <c r="K2" s="14" t="s">
        <v>62</v>
      </c>
      <c r="L2" s="14" t="s">
        <v>59</v>
      </c>
      <c r="M2" s="14" t="s">
        <v>60</v>
      </c>
    </row>
    <row r="3" spans="2:13" ht="61.5" customHeight="1" x14ac:dyDescent="0.25">
      <c r="B3" s="11" t="s">
        <v>2</v>
      </c>
      <c r="C3" s="7" t="s">
        <v>18</v>
      </c>
      <c r="D3" s="2" t="s">
        <v>20</v>
      </c>
      <c r="E3" s="2" t="s">
        <v>1</v>
      </c>
      <c r="F3" s="2" t="s">
        <v>19</v>
      </c>
      <c r="G3" s="8">
        <v>502851295.69972998</v>
      </c>
      <c r="H3" s="12">
        <f>[1]Comparables!$AS$10</f>
        <v>411912500</v>
      </c>
      <c r="I3" s="12">
        <f>'[2]Building Sheet'!$M$19</f>
        <v>97911714.865250006</v>
      </c>
      <c r="J3" s="8">
        <f>G3</f>
        <v>502851295.69972998</v>
      </c>
      <c r="K3" s="12">
        <f>SUM(H3:J3)</f>
        <v>1012675510.56498</v>
      </c>
      <c r="L3" s="12">
        <f>K3*0.8</f>
        <v>810140408.45198405</v>
      </c>
      <c r="M3" s="12">
        <f>K3*0.65</f>
        <v>658239081.86723709</v>
      </c>
    </row>
    <row r="4" spans="2:13" ht="75" x14ac:dyDescent="0.25">
      <c r="B4" s="11" t="s">
        <v>3</v>
      </c>
      <c r="C4" s="5" t="s">
        <v>22</v>
      </c>
      <c r="D4" s="4" t="s">
        <v>23</v>
      </c>
      <c r="E4" s="4"/>
      <c r="F4" s="2" t="s">
        <v>24</v>
      </c>
      <c r="G4" s="8" t="s">
        <v>56</v>
      </c>
      <c r="H4" s="12">
        <v>0</v>
      </c>
      <c r="I4" s="12">
        <f>[3]Commercial!$AU$4</f>
        <v>56376000</v>
      </c>
      <c r="J4" s="8">
        <v>161052757.66</v>
      </c>
      <c r="K4" s="12">
        <f>SUM(G4:I4)</f>
        <v>56376000</v>
      </c>
      <c r="L4" s="12">
        <f t="shared" ref="L4:L18" si="0">K4*0.8</f>
        <v>45100800</v>
      </c>
      <c r="M4" s="12">
        <f t="shared" ref="M4:M18" si="1">K4*0.65</f>
        <v>36644400</v>
      </c>
    </row>
    <row r="5" spans="2:13" ht="105" x14ac:dyDescent="0.25">
      <c r="B5" s="11" t="s">
        <v>4</v>
      </c>
      <c r="C5" s="5" t="s">
        <v>25</v>
      </c>
      <c r="D5" s="2" t="s">
        <v>30</v>
      </c>
      <c r="E5" s="4" t="s">
        <v>27</v>
      </c>
      <c r="F5" s="2" t="s">
        <v>26</v>
      </c>
      <c r="G5" s="8">
        <v>161052757.66</v>
      </c>
      <c r="H5" s="12">
        <f>[1]Comparables!$AS$12</f>
        <v>137673223.14049587</v>
      </c>
      <c r="I5" s="12">
        <f>'[4]Building Sheet'!$M$36</f>
        <v>32669626.802125003</v>
      </c>
      <c r="J5" s="8">
        <f>G5</f>
        <v>161052757.66</v>
      </c>
      <c r="K5" s="12">
        <f>SUM(H5:J5)</f>
        <v>331395607.60262084</v>
      </c>
      <c r="L5" s="12">
        <f t="shared" si="0"/>
        <v>265116486.0820967</v>
      </c>
      <c r="M5" s="12">
        <f t="shared" si="1"/>
        <v>215407144.94170356</v>
      </c>
    </row>
    <row r="6" spans="2:13" ht="75" x14ac:dyDescent="0.25">
      <c r="B6" s="11" t="s">
        <v>5</v>
      </c>
      <c r="C6" s="5" t="s">
        <v>28</v>
      </c>
      <c r="D6" s="4" t="s">
        <v>23</v>
      </c>
      <c r="E6" s="4"/>
      <c r="F6" s="4" t="s">
        <v>29</v>
      </c>
      <c r="G6" s="8" t="s">
        <v>56</v>
      </c>
      <c r="H6" s="12">
        <v>0</v>
      </c>
      <c r="I6" s="12">
        <f>[3]Commercial!$AU$5</f>
        <v>8726200</v>
      </c>
      <c r="J6" s="8">
        <v>194306832.71000001</v>
      </c>
      <c r="K6" s="12">
        <f>SUM(G6:I6)</f>
        <v>8726200</v>
      </c>
      <c r="L6" s="12">
        <f t="shared" si="0"/>
        <v>6980960</v>
      </c>
      <c r="M6" s="12">
        <f t="shared" si="1"/>
        <v>5672030</v>
      </c>
    </row>
    <row r="7" spans="2:13" ht="45" x14ac:dyDescent="0.25">
      <c r="B7" s="11" t="s">
        <v>6</v>
      </c>
      <c r="C7" s="5" t="s">
        <v>31</v>
      </c>
      <c r="D7" s="2" t="s">
        <v>30</v>
      </c>
      <c r="E7" s="4" t="s">
        <v>27</v>
      </c>
      <c r="F7" s="4" t="s">
        <v>32</v>
      </c>
      <c r="G7" s="8">
        <v>57425651.129075065</v>
      </c>
      <c r="H7" s="12">
        <f>[1]Comparables!$AS$11</f>
        <v>65625000</v>
      </c>
      <c r="I7" s="12">
        <f>[5]Sheet1!$Q$18</f>
        <v>102883406.3</v>
      </c>
      <c r="J7" s="8">
        <f t="shared" ref="J7:J16" si="2">G7</f>
        <v>57425651.129075065</v>
      </c>
      <c r="K7" s="12">
        <f t="shared" ref="K7:K16" si="3">SUM(H7:J7)</f>
        <v>225934057.42907506</v>
      </c>
      <c r="L7" s="12">
        <f t="shared" si="0"/>
        <v>180747245.94326007</v>
      </c>
      <c r="M7" s="12">
        <f t="shared" si="1"/>
        <v>146857137.32889879</v>
      </c>
    </row>
    <row r="8" spans="2:13" ht="45" x14ac:dyDescent="0.25">
      <c r="B8" s="11" t="s">
        <v>7</v>
      </c>
      <c r="C8" s="5" t="s">
        <v>33</v>
      </c>
      <c r="D8" s="2" t="s">
        <v>30</v>
      </c>
      <c r="E8" s="4" t="s">
        <v>27</v>
      </c>
      <c r="F8" s="2" t="s">
        <v>34</v>
      </c>
      <c r="G8" s="8">
        <v>194306832.71000001</v>
      </c>
      <c r="H8" s="12">
        <v>0</v>
      </c>
      <c r="I8" s="12">
        <f>'[6]Building (2)'!$O$9</f>
        <v>386008.7397333699</v>
      </c>
      <c r="J8" s="8">
        <f t="shared" si="2"/>
        <v>194306832.71000001</v>
      </c>
      <c r="K8" s="12">
        <f t="shared" si="3"/>
        <v>194692841.44973338</v>
      </c>
      <c r="L8" s="12">
        <f t="shared" si="0"/>
        <v>155754273.1597867</v>
      </c>
      <c r="M8" s="12">
        <f t="shared" si="1"/>
        <v>126550346.94232669</v>
      </c>
    </row>
    <row r="9" spans="2:13" ht="45" x14ac:dyDescent="0.25">
      <c r="B9" s="11" t="s">
        <v>8</v>
      </c>
      <c r="C9" s="5" t="s">
        <v>37</v>
      </c>
      <c r="D9" s="2" t="s">
        <v>30</v>
      </c>
      <c r="E9" s="4" t="s">
        <v>36</v>
      </c>
      <c r="F9" s="2" t="s">
        <v>35</v>
      </c>
      <c r="G9" s="8">
        <v>400585403.73000002</v>
      </c>
      <c r="H9" s="12">
        <f>[1]Comparables!$AS$8</f>
        <v>41100000</v>
      </c>
      <c r="I9" s="12">
        <f>'[7]Building Sheet'!$N$44</f>
        <v>223684014.598892</v>
      </c>
      <c r="J9" s="8">
        <f t="shared" si="2"/>
        <v>400585403.73000002</v>
      </c>
      <c r="K9" s="12">
        <f t="shared" si="3"/>
        <v>665369418.32889199</v>
      </c>
      <c r="L9" s="12">
        <f t="shared" si="0"/>
        <v>532295534.66311359</v>
      </c>
      <c r="M9" s="12">
        <f t="shared" si="1"/>
        <v>432490121.9137798</v>
      </c>
    </row>
    <row r="10" spans="2:13" ht="75" x14ac:dyDescent="0.25">
      <c r="B10" s="11" t="s">
        <v>9</v>
      </c>
      <c r="C10" s="5" t="s">
        <v>39</v>
      </c>
      <c r="D10" s="2" t="s">
        <v>30</v>
      </c>
      <c r="E10" s="4" t="s">
        <v>27</v>
      </c>
      <c r="F10" s="2" t="s">
        <v>38</v>
      </c>
      <c r="G10" s="8">
        <v>167994352</v>
      </c>
      <c r="H10" s="12">
        <v>0</v>
      </c>
      <c r="I10" s="12">
        <v>0</v>
      </c>
      <c r="J10" s="8">
        <f t="shared" si="2"/>
        <v>167994352</v>
      </c>
      <c r="K10" s="12">
        <f t="shared" si="3"/>
        <v>167994352</v>
      </c>
      <c r="L10" s="12">
        <f t="shared" si="0"/>
        <v>134395481.59999999</v>
      </c>
      <c r="M10" s="12">
        <f t="shared" si="1"/>
        <v>109196328.8</v>
      </c>
    </row>
    <row r="11" spans="2:13" ht="45" x14ac:dyDescent="0.25">
      <c r="B11" s="11" t="s">
        <v>10</v>
      </c>
      <c r="C11" s="5" t="s">
        <v>40</v>
      </c>
      <c r="D11" s="2" t="s">
        <v>30</v>
      </c>
      <c r="E11" s="4" t="s">
        <v>36</v>
      </c>
      <c r="F11" s="2" t="s">
        <v>41</v>
      </c>
      <c r="G11" s="8">
        <v>876072189.25124574</v>
      </c>
      <c r="H11" s="12">
        <f>[1]Comparables!$AS$14</f>
        <v>141750000</v>
      </c>
      <c r="I11" s="12">
        <f>'[8]Building Sheet'!$L$21</f>
        <v>18302986.699999999</v>
      </c>
      <c r="J11" s="8">
        <f t="shared" si="2"/>
        <v>876072189.25124574</v>
      </c>
      <c r="K11" s="12">
        <f t="shared" si="3"/>
        <v>1036125175.9512458</v>
      </c>
      <c r="L11" s="12">
        <f t="shared" si="0"/>
        <v>828900140.7609967</v>
      </c>
      <c r="M11" s="12">
        <f t="shared" si="1"/>
        <v>673481364.36830974</v>
      </c>
    </row>
    <row r="12" spans="2:13" ht="105" x14ac:dyDescent="0.25">
      <c r="B12" s="11" t="s">
        <v>11</v>
      </c>
      <c r="C12" s="5" t="s">
        <v>43</v>
      </c>
      <c r="D12" s="2" t="s">
        <v>30</v>
      </c>
      <c r="E12" s="4"/>
      <c r="F12" s="2" t="s">
        <v>42</v>
      </c>
      <c r="G12" s="12">
        <v>0</v>
      </c>
      <c r="H12" s="12">
        <f>[1]Comparables!$AS$13</f>
        <v>29645000</v>
      </c>
      <c r="I12" s="12">
        <f>[9]Sheet1!$J$15</f>
        <v>22212089.647335</v>
      </c>
      <c r="J12" s="8">
        <f t="shared" si="2"/>
        <v>0</v>
      </c>
      <c r="K12" s="12">
        <f t="shared" si="3"/>
        <v>51857089.647335</v>
      </c>
      <c r="L12" s="12">
        <f t="shared" si="0"/>
        <v>41485671.717868</v>
      </c>
      <c r="M12" s="12">
        <f t="shared" si="1"/>
        <v>33707108.270767748</v>
      </c>
    </row>
    <row r="13" spans="2:13" ht="45" x14ac:dyDescent="0.25">
      <c r="B13" s="11" t="s">
        <v>12</v>
      </c>
      <c r="C13" s="5" t="s">
        <v>44</v>
      </c>
      <c r="D13" s="2" t="s">
        <v>30</v>
      </c>
      <c r="E13" s="4" t="s">
        <v>36</v>
      </c>
      <c r="F13" s="2" t="s">
        <v>45</v>
      </c>
      <c r="G13" s="8">
        <v>107602605</v>
      </c>
      <c r="H13" s="12">
        <f>[1]Comparables!$AS$15</f>
        <v>24388000.000000004</v>
      </c>
      <c r="I13" s="12">
        <f>[10]Building!$N$31</f>
        <v>82175318.084980011</v>
      </c>
      <c r="J13" s="8">
        <f t="shared" si="2"/>
        <v>107602605</v>
      </c>
      <c r="K13" s="12">
        <f t="shared" si="3"/>
        <v>214165923.08498001</v>
      </c>
      <c r="L13" s="12">
        <f t="shared" si="0"/>
        <v>171332738.46798402</v>
      </c>
      <c r="M13" s="12">
        <f t="shared" si="1"/>
        <v>139207850.00523701</v>
      </c>
    </row>
    <row r="14" spans="2:13" ht="75" x14ac:dyDescent="0.25">
      <c r="B14" s="11" t="s">
        <v>13</v>
      </c>
      <c r="C14" s="5" t="s">
        <v>46</v>
      </c>
      <c r="D14" s="2" t="s">
        <v>30</v>
      </c>
      <c r="E14" s="4"/>
      <c r="F14" s="2" t="s">
        <v>47</v>
      </c>
      <c r="G14" s="8">
        <v>5760511451.3710651</v>
      </c>
      <c r="H14" s="12">
        <f>[1]Comparables!$AS$16</f>
        <v>717982857.10765851</v>
      </c>
      <c r="I14" s="12">
        <f>'[11]Building Sheet'!$L$208</f>
        <v>570461674.66441989</v>
      </c>
      <c r="J14" s="8">
        <f t="shared" si="2"/>
        <v>5760511451.3710651</v>
      </c>
      <c r="K14" s="12">
        <f t="shared" si="3"/>
        <v>7048955983.1431437</v>
      </c>
      <c r="L14" s="12">
        <f t="shared" si="0"/>
        <v>5639164786.5145149</v>
      </c>
      <c r="M14" s="12">
        <f t="shared" si="1"/>
        <v>4581821389.0430431</v>
      </c>
    </row>
    <row r="15" spans="2:13" ht="60" x14ac:dyDescent="0.25">
      <c r="B15" s="11" t="s">
        <v>14</v>
      </c>
      <c r="C15" s="5" t="s">
        <v>49</v>
      </c>
      <c r="D15" s="2" t="s">
        <v>30</v>
      </c>
      <c r="E15" s="4" t="s">
        <v>27</v>
      </c>
      <c r="F15" s="2" t="s">
        <v>48</v>
      </c>
      <c r="G15" s="8">
        <v>462349134.26671821</v>
      </c>
      <c r="H15" s="12">
        <v>0</v>
      </c>
      <c r="I15" s="12">
        <v>0</v>
      </c>
      <c r="J15" s="8">
        <f t="shared" si="2"/>
        <v>462349134.26671821</v>
      </c>
      <c r="K15" s="12">
        <f t="shared" si="3"/>
        <v>462349134.26671821</v>
      </c>
      <c r="L15" s="12">
        <f t="shared" si="0"/>
        <v>369879307.4133746</v>
      </c>
      <c r="M15" s="12">
        <f t="shared" si="1"/>
        <v>300526937.27336687</v>
      </c>
    </row>
    <row r="16" spans="2:13" ht="45" x14ac:dyDescent="0.25">
      <c r="B16" s="11" t="s">
        <v>15</v>
      </c>
      <c r="C16" s="5" t="s">
        <v>50</v>
      </c>
      <c r="D16" s="2" t="s">
        <v>30</v>
      </c>
      <c r="E16" s="4" t="s">
        <v>27</v>
      </c>
      <c r="F16" s="2" t="s">
        <v>51</v>
      </c>
      <c r="G16" s="8">
        <v>145479939.98963302</v>
      </c>
      <c r="H16" s="12">
        <f>[1]Comparables!$AS$4</f>
        <v>130000000</v>
      </c>
      <c r="I16" s="12">
        <f>'[12]Building Sheet'!$N$18</f>
        <v>39437575.10061001</v>
      </c>
      <c r="J16" s="8">
        <f t="shared" si="2"/>
        <v>145479939.98963302</v>
      </c>
      <c r="K16" s="12">
        <f t="shared" si="3"/>
        <v>314917515.09024304</v>
      </c>
      <c r="L16" s="12">
        <f t="shared" si="0"/>
        <v>251934012.07219446</v>
      </c>
      <c r="M16" s="12">
        <f t="shared" si="1"/>
        <v>204696384.80865797</v>
      </c>
    </row>
    <row r="17" spans="2:13" ht="60" x14ac:dyDescent="0.25">
      <c r="B17" s="11" t="s">
        <v>16</v>
      </c>
      <c r="C17" s="5" t="s">
        <v>53</v>
      </c>
      <c r="D17" s="4" t="s">
        <v>23</v>
      </c>
      <c r="E17" s="4"/>
      <c r="F17" s="2" t="s">
        <v>52</v>
      </c>
      <c r="G17" s="2" t="s">
        <v>56</v>
      </c>
      <c r="H17" s="12">
        <v>0</v>
      </c>
      <c r="I17" s="12">
        <f>[3]Commercial!$AU$6</f>
        <v>8160000</v>
      </c>
      <c r="J17" s="12"/>
      <c r="K17" s="12">
        <f>SUM(G17:I17)</f>
        <v>8160000</v>
      </c>
      <c r="L17" s="12">
        <f t="shared" si="0"/>
        <v>6528000</v>
      </c>
      <c r="M17" s="12">
        <f t="shared" si="1"/>
        <v>5304000</v>
      </c>
    </row>
    <row r="18" spans="2:13" x14ac:dyDescent="0.25">
      <c r="B18" s="17"/>
      <c r="C18" s="5"/>
      <c r="D18" s="4"/>
      <c r="E18" s="4"/>
      <c r="F18" s="4"/>
      <c r="G18" s="4"/>
      <c r="H18" s="4"/>
      <c r="I18" s="12"/>
      <c r="J18" s="12"/>
      <c r="K18" s="18">
        <f>SUM(K3:K17)</f>
        <v>11799694808.558966</v>
      </c>
      <c r="L18" s="18">
        <f t="shared" si="0"/>
        <v>9439755846.8471737</v>
      </c>
      <c r="M18" s="18">
        <f t="shared" si="1"/>
        <v>7669801625.5633278</v>
      </c>
    </row>
  </sheetData>
  <autoFilter ref="B2:M18" xr:uid="{BB8FA27C-DFB5-4654-913F-999C37CD99AE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A27C-DFB5-4654-913F-999C37CD99AE}">
  <dimension ref="B1:S23"/>
  <sheetViews>
    <sheetView tabSelected="1" topLeftCell="F1" workbookViewId="0">
      <pane ySplit="2" topLeftCell="A15" activePane="bottomLeft" state="frozen"/>
      <selection pane="bottomLeft" activeCell="S17" sqref="S17"/>
    </sheetView>
  </sheetViews>
  <sheetFormatPr defaultRowHeight="15" x14ac:dyDescent="0.25"/>
  <cols>
    <col min="1" max="1" width="3.85546875" style="3" customWidth="1"/>
    <col min="2" max="2" width="9.42578125" style="9" customWidth="1"/>
    <col min="3" max="3" width="34.85546875" style="6" customWidth="1"/>
    <col min="4" max="4" width="22.28515625" style="3" customWidth="1"/>
    <col min="5" max="5" width="15.140625" style="3" customWidth="1"/>
    <col min="6" max="6" width="22.28515625" style="3" customWidth="1"/>
    <col min="7" max="7" width="23.140625" style="3" hidden="1" customWidth="1"/>
    <col min="8" max="8" width="23.140625" style="3" customWidth="1"/>
    <col min="9" max="9" width="23.140625" style="3" hidden="1" customWidth="1"/>
    <col min="10" max="10" width="17" style="15" customWidth="1"/>
    <col min="11" max="11" width="17" style="15" hidden="1" customWidth="1"/>
    <col min="12" max="12" width="17" style="15" customWidth="1"/>
    <col min="13" max="13" width="17" style="15" hidden="1" customWidth="1"/>
    <col min="14" max="14" width="27.5703125" style="3" customWidth="1"/>
    <col min="15" max="15" width="16.85546875" style="3" customWidth="1"/>
    <col min="16" max="16" width="17.28515625" style="3" customWidth="1"/>
    <col min="17" max="17" width="9.140625" style="3" customWidth="1"/>
    <col min="18" max="18" width="9.140625" style="3"/>
    <col min="19" max="19" width="16.85546875" style="3" bestFit="1" customWidth="1"/>
    <col min="20" max="16384" width="9.140625" style="3"/>
  </cols>
  <sheetData>
    <row r="1" spans="2:16" x14ac:dyDescent="0.25">
      <c r="C1" s="5"/>
      <c r="D1" s="4"/>
      <c r="F1" s="4"/>
      <c r="G1" s="19" t="s">
        <v>55</v>
      </c>
      <c r="H1" s="19"/>
      <c r="I1" s="20"/>
    </row>
    <row r="2" spans="2:16" ht="47.25" x14ac:dyDescent="0.25">
      <c r="B2" s="10" t="s">
        <v>17</v>
      </c>
      <c r="C2" s="14" t="s">
        <v>61</v>
      </c>
      <c r="D2" s="13" t="s">
        <v>21</v>
      </c>
      <c r="E2" s="14" t="s">
        <v>63</v>
      </c>
      <c r="F2" s="13" t="s">
        <v>0</v>
      </c>
      <c r="H2" s="14" t="s">
        <v>57</v>
      </c>
      <c r="I2" s="14" t="s">
        <v>64</v>
      </c>
      <c r="J2" s="16" t="s">
        <v>58</v>
      </c>
      <c r="K2" s="16" t="s">
        <v>64</v>
      </c>
      <c r="L2" s="14" t="s">
        <v>54</v>
      </c>
      <c r="M2" s="14" t="s">
        <v>64</v>
      </c>
      <c r="N2" s="14" t="s">
        <v>62</v>
      </c>
      <c r="O2" s="14" t="s">
        <v>59</v>
      </c>
      <c r="P2" s="14" t="s">
        <v>60</v>
      </c>
    </row>
    <row r="3" spans="2:16" ht="61.5" customHeight="1" x14ac:dyDescent="0.25">
      <c r="B3" s="11" t="s">
        <v>2</v>
      </c>
      <c r="C3" s="7" t="s">
        <v>18</v>
      </c>
      <c r="D3" s="2" t="s">
        <v>20</v>
      </c>
      <c r="E3" s="2" t="s">
        <v>1</v>
      </c>
      <c r="F3" s="2" t="s">
        <v>19</v>
      </c>
      <c r="G3" s="8">
        <v>502851295.69972998</v>
      </c>
      <c r="H3" s="12">
        <f>[1]Comparables!$AS$10</f>
        <v>411912500</v>
      </c>
      <c r="I3" s="12">
        <f>[13]Industrial!$AO$10</f>
        <v>318864000</v>
      </c>
      <c r="J3" s="12">
        <f>'[2]Building Sheet'!$M$19</f>
        <v>97911714.865250006</v>
      </c>
      <c r="K3" s="12">
        <f>'[14]Building Sheet'!$L$19</f>
        <v>94681768.647500008</v>
      </c>
      <c r="L3" s="8">
        <f>G3</f>
        <v>502851295.69972998</v>
      </c>
      <c r="M3" s="8">
        <f>[15]Summary!$F$11</f>
        <v>633763686.97700512</v>
      </c>
      <c r="N3" s="12">
        <f>H3+J3+L3</f>
        <v>1012675510.56498</v>
      </c>
      <c r="O3" s="12">
        <f>N3*0.8</f>
        <v>810140408.45198405</v>
      </c>
      <c r="P3" s="12">
        <f>N3*0.65</f>
        <v>658239081.86723709</v>
      </c>
    </row>
    <row r="4" spans="2:16" ht="75" x14ac:dyDescent="0.25">
      <c r="B4" s="11" t="s">
        <v>3</v>
      </c>
      <c r="C4" s="5" t="s">
        <v>22</v>
      </c>
      <c r="D4" s="1" t="s">
        <v>23</v>
      </c>
      <c r="E4" s="1"/>
      <c r="F4" s="2" t="s">
        <v>24</v>
      </c>
      <c r="G4" s="8" t="s">
        <v>56</v>
      </c>
      <c r="H4" s="12">
        <v>0</v>
      </c>
      <c r="I4" s="12"/>
      <c r="J4" s="12">
        <f>[3]Commercial!$AU$4</f>
        <v>56376000</v>
      </c>
      <c r="K4" s="12">
        <f>[13]Commercial!$AP$4</f>
        <v>32900000</v>
      </c>
      <c r="L4" s="8">
        <v>0</v>
      </c>
      <c r="M4" s="8">
        <v>0</v>
      </c>
      <c r="N4" s="12">
        <f>SUM(G4:J4)</f>
        <v>56376000</v>
      </c>
      <c r="O4" s="12">
        <f t="shared" ref="O4:O18" si="0">N4*0.8</f>
        <v>45100800</v>
      </c>
      <c r="P4" s="12">
        <f t="shared" ref="P4:P18" si="1">N4*0.65</f>
        <v>36644400</v>
      </c>
    </row>
    <row r="5" spans="2:16" ht="105" x14ac:dyDescent="0.25">
      <c r="B5" s="11" t="s">
        <v>4</v>
      </c>
      <c r="C5" s="5" t="s">
        <v>25</v>
      </c>
      <c r="D5" s="2" t="s">
        <v>30</v>
      </c>
      <c r="E5" s="1" t="s">
        <v>27</v>
      </c>
      <c r="F5" s="2" t="s">
        <v>26</v>
      </c>
      <c r="G5" s="8">
        <v>161052757.66</v>
      </c>
      <c r="H5" s="12">
        <f>[1]Comparables!$AS$12</f>
        <v>137673223.14049587</v>
      </c>
      <c r="I5" s="12">
        <f>[13]Industrial!$AO$12</f>
        <v>92546850</v>
      </c>
      <c r="J5" s="12">
        <f>'[4]Building Sheet'!$M$36</f>
        <v>32669626.802125003</v>
      </c>
      <c r="K5" s="12">
        <f>'[16]Building Sheet'!$L$36</f>
        <v>31792478.459625002</v>
      </c>
      <c r="L5" s="8">
        <f>G5</f>
        <v>161052757.66</v>
      </c>
      <c r="M5" s="8">
        <f>'[17]P&amp;M-Summary'!$H$12</f>
        <v>183512893.34276134</v>
      </c>
      <c r="N5" s="12">
        <f>H5+J5+L5</f>
        <v>331395607.60262084</v>
      </c>
      <c r="O5" s="12">
        <f t="shared" si="0"/>
        <v>265116486.0820967</v>
      </c>
      <c r="P5" s="12">
        <f t="shared" si="1"/>
        <v>215407144.94170356</v>
      </c>
    </row>
    <row r="6" spans="2:16" ht="75" x14ac:dyDescent="0.25">
      <c r="B6" s="11" t="s">
        <v>5</v>
      </c>
      <c r="C6" s="5" t="s">
        <v>28</v>
      </c>
      <c r="D6" s="1" t="s">
        <v>23</v>
      </c>
      <c r="E6" s="1"/>
      <c r="F6" s="1" t="s">
        <v>29</v>
      </c>
      <c r="G6" s="8" t="s">
        <v>56</v>
      </c>
      <c r="H6" s="12">
        <v>0</v>
      </c>
      <c r="I6" s="12"/>
      <c r="J6" s="12">
        <f>[3]Commercial!$AU$5</f>
        <v>8726200</v>
      </c>
      <c r="K6" s="12">
        <f>[13]Commercial!$AP$5</f>
        <v>9105600</v>
      </c>
      <c r="L6" s="8">
        <v>0</v>
      </c>
      <c r="M6" s="8">
        <v>0</v>
      </c>
      <c r="N6" s="12">
        <f>SUM(G6:J6)</f>
        <v>8726200</v>
      </c>
      <c r="O6" s="12">
        <f t="shared" si="0"/>
        <v>6980960</v>
      </c>
      <c r="P6" s="12">
        <f t="shared" si="1"/>
        <v>5672030</v>
      </c>
    </row>
    <row r="7" spans="2:16" ht="45" x14ac:dyDescent="0.25">
      <c r="B7" s="11" t="s">
        <v>6</v>
      </c>
      <c r="C7" s="5" t="s">
        <v>31</v>
      </c>
      <c r="D7" s="2" t="s">
        <v>30</v>
      </c>
      <c r="E7" s="1" t="s">
        <v>27</v>
      </c>
      <c r="F7" s="1" t="s">
        <v>32</v>
      </c>
      <c r="G7" s="8">
        <v>57425651.129075065</v>
      </c>
      <c r="H7" s="12">
        <f>[1]Comparables!$AS$11</f>
        <v>65625000</v>
      </c>
      <c r="I7" s="12">
        <f>[13]Industrial!$AO$11</f>
        <v>60800000</v>
      </c>
      <c r="J7" s="12">
        <f>[18]Sheet1!$O$18</f>
        <v>70835946.299999997</v>
      </c>
      <c r="K7" s="12">
        <f>[19]Sheet1!$N$18</f>
        <v>51070496.5</v>
      </c>
      <c r="L7" s="8">
        <f t="shared" ref="L7:L16" si="2">G7</f>
        <v>57425651.129075065</v>
      </c>
      <c r="M7" s="8">
        <f>[20]SUMMARY!$K$18</f>
        <v>68710942.144441515</v>
      </c>
      <c r="N7" s="12">
        <f>H7+J7+L7</f>
        <v>193886597.42907506</v>
      </c>
      <c r="O7" s="12">
        <f t="shared" si="0"/>
        <v>155109277.94326004</v>
      </c>
      <c r="P7" s="12">
        <f t="shared" si="1"/>
        <v>126026288.32889879</v>
      </c>
    </row>
    <row r="8" spans="2:16" ht="45" x14ac:dyDescent="0.25">
      <c r="B8" s="11" t="s">
        <v>7</v>
      </c>
      <c r="C8" s="5" t="s">
        <v>33</v>
      </c>
      <c r="D8" s="2" t="s">
        <v>30</v>
      </c>
      <c r="E8" s="1" t="s">
        <v>27</v>
      </c>
      <c r="F8" s="2" t="s">
        <v>34</v>
      </c>
      <c r="G8" s="8">
        <v>194306832.71000001</v>
      </c>
      <c r="H8" s="12">
        <v>0</v>
      </c>
      <c r="I8" s="12">
        <v>0</v>
      </c>
      <c r="J8" s="12">
        <f>'[6]Building (2)'!$O$9</f>
        <v>386008.7397333699</v>
      </c>
      <c r="K8" s="12">
        <f>[21]Building!$O$9</f>
        <v>425653.25495334237</v>
      </c>
      <c r="L8" s="8">
        <f t="shared" si="2"/>
        <v>194306832.71000001</v>
      </c>
      <c r="M8" s="8">
        <f>'[21]Summary P &amp; M'!$I$14</f>
        <v>237188629.29602918</v>
      </c>
      <c r="N8" s="12">
        <f>J8+L8</f>
        <v>194692841.44973338</v>
      </c>
      <c r="O8" s="12">
        <f t="shared" si="0"/>
        <v>155754273.1597867</v>
      </c>
      <c r="P8" s="12">
        <f t="shared" si="1"/>
        <v>126550346.94232669</v>
      </c>
    </row>
    <row r="9" spans="2:16" ht="45" x14ac:dyDescent="0.25">
      <c r="B9" s="11" t="s">
        <v>8</v>
      </c>
      <c r="C9" s="5" t="s">
        <v>37</v>
      </c>
      <c r="D9" s="2" t="s">
        <v>30</v>
      </c>
      <c r="E9" s="1" t="s">
        <v>36</v>
      </c>
      <c r="F9" s="2" t="s">
        <v>35</v>
      </c>
      <c r="G9" s="8">
        <v>400585403.73000002</v>
      </c>
      <c r="H9" s="12">
        <f>[1]Comparables!$AS$8</f>
        <v>41100000</v>
      </c>
      <c r="I9" s="12">
        <f>[13]Industrial!$AO$8</f>
        <v>34250000</v>
      </c>
      <c r="J9" s="12">
        <f>'[7]Building Sheet'!$N$44</f>
        <v>223684014.598892</v>
      </c>
      <c r="K9" s="12">
        <f>'[22]Building Sheet'!$M$44</f>
        <v>216396759.37322003</v>
      </c>
      <c r="L9" s="8">
        <f t="shared" si="2"/>
        <v>400585403.73000002</v>
      </c>
      <c r="M9" s="8">
        <f>'[23]Summary '!$L$15</f>
        <v>446591121.70311785</v>
      </c>
      <c r="N9" s="12">
        <f>H9+J9+L9</f>
        <v>665369418.32889199</v>
      </c>
      <c r="O9" s="12">
        <f t="shared" si="0"/>
        <v>532295534.66311359</v>
      </c>
      <c r="P9" s="12">
        <f t="shared" si="1"/>
        <v>432490121.9137798</v>
      </c>
    </row>
    <row r="10" spans="2:16" ht="75" x14ac:dyDescent="0.25">
      <c r="B10" s="11" t="s">
        <v>9</v>
      </c>
      <c r="C10" s="5" t="s">
        <v>39</v>
      </c>
      <c r="D10" s="2" t="s">
        <v>30</v>
      </c>
      <c r="E10" s="1" t="s">
        <v>27</v>
      </c>
      <c r="F10" s="2" t="s">
        <v>38</v>
      </c>
      <c r="G10" s="8">
        <v>167994352</v>
      </c>
      <c r="H10" s="12">
        <v>0</v>
      </c>
      <c r="I10" s="12">
        <v>0</v>
      </c>
      <c r="J10" s="12">
        <v>0</v>
      </c>
      <c r="K10" s="12">
        <v>0</v>
      </c>
      <c r="L10" s="8">
        <f t="shared" si="2"/>
        <v>167994352</v>
      </c>
      <c r="M10" s="8">
        <f>'[24]Summary P &amp; M'!$I$9</f>
        <v>150472401.60545808</v>
      </c>
      <c r="N10" s="12">
        <f t="shared" ref="N7:N16" si="3">SUM(H10:L10)</f>
        <v>167994352</v>
      </c>
      <c r="O10" s="12">
        <f t="shared" si="0"/>
        <v>134395481.59999999</v>
      </c>
      <c r="P10" s="12">
        <f t="shared" si="1"/>
        <v>109196328.8</v>
      </c>
    </row>
    <row r="11" spans="2:16" ht="45" x14ac:dyDescent="0.25">
      <c r="B11" s="11" t="s">
        <v>10</v>
      </c>
      <c r="C11" s="5" t="s">
        <v>40</v>
      </c>
      <c r="D11" s="2" t="s">
        <v>30</v>
      </c>
      <c r="E11" s="1" t="s">
        <v>36</v>
      </c>
      <c r="F11" s="2" t="s">
        <v>41</v>
      </c>
      <c r="G11" s="8">
        <v>876072189.25124574</v>
      </c>
      <c r="H11" s="12">
        <f>[1]Comparables!$AS$14</f>
        <v>141750000</v>
      </c>
      <c r="I11" s="12">
        <f>[13]Industrial!$AO$14</f>
        <v>94500000</v>
      </c>
      <c r="J11" s="12">
        <f>[25]Summary!$H$15</f>
        <v>106415575.27620001</v>
      </c>
      <c r="K11" s="12">
        <f>[26]Summary!$H$15</f>
        <v>103703470.501</v>
      </c>
      <c r="L11" s="8">
        <f t="shared" si="2"/>
        <v>876072189.25124574</v>
      </c>
      <c r="M11" s="8">
        <f>'[27]P&amp;M-Summary'!$H$12</f>
        <v>747498284.39674222</v>
      </c>
      <c r="N11" s="12">
        <f>H11+J11+L11</f>
        <v>1124237764.5274458</v>
      </c>
      <c r="O11" s="12">
        <f t="shared" si="0"/>
        <v>899390211.62195671</v>
      </c>
      <c r="P11" s="12">
        <f t="shared" si="1"/>
        <v>730754546.94283974</v>
      </c>
    </row>
    <row r="12" spans="2:16" ht="105" x14ac:dyDescent="0.25">
      <c r="B12" s="11" t="s">
        <v>11</v>
      </c>
      <c r="C12" s="5" t="s">
        <v>43</v>
      </c>
      <c r="D12" s="2" t="s">
        <v>30</v>
      </c>
      <c r="E12" s="1"/>
      <c r="F12" s="2" t="s">
        <v>42</v>
      </c>
      <c r="G12" s="12">
        <v>0</v>
      </c>
      <c r="H12" s="12">
        <f>[1]Comparables!$AS$13</f>
        <v>29645000</v>
      </c>
      <c r="I12" s="12">
        <f>[13]Industrial!$AO$13</f>
        <v>32340000</v>
      </c>
      <c r="J12" s="12">
        <f>[9]Sheet1!$J$15</f>
        <v>22212089.647335</v>
      </c>
      <c r="K12" s="12">
        <f>[28]Sheet1!$I$15</f>
        <v>21403261.676999997</v>
      </c>
      <c r="L12" s="8">
        <f t="shared" si="2"/>
        <v>0</v>
      </c>
      <c r="M12" s="8">
        <v>0</v>
      </c>
      <c r="N12" s="12">
        <f>H12+J12</f>
        <v>51857089.647335</v>
      </c>
      <c r="O12" s="12">
        <f t="shared" si="0"/>
        <v>41485671.717868</v>
      </c>
      <c r="P12" s="12">
        <f t="shared" si="1"/>
        <v>33707108.270767748</v>
      </c>
    </row>
    <row r="13" spans="2:16" ht="45" x14ac:dyDescent="0.25">
      <c r="B13" s="11" t="s">
        <v>12</v>
      </c>
      <c r="C13" s="5" t="s">
        <v>44</v>
      </c>
      <c r="D13" s="2" t="s">
        <v>30</v>
      </c>
      <c r="E13" s="1" t="s">
        <v>36</v>
      </c>
      <c r="F13" s="2" t="s">
        <v>45</v>
      </c>
      <c r="G13" s="8">
        <v>107602605</v>
      </c>
      <c r="H13" s="12">
        <f>[13]Industrial!$AS$15</f>
        <v>201800000</v>
      </c>
      <c r="I13" s="12">
        <f>[13]Industrial!$AO$15</f>
        <v>181620000</v>
      </c>
      <c r="J13" s="12">
        <f>[10]Building!$N$31</f>
        <v>82175318.084980011</v>
      </c>
      <c r="K13" s="12">
        <f>'[29]Building Sheet'!$M$31</f>
        <v>79866043.042799994</v>
      </c>
      <c r="L13" s="8">
        <f t="shared" si="2"/>
        <v>107602605</v>
      </c>
      <c r="M13" s="8">
        <f>[30]summary!$I$17</f>
        <v>109269062.07329215</v>
      </c>
      <c r="N13" s="12">
        <f>H13+J13+L13</f>
        <v>391577923.08498001</v>
      </c>
      <c r="O13" s="12">
        <f t="shared" si="0"/>
        <v>313262338.46798402</v>
      </c>
      <c r="P13" s="12">
        <f t="shared" si="1"/>
        <v>254525650.00523701</v>
      </c>
    </row>
    <row r="14" spans="2:16" ht="75" x14ac:dyDescent="0.25">
      <c r="B14" s="11" t="s">
        <v>13</v>
      </c>
      <c r="C14" s="5" t="s">
        <v>46</v>
      </c>
      <c r="D14" s="2" t="s">
        <v>30</v>
      </c>
      <c r="E14" s="1"/>
      <c r="F14" s="2" t="s">
        <v>47</v>
      </c>
      <c r="G14" s="8">
        <v>5760511451.3710651</v>
      </c>
      <c r="H14" s="12">
        <f>[1]Comparables!$AS$16</f>
        <v>717982857.10765851</v>
      </c>
      <c r="I14" s="12">
        <v>587003976</v>
      </c>
      <c r="J14" s="12">
        <f>'[11]Building Sheet'!$L$208</f>
        <v>570461674.66441989</v>
      </c>
      <c r="K14" s="12">
        <f>'[31]Building Sheet'!$K$208</f>
        <v>555487559.98434997</v>
      </c>
      <c r="L14" s="8">
        <f t="shared" si="2"/>
        <v>5760511451.3710651</v>
      </c>
      <c r="M14" s="8">
        <f>'[32]P&amp;M-Summary'!$H$13</f>
        <v>7188689130.4722204</v>
      </c>
      <c r="N14" s="12">
        <f>H14+J14+L14</f>
        <v>7048955983.1431437</v>
      </c>
      <c r="O14" s="12">
        <f t="shared" si="0"/>
        <v>5639164786.5145149</v>
      </c>
      <c r="P14" s="12">
        <f t="shared" si="1"/>
        <v>4581821389.0430431</v>
      </c>
    </row>
    <row r="15" spans="2:16" ht="60" x14ac:dyDescent="0.25">
      <c r="B15" s="11" t="s">
        <v>14</v>
      </c>
      <c r="C15" s="5" t="s">
        <v>49</v>
      </c>
      <c r="D15" s="2" t="s">
        <v>30</v>
      </c>
      <c r="E15" s="1" t="s">
        <v>27</v>
      </c>
      <c r="F15" s="2" t="s">
        <v>48</v>
      </c>
      <c r="G15" s="8">
        <v>462349134.26671821</v>
      </c>
      <c r="H15" s="12">
        <v>0</v>
      </c>
      <c r="I15" s="12">
        <v>0</v>
      </c>
      <c r="J15" s="12">
        <v>0</v>
      </c>
      <c r="K15" s="12">
        <v>0</v>
      </c>
      <c r="L15" s="8">
        <f t="shared" si="2"/>
        <v>462349134.26671821</v>
      </c>
      <c r="M15" s="8">
        <f>[33]SUMMARY!$K$16</f>
        <v>514341266.12753159</v>
      </c>
      <c r="N15" s="12">
        <f t="shared" si="3"/>
        <v>462349134.26671821</v>
      </c>
      <c r="O15" s="12">
        <f t="shared" si="0"/>
        <v>369879307.4133746</v>
      </c>
      <c r="P15" s="12">
        <f t="shared" si="1"/>
        <v>300526937.27336687</v>
      </c>
    </row>
    <row r="16" spans="2:16" ht="45" x14ac:dyDescent="0.25">
      <c r="B16" s="11" t="s">
        <v>15</v>
      </c>
      <c r="C16" s="5" t="s">
        <v>50</v>
      </c>
      <c r="D16" s="2" t="s">
        <v>30</v>
      </c>
      <c r="E16" s="1" t="s">
        <v>27</v>
      </c>
      <c r="F16" s="2" t="s">
        <v>51</v>
      </c>
      <c r="G16" s="8">
        <v>145479939.98963302</v>
      </c>
      <c r="H16" s="12">
        <f>[1]Comparables!$AS$4</f>
        <v>130000000</v>
      </c>
      <c r="I16" s="12">
        <v>120000000</v>
      </c>
      <c r="J16" s="12">
        <f>'[12]Building Sheet'!$N$18</f>
        <v>39437575.10061001</v>
      </c>
      <c r="K16" s="12">
        <f>'[34]Building Sheet'!$M$18</f>
        <v>37935338.956699997</v>
      </c>
      <c r="L16" s="8">
        <f t="shared" si="2"/>
        <v>145479939.98963302</v>
      </c>
      <c r="M16" s="8">
        <f>'[35]Summary P &amp; M'!$I$13</f>
        <v>157522096.54394749</v>
      </c>
      <c r="N16" s="12">
        <f>H16+J16+L16</f>
        <v>314917515.09024304</v>
      </c>
      <c r="O16" s="12">
        <f t="shared" si="0"/>
        <v>251934012.07219446</v>
      </c>
      <c r="P16" s="12">
        <f t="shared" si="1"/>
        <v>204696384.80865797</v>
      </c>
    </row>
    <row r="17" spans="2:19" ht="60" x14ac:dyDescent="0.25">
      <c r="B17" s="11" t="s">
        <v>16</v>
      </c>
      <c r="C17" s="5" t="s">
        <v>53</v>
      </c>
      <c r="D17" s="1" t="s">
        <v>23</v>
      </c>
      <c r="E17" s="1"/>
      <c r="F17" s="2" t="s">
        <v>52</v>
      </c>
      <c r="G17" s="2" t="s">
        <v>56</v>
      </c>
      <c r="H17" s="12">
        <v>0</v>
      </c>
      <c r="I17" s="12">
        <v>0</v>
      </c>
      <c r="J17" s="12">
        <f>[3]Commercial!$AU$6</f>
        <v>8160000</v>
      </c>
      <c r="K17" s="12">
        <f>[13]Commercial!$AP$6</f>
        <v>8568000</v>
      </c>
      <c r="L17" s="12">
        <v>0</v>
      </c>
      <c r="M17" s="12">
        <v>0</v>
      </c>
      <c r="N17" s="12">
        <f>SUM(G17:J17)</f>
        <v>8160000</v>
      </c>
      <c r="O17" s="12">
        <f t="shared" si="0"/>
        <v>6528000</v>
      </c>
      <c r="P17" s="12">
        <f t="shared" si="1"/>
        <v>5304000</v>
      </c>
    </row>
    <row r="18" spans="2:19" ht="60" x14ac:dyDescent="0.25">
      <c r="B18" s="11" t="s">
        <v>66</v>
      </c>
      <c r="C18" s="5" t="s">
        <v>67</v>
      </c>
      <c r="D18" s="2" t="s">
        <v>68</v>
      </c>
      <c r="E18" s="4" t="s">
        <v>27</v>
      </c>
      <c r="F18" s="4" t="s">
        <v>69</v>
      </c>
      <c r="G18" s="2"/>
      <c r="H18" s="12">
        <v>0</v>
      </c>
      <c r="I18" s="12">
        <v>0</v>
      </c>
      <c r="J18" s="12">
        <v>0</v>
      </c>
      <c r="K18" s="12">
        <v>0</v>
      </c>
      <c r="L18" s="12">
        <v>2045730.03</v>
      </c>
      <c r="M18" s="12">
        <v>3472510.21</v>
      </c>
      <c r="N18" s="12">
        <f>L18</f>
        <v>2045730.03</v>
      </c>
      <c r="O18" s="12">
        <f t="shared" si="0"/>
        <v>1636584.0240000002</v>
      </c>
      <c r="P18" s="12">
        <f t="shared" si="1"/>
        <v>1329724.5195000002</v>
      </c>
    </row>
    <row r="19" spans="2:19" x14ac:dyDescent="0.25">
      <c r="B19" s="17"/>
      <c r="C19" s="22" t="s">
        <v>65</v>
      </c>
      <c r="D19" s="23"/>
      <c r="E19" s="23"/>
      <c r="F19" s="24"/>
      <c r="G19" s="21"/>
      <c r="H19" s="18">
        <f>SUBTOTAL(9,H3:H17)</f>
        <v>1877488580.2481544</v>
      </c>
      <c r="I19" s="18">
        <f>SUM(I3:I18)</f>
        <v>1521924826</v>
      </c>
      <c r="J19" s="18">
        <f>SUM(J3:J18)</f>
        <v>1319451744.0795453</v>
      </c>
      <c r="K19" s="18">
        <f>SUM(K3:K18)</f>
        <v>1243336430.3971484</v>
      </c>
      <c r="L19" s="18">
        <f>SUM(L3:L18)</f>
        <v>8838277342.8374691</v>
      </c>
      <c r="M19" s="18">
        <f>SUM(M3:M18)</f>
        <v>10441032024.892546</v>
      </c>
      <c r="N19" s="18">
        <f>SUM(N3:N18)</f>
        <v>12035217667.165167</v>
      </c>
      <c r="O19" s="18">
        <f>N19*0.8</f>
        <v>9628174133.7321339</v>
      </c>
      <c r="P19" s="18">
        <f>N19*0.65</f>
        <v>7822891483.6573591</v>
      </c>
      <c r="S19" s="15"/>
    </row>
    <row r="21" spans="2:19" x14ac:dyDescent="0.25">
      <c r="N21" s="3">
        <v>12035000000</v>
      </c>
      <c r="O21" s="3">
        <f>N21*0.8</f>
        <v>9628000000</v>
      </c>
      <c r="P21" s="3">
        <f>N21*0.65</f>
        <v>7822750000</v>
      </c>
    </row>
    <row r="22" spans="2:19" x14ac:dyDescent="0.25">
      <c r="J22" s="15">
        <v>73262200</v>
      </c>
    </row>
    <row r="23" spans="2:19" x14ac:dyDescent="0.25">
      <c r="J23" s="15">
        <f>J19-J22</f>
        <v>1246189544.0795453</v>
      </c>
    </row>
  </sheetData>
  <mergeCells count="1">
    <mergeCell ref="C19:F1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Gaurav Sharma</cp:lastModifiedBy>
  <cp:lastPrinted>2022-06-08T13:30:40Z</cp:lastPrinted>
  <dcterms:created xsi:type="dcterms:W3CDTF">2022-05-20T05:54:38Z</dcterms:created>
  <dcterms:modified xsi:type="dcterms:W3CDTF">2022-06-27T12:06:58Z</dcterms:modified>
</cp:coreProperties>
</file>