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C:\Users\FA2\Desktop\Sintex BAPL Ltd\RK Working June 2022\RK Working Aug 2022\"/>
    </mc:Choice>
  </mc:AlternateContent>
  <xr:revisionPtr revIDLastSave="0" documentId="13_ncr:1_{DBA6BA2F-4366-440A-B30E-453141D39044}" xr6:coauthVersionLast="47" xr6:coauthVersionMax="47" xr10:uidLastSave="{00000000-0000-0000-0000-000000000000}"/>
  <bookViews>
    <workbookView xWindow="-120" yWindow="-120" windowWidth="21840" windowHeight="13140" tabRatio="583" activeTab="1" xr2:uid="{00000000-000D-0000-FFFF-FFFF00000000}"/>
  </bookViews>
  <sheets>
    <sheet name="Historical Performance" sheetId="3" r:id="rId1"/>
    <sheet name="Sintex BAPL" sheetId="2" r:id="rId2"/>
    <sheet name="Subsidiary Valuation" sheetId="1" r:id="rId3"/>
  </sheets>
  <externalReferences>
    <externalReference r:id="rId4"/>
    <externalReference r:id="rId5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02" i="2" l="1"/>
  <c r="D82" i="2"/>
  <c r="D83" i="2" s="1"/>
  <c r="D26" i="2" s="1"/>
  <c r="D88" i="2"/>
  <c r="D90" i="2"/>
  <c r="D100" i="2"/>
  <c r="D98" i="2"/>
  <c r="D99" i="2"/>
  <c r="C101" i="2"/>
  <c r="C103" i="2" s="1"/>
  <c r="C93" i="2"/>
  <c r="D5" i="2"/>
  <c r="D93" i="2" l="1"/>
  <c r="D28" i="2" s="1"/>
  <c r="D101" i="2"/>
  <c r="D103" i="2" s="1"/>
  <c r="D22" i="2" s="1"/>
  <c r="D29" i="2" s="1"/>
  <c r="C53" i="1"/>
  <c r="D57" i="2"/>
  <c r="D56" i="2"/>
  <c r="D55" i="2"/>
  <c r="D54" i="2"/>
  <c r="D53" i="2"/>
  <c r="D52" i="2"/>
  <c r="D50" i="2"/>
  <c r="D49" i="2"/>
  <c r="D44" i="2"/>
  <c r="D43" i="2"/>
  <c r="D42" i="2"/>
  <c r="D41" i="2"/>
  <c r="D40" i="2"/>
  <c r="C63" i="2" l="1"/>
  <c r="G31" i="1"/>
  <c r="C52" i="1"/>
  <c r="D58" i="2" l="1"/>
  <c r="D45" i="2"/>
  <c r="D34" i="2"/>
  <c r="D33" i="2"/>
  <c r="D23" i="2"/>
  <c r="D24" i="2"/>
  <c r="D27" i="2"/>
  <c r="D21" i="2"/>
  <c r="D19" i="2"/>
  <c r="D6" i="2"/>
  <c r="D7" i="2"/>
  <c r="D8" i="2"/>
  <c r="D9" i="2"/>
  <c r="D10" i="2"/>
  <c r="D11" i="2"/>
  <c r="D12" i="2"/>
  <c r="D13" i="2"/>
  <c r="D14" i="2"/>
  <c r="D15" i="2"/>
  <c r="D33" i="3"/>
  <c r="E33" i="3"/>
  <c r="F33" i="3"/>
  <c r="D34" i="3"/>
  <c r="E34" i="3"/>
  <c r="F34" i="3"/>
  <c r="D35" i="3"/>
  <c r="E35" i="3"/>
  <c r="F35" i="3"/>
  <c r="E36" i="3"/>
  <c r="F36" i="3"/>
  <c r="D36" i="3"/>
  <c r="C35" i="3"/>
  <c r="C34" i="3"/>
  <c r="C33" i="3"/>
  <c r="H13" i="1"/>
  <c r="H14" i="1"/>
  <c r="H18" i="1"/>
  <c r="H19" i="1"/>
  <c r="H27" i="1"/>
  <c r="H9" i="1"/>
  <c r="R12" i="1"/>
  <c r="Q13" i="1"/>
  <c r="N7" i="1"/>
  <c r="N12" i="1"/>
  <c r="N27" i="1"/>
  <c r="N29" i="1"/>
  <c r="N28" i="1"/>
  <c r="N21" i="1"/>
  <c r="N20" i="1"/>
  <c r="N15" i="1"/>
  <c r="N14" i="1"/>
  <c r="N13" i="1"/>
  <c r="D35" i="2" l="1"/>
  <c r="D16" i="2"/>
  <c r="D59" i="2"/>
  <c r="N16" i="1"/>
  <c r="C45" i="1"/>
  <c r="C46" i="1"/>
  <c r="C44" i="1"/>
  <c r="C43" i="1"/>
  <c r="C42" i="1"/>
  <c r="C37" i="1"/>
  <c r="C36" i="1"/>
  <c r="C35" i="1"/>
  <c r="C34" i="1"/>
  <c r="C29" i="1"/>
  <c r="C23" i="1"/>
  <c r="C22" i="1"/>
  <c r="C21" i="1"/>
  <c r="C20" i="1"/>
  <c r="C18" i="1"/>
  <c r="C11" i="1"/>
  <c r="C15" i="1"/>
  <c r="C13" i="1"/>
  <c r="C10" i="1"/>
  <c r="C9" i="1"/>
  <c r="C8" i="1"/>
  <c r="C7" i="1"/>
  <c r="D60" i="2" l="1"/>
  <c r="D25" i="3"/>
  <c r="B29" i="3"/>
  <c r="B31" i="3"/>
  <c r="C7" i="3"/>
  <c r="D7" i="3"/>
  <c r="E7" i="3"/>
  <c r="F7" i="3"/>
  <c r="C9" i="3"/>
  <c r="D9" i="3"/>
  <c r="E9" i="3"/>
  <c r="F9" i="3"/>
  <c r="C10" i="3"/>
  <c r="D10" i="3"/>
  <c r="E10" i="3"/>
  <c r="F10" i="3"/>
  <c r="C11" i="3"/>
  <c r="D11" i="3"/>
  <c r="E11" i="3"/>
  <c r="F11" i="3"/>
  <c r="C12" i="3"/>
  <c r="D12" i="3"/>
  <c r="E12" i="3"/>
  <c r="F12" i="3"/>
  <c r="C13" i="3"/>
  <c r="D13" i="3"/>
  <c r="E13" i="3"/>
  <c r="F13" i="3"/>
  <c r="C21" i="3"/>
  <c r="D21" i="3"/>
  <c r="E21" i="3"/>
  <c r="F21" i="3"/>
  <c r="C18" i="3"/>
  <c r="D18" i="3"/>
  <c r="E18" i="3"/>
  <c r="F18" i="3"/>
  <c r="C14" i="3"/>
  <c r="D14" i="3"/>
  <c r="E14" i="3"/>
  <c r="F14" i="3"/>
  <c r="C22" i="3"/>
  <c r="D22" i="3"/>
  <c r="E22" i="3"/>
  <c r="F22" i="3"/>
  <c r="C23" i="3"/>
  <c r="D23" i="3"/>
  <c r="E23" i="3"/>
  <c r="F23" i="3"/>
  <c r="C25" i="3"/>
  <c r="E25" i="3"/>
  <c r="F25" i="3"/>
  <c r="C26" i="3"/>
  <c r="D26" i="3"/>
  <c r="E26" i="3"/>
  <c r="F26" i="3"/>
  <c r="C28" i="3"/>
  <c r="D28" i="3"/>
  <c r="E28" i="3"/>
  <c r="F28" i="3"/>
  <c r="C29" i="3"/>
  <c r="D29" i="3"/>
  <c r="E29" i="3"/>
  <c r="F29" i="3"/>
  <c r="C31" i="3"/>
  <c r="D31" i="3"/>
  <c r="E31" i="3"/>
  <c r="F31" i="3"/>
  <c r="B9" i="3"/>
  <c r="B10" i="3"/>
  <c r="B11" i="3"/>
  <c r="B12" i="3"/>
  <c r="B13" i="3"/>
  <c r="B21" i="3"/>
  <c r="B18" i="3"/>
  <c r="B14" i="3"/>
  <c r="B15" i="3"/>
  <c r="B22" i="3"/>
  <c r="B23" i="3"/>
  <c r="B25" i="3"/>
  <c r="B28" i="3"/>
  <c r="F15" i="3" l="1"/>
  <c r="F17" i="3" s="1"/>
  <c r="F20" i="3" s="1"/>
  <c r="E15" i="3"/>
  <c r="E17" i="3" s="1"/>
  <c r="E20" i="3" s="1"/>
  <c r="C15" i="3"/>
  <c r="C17" i="3" s="1"/>
  <c r="C20" i="3" s="1"/>
  <c r="D15" i="3"/>
  <c r="D17" i="3" s="1"/>
  <c r="D20" i="3" s="1"/>
  <c r="B6" i="3" l="1"/>
  <c r="C6" i="3"/>
  <c r="D6" i="3"/>
  <c r="E6" i="3"/>
  <c r="F6" i="3"/>
  <c r="D5" i="3"/>
  <c r="E5" i="3"/>
  <c r="F5" i="3"/>
  <c r="C5" i="3"/>
  <c r="D4" i="3"/>
  <c r="E4" i="3" s="1"/>
  <c r="F4" i="3" s="1"/>
  <c r="C58" i="2" l="1"/>
  <c r="C45" i="2"/>
  <c r="C35" i="2"/>
  <c r="C16" i="2"/>
  <c r="C25" i="2"/>
  <c r="C59" i="2" l="1"/>
  <c r="C60" i="2" s="1"/>
  <c r="C29" i="2"/>
  <c r="C30" i="2" s="1"/>
  <c r="D25" i="2"/>
  <c r="D30" i="2" s="1"/>
  <c r="C62" i="2" s="1"/>
  <c r="C64" i="2" s="1"/>
  <c r="C66" i="2" s="1"/>
  <c r="C38" i="1"/>
  <c r="C28" i="1"/>
  <c r="C48" i="1" s="1"/>
  <c r="G14" i="1" l="1"/>
  <c r="N33" i="1"/>
  <c r="N30" i="1"/>
  <c r="N34" i="1" s="1"/>
  <c r="G27" i="1"/>
  <c r="G32" i="1" s="1"/>
  <c r="G33" i="1" s="1"/>
  <c r="G35" i="1" s="1"/>
  <c r="C54" i="1"/>
  <c r="C24" i="1"/>
  <c r="N35" i="1" l="1"/>
  <c r="N38" i="1" s="1"/>
  <c r="C56" i="1"/>
  <c r="C57" i="1" s="1"/>
  <c r="C61" i="1" l="1"/>
  <c r="C67" i="2" s="1"/>
  <c r="C68" i="2" s="1"/>
</calcChain>
</file>

<file path=xl/sharedStrings.xml><?xml version="1.0" encoding="utf-8"?>
<sst xmlns="http://schemas.openxmlformats.org/spreadsheetml/2006/main" count="225" uniqueCount="127">
  <si>
    <t>BAPL Rototech Private Limited</t>
  </si>
  <si>
    <t>Assets</t>
  </si>
  <si>
    <t>Non-Current Assets</t>
  </si>
  <si>
    <t>PPE</t>
  </si>
  <si>
    <t>CWIP</t>
  </si>
  <si>
    <t>Right of use Assets</t>
  </si>
  <si>
    <t>Financial Assets</t>
  </si>
  <si>
    <t>Other Financial Assets</t>
  </si>
  <si>
    <t>Deferred Tax Assets (Net)</t>
  </si>
  <si>
    <t>Income Tax Assets (Net)</t>
  </si>
  <si>
    <t>Current Assets</t>
  </si>
  <si>
    <t>Inventories</t>
  </si>
  <si>
    <t>Trade Receivables</t>
  </si>
  <si>
    <t>Cash &amp; Cash Equivalents</t>
  </si>
  <si>
    <t>Other Current Assets</t>
  </si>
  <si>
    <t>Total Assets</t>
  </si>
  <si>
    <t>Equity &amp; Liabilities</t>
  </si>
  <si>
    <t>Equity</t>
  </si>
  <si>
    <t>Equity Share Capital</t>
  </si>
  <si>
    <t>Other Equity</t>
  </si>
  <si>
    <t>Liabilities</t>
  </si>
  <si>
    <t>Financial Liabilities</t>
  </si>
  <si>
    <t>Borrowings</t>
  </si>
  <si>
    <t>Other Financial Liabilities</t>
  </si>
  <si>
    <t>Long term Provisions</t>
  </si>
  <si>
    <t>Other Non-current Liabilities</t>
  </si>
  <si>
    <t>Current Liabilities</t>
  </si>
  <si>
    <t>Trade Payables</t>
  </si>
  <si>
    <t>Short term Provisions</t>
  </si>
  <si>
    <t>Other Current Liabilities</t>
  </si>
  <si>
    <t>Current Tax Liabilities (Net)</t>
  </si>
  <si>
    <t>Total Liabilities</t>
  </si>
  <si>
    <t>Total Equity and Liabilities</t>
  </si>
  <si>
    <t>Sintex Holding BV</t>
  </si>
  <si>
    <t>Investment</t>
  </si>
  <si>
    <t>Cash &amp; Cash Equivelent</t>
  </si>
  <si>
    <t>Equity and Liabilities</t>
  </si>
  <si>
    <t>Non-current liabilities</t>
  </si>
  <si>
    <t>Other financial liabilties</t>
  </si>
  <si>
    <t>Other current Liabilities</t>
  </si>
  <si>
    <t>Net Asset Value</t>
  </si>
  <si>
    <t>Sintex Logistics LLC</t>
  </si>
  <si>
    <t>Goodwill</t>
  </si>
  <si>
    <t>Cash and Cash Equivelent</t>
  </si>
  <si>
    <t>Equity share Capital</t>
  </si>
  <si>
    <t>Non-current Liabilities</t>
  </si>
  <si>
    <t>Liquidation Discount</t>
  </si>
  <si>
    <t>Liquidation Value</t>
  </si>
  <si>
    <t>Total Liquidation Value of Subsidaries</t>
  </si>
  <si>
    <t>Sintex Holdings B.V.</t>
  </si>
  <si>
    <t>Sintex Holdings U.K. Limited</t>
  </si>
  <si>
    <t>Holdings %</t>
  </si>
  <si>
    <t>Subsidaries</t>
  </si>
  <si>
    <t>Bank Balance other than  above</t>
  </si>
  <si>
    <t>Loans</t>
  </si>
  <si>
    <t>Current Tax Assets</t>
  </si>
  <si>
    <t>Rou Assets</t>
  </si>
  <si>
    <t>Other Non-Current Assets</t>
  </si>
  <si>
    <t>Investment in subsidiaries and joint venture</t>
  </si>
  <si>
    <t>Non-Current Liabilities</t>
  </si>
  <si>
    <t>Deffered Tax Liabilities (Net)</t>
  </si>
  <si>
    <t>Provisions</t>
  </si>
  <si>
    <t>Lease Liabilities</t>
  </si>
  <si>
    <t>Total Current Liabilities</t>
  </si>
  <si>
    <t>Total Non-Current Liabilities</t>
  </si>
  <si>
    <t>Total Equity</t>
  </si>
  <si>
    <t>Total Non-Current Assets</t>
  </si>
  <si>
    <t>Total Current Assets</t>
  </si>
  <si>
    <t>M/s Sintex BAPL</t>
  </si>
  <si>
    <t>Amount as on 31st March 2022</t>
  </si>
  <si>
    <t>Revenue from Operations</t>
  </si>
  <si>
    <t>Particulars</t>
  </si>
  <si>
    <t>EBITDA</t>
  </si>
  <si>
    <t>EBIT</t>
  </si>
  <si>
    <t>Tax Expense</t>
  </si>
  <si>
    <t>Other Intangible Assets</t>
  </si>
  <si>
    <t>Amount as on 31st March 2021</t>
  </si>
  <si>
    <t>-</t>
  </si>
  <si>
    <t>Intangible Assets</t>
  </si>
  <si>
    <t>Intangible Assets underdevelopment</t>
  </si>
  <si>
    <t>Deferred Tax Liabilities (Net)</t>
  </si>
  <si>
    <t>Trade Payable</t>
  </si>
  <si>
    <t>Credit Card</t>
  </si>
  <si>
    <t>USD Million</t>
  </si>
  <si>
    <t>USD INR Rate (31.03.21)</t>
  </si>
  <si>
    <t>INR CR</t>
  </si>
  <si>
    <t>EBITDA Margin %</t>
  </si>
  <si>
    <t>EBIT Margin %</t>
  </si>
  <si>
    <t>Net Profit Margin %</t>
  </si>
  <si>
    <t>Revenue Growth Rate (Y.O.Y.)</t>
  </si>
  <si>
    <t>Total Revenue</t>
  </si>
  <si>
    <t>Factor</t>
  </si>
  <si>
    <t>Fair Market Value</t>
  </si>
  <si>
    <t>Total Operational Liabilities</t>
  </si>
  <si>
    <t>Investments</t>
  </si>
  <si>
    <t>Total Dues MSME</t>
  </si>
  <si>
    <t>Total Dues other than MSME</t>
  </si>
  <si>
    <t>Share of Sintex-BAPL LTD.</t>
  </si>
  <si>
    <t>TOTAL</t>
  </si>
  <si>
    <t>Ageing of Trade Receivable</t>
  </si>
  <si>
    <t>Less : Provision for Bad &amp; Doubtful Debts</t>
  </si>
  <si>
    <t xml:space="preserve">Bank Balance other than (iii) above </t>
  </si>
  <si>
    <t>FDR &amp; Margin Money with Banks</t>
  </si>
  <si>
    <t xml:space="preserve">Total </t>
  </si>
  <si>
    <t xml:space="preserve">Amount appropriated from TRA Account by W.C. Lenders </t>
  </si>
  <si>
    <t xml:space="preserve">Other Financial Assets </t>
  </si>
  <si>
    <t xml:space="preserve">Others </t>
  </si>
  <si>
    <t xml:space="preserve">Other Current Assets </t>
  </si>
  <si>
    <t xml:space="preserve">Balances with government authorities </t>
  </si>
  <si>
    <t xml:space="preserve">Prepaid expenses </t>
  </si>
  <si>
    <t xml:space="preserve">Export incentives receivables </t>
  </si>
  <si>
    <t xml:space="preserve">Advances to suppliers </t>
  </si>
  <si>
    <t xml:space="preserve">Insurance Claim Receivable </t>
  </si>
  <si>
    <t>Annexures</t>
  </si>
  <si>
    <t>Liquidation Value of Subsidiaries</t>
  </si>
  <si>
    <t>Fair Value</t>
  </si>
  <si>
    <t>According to the information provided by the banker, the honorable court has ordered the bank/creditors to appropriate INR 116.41 crores in an account for settlement against dues in the future.</t>
  </si>
  <si>
    <t>Remarks</t>
  </si>
  <si>
    <t>No information available</t>
  </si>
  <si>
    <t>Amount as on 31.03.2022</t>
  </si>
  <si>
    <t>0-90 Days</t>
  </si>
  <si>
    <t>91-180 Days</t>
  </si>
  <si>
    <t>&gt; 180 Days</t>
  </si>
  <si>
    <t>Total Trade Receivable</t>
  </si>
  <si>
    <t>Net Trade Receivable</t>
  </si>
  <si>
    <t>Adjusted NAV</t>
  </si>
  <si>
    <t>Discount Factor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</si>
</sst>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&quot;FY&quot;\ 0\ &quot;A&quot;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sz val="11"/>
      <color indexed="8"/>
      <name val="Times New Roman"/>
      <family val="2"/>
    </font>
    <font>
      <sz val="11"/>
      <color theme="1"/>
      <name val="DejaVu Serif Condensed"/>
      <family val="2"/>
    </font>
    <font>
      <sz val="11"/>
      <color theme="1"/>
      <name val="Times New Roman"/>
      <family val="2"/>
    </font>
    <font>
      <sz val="10"/>
      <color theme="1"/>
      <name val="Arial"/>
      <family val="2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8" fillId="0" borderId="0"/>
    <xf numFmtId="0" fontId="1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Border="0" applyAlignment="0">
      <alignment horizontal="left"/>
    </xf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43" fontId="0" fillId="0" borderId="0" xfId="1" applyFont="1"/>
    <xf numFmtId="0" fontId="2" fillId="2" borderId="0" xfId="2"/>
    <xf numFmtId="43" fontId="2" fillId="2" borderId="0" xfId="2" applyNumberFormat="1"/>
    <xf numFmtId="43" fontId="0" fillId="0" borderId="0" xfId="1" applyNumberFormat="1" applyFont="1"/>
    <xf numFmtId="9" fontId="0" fillId="0" borderId="0" xfId="0" applyNumberFormat="1"/>
    <xf numFmtId="0" fontId="0" fillId="0" borderId="0" xfId="0" applyFont="1"/>
    <xf numFmtId="43" fontId="0" fillId="0" borderId="0" xfId="0" applyNumberFormat="1"/>
    <xf numFmtId="43" fontId="0" fillId="0" borderId="0" xfId="1" applyFont="1" applyAlignment="1">
      <alignment horizontal="center" vertical="center"/>
    </xf>
    <xf numFmtId="0" fontId="3" fillId="4" borderId="0" xfId="0" applyFont="1" applyFill="1"/>
    <xf numFmtId="0" fontId="3" fillId="0" borderId="0" xfId="0" applyFont="1" applyFill="1"/>
    <xf numFmtId="0" fontId="0" fillId="0" borderId="0" xfId="0" applyBorder="1"/>
    <xf numFmtId="0" fontId="2" fillId="2" borderId="0" xfId="2" applyBorder="1"/>
    <xf numFmtId="0" fontId="0" fillId="0" borderId="1" xfId="0" applyBorder="1"/>
    <xf numFmtId="0" fontId="11" fillId="3" borderId="0" xfId="0" applyFont="1" applyFill="1" applyAlignment="1">
      <alignment vertical="center"/>
    </xf>
    <xf numFmtId="165" fontId="0" fillId="0" borderId="0" xfId="0" applyNumberFormat="1"/>
    <xf numFmtId="0" fontId="12" fillId="3" borderId="0" xfId="0" applyFont="1" applyFill="1"/>
    <xf numFmtId="2" fontId="0" fillId="0" borderId="0" xfId="0" applyNumberFormat="1"/>
    <xf numFmtId="0" fontId="3" fillId="0" borderId="2" xfId="0" applyFont="1" applyBorder="1"/>
    <xf numFmtId="0" fontId="3" fillId="0" borderId="0" xfId="0" applyFont="1" applyBorder="1"/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 wrapText="1"/>
    </xf>
    <xf numFmtId="2" fontId="0" fillId="0" borderId="0" xfId="0" applyNumberFormat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0" fontId="0" fillId="0" borderId="0" xfId="58" applyNumberFormat="1" applyFont="1" applyAlignment="1">
      <alignment horizontal="center"/>
    </xf>
    <xf numFmtId="165" fontId="12" fillId="3" borderId="0" xfId="0" applyNumberFormat="1" applyFont="1" applyFill="1" applyAlignment="1">
      <alignment horizontal="center"/>
    </xf>
    <xf numFmtId="2" fontId="0" fillId="0" borderId="0" xfId="1" applyNumberFormat="1" applyFont="1" applyAlignment="1">
      <alignment horizontal="center"/>
    </xf>
    <xf numFmtId="0" fontId="0" fillId="0" borderId="0" xfId="0" applyAlignment="1">
      <alignment horizontal="center" vertical="center"/>
    </xf>
    <xf numFmtId="2" fontId="0" fillId="0" borderId="0" xfId="1" applyNumberFormat="1" applyFont="1" applyAlignment="1">
      <alignment horizontal="center" vertical="center"/>
    </xf>
    <xf numFmtId="2" fontId="3" fillId="4" borderId="0" xfId="1" applyNumberFormat="1" applyFont="1" applyFill="1" applyAlignment="1">
      <alignment horizontal="center" vertical="center"/>
    </xf>
    <xf numFmtId="2" fontId="1" fillId="0" borderId="0" xfId="1" applyNumberFormat="1" applyFont="1" applyAlignment="1">
      <alignment horizontal="center" vertical="center"/>
    </xf>
    <xf numFmtId="2" fontId="3" fillId="0" borderId="0" xfId="1" applyNumberFormat="1" applyFont="1" applyAlignment="1">
      <alignment horizontal="center" vertical="center"/>
    </xf>
    <xf numFmtId="2" fontId="3" fillId="4" borderId="0" xfId="0" applyNumberFormat="1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2" fontId="0" fillId="4" borderId="0" xfId="0" applyNumberFormat="1" applyFill="1" applyAlignment="1">
      <alignment horizontal="center"/>
    </xf>
    <xf numFmtId="0" fontId="0" fillId="0" borderId="0" xfId="0" applyAlignment="1">
      <alignment horizontal="left" indent="3"/>
    </xf>
    <xf numFmtId="0" fontId="0" fillId="0" borderId="0" xfId="0" applyFont="1" applyAlignment="1">
      <alignment horizontal="left" indent="3"/>
    </xf>
    <xf numFmtId="0" fontId="0" fillId="0" borderId="0" xfId="0" applyAlignment="1">
      <alignment horizontal="left" indent="4"/>
    </xf>
    <xf numFmtId="0" fontId="0" fillId="0" borderId="0" xfId="0" applyFont="1" applyAlignment="1">
      <alignment horizontal="left" indent="4"/>
    </xf>
    <xf numFmtId="0" fontId="0" fillId="0" borderId="0" xfId="0" quotePrefix="1" applyAlignment="1">
      <alignment horizontal="left" indent="6"/>
    </xf>
    <xf numFmtId="2" fontId="3" fillId="0" borderId="2" xfId="1" applyNumberFormat="1" applyFont="1" applyBorder="1" applyAlignment="1">
      <alignment horizontal="center"/>
    </xf>
    <xf numFmtId="2" fontId="2" fillId="2" borderId="0" xfId="2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left" indent="6"/>
    </xf>
    <xf numFmtId="10" fontId="0" fillId="0" borderId="0" xfId="58" applyNumberFormat="1" applyFont="1" applyAlignment="1">
      <alignment horizontal="center" vertical="center"/>
    </xf>
    <xf numFmtId="10" fontId="0" fillId="0" borderId="0" xfId="0" applyNumberFormat="1"/>
    <xf numFmtId="0" fontId="3" fillId="0" borderId="0" xfId="0" applyFont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4" borderId="3" xfId="0" applyFont="1" applyFill="1" applyBorder="1"/>
    <xf numFmtId="0" fontId="3" fillId="4" borderId="3" xfId="0" applyFont="1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0" fillId="0" borderId="0" xfId="0" applyFill="1" applyBorder="1"/>
    <xf numFmtId="43" fontId="0" fillId="0" borderId="0" xfId="58" applyNumberFormat="1" applyFont="1" applyBorder="1" applyAlignment="1">
      <alignment horizontal="center" vertical="center"/>
    </xf>
    <xf numFmtId="43" fontId="2" fillId="2" borderId="0" xfId="2" applyNumberFormat="1" applyAlignment="1">
      <alignment horizontal="center" vertical="center"/>
    </xf>
    <xf numFmtId="2" fontId="0" fillId="0" borderId="1" xfId="1" applyNumberFormat="1" applyFont="1" applyBorder="1" applyAlignment="1">
      <alignment horizontal="center" vertical="center"/>
    </xf>
    <xf numFmtId="2" fontId="0" fillId="0" borderId="0" xfId="1" applyNumberFormat="1" applyFont="1" applyBorder="1" applyAlignment="1">
      <alignment horizontal="center" vertical="center"/>
    </xf>
    <xf numFmtId="2" fontId="2" fillId="2" borderId="0" xfId="2" applyNumberFormat="1" applyBorder="1" applyAlignment="1">
      <alignment horizontal="center" vertical="center"/>
    </xf>
    <xf numFmtId="2" fontId="12" fillId="3" borderId="0" xfId="0" applyNumberFormat="1" applyFont="1" applyFill="1" applyAlignment="1">
      <alignment horizontal="center" vertical="center"/>
    </xf>
    <xf numFmtId="0" fontId="12" fillId="3" borderId="3" xfId="0" applyFont="1" applyFill="1" applyBorder="1" applyAlignment="1">
      <alignment horizontal="center" wrapText="1"/>
    </xf>
    <xf numFmtId="0" fontId="0" fillId="0" borderId="3" xfId="0" applyBorder="1" applyAlignment="1">
      <alignment horizontal="left" indent="4"/>
    </xf>
    <xf numFmtId="0" fontId="3" fillId="0" borderId="3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12" fillId="3" borderId="3" xfId="0" applyFont="1" applyFill="1" applyBorder="1" applyAlignment="1">
      <alignment vertical="center"/>
    </xf>
    <xf numFmtId="0" fontId="12" fillId="3" borderId="3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10" fontId="0" fillId="0" borderId="0" xfId="0" applyNumberFormat="1" applyAlignment="1">
      <alignment horizontal="center" vertical="center"/>
    </xf>
    <xf numFmtId="0" fontId="3" fillId="0" borderId="0" xfId="0" applyFont="1" applyFill="1" applyBorder="1"/>
    <xf numFmtId="2" fontId="3" fillId="0" borderId="0" xfId="0" applyNumberFormat="1" applyFont="1" applyAlignment="1">
      <alignment horizontal="center" vertical="center"/>
    </xf>
    <xf numFmtId="2" fontId="3" fillId="4" borderId="3" xfId="0" applyNumberFormat="1" applyFont="1" applyFill="1" applyBorder="1" applyAlignment="1">
      <alignment horizontal="center" vertical="center"/>
    </xf>
    <xf numFmtId="2" fontId="0" fillId="0" borderId="3" xfId="0" applyNumberFormat="1" applyBorder="1" applyAlignment="1">
      <alignment horizontal="center"/>
    </xf>
    <xf numFmtId="2" fontId="3" fillId="4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left" vertical="center" wrapText="1"/>
    </xf>
    <xf numFmtId="0" fontId="12" fillId="3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4" borderId="4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11" fillId="3" borderId="0" xfId="0" applyFont="1" applyFill="1" applyAlignment="1">
      <alignment horizontal="left" vertical="center"/>
    </xf>
  </cellXfs>
  <cellStyles count="59">
    <cellStyle name="Comma" xfId="1" builtinId="3"/>
    <cellStyle name="Comma 10 10 2" xfId="5" xr:uid="{00000000-0005-0000-0000-000001000000}"/>
    <cellStyle name="Comma 10 11" xfId="6" xr:uid="{00000000-0005-0000-0000-000002000000}"/>
    <cellStyle name="Comma 10 2 6" xfId="7" xr:uid="{00000000-0005-0000-0000-000003000000}"/>
    <cellStyle name="Comma 10 4" xfId="8" xr:uid="{00000000-0005-0000-0000-000004000000}"/>
    <cellStyle name="Comma 11" xfId="9" xr:uid="{00000000-0005-0000-0000-000005000000}"/>
    <cellStyle name="Comma 12" xfId="10" xr:uid="{00000000-0005-0000-0000-000006000000}"/>
    <cellStyle name="Comma 12 2" xfId="11" xr:uid="{00000000-0005-0000-0000-000007000000}"/>
    <cellStyle name="Comma 12 3 3 2" xfId="12" xr:uid="{00000000-0005-0000-0000-000008000000}"/>
    <cellStyle name="Comma 2" xfId="4" xr:uid="{00000000-0005-0000-0000-000009000000}"/>
    <cellStyle name="Comma 2 2" xfId="13" xr:uid="{00000000-0005-0000-0000-00000A000000}"/>
    <cellStyle name="Comma 2 2 2" xfId="14" xr:uid="{00000000-0005-0000-0000-00000B000000}"/>
    <cellStyle name="Comma 2 2 4" xfId="15" xr:uid="{00000000-0005-0000-0000-00000C000000}"/>
    <cellStyle name="Comma 2 2 4 2" xfId="16" xr:uid="{00000000-0005-0000-0000-00000D000000}"/>
    <cellStyle name="Comma 4 3 2" xfId="17" xr:uid="{00000000-0005-0000-0000-00000E000000}"/>
    <cellStyle name="Comma 43" xfId="18" xr:uid="{00000000-0005-0000-0000-00000F000000}"/>
    <cellStyle name="Comma 6 5" xfId="19" xr:uid="{00000000-0005-0000-0000-000010000000}"/>
    <cellStyle name="Comma 7" xfId="20" xr:uid="{00000000-0005-0000-0000-000011000000}"/>
    <cellStyle name="Comma 8" xfId="21" xr:uid="{00000000-0005-0000-0000-000012000000}"/>
    <cellStyle name="Good" xfId="2" builtinId="26"/>
    <cellStyle name="Norm??" xfId="22" xr:uid="{00000000-0005-0000-0000-000014000000}"/>
    <cellStyle name="Normal" xfId="0" builtinId="0"/>
    <cellStyle name="Normal - Style1" xfId="23" xr:uid="{00000000-0005-0000-0000-000016000000}"/>
    <cellStyle name="Normal - Style1 2" xfId="24" xr:uid="{00000000-0005-0000-0000-000017000000}"/>
    <cellStyle name="Normal 10" xfId="55" xr:uid="{00000000-0005-0000-0000-000018000000}"/>
    <cellStyle name="Normal 10 10 2" xfId="25" xr:uid="{00000000-0005-0000-0000-000019000000}"/>
    <cellStyle name="Normal 10 2 2" xfId="26" xr:uid="{00000000-0005-0000-0000-00001A000000}"/>
    <cellStyle name="Normal 109 2" xfId="27" xr:uid="{00000000-0005-0000-0000-00001B000000}"/>
    <cellStyle name="Normal 11" xfId="56" xr:uid="{00000000-0005-0000-0000-00001C000000}"/>
    <cellStyle name="Normal 11 2 2 2 2 2" xfId="28" xr:uid="{00000000-0005-0000-0000-00001D000000}"/>
    <cellStyle name="Normal 112" xfId="29" xr:uid="{00000000-0005-0000-0000-00001E000000}"/>
    <cellStyle name="Normal 113" xfId="30" xr:uid="{00000000-0005-0000-0000-00001F000000}"/>
    <cellStyle name="Normal 12" xfId="57" xr:uid="{00000000-0005-0000-0000-000020000000}"/>
    <cellStyle name="Normal 15 2" xfId="31" xr:uid="{00000000-0005-0000-0000-000021000000}"/>
    <cellStyle name="Normal 16" xfId="32" xr:uid="{00000000-0005-0000-0000-000022000000}"/>
    <cellStyle name="Normal 17 2" xfId="33" xr:uid="{00000000-0005-0000-0000-000023000000}"/>
    <cellStyle name="Normal 2" xfId="34" xr:uid="{00000000-0005-0000-0000-000024000000}"/>
    <cellStyle name="Normal 2 10" xfId="35" xr:uid="{00000000-0005-0000-0000-000025000000}"/>
    <cellStyle name="Normal 2 11" xfId="36" xr:uid="{00000000-0005-0000-0000-000026000000}"/>
    <cellStyle name="Normal 2 11 2" xfId="37" xr:uid="{00000000-0005-0000-0000-000027000000}"/>
    <cellStyle name="Normal 2 16" xfId="38" xr:uid="{00000000-0005-0000-0000-000028000000}"/>
    <cellStyle name="Normal 2 17 3" xfId="39" xr:uid="{00000000-0005-0000-0000-000029000000}"/>
    <cellStyle name="Normal 2 2" xfId="40" xr:uid="{00000000-0005-0000-0000-00002A000000}"/>
    <cellStyle name="Normal 2 2 13" xfId="41" xr:uid="{00000000-0005-0000-0000-00002B000000}"/>
    <cellStyle name="Normal 2 2 3" xfId="42" xr:uid="{00000000-0005-0000-0000-00002C000000}"/>
    <cellStyle name="Normal 2 2 6" xfId="43" xr:uid="{00000000-0005-0000-0000-00002D000000}"/>
    <cellStyle name="Normal 3" xfId="44" xr:uid="{00000000-0005-0000-0000-00002E000000}"/>
    <cellStyle name="Normal 4" xfId="45" xr:uid="{00000000-0005-0000-0000-00002F000000}"/>
    <cellStyle name="Normal 5" xfId="3" xr:uid="{00000000-0005-0000-0000-000030000000}"/>
    <cellStyle name="Normal 5 4" xfId="46" xr:uid="{00000000-0005-0000-0000-000031000000}"/>
    <cellStyle name="Normal 6" xfId="47" xr:uid="{00000000-0005-0000-0000-000032000000}"/>
    <cellStyle name="Normal 7" xfId="53" xr:uid="{00000000-0005-0000-0000-000033000000}"/>
    <cellStyle name="Normal 8" xfId="48" xr:uid="{00000000-0005-0000-0000-000034000000}"/>
    <cellStyle name="Normal 9" xfId="54" xr:uid="{00000000-0005-0000-0000-000035000000}"/>
    <cellStyle name="Percent" xfId="58" builtinId="5"/>
    <cellStyle name="Percent 11" xfId="50" xr:uid="{00000000-0005-0000-0000-000036000000}"/>
    <cellStyle name="Percent 2" xfId="49" xr:uid="{00000000-0005-0000-0000-000037000000}"/>
    <cellStyle name="Percent 2 2 2" xfId="51" xr:uid="{00000000-0005-0000-0000-000038000000}"/>
    <cellStyle name="Percent 3 2 2" xfId="52" xr:uid="{00000000-0005-0000-0000-00003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 sz="1100" b="1">
                <a:solidFill>
                  <a:schemeClr val="bg1"/>
                </a:solidFill>
              </a:rPr>
              <a:t>EBITDA Margin %</a:t>
            </a:r>
          </a:p>
        </c:rich>
      </c:tx>
      <c:overlay val="0"/>
      <c:spPr>
        <a:solidFill>
          <a:srgbClr val="00206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2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'Historical Performance'!$C$4:$F$4</c:f>
              <c:numCache>
                <c:formatCode>"FY"\ 0\ "A"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'Historical Performance'!$C$33:$F$33</c:f>
              <c:numCache>
                <c:formatCode>0.00%</c:formatCode>
                <c:ptCount val="4"/>
                <c:pt idx="0">
                  <c:v>0.17524194679508179</c:v>
                </c:pt>
                <c:pt idx="1">
                  <c:v>-0.15077514383810459</c:v>
                </c:pt>
                <c:pt idx="2">
                  <c:v>0.14937488337376367</c:v>
                </c:pt>
                <c:pt idx="3">
                  <c:v>-0.21083702846442937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B3-4575-8D2D-3A0D59B26D6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13960872"/>
        <c:axId val="413961856"/>
      </c:barChart>
      <c:catAx>
        <c:axId val="4139608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b="1" i="1"/>
                  <a:t>Financial</a:t>
                </a:r>
                <a:r>
                  <a:rPr lang="en-IN" b="1" i="1" baseline="0"/>
                  <a:t> Year</a:t>
                </a:r>
                <a:endParaRPr lang="en-IN" b="1" i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FY&quot;\ 0\ &quot;A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3961856"/>
        <c:crosses val="autoZero"/>
        <c:auto val="1"/>
        <c:lblAlgn val="ctr"/>
        <c:lblOffset val="100"/>
        <c:noMultiLvlLbl val="0"/>
      </c:catAx>
      <c:valAx>
        <c:axId val="413961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b="1" i="1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3960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 sz="1100" b="1" i="0">
                <a:solidFill>
                  <a:schemeClr val="bg1"/>
                </a:solidFill>
              </a:rPr>
              <a:t>EBIT Margin %</a:t>
            </a:r>
          </a:p>
        </c:rich>
      </c:tx>
      <c:overlay val="0"/>
      <c:spPr>
        <a:solidFill>
          <a:srgbClr val="00206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2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'Historical Performance'!$C$4:$F$4</c:f>
              <c:numCache>
                <c:formatCode>"FY"\ 0\ "A"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'Historical Performance'!$C$34:$F$34</c:f>
              <c:numCache>
                <c:formatCode>0.00%</c:formatCode>
                <c:ptCount val="4"/>
                <c:pt idx="0">
                  <c:v>0.12131820094441088</c:v>
                </c:pt>
                <c:pt idx="1">
                  <c:v>-0.26361921278665101</c:v>
                </c:pt>
                <c:pt idx="2">
                  <c:v>1.9086716604910212E-2</c:v>
                </c:pt>
                <c:pt idx="3">
                  <c:v>-0.33262681559887142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4D-46CB-9201-62DA5289309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22551632"/>
        <c:axId val="422549008"/>
      </c:barChart>
      <c:catAx>
        <c:axId val="4225516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b="1" i="1"/>
                  <a:t>Financial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FY&quot;\ 0\ &quot;A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549008"/>
        <c:crosses val="autoZero"/>
        <c:auto val="1"/>
        <c:lblAlgn val="ctr"/>
        <c:lblOffset val="100"/>
        <c:noMultiLvlLbl val="0"/>
      </c:catAx>
      <c:valAx>
        <c:axId val="422549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b="1" i="1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551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 sz="1100" b="1" i="0">
                <a:solidFill>
                  <a:schemeClr val="bg1"/>
                </a:solidFill>
              </a:rPr>
              <a:t>Net Profit Margin</a:t>
            </a:r>
            <a:r>
              <a:rPr lang="en-IN" sz="1100" b="1" i="0" baseline="0">
                <a:solidFill>
                  <a:schemeClr val="bg1"/>
                </a:solidFill>
              </a:rPr>
              <a:t> %</a:t>
            </a:r>
            <a:endParaRPr lang="en-IN" sz="1100" b="1" i="0">
              <a:solidFill>
                <a:schemeClr val="bg1"/>
              </a:solidFill>
            </a:endParaRPr>
          </a:p>
        </c:rich>
      </c:tx>
      <c:overlay val="0"/>
      <c:spPr>
        <a:solidFill>
          <a:srgbClr val="00206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2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'Historical Performance'!$C$4:$F$4</c:f>
              <c:numCache>
                <c:formatCode>"FY"\ 0\ "A"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'Historical Performance'!$C$35:$F$35</c:f>
              <c:numCache>
                <c:formatCode>0.00%</c:formatCode>
                <c:ptCount val="4"/>
                <c:pt idx="0">
                  <c:v>-1.4902519986909157E-3</c:v>
                </c:pt>
                <c:pt idx="1">
                  <c:v>-1.501529195326873</c:v>
                </c:pt>
                <c:pt idx="2">
                  <c:v>-0.42765174739423673</c:v>
                </c:pt>
                <c:pt idx="3">
                  <c:v>-0.34210628974162255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8A-4A9B-BDC1-D06CC6CE4FA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23916208"/>
        <c:axId val="423921784"/>
      </c:barChart>
      <c:catAx>
        <c:axId val="423916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b="1" i="1"/>
                  <a:t>Financial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FY&quot;\ 0\ &quot;A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3921784"/>
        <c:crosses val="autoZero"/>
        <c:auto val="1"/>
        <c:lblAlgn val="ctr"/>
        <c:lblOffset val="100"/>
        <c:noMultiLvlLbl val="0"/>
      </c:catAx>
      <c:valAx>
        <c:axId val="423921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b="1" i="1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3916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 sz="1100" b="1">
                <a:solidFill>
                  <a:schemeClr val="bg1"/>
                </a:solidFill>
              </a:rPr>
              <a:t>Revenue Growth</a:t>
            </a:r>
            <a:r>
              <a:rPr lang="en-IN" sz="1100" b="1" baseline="0">
                <a:solidFill>
                  <a:schemeClr val="bg1"/>
                </a:solidFill>
              </a:rPr>
              <a:t> Rate</a:t>
            </a:r>
          </a:p>
          <a:p>
            <a:pPr>
              <a:defRPr/>
            </a:pPr>
            <a:r>
              <a:rPr lang="en-IN" sz="1100" b="1" baseline="0">
                <a:solidFill>
                  <a:schemeClr val="bg1"/>
                </a:solidFill>
              </a:rPr>
              <a:t>(Y.O.Y.)</a:t>
            </a:r>
            <a:endParaRPr lang="en-IN" sz="1100" b="1">
              <a:solidFill>
                <a:schemeClr val="bg1"/>
              </a:solidFill>
            </a:endParaRPr>
          </a:p>
        </c:rich>
      </c:tx>
      <c:overlay val="0"/>
      <c:spPr>
        <a:solidFill>
          <a:srgbClr val="00206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2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'Historical Performance'!$D$4:$F$4</c:f>
              <c:numCache>
                <c:formatCode>"FY"\ 0\ "A"</c:formatCode>
                <c:ptCount val="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</c:numCache>
            </c:numRef>
          </c:cat>
          <c:val>
            <c:numRef>
              <c:f>'Historical Performance'!$D$36:$F$36</c:f>
              <c:numCache>
                <c:formatCode>0.00%</c:formatCode>
                <c:ptCount val="3"/>
                <c:pt idx="0">
                  <c:v>-0.50126817523025857</c:v>
                </c:pt>
                <c:pt idx="1">
                  <c:v>-0.12084744372444012</c:v>
                </c:pt>
                <c:pt idx="2">
                  <c:v>2.5017993762162405E-2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F0-4FCB-B937-EE9155B19A7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17578744"/>
        <c:axId val="417571528"/>
      </c:barChart>
      <c:catAx>
        <c:axId val="4175787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b="1" i="1"/>
                  <a:t>Financial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FY&quot;\ 0\ &quot;A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7571528"/>
        <c:crosses val="autoZero"/>
        <c:auto val="1"/>
        <c:lblAlgn val="ctr"/>
        <c:lblOffset val="100"/>
        <c:noMultiLvlLbl val="0"/>
      </c:catAx>
      <c:valAx>
        <c:axId val="417571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b="1" i="1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7578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36</xdr:row>
      <xdr:rowOff>152400</xdr:rowOff>
    </xdr:from>
    <xdr:to>
      <xdr:col>4</xdr:col>
      <xdr:colOff>133350</xdr:colOff>
      <xdr:row>51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54E8B66-0AC5-D292-1451-1ACEF692D7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138112</xdr:colOff>
      <xdr:row>36</xdr:row>
      <xdr:rowOff>114300</xdr:rowOff>
    </xdr:from>
    <xdr:to>
      <xdr:col>12</xdr:col>
      <xdr:colOff>61912</xdr:colOff>
      <xdr:row>51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4FBF713-A423-1976-71ED-5CF962C932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42861</xdr:colOff>
      <xdr:row>51</xdr:row>
      <xdr:rowOff>133349</xdr:rowOff>
    </xdr:from>
    <xdr:to>
      <xdr:col>5</xdr:col>
      <xdr:colOff>419099</xdr:colOff>
      <xdr:row>71</xdr:row>
      <xdr:rowOff>85724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9414870-6357-8EB3-1C94-3526233B76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514350</xdr:colOff>
      <xdr:row>52</xdr:row>
      <xdr:rowOff>76200</xdr:rowOff>
    </xdr:from>
    <xdr:to>
      <xdr:col>12</xdr:col>
      <xdr:colOff>438150</xdr:colOff>
      <xdr:row>66</xdr:row>
      <xdr:rowOff>152400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D88295B-4A7E-F04A-39B9-962FCD4B54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lance%20Shee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2/Desktop/VIS(2022-23)-PL115-O97-184-%20Ms.%20Sintex%20BAPL%20Limited/Sintex%20Summa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B3">
            <v>1683.73</v>
          </cell>
          <cell r="C3">
            <v>842.41</v>
          </cell>
          <cell r="D3">
            <v>709.08</v>
          </cell>
          <cell r="E3">
            <v>761.04</v>
          </cell>
        </row>
        <row r="4">
          <cell r="A4" t="str">
            <v>Other income</v>
          </cell>
          <cell r="B4">
            <v>27.39</v>
          </cell>
          <cell r="C4">
            <v>10.98</v>
          </cell>
          <cell r="D4">
            <v>41.18</v>
          </cell>
          <cell r="E4">
            <v>7.99</v>
          </cell>
        </row>
        <row r="5">
          <cell r="B5">
            <v>1711.1200000000001</v>
          </cell>
          <cell r="C5">
            <v>853.39</v>
          </cell>
          <cell r="D5">
            <v>750.26</v>
          </cell>
          <cell r="E5">
            <v>769.03</v>
          </cell>
        </row>
        <row r="7">
          <cell r="A7" t="str">
            <v>Cost of materials consumed</v>
          </cell>
          <cell r="B7">
            <v>867</v>
          </cell>
          <cell r="C7">
            <v>473.16</v>
          </cell>
          <cell r="D7">
            <v>357.52</v>
          </cell>
          <cell r="E7">
            <v>406.22</v>
          </cell>
        </row>
        <row r="8">
          <cell r="A8" t="str">
            <v>Purchases of stock-in-trade</v>
          </cell>
          <cell r="B8">
            <v>3.93</v>
          </cell>
          <cell r="C8" t="str">
            <v>-</v>
          </cell>
          <cell r="D8" t="str">
            <v>-</v>
          </cell>
          <cell r="E8" t="str">
            <v>-</v>
          </cell>
        </row>
        <row r="9">
          <cell r="A9" t="str">
            <v>Changes in inventories of finished goods, stock-in-trade and work</v>
          </cell>
          <cell r="B9">
            <v>-5.58</v>
          </cell>
          <cell r="C9">
            <v>128.91</v>
          </cell>
          <cell r="D9">
            <v>7.84</v>
          </cell>
          <cell r="E9">
            <v>2.64</v>
          </cell>
        </row>
        <row r="10">
          <cell r="A10" t="str">
            <v>in-progress</v>
          </cell>
        </row>
        <row r="11">
          <cell r="A11" t="str">
            <v>Employee benefits expense</v>
          </cell>
          <cell r="B11">
            <v>142.32</v>
          </cell>
          <cell r="C11">
            <v>133.27000000000001</v>
          </cell>
          <cell r="D11">
            <v>108.78</v>
          </cell>
          <cell r="E11">
            <v>110.63</v>
          </cell>
        </row>
        <row r="12">
          <cell r="A12" t="str">
            <v>Finance costs</v>
          </cell>
          <cell r="B12">
            <v>220.76</v>
          </cell>
          <cell r="C12">
            <v>278.55</v>
          </cell>
          <cell r="D12">
            <v>335.16</v>
          </cell>
          <cell r="E12">
            <v>7.45</v>
          </cell>
        </row>
        <row r="13">
          <cell r="A13" t="str">
            <v>Depreciation and amortisation expenses</v>
          </cell>
          <cell r="B13">
            <v>92.27</v>
          </cell>
          <cell r="C13">
            <v>96.3</v>
          </cell>
          <cell r="D13">
            <v>97.75</v>
          </cell>
          <cell r="E13">
            <v>93.66</v>
          </cell>
        </row>
        <row r="14">
          <cell r="A14" t="str">
            <v>Other expenses</v>
          </cell>
          <cell r="B14">
            <v>403.59</v>
          </cell>
          <cell r="C14">
            <v>246.72</v>
          </cell>
          <cell r="D14">
            <v>164.05</v>
          </cell>
          <cell r="E14">
            <v>411.68</v>
          </cell>
        </row>
        <row r="15">
          <cell r="A15" t="str">
            <v>Total expenses</v>
          </cell>
        </row>
        <row r="17">
          <cell r="A17" t="str">
            <v>Prior Period  items</v>
          </cell>
          <cell r="B17">
            <v>0</v>
          </cell>
          <cell r="C17">
            <v>89.07</v>
          </cell>
          <cell r="D17" t="str">
            <v>-</v>
          </cell>
          <cell r="E17" t="str">
            <v>-</v>
          </cell>
        </row>
        <row r="18">
          <cell r="A18" t="str">
            <v>Exceptional  items</v>
          </cell>
          <cell r="B18">
            <v>0</v>
          </cell>
          <cell r="C18">
            <v>800</v>
          </cell>
          <cell r="D18" t="str">
            <v>-</v>
          </cell>
          <cell r="E18" t="str">
            <v>-</v>
          </cell>
        </row>
        <row r="19">
          <cell r="A19" t="str">
            <v>Profit before tax</v>
          </cell>
          <cell r="B19">
            <v>-13.17</v>
          </cell>
          <cell r="C19">
            <v>-1392.59</v>
          </cell>
          <cell r="D19">
            <v>-320.83999999999997</v>
          </cell>
          <cell r="E19">
            <v>-263.25</v>
          </cell>
        </row>
        <row r="25">
          <cell r="B25">
            <v>-12.38</v>
          </cell>
          <cell r="C25">
            <v>-111.79</v>
          </cell>
          <cell r="D25">
            <v>0.78</v>
          </cell>
          <cell r="E25">
            <v>0.44</v>
          </cell>
        </row>
        <row r="26">
          <cell r="A26" t="str">
            <v>Profit for the year</v>
          </cell>
          <cell r="B26">
            <v>-0.78999999999999915</v>
          </cell>
          <cell r="C26">
            <v>-1280.8</v>
          </cell>
          <cell r="D26">
            <v>-321.62</v>
          </cell>
          <cell r="E26">
            <v>-263.69</v>
          </cell>
        </row>
        <row r="32">
          <cell r="A32" t="str">
            <v>Other comprehensive  income for the year, net of tax</v>
          </cell>
          <cell r="B32">
            <v>-1.76</v>
          </cell>
          <cell r="C32">
            <v>-0.59</v>
          </cell>
          <cell r="D32">
            <v>0.77</v>
          </cell>
          <cell r="E32">
            <v>0.6</v>
          </cell>
        </row>
        <row r="33">
          <cell r="A33" t="str">
            <v>Total comprehensive  income for the year</v>
          </cell>
          <cell r="B33">
            <v>-2.5499999999999998</v>
          </cell>
          <cell r="C33">
            <v>-1281.3900000000001</v>
          </cell>
          <cell r="D33">
            <v>-320.85000000000002</v>
          </cell>
          <cell r="E33">
            <v>-263.08999999999997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 (2)"/>
      <sheetName val="Sheet1"/>
    </sheetNames>
    <sheetDataSet>
      <sheetData sheetId="0"/>
      <sheetData sheetId="1">
        <row r="24">
          <cell r="O24">
            <v>12035217667.165167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D0070-6BC2-46C9-B008-6B609E1D5727}">
  <dimension ref="B2:G36"/>
  <sheetViews>
    <sheetView showGridLines="0" topLeftCell="A25" workbookViewId="0">
      <selection activeCell="K24" sqref="K24"/>
    </sheetView>
  </sheetViews>
  <sheetFormatPr defaultRowHeight="15"/>
  <cols>
    <col min="1" max="1" width="5" customWidth="1"/>
    <col min="2" max="2" width="37.5703125" customWidth="1"/>
    <col min="3" max="6" width="14.85546875" customWidth="1"/>
  </cols>
  <sheetData>
    <row r="2" spans="2:7" ht="15.75">
      <c r="B2" s="16" t="s">
        <v>68</v>
      </c>
      <c r="C2" s="16"/>
      <c r="D2" s="16"/>
      <c r="E2" s="16"/>
      <c r="F2" s="16"/>
    </row>
    <row r="3" spans="2:7" ht="9" customHeight="1"/>
    <row r="4" spans="2:7">
      <c r="B4" s="18" t="s">
        <v>71</v>
      </c>
      <c r="C4" s="29">
        <v>2019</v>
      </c>
      <c r="D4" s="29">
        <f>C4+1</f>
        <v>2020</v>
      </c>
      <c r="E4" s="29">
        <f t="shared" ref="E4:F4" si="0">D4+1</f>
        <v>2021</v>
      </c>
      <c r="F4" s="29">
        <f t="shared" si="0"/>
        <v>2022</v>
      </c>
      <c r="G4" s="17"/>
    </row>
    <row r="5" spans="2:7">
      <c r="B5" t="s">
        <v>70</v>
      </c>
      <c r="C5" s="24">
        <f>[1]Sheet1!B3</f>
        <v>1683.73</v>
      </c>
      <c r="D5" s="24">
        <f>[1]Sheet1!C3</f>
        <v>842.41</v>
      </c>
      <c r="E5" s="24">
        <f>[1]Sheet1!D3</f>
        <v>709.08</v>
      </c>
      <c r="F5" s="24">
        <f>[1]Sheet1!E3</f>
        <v>761.04</v>
      </c>
    </row>
    <row r="6" spans="2:7">
      <c r="B6" t="str">
        <f>[1]Sheet1!A4</f>
        <v>Other income</v>
      </c>
      <c r="C6" s="24">
        <f>[1]Sheet1!B4</f>
        <v>27.39</v>
      </c>
      <c r="D6" s="24">
        <f>[1]Sheet1!C4</f>
        <v>10.98</v>
      </c>
      <c r="E6" s="24">
        <f>[1]Sheet1!D4</f>
        <v>41.18</v>
      </c>
      <c r="F6" s="24">
        <f>[1]Sheet1!E4</f>
        <v>7.99</v>
      </c>
    </row>
    <row r="7" spans="2:7">
      <c r="B7" s="20" t="s">
        <v>90</v>
      </c>
      <c r="C7" s="25">
        <f>[1]Sheet1!B5</f>
        <v>1711.1200000000001</v>
      </c>
      <c r="D7" s="25">
        <f>[1]Sheet1!C5</f>
        <v>853.39</v>
      </c>
      <c r="E7" s="25">
        <f>[1]Sheet1!D5</f>
        <v>750.26</v>
      </c>
      <c r="F7" s="25">
        <f>[1]Sheet1!E5</f>
        <v>769.03</v>
      </c>
    </row>
    <row r="8" spans="2:7">
      <c r="B8" s="1"/>
      <c r="C8" s="24"/>
      <c r="D8" s="24"/>
      <c r="E8" s="24"/>
      <c r="F8" s="24"/>
    </row>
    <row r="9" spans="2:7">
      <c r="B9" t="str">
        <f>[1]Sheet1!A7</f>
        <v>Cost of materials consumed</v>
      </c>
      <c r="C9" s="24">
        <f>[1]Sheet1!B7</f>
        <v>867</v>
      </c>
      <c r="D9" s="24">
        <f>[1]Sheet1!C7</f>
        <v>473.16</v>
      </c>
      <c r="E9" s="24">
        <f>[1]Sheet1!D7</f>
        <v>357.52</v>
      </c>
      <c r="F9" s="24">
        <f>[1]Sheet1!E7</f>
        <v>406.22</v>
      </c>
    </row>
    <row r="10" spans="2:7">
      <c r="B10" t="str">
        <f>[1]Sheet1!A8</f>
        <v>Purchases of stock-in-trade</v>
      </c>
      <c r="C10" s="24">
        <f>[1]Sheet1!B8</f>
        <v>3.93</v>
      </c>
      <c r="D10" s="24" t="str">
        <f>[1]Sheet1!C8</f>
        <v>-</v>
      </c>
      <c r="E10" s="24" t="str">
        <f>[1]Sheet1!D8</f>
        <v>-</v>
      </c>
      <c r="F10" s="24" t="str">
        <f>[1]Sheet1!E8</f>
        <v>-</v>
      </c>
    </row>
    <row r="11" spans="2:7">
      <c r="B11" t="str">
        <f>[1]Sheet1!A9</f>
        <v>Changes in inventories of finished goods, stock-in-trade and work</v>
      </c>
      <c r="C11" s="24">
        <f>[1]Sheet1!B9</f>
        <v>-5.58</v>
      </c>
      <c r="D11" s="24">
        <f>[1]Sheet1!C9</f>
        <v>128.91</v>
      </c>
      <c r="E11" s="24">
        <f>[1]Sheet1!D9</f>
        <v>7.84</v>
      </c>
      <c r="F11" s="24">
        <f>[1]Sheet1!E9</f>
        <v>2.64</v>
      </c>
    </row>
    <row r="12" spans="2:7">
      <c r="B12" t="str">
        <f>[1]Sheet1!A10</f>
        <v>in-progress</v>
      </c>
      <c r="C12" s="24">
        <f>[1]Sheet1!B10</f>
        <v>0</v>
      </c>
      <c r="D12" s="24">
        <f>[1]Sheet1!C10</f>
        <v>0</v>
      </c>
      <c r="E12" s="24">
        <f>[1]Sheet1!D10</f>
        <v>0</v>
      </c>
      <c r="F12" s="24">
        <f>[1]Sheet1!E10</f>
        <v>0</v>
      </c>
    </row>
    <row r="13" spans="2:7">
      <c r="B13" t="str">
        <f>[1]Sheet1!A11</f>
        <v>Employee benefits expense</v>
      </c>
      <c r="C13" s="24">
        <f>[1]Sheet1!B11</f>
        <v>142.32</v>
      </c>
      <c r="D13" s="24">
        <f>[1]Sheet1!C11</f>
        <v>133.27000000000001</v>
      </c>
      <c r="E13" s="24">
        <f>[1]Sheet1!D11</f>
        <v>108.78</v>
      </c>
      <c r="F13" s="24">
        <f>[1]Sheet1!E11</f>
        <v>110.63</v>
      </c>
    </row>
    <row r="14" spans="2:7">
      <c r="B14" t="str">
        <f>[1]Sheet1!A14</f>
        <v>Other expenses</v>
      </c>
      <c r="C14" s="24">
        <f>[1]Sheet1!B14</f>
        <v>403.59</v>
      </c>
      <c r="D14" s="24">
        <f>[1]Sheet1!C14</f>
        <v>246.72</v>
      </c>
      <c r="E14" s="24">
        <f>[1]Sheet1!D14</f>
        <v>164.05</v>
      </c>
      <c r="F14" s="24">
        <f>[1]Sheet1!E14</f>
        <v>411.68</v>
      </c>
    </row>
    <row r="15" spans="2:7">
      <c r="B15" s="20" t="str">
        <f>[1]Sheet1!A15</f>
        <v>Total expenses</v>
      </c>
      <c r="C15" s="25">
        <f>SUM(C9:C14)</f>
        <v>1411.2599999999998</v>
      </c>
      <c r="D15" s="25">
        <f t="shared" ref="D15:F15" si="1">SUM(D9:D14)</f>
        <v>982.06000000000006</v>
      </c>
      <c r="E15" s="25">
        <f t="shared" si="1"/>
        <v>638.19000000000005</v>
      </c>
      <c r="F15" s="25">
        <f t="shared" si="1"/>
        <v>931.17000000000007</v>
      </c>
    </row>
    <row r="16" spans="2:7">
      <c r="B16" s="21"/>
      <c r="C16" s="26"/>
      <c r="D16" s="26"/>
      <c r="E16" s="26"/>
      <c r="F16" s="26"/>
    </row>
    <row r="17" spans="2:6">
      <c r="B17" s="20" t="s">
        <v>72</v>
      </c>
      <c r="C17" s="25">
        <f>C7-C15</f>
        <v>299.86000000000035</v>
      </c>
      <c r="D17" s="25">
        <f t="shared" ref="D17:F17" si="2">D7-D15</f>
        <v>-128.67000000000007</v>
      </c>
      <c r="E17" s="25">
        <f t="shared" si="2"/>
        <v>112.06999999999994</v>
      </c>
      <c r="F17" s="25">
        <f t="shared" si="2"/>
        <v>-162.1400000000001</v>
      </c>
    </row>
    <row r="18" spans="2:6">
      <c r="B18" t="str">
        <f>[1]Sheet1!A13</f>
        <v>Depreciation and amortisation expenses</v>
      </c>
      <c r="C18" s="24">
        <f>[1]Sheet1!B13</f>
        <v>92.27</v>
      </c>
      <c r="D18" s="24">
        <f>[1]Sheet1!C13</f>
        <v>96.3</v>
      </c>
      <c r="E18" s="24">
        <f>[1]Sheet1!D13</f>
        <v>97.75</v>
      </c>
      <c r="F18" s="24">
        <f>[1]Sheet1!E13</f>
        <v>93.66</v>
      </c>
    </row>
    <row r="19" spans="2:6">
      <c r="C19" s="24"/>
      <c r="D19" s="24"/>
      <c r="E19" s="24"/>
      <c r="F19" s="24"/>
    </row>
    <row r="20" spans="2:6">
      <c r="B20" s="20" t="s">
        <v>73</v>
      </c>
      <c r="C20" s="25">
        <f>C17-C18</f>
        <v>207.59000000000037</v>
      </c>
      <c r="D20" s="25">
        <f t="shared" ref="D20:F20" si="3">D17-D18</f>
        <v>-224.97000000000008</v>
      </c>
      <c r="E20" s="25">
        <f t="shared" si="3"/>
        <v>14.319999999999936</v>
      </c>
      <c r="F20" s="25">
        <f t="shared" si="3"/>
        <v>-255.8000000000001</v>
      </c>
    </row>
    <row r="21" spans="2:6">
      <c r="B21" t="str">
        <f>[1]Sheet1!A12</f>
        <v>Finance costs</v>
      </c>
      <c r="C21" s="24">
        <f>[1]Sheet1!B12</f>
        <v>220.76</v>
      </c>
      <c r="D21" s="24">
        <f>[1]Sheet1!C12</f>
        <v>278.55</v>
      </c>
      <c r="E21" s="24">
        <f>[1]Sheet1!D12</f>
        <v>335.16</v>
      </c>
      <c r="F21" s="24">
        <f>[1]Sheet1!E12</f>
        <v>7.45</v>
      </c>
    </row>
    <row r="22" spans="2:6">
      <c r="B22" t="str">
        <f>[1]Sheet1!A17</f>
        <v>Prior Period  items</v>
      </c>
      <c r="C22" s="24">
        <f>[1]Sheet1!B17</f>
        <v>0</v>
      </c>
      <c r="D22" s="24">
        <f>[1]Sheet1!C17</f>
        <v>89.07</v>
      </c>
      <c r="E22" s="24" t="str">
        <f>[1]Sheet1!D17</f>
        <v>-</v>
      </c>
      <c r="F22" s="24" t="str">
        <f>[1]Sheet1!E17</f>
        <v>-</v>
      </c>
    </row>
    <row r="23" spans="2:6">
      <c r="B23" t="str">
        <f>[1]Sheet1!A18</f>
        <v>Exceptional  items</v>
      </c>
      <c r="C23" s="24">
        <f>[1]Sheet1!B18</f>
        <v>0</v>
      </c>
      <c r="D23" s="24">
        <f>[1]Sheet1!C18</f>
        <v>800</v>
      </c>
      <c r="E23" s="24" t="str">
        <f>[1]Sheet1!D18</f>
        <v>-</v>
      </c>
      <c r="F23" s="24" t="str">
        <f>[1]Sheet1!E18</f>
        <v>-</v>
      </c>
    </row>
    <row r="24" spans="2:6">
      <c r="C24" s="24"/>
      <c r="D24" s="24"/>
      <c r="E24" s="24"/>
      <c r="F24" s="24"/>
    </row>
    <row r="25" spans="2:6">
      <c r="B25" s="20" t="str">
        <f>[1]Sheet1!A19</f>
        <v>Profit before tax</v>
      </c>
      <c r="C25" s="25">
        <f>[1]Sheet1!B19</f>
        <v>-13.17</v>
      </c>
      <c r="D25" s="25">
        <f>[1]Sheet1!C19</f>
        <v>-1392.59</v>
      </c>
      <c r="E25" s="25">
        <f>[1]Sheet1!D19</f>
        <v>-320.83999999999997</v>
      </c>
      <c r="F25" s="25">
        <f>[1]Sheet1!E19</f>
        <v>-263.25</v>
      </c>
    </row>
    <row r="26" spans="2:6">
      <c r="B26" t="s">
        <v>74</v>
      </c>
      <c r="C26" s="24">
        <f>[1]Sheet1!B25</f>
        <v>-12.38</v>
      </c>
      <c r="D26" s="24">
        <f>[1]Sheet1!C25</f>
        <v>-111.79</v>
      </c>
      <c r="E26" s="24">
        <f>[1]Sheet1!D25</f>
        <v>0.78</v>
      </c>
      <c r="F26" s="24">
        <f>[1]Sheet1!E25</f>
        <v>0.44</v>
      </c>
    </row>
    <row r="27" spans="2:6">
      <c r="C27" s="27"/>
      <c r="D27" s="27"/>
      <c r="E27" s="27"/>
      <c r="F27" s="27"/>
    </row>
    <row r="28" spans="2:6">
      <c r="B28" s="20" t="str">
        <f>[1]Sheet1!A26</f>
        <v>Profit for the year</v>
      </c>
      <c r="C28" s="25">
        <f>[1]Sheet1!B26</f>
        <v>-0.78999999999999915</v>
      </c>
      <c r="D28" s="25">
        <f>[1]Sheet1!C26</f>
        <v>-1280.8</v>
      </c>
      <c r="E28" s="25">
        <f>[1]Sheet1!D26</f>
        <v>-321.62</v>
      </c>
      <c r="F28" s="25">
        <f>[1]Sheet1!E26</f>
        <v>-263.69</v>
      </c>
    </row>
    <row r="29" spans="2:6">
      <c r="B29" t="str">
        <f>[1]Sheet1!A32</f>
        <v>Other comprehensive  income for the year, net of tax</v>
      </c>
      <c r="C29" s="24">
        <f>[1]Sheet1!B32</f>
        <v>-1.76</v>
      </c>
      <c r="D29" s="24">
        <f>[1]Sheet1!C32</f>
        <v>-0.59</v>
      </c>
      <c r="E29" s="24">
        <f>[1]Sheet1!D32</f>
        <v>0.77</v>
      </c>
      <c r="F29" s="24">
        <f>[1]Sheet1!E32</f>
        <v>0.6</v>
      </c>
    </row>
    <row r="30" spans="2:6">
      <c r="C30" s="19"/>
      <c r="D30" s="19"/>
      <c r="E30" s="19"/>
      <c r="F30" s="19"/>
    </row>
    <row r="31" spans="2:6">
      <c r="B31" s="20" t="str">
        <f>[1]Sheet1!A33</f>
        <v>Total comprehensive  income for the year</v>
      </c>
      <c r="C31" s="25">
        <f>[1]Sheet1!B33</f>
        <v>-2.5499999999999998</v>
      </c>
      <c r="D31" s="25">
        <f>[1]Sheet1!C33</f>
        <v>-1281.3900000000001</v>
      </c>
      <c r="E31" s="25">
        <f>[1]Sheet1!D33</f>
        <v>-320.85000000000002</v>
      </c>
      <c r="F31" s="25">
        <f>[1]Sheet1!E33</f>
        <v>-263.08999999999997</v>
      </c>
    </row>
    <row r="32" spans="2:6">
      <c r="C32" s="24"/>
      <c r="D32" s="24"/>
      <c r="E32" s="24"/>
      <c r="F32" s="24"/>
    </row>
    <row r="33" spans="2:6">
      <c r="B33" t="s">
        <v>86</v>
      </c>
      <c r="C33" s="28">
        <f>C17/C7</f>
        <v>0.17524194679508179</v>
      </c>
      <c r="D33" s="28">
        <f t="shared" ref="D33:F33" si="4">D17/D7</f>
        <v>-0.15077514383810459</v>
      </c>
      <c r="E33" s="28">
        <f t="shared" si="4"/>
        <v>0.14937488337376367</v>
      </c>
      <c r="F33" s="28">
        <f t="shared" si="4"/>
        <v>-0.21083702846442937</v>
      </c>
    </row>
    <row r="34" spans="2:6">
      <c r="B34" t="s">
        <v>87</v>
      </c>
      <c r="C34" s="28">
        <f>C20/C7</f>
        <v>0.12131820094441088</v>
      </c>
      <c r="D34" s="28">
        <f t="shared" ref="D34:F34" si="5">D20/D7</f>
        <v>-0.26361921278665101</v>
      </c>
      <c r="E34" s="28">
        <f t="shared" si="5"/>
        <v>1.9086716604910212E-2</v>
      </c>
      <c r="F34" s="28">
        <f t="shared" si="5"/>
        <v>-0.33262681559887142</v>
      </c>
    </row>
    <row r="35" spans="2:6">
      <c r="B35" t="s">
        <v>88</v>
      </c>
      <c r="C35" s="28">
        <f>C31/C7</f>
        <v>-1.4902519986909157E-3</v>
      </c>
      <c r="D35" s="28">
        <f t="shared" ref="D35:F35" si="6">D31/D7</f>
        <v>-1.501529195326873</v>
      </c>
      <c r="E35" s="28">
        <f t="shared" si="6"/>
        <v>-0.42765174739423673</v>
      </c>
      <c r="F35" s="28">
        <f t="shared" si="6"/>
        <v>-0.34210628974162255</v>
      </c>
    </row>
    <row r="36" spans="2:6">
      <c r="B36" t="s">
        <v>89</v>
      </c>
      <c r="C36" s="28"/>
      <c r="D36" s="28">
        <f>D7/C7-1</f>
        <v>-0.50126817523025857</v>
      </c>
      <c r="E36" s="28">
        <f t="shared" ref="E36:F36" si="7">E7/D7-1</f>
        <v>-0.12084744372444012</v>
      </c>
      <c r="F36" s="28">
        <f t="shared" si="7"/>
        <v>2.5017993762162405E-2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M103"/>
  <sheetViews>
    <sheetView showGridLines="0" tabSelected="1" topLeftCell="A49" workbookViewId="0">
      <selection activeCell="D22" sqref="D22"/>
    </sheetView>
  </sheetViews>
  <sheetFormatPr defaultRowHeight="15"/>
  <cols>
    <col min="1" max="1" width="3.85546875" customWidth="1"/>
    <col min="2" max="2" width="46.42578125" bestFit="1" customWidth="1"/>
    <col min="3" max="3" width="16.28515625" customWidth="1"/>
    <col min="4" max="4" width="18" customWidth="1"/>
    <col min="5" max="5" width="11.85546875" style="27" customWidth="1"/>
    <col min="6" max="6" width="10.5703125" customWidth="1"/>
    <col min="7" max="7" width="24.5703125" customWidth="1"/>
    <col min="8" max="8" width="11.42578125" customWidth="1"/>
    <col min="9" max="9" width="11.7109375" bestFit="1" customWidth="1"/>
    <col min="10" max="10" width="12" customWidth="1"/>
  </cols>
  <sheetData>
    <row r="2" spans="2:5" ht="22.5" customHeight="1">
      <c r="B2" s="16" t="s">
        <v>68</v>
      </c>
      <c r="C2" s="16"/>
      <c r="D2" s="16"/>
      <c r="E2" s="37"/>
    </row>
    <row r="3" spans="2:5" ht="35.25" customHeight="1">
      <c r="B3" s="11" t="s">
        <v>1</v>
      </c>
      <c r="C3" s="23" t="s">
        <v>69</v>
      </c>
      <c r="D3" s="23" t="s">
        <v>92</v>
      </c>
      <c r="E3" s="22" t="s">
        <v>91</v>
      </c>
    </row>
    <row r="4" spans="2:5">
      <c r="B4" s="1" t="s">
        <v>2</v>
      </c>
      <c r="D4" s="27"/>
    </row>
    <row r="5" spans="2:5">
      <c r="B5" t="s">
        <v>3</v>
      </c>
      <c r="C5" s="32">
        <v>1546.25</v>
      </c>
      <c r="D5" s="24">
        <f>[2]Sheet1!$O$24/10^7</f>
        <v>1203.5217667165166</v>
      </c>
      <c r="E5" s="24"/>
    </row>
    <row r="6" spans="2:5">
      <c r="B6" t="s">
        <v>4</v>
      </c>
      <c r="C6" s="32">
        <v>2.34</v>
      </c>
      <c r="D6" s="24">
        <f t="shared" ref="D6:D15" si="0">C6*E6</f>
        <v>0</v>
      </c>
      <c r="E6" s="24">
        <v>0</v>
      </c>
    </row>
    <row r="7" spans="2:5">
      <c r="B7" t="s">
        <v>42</v>
      </c>
      <c r="C7" s="32">
        <v>19.399999999999999</v>
      </c>
      <c r="D7" s="24">
        <f t="shared" si="0"/>
        <v>0</v>
      </c>
      <c r="E7" s="24">
        <v>0</v>
      </c>
    </row>
    <row r="8" spans="2:5">
      <c r="B8" t="s">
        <v>75</v>
      </c>
      <c r="C8" s="32">
        <v>704.9</v>
      </c>
      <c r="D8" s="24">
        <f t="shared" si="0"/>
        <v>0</v>
      </c>
      <c r="E8" s="24">
        <v>0</v>
      </c>
    </row>
    <row r="9" spans="2:5">
      <c r="B9" t="s">
        <v>56</v>
      </c>
      <c r="C9" s="32">
        <v>12.82</v>
      </c>
      <c r="D9" s="24">
        <f t="shared" si="0"/>
        <v>6.41</v>
      </c>
      <c r="E9" s="24">
        <v>0.5</v>
      </c>
    </row>
    <row r="10" spans="2:5">
      <c r="B10" s="8" t="s">
        <v>6</v>
      </c>
      <c r="C10" s="32"/>
      <c r="D10" s="24">
        <f t="shared" si="0"/>
        <v>0</v>
      </c>
      <c r="E10" s="24"/>
    </row>
    <row r="11" spans="2:5">
      <c r="B11" s="42" t="s">
        <v>58</v>
      </c>
      <c r="C11" s="32">
        <v>109.85</v>
      </c>
      <c r="D11" s="24">
        <f t="shared" si="0"/>
        <v>0</v>
      </c>
      <c r="E11" s="32">
        <v>0</v>
      </c>
    </row>
    <row r="12" spans="2:5">
      <c r="B12" s="42" t="s">
        <v>54</v>
      </c>
      <c r="C12" s="32">
        <v>0</v>
      </c>
      <c r="D12" s="24">
        <f t="shared" si="0"/>
        <v>0</v>
      </c>
      <c r="E12" s="32">
        <v>0</v>
      </c>
    </row>
    <row r="13" spans="2:5">
      <c r="B13" s="41" t="s">
        <v>7</v>
      </c>
      <c r="C13" s="32">
        <v>10.94</v>
      </c>
      <c r="D13" s="24">
        <f t="shared" si="0"/>
        <v>2.1880000000000002</v>
      </c>
      <c r="E13" s="32">
        <v>0.2</v>
      </c>
    </row>
    <row r="14" spans="2:5">
      <c r="B14" t="s">
        <v>8</v>
      </c>
      <c r="C14" s="32">
        <v>90.44</v>
      </c>
      <c r="D14" s="24">
        <f t="shared" si="0"/>
        <v>90.44</v>
      </c>
      <c r="E14" s="32">
        <v>1</v>
      </c>
    </row>
    <row r="15" spans="2:5">
      <c r="B15" t="s">
        <v>57</v>
      </c>
      <c r="C15" s="32">
        <v>4.05</v>
      </c>
      <c r="D15" s="24">
        <f t="shared" si="0"/>
        <v>3.24</v>
      </c>
      <c r="E15" s="32">
        <v>0.8</v>
      </c>
    </row>
    <row r="16" spans="2:5">
      <c r="B16" s="11" t="s">
        <v>66</v>
      </c>
      <c r="C16" s="33">
        <f>SUM(C5:C15)</f>
        <v>2500.9900000000002</v>
      </c>
      <c r="D16" s="38">
        <f>SUM(D5:D15)</f>
        <v>1305.7997667165168</v>
      </c>
      <c r="E16" s="38"/>
    </row>
    <row r="17" spans="2:5">
      <c r="C17" s="32"/>
      <c r="D17" s="24"/>
      <c r="E17" s="24"/>
    </row>
    <row r="18" spans="2:5">
      <c r="B18" s="12" t="s">
        <v>10</v>
      </c>
      <c r="C18" s="32"/>
      <c r="D18" s="24"/>
      <c r="E18" s="24"/>
    </row>
    <row r="19" spans="2:5">
      <c r="B19" t="s">
        <v>11</v>
      </c>
      <c r="C19" s="32">
        <v>99.31</v>
      </c>
      <c r="D19" s="24">
        <f>C19*E19</f>
        <v>79.448000000000008</v>
      </c>
      <c r="E19" s="24">
        <v>0.8</v>
      </c>
    </row>
    <row r="20" spans="2:5">
      <c r="B20" s="8" t="s">
        <v>6</v>
      </c>
      <c r="C20" s="32"/>
      <c r="D20" s="24"/>
      <c r="E20" s="24"/>
    </row>
    <row r="21" spans="2:5">
      <c r="B21" s="40" t="s">
        <v>94</v>
      </c>
      <c r="C21" s="32">
        <v>0</v>
      </c>
      <c r="D21" s="24">
        <f>C21*E21</f>
        <v>0</v>
      </c>
      <c r="E21" s="24">
        <v>0.8</v>
      </c>
    </row>
    <row r="22" spans="2:5">
      <c r="B22" s="39" t="s">
        <v>12</v>
      </c>
      <c r="C22" s="32">
        <v>72.17</v>
      </c>
      <c r="D22" s="24">
        <f>D103</f>
        <v>67.5</v>
      </c>
      <c r="E22" s="24"/>
    </row>
    <row r="23" spans="2:5">
      <c r="B23" s="39" t="s">
        <v>13</v>
      </c>
      <c r="C23" s="32">
        <v>149.5</v>
      </c>
      <c r="D23" s="24">
        <f t="shared" ref="D23:D27" si="1">C23*E23</f>
        <v>149.5</v>
      </c>
      <c r="E23" s="24">
        <v>1</v>
      </c>
    </row>
    <row r="24" spans="2:5">
      <c r="B24" s="39" t="s">
        <v>53</v>
      </c>
      <c r="C24" s="32">
        <v>80.06</v>
      </c>
      <c r="D24" s="24">
        <f t="shared" si="1"/>
        <v>80.06</v>
      </c>
      <c r="E24" s="24">
        <v>1</v>
      </c>
    </row>
    <row r="25" spans="2:5">
      <c r="B25" s="39" t="s">
        <v>54</v>
      </c>
      <c r="C25" s="32">
        <f>0.35/100</f>
        <v>3.4999999999999996E-3</v>
      </c>
      <c r="D25" s="24">
        <f t="shared" si="1"/>
        <v>2.8E-3</v>
      </c>
      <c r="E25" s="24">
        <v>0.8</v>
      </c>
    </row>
    <row r="26" spans="2:5">
      <c r="B26" s="39" t="s">
        <v>7</v>
      </c>
      <c r="C26" s="32">
        <v>123.55</v>
      </c>
      <c r="D26" s="24">
        <f>D83</f>
        <v>117.83799999999999</v>
      </c>
      <c r="E26" s="24"/>
    </row>
    <row r="27" spans="2:5">
      <c r="B27" t="s">
        <v>55</v>
      </c>
      <c r="C27" s="32">
        <v>10.76</v>
      </c>
      <c r="D27" s="24">
        <f t="shared" si="1"/>
        <v>10.76</v>
      </c>
      <c r="E27" s="24">
        <v>1</v>
      </c>
    </row>
    <row r="28" spans="2:5">
      <c r="B28" t="s">
        <v>14</v>
      </c>
      <c r="C28" s="34">
        <v>44.81</v>
      </c>
      <c r="D28" s="24">
        <f>D93</f>
        <v>37.234999999999999</v>
      </c>
      <c r="E28" s="24"/>
    </row>
    <row r="29" spans="2:5">
      <c r="B29" s="11" t="s">
        <v>67</v>
      </c>
      <c r="C29" s="33">
        <f>SUM(C19:C28)</f>
        <v>580.16349999999989</v>
      </c>
      <c r="D29" s="33">
        <f>SUM(D19:D28)</f>
        <v>542.34379999999999</v>
      </c>
      <c r="E29" s="38"/>
    </row>
    <row r="30" spans="2:5">
      <c r="B30" s="11" t="s">
        <v>15</v>
      </c>
      <c r="C30" s="33">
        <f>C29+C16</f>
        <v>3081.1535000000003</v>
      </c>
      <c r="D30" s="33">
        <f>D29+D16</f>
        <v>1848.1435667165169</v>
      </c>
      <c r="E30" s="38"/>
    </row>
    <row r="31" spans="2:5">
      <c r="C31" s="32"/>
      <c r="D31" s="24"/>
      <c r="E31" s="24"/>
    </row>
    <row r="32" spans="2:5">
      <c r="B32" s="1" t="s">
        <v>16</v>
      </c>
      <c r="C32" s="32"/>
      <c r="D32" s="24"/>
      <c r="E32" s="24"/>
    </row>
    <row r="33" spans="2:5">
      <c r="B33" t="s">
        <v>18</v>
      </c>
      <c r="C33" s="32">
        <v>16.03</v>
      </c>
      <c r="D33" s="24">
        <f>C33*E33</f>
        <v>16.03</v>
      </c>
      <c r="E33" s="24">
        <v>1</v>
      </c>
    </row>
    <row r="34" spans="2:5">
      <c r="B34" t="s">
        <v>19</v>
      </c>
      <c r="C34" s="32">
        <v>-511.54</v>
      </c>
      <c r="D34" s="24">
        <f>C34*E34</f>
        <v>-511.54</v>
      </c>
      <c r="E34" s="24">
        <v>1</v>
      </c>
    </row>
    <row r="35" spans="2:5">
      <c r="B35" s="11" t="s">
        <v>65</v>
      </c>
      <c r="C35" s="33">
        <f>SUM(C33:C34)</f>
        <v>-495.51</v>
      </c>
      <c r="D35" s="33">
        <f>SUM(D33:D34)</f>
        <v>-495.51</v>
      </c>
      <c r="E35" s="38"/>
    </row>
    <row r="36" spans="2:5">
      <c r="C36" s="32"/>
      <c r="D36" s="19"/>
      <c r="E36" s="24"/>
    </row>
    <row r="37" spans="2:5">
      <c r="B37" s="1" t="s">
        <v>20</v>
      </c>
      <c r="C37" s="32"/>
      <c r="D37" s="19"/>
      <c r="E37" s="24"/>
    </row>
    <row r="38" spans="2:5">
      <c r="B38" s="1" t="s">
        <v>59</v>
      </c>
      <c r="C38" s="32"/>
      <c r="D38" s="19"/>
      <c r="E38" s="24"/>
    </row>
    <row r="39" spans="2:5">
      <c r="B39" s="8" t="s">
        <v>21</v>
      </c>
      <c r="C39" s="32"/>
      <c r="D39" s="19"/>
      <c r="E39" s="24"/>
    </row>
    <row r="40" spans="2:5">
      <c r="B40" s="41" t="s">
        <v>22</v>
      </c>
      <c r="C40" s="32">
        <v>49.61</v>
      </c>
      <c r="D40" s="24">
        <f t="shared" ref="D40:D44" si="2">C40*E40</f>
        <v>49.61</v>
      </c>
      <c r="E40" s="24">
        <v>1</v>
      </c>
    </row>
    <row r="41" spans="2:5">
      <c r="B41" s="42" t="s">
        <v>62</v>
      </c>
      <c r="C41" s="32">
        <v>11.89</v>
      </c>
      <c r="D41" s="24">
        <f t="shared" si="2"/>
        <v>11.89</v>
      </c>
      <c r="E41" s="24">
        <v>1</v>
      </c>
    </row>
    <row r="42" spans="2:5">
      <c r="B42" s="41" t="s">
        <v>23</v>
      </c>
      <c r="C42" s="32">
        <v>0</v>
      </c>
      <c r="D42" s="24">
        <f t="shared" si="2"/>
        <v>0</v>
      </c>
      <c r="E42" s="24">
        <v>1</v>
      </c>
    </row>
    <row r="43" spans="2:5">
      <c r="B43" t="s">
        <v>61</v>
      </c>
      <c r="C43" s="32">
        <v>25.43</v>
      </c>
      <c r="D43" s="24">
        <f t="shared" si="2"/>
        <v>25.43</v>
      </c>
      <c r="E43" s="24">
        <v>1</v>
      </c>
    </row>
    <row r="44" spans="2:5">
      <c r="B44" t="s">
        <v>60</v>
      </c>
      <c r="C44" s="32">
        <v>0</v>
      </c>
      <c r="D44" s="24">
        <f t="shared" si="2"/>
        <v>0</v>
      </c>
      <c r="E44" s="24">
        <v>1</v>
      </c>
    </row>
    <row r="45" spans="2:5">
      <c r="B45" s="11" t="s">
        <v>64</v>
      </c>
      <c r="C45" s="33">
        <f>SUM(C40:C44)</f>
        <v>86.93</v>
      </c>
      <c r="D45" s="33">
        <f>SUM(D40:D44)</f>
        <v>86.93</v>
      </c>
      <c r="E45" s="38"/>
    </row>
    <row r="46" spans="2:5">
      <c r="C46" s="35"/>
      <c r="D46" s="19"/>
      <c r="E46" s="24"/>
    </row>
    <row r="47" spans="2:5">
      <c r="B47" s="1" t="s">
        <v>26</v>
      </c>
      <c r="C47" s="32"/>
      <c r="D47" s="19"/>
      <c r="E47" s="24"/>
    </row>
    <row r="48" spans="2:5">
      <c r="B48" s="8" t="s">
        <v>21</v>
      </c>
      <c r="C48" s="32"/>
      <c r="D48" s="19"/>
      <c r="E48" s="24"/>
    </row>
    <row r="49" spans="2:6">
      <c r="B49" s="39" t="s">
        <v>22</v>
      </c>
      <c r="C49" s="32">
        <v>2313.39</v>
      </c>
      <c r="D49" s="24">
        <f t="shared" ref="D49:D50" si="3">C49*E49</f>
        <v>2313.39</v>
      </c>
      <c r="E49" s="24">
        <v>1</v>
      </c>
    </row>
    <row r="50" spans="2:6">
      <c r="B50" s="39" t="s">
        <v>62</v>
      </c>
      <c r="C50" s="32">
        <v>4.47</v>
      </c>
      <c r="D50" s="24">
        <f t="shared" si="3"/>
        <v>4.47</v>
      </c>
      <c r="E50" s="24">
        <v>1</v>
      </c>
    </row>
    <row r="51" spans="2:6">
      <c r="B51" s="39" t="s">
        <v>27</v>
      </c>
      <c r="C51" s="32"/>
      <c r="D51" s="19"/>
      <c r="E51" s="24"/>
    </row>
    <row r="52" spans="2:6">
      <c r="B52" s="43" t="s">
        <v>95</v>
      </c>
      <c r="C52" s="32">
        <v>32.42</v>
      </c>
      <c r="D52" s="24">
        <f t="shared" ref="D52:D57" si="4">C52*E52</f>
        <v>32.42</v>
      </c>
      <c r="E52" s="24">
        <v>1</v>
      </c>
      <c r="F52" s="10"/>
    </row>
    <row r="53" spans="2:6">
      <c r="B53" s="43" t="s">
        <v>96</v>
      </c>
      <c r="C53" s="32">
        <v>161.03</v>
      </c>
      <c r="D53" s="24">
        <f t="shared" si="4"/>
        <v>161.03</v>
      </c>
      <c r="E53" s="24">
        <v>1</v>
      </c>
      <c r="F53" s="10"/>
    </row>
    <row r="54" spans="2:6">
      <c r="B54" s="47" t="s">
        <v>23</v>
      </c>
      <c r="C54" s="32">
        <v>926.19</v>
      </c>
      <c r="D54" s="24">
        <f t="shared" si="4"/>
        <v>926.19</v>
      </c>
      <c r="E54" s="24">
        <v>1</v>
      </c>
      <c r="F54" s="10"/>
    </row>
    <row r="55" spans="2:6">
      <c r="B55" t="s">
        <v>28</v>
      </c>
      <c r="C55" s="32">
        <v>2.87</v>
      </c>
      <c r="D55" s="24">
        <f t="shared" si="4"/>
        <v>2.87</v>
      </c>
      <c r="E55" s="24">
        <v>1</v>
      </c>
      <c r="F55" s="10"/>
    </row>
    <row r="56" spans="2:6">
      <c r="B56" t="s">
        <v>29</v>
      </c>
      <c r="C56" s="32">
        <v>49.36</v>
      </c>
      <c r="D56" s="24">
        <f t="shared" si="4"/>
        <v>49.36</v>
      </c>
      <c r="E56" s="24">
        <v>1</v>
      </c>
      <c r="F56" s="10"/>
    </row>
    <row r="57" spans="2:6">
      <c r="B57" t="s">
        <v>30</v>
      </c>
      <c r="C57" s="34">
        <v>0</v>
      </c>
      <c r="D57" s="24">
        <f t="shared" si="4"/>
        <v>0</v>
      </c>
      <c r="E57" s="24">
        <v>1</v>
      </c>
    </row>
    <row r="58" spans="2:6">
      <c r="B58" s="11" t="s">
        <v>63</v>
      </c>
      <c r="C58" s="36">
        <f>SUM(C49:C57)</f>
        <v>3489.73</v>
      </c>
      <c r="D58" s="36">
        <f>SUM(D49:D57)</f>
        <v>3489.73</v>
      </c>
      <c r="E58" s="38"/>
      <c r="F58" s="9"/>
    </row>
    <row r="59" spans="2:6">
      <c r="B59" s="11" t="s">
        <v>31</v>
      </c>
      <c r="C59" s="36">
        <f>SUM(C58+C45)</f>
        <v>3576.66</v>
      </c>
      <c r="D59" s="36">
        <f>SUM(D58+D45)</f>
        <v>3576.66</v>
      </c>
      <c r="E59" s="38"/>
      <c r="F59" s="9"/>
    </row>
    <row r="60" spans="2:6">
      <c r="B60" s="11" t="s">
        <v>32</v>
      </c>
      <c r="C60" s="36">
        <f>SUM(C59+C35)</f>
        <v>3081.1499999999996</v>
      </c>
      <c r="D60" s="36">
        <f>SUM(D59+D35)</f>
        <v>3081.1499999999996</v>
      </c>
      <c r="E60" s="38"/>
    </row>
    <row r="61" spans="2:6">
      <c r="C61" s="3"/>
    </row>
    <row r="62" spans="2:6">
      <c r="B62" s="15" t="s">
        <v>15</v>
      </c>
      <c r="C62" s="62">
        <f>D30</f>
        <v>1848.1435667165169</v>
      </c>
    </row>
    <row r="63" spans="2:6">
      <c r="B63" s="13" t="s">
        <v>93</v>
      </c>
      <c r="C63" s="63">
        <f>SUM(D52:D56)-D54+D43</f>
        <v>271.10999999999984</v>
      </c>
    </row>
    <row r="64" spans="2:6">
      <c r="B64" s="14" t="s">
        <v>40</v>
      </c>
      <c r="C64" s="64">
        <f>C62-C63</f>
        <v>1577.033566716517</v>
      </c>
    </row>
    <row r="65" spans="2:13">
      <c r="B65" s="59" t="s">
        <v>126</v>
      </c>
      <c r="C65" s="73">
        <v>0.1</v>
      </c>
    </row>
    <row r="66" spans="2:13">
      <c r="B66" s="74" t="s">
        <v>125</v>
      </c>
      <c r="C66" s="75">
        <f>C64*(1-C65)</f>
        <v>1419.3302100448655</v>
      </c>
    </row>
    <row r="67" spans="2:13">
      <c r="B67" s="59" t="s">
        <v>114</v>
      </c>
      <c r="C67" s="60">
        <f>'Subsidiary Valuation'!C61</f>
        <v>420.22866492560007</v>
      </c>
    </row>
    <row r="68" spans="2:13">
      <c r="B68" s="18" t="s">
        <v>98</v>
      </c>
      <c r="C68" s="65">
        <f>C66+C67</f>
        <v>1839.5588749704655</v>
      </c>
      <c r="D68" s="9"/>
    </row>
    <row r="72" spans="2:13">
      <c r="B72" s="1" t="s">
        <v>113</v>
      </c>
    </row>
    <row r="75" spans="2:13" ht="30">
      <c r="B75" s="70" t="s">
        <v>101</v>
      </c>
      <c r="C75" s="66" t="s">
        <v>119</v>
      </c>
      <c r="D75" s="57" t="s">
        <v>115</v>
      </c>
    </row>
    <row r="76" spans="2:13">
      <c r="B76" s="51" t="s">
        <v>102</v>
      </c>
      <c r="C76" s="52">
        <v>80.06</v>
      </c>
      <c r="D76" s="52">
        <v>80.06</v>
      </c>
    </row>
    <row r="77" spans="2:13">
      <c r="B77" s="54" t="s">
        <v>103</v>
      </c>
      <c r="C77" s="55">
        <v>80.06</v>
      </c>
      <c r="D77" s="55">
        <v>80.06</v>
      </c>
    </row>
    <row r="80" spans="2:13" ht="30">
      <c r="B80" s="70" t="s">
        <v>105</v>
      </c>
      <c r="C80" s="66" t="s">
        <v>119</v>
      </c>
      <c r="D80" s="57" t="s">
        <v>115</v>
      </c>
      <c r="E80" s="80" t="s">
        <v>117</v>
      </c>
      <c r="F80" s="80"/>
      <c r="G80" s="80"/>
      <c r="H80" s="80"/>
      <c r="I80" s="80"/>
      <c r="J80" s="80"/>
      <c r="K80" s="80"/>
      <c r="L80" s="80"/>
      <c r="M80" s="80"/>
    </row>
    <row r="81" spans="2:13" ht="29.25" customHeight="1">
      <c r="B81" s="72" t="s">
        <v>104</v>
      </c>
      <c r="C81" s="56">
        <v>116.41</v>
      </c>
      <c r="D81" s="56">
        <v>116.41</v>
      </c>
      <c r="E81" s="79" t="s">
        <v>116</v>
      </c>
      <c r="F81" s="79"/>
      <c r="G81" s="79"/>
      <c r="H81" s="79"/>
      <c r="I81" s="79"/>
      <c r="J81" s="79"/>
      <c r="K81" s="79"/>
      <c r="L81" s="79"/>
      <c r="M81" s="79"/>
    </row>
    <row r="82" spans="2:13">
      <c r="B82" s="51" t="s">
        <v>106</v>
      </c>
      <c r="C82" s="52">
        <v>7.14</v>
      </c>
      <c r="D82" s="77">
        <f>C82*0.2</f>
        <v>1.4279999999999999</v>
      </c>
      <c r="E82" s="81" t="s">
        <v>118</v>
      </c>
      <c r="F82" s="82"/>
      <c r="G82" s="82"/>
      <c r="H82" s="82"/>
      <c r="I82" s="82"/>
      <c r="J82" s="82"/>
      <c r="K82" s="82"/>
      <c r="L82" s="82"/>
      <c r="M82" s="83"/>
    </row>
    <row r="83" spans="2:13">
      <c r="B83" s="54" t="s">
        <v>103</v>
      </c>
      <c r="C83" s="55">
        <v>123.55</v>
      </c>
      <c r="D83" s="78">
        <f>SUM(D81:D82)</f>
        <v>117.83799999999999</v>
      </c>
      <c r="E83" s="84"/>
      <c r="F83" s="85"/>
      <c r="G83" s="85"/>
      <c r="H83" s="85"/>
      <c r="I83" s="85"/>
      <c r="J83" s="85"/>
      <c r="K83" s="85"/>
      <c r="L83" s="85"/>
      <c r="M83" s="86"/>
    </row>
    <row r="84" spans="2:13">
      <c r="B84" s="1"/>
      <c r="C84" s="50"/>
    </row>
    <row r="85" spans="2:13">
      <c r="B85" s="1"/>
      <c r="C85" s="50"/>
    </row>
    <row r="86" spans="2:13" ht="30">
      <c r="B86" s="70" t="s">
        <v>107</v>
      </c>
      <c r="C86" s="66" t="s">
        <v>119</v>
      </c>
      <c r="D86" s="57" t="s">
        <v>115</v>
      </c>
    </row>
    <row r="87" spans="2:13">
      <c r="B87" s="51" t="s">
        <v>108</v>
      </c>
      <c r="C87" s="56">
        <v>4.83</v>
      </c>
      <c r="D87" s="56">
        <v>4.83</v>
      </c>
    </row>
    <row r="88" spans="2:13">
      <c r="B88" s="51" t="s">
        <v>109</v>
      </c>
      <c r="C88" s="56">
        <v>4.33</v>
      </c>
      <c r="D88" s="56">
        <f>C88*0.5</f>
        <v>2.165</v>
      </c>
    </row>
    <row r="89" spans="2:13">
      <c r="B89" s="51" t="s">
        <v>110</v>
      </c>
      <c r="C89" s="56">
        <v>1.38</v>
      </c>
      <c r="D89" s="56">
        <v>1.38</v>
      </c>
    </row>
    <row r="90" spans="2:13">
      <c r="B90" s="51" t="s">
        <v>111</v>
      </c>
      <c r="C90" s="56">
        <v>10.54</v>
      </c>
      <c r="D90" s="56">
        <f>C90*0.5</f>
        <v>5.27</v>
      </c>
    </row>
    <row r="91" spans="2:13">
      <c r="B91" s="51" t="s">
        <v>112</v>
      </c>
      <c r="C91" s="56">
        <v>23.59</v>
      </c>
      <c r="D91" s="56">
        <v>23.59</v>
      </c>
    </row>
    <row r="92" spans="2:13">
      <c r="B92" s="51" t="s">
        <v>106</v>
      </c>
      <c r="C92" s="56">
        <v>0.14000000000000001</v>
      </c>
      <c r="D92" s="52">
        <v>0</v>
      </c>
    </row>
    <row r="93" spans="2:13">
      <c r="B93" s="54" t="s">
        <v>103</v>
      </c>
      <c r="C93" s="58">
        <f>SUM(C87:C92)</f>
        <v>44.81</v>
      </c>
      <c r="D93" s="76">
        <f>SUM(D87:D92)</f>
        <v>37.234999999999999</v>
      </c>
    </row>
    <row r="96" spans="2:13" ht="30">
      <c r="B96" s="71" t="s">
        <v>71</v>
      </c>
      <c r="C96" s="66" t="s">
        <v>119</v>
      </c>
      <c r="D96" s="57" t="s">
        <v>115</v>
      </c>
    </row>
    <row r="97" spans="2:4">
      <c r="B97" s="51" t="s">
        <v>99</v>
      </c>
      <c r="C97" s="52"/>
      <c r="D97" s="51"/>
    </row>
    <row r="98" spans="2:4">
      <c r="B98" s="67" t="s">
        <v>120</v>
      </c>
      <c r="C98" s="52">
        <v>57.24</v>
      </c>
      <c r="D98" s="52">
        <f>C98*100%</f>
        <v>57.24</v>
      </c>
    </row>
    <row r="99" spans="2:4">
      <c r="B99" s="67" t="s">
        <v>121</v>
      </c>
      <c r="C99" s="52">
        <v>5.59</v>
      </c>
      <c r="D99" s="52">
        <f>C99*100%</f>
        <v>5.59</v>
      </c>
    </row>
    <row r="100" spans="2:4">
      <c r="B100" s="67" t="s">
        <v>122</v>
      </c>
      <c r="C100" s="52">
        <v>136.08000000000001</v>
      </c>
      <c r="D100" s="52">
        <f>C100*0.5</f>
        <v>68.040000000000006</v>
      </c>
    </row>
    <row r="101" spans="2:4">
      <c r="B101" s="68" t="s">
        <v>123</v>
      </c>
      <c r="C101" s="53">
        <f>SUM(C98:C100)</f>
        <v>198.91000000000003</v>
      </c>
      <c r="D101" s="53">
        <f>SUM(D98:D100)</f>
        <v>130.87</v>
      </c>
    </row>
    <row r="102" spans="2:4">
      <c r="B102" s="51" t="s">
        <v>100</v>
      </c>
      <c r="C102" s="52">
        <v>-126.74</v>
      </c>
      <c r="D102" s="52">
        <f>C102*0.5</f>
        <v>-63.37</v>
      </c>
    </row>
    <row r="103" spans="2:4">
      <c r="B103" s="69" t="s">
        <v>124</v>
      </c>
      <c r="C103" s="55">
        <f>C101+C102</f>
        <v>72.17000000000003</v>
      </c>
      <c r="D103" s="78">
        <f>D101+D102</f>
        <v>67.5</v>
      </c>
    </row>
  </sheetData>
  <mergeCells count="4">
    <mergeCell ref="E81:M81"/>
    <mergeCell ref="E80:M80"/>
    <mergeCell ref="E82:M82"/>
    <mergeCell ref="E83:M8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R81"/>
  <sheetViews>
    <sheetView topLeftCell="D17" zoomScale="106" zoomScaleNormal="106" workbookViewId="0">
      <selection activeCell="N37" sqref="N37"/>
    </sheetView>
  </sheetViews>
  <sheetFormatPr defaultRowHeight="15"/>
  <cols>
    <col min="2" max="2" width="35.140625" bestFit="1" customWidth="1"/>
    <col min="3" max="3" width="21.28515625" customWidth="1"/>
    <col min="6" max="6" width="27.5703125" customWidth="1"/>
    <col min="7" max="8" width="16.28515625" customWidth="1"/>
    <col min="13" max="13" width="23.85546875" bestFit="1" customWidth="1"/>
    <col min="14" max="14" width="20.42578125" customWidth="1"/>
    <col min="17" max="17" width="13.28515625" bestFit="1" customWidth="1"/>
  </cols>
  <sheetData>
    <row r="3" spans="2:18" ht="15.75">
      <c r="B3" s="87" t="s">
        <v>0</v>
      </c>
      <c r="C3" s="87"/>
      <c r="F3" s="16" t="s">
        <v>33</v>
      </c>
      <c r="G3" s="16"/>
      <c r="H3" s="16"/>
      <c r="M3" s="87" t="s">
        <v>41</v>
      </c>
      <c r="N3" s="87"/>
    </row>
    <row r="4" spans="2:18">
      <c r="G4" s="31" t="s">
        <v>83</v>
      </c>
      <c r="H4" s="31" t="s">
        <v>85</v>
      </c>
    </row>
    <row r="5" spans="2:18" ht="35.25" customHeight="1">
      <c r="B5" s="1" t="s">
        <v>1</v>
      </c>
      <c r="C5" s="2" t="s">
        <v>76</v>
      </c>
      <c r="F5" s="1" t="s">
        <v>1</v>
      </c>
      <c r="G5" s="2" t="s">
        <v>76</v>
      </c>
      <c r="H5" s="2" t="s">
        <v>76</v>
      </c>
      <c r="M5" s="1" t="s">
        <v>1</v>
      </c>
      <c r="N5" s="2" t="s">
        <v>76</v>
      </c>
    </row>
    <row r="6" spans="2:18">
      <c r="B6" s="1" t="s">
        <v>2</v>
      </c>
      <c r="F6" s="1" t="s">
        <v>2</v>
      </c>
      <c r="M6" s="1" t="s">
        <v>2</v>
      </c>
    </row>
    <row r="7" spans="2:18">
      <c r="B7" t="s">
        <v>3</v>
      </c>
      <c r="C7" s="30">
        <f>1796.9/100</f>
        <v>17.969000000000001</v>
      </c>
      <c r="F7" t="s">
        <v>3</v>
      </c>
      <c r="G7" s="30">
        <v>0</v>
      </c>
      <c r="H7" s="30">
        <v>0</v>
      </c>
      <c r="M7" t="s">
        <v>3</v>
      </c>
      <c r="N7" s="30">
        <f>99144.31/10^7</f>
        <v>9.9144309999999996E-3</v>
      </c>
    </row>
    <row r="8" spans="2:18">
      <c r="B8" t="s">
        <v>4</v>
      </c>
      <c r="C8" s="30">
        <f>19.29/100</f>
        <v>0.19289999999999999</v>
      </c>
      <c r="F8" t="s">
        <v>6</v>
      </c>
      <c r="G8" s="30"/>
      <c r="H8" s="24"/>
      <c r="N8" s="30"/>
    </row>
    <row r="9" spans="2:18">
      <c r="B9" t="s">
        <v>5</v>
      </c>
      <c r="C9" s="30">
        <f>622.46/100</f>
        <v>6.2246000000000006</v>
      </c>
      <c r="F9" t="s">
        <v>34</v>
      </c>
      <c r="G9" s="30">
        <v>1.0900000000000001</v>
      </c>
      <c r="H9" s="24">
        <f>(G9*(10^6)*$G$40)/(10^7)</f>
        <v>7.9795084999999997</v>
      </c>
      <c r="N9" s="30"/>
    </row>
    <row r="10" spans="2:18">
      <c r="B10" t="s">
        <v>78</v>
      </c>
      <c r="C10" s="30">
        <f>167.72/100</f>
        <v>1.6772</v>
      </c>
      <c r="G10" s="30"/>
      <c r="H10" s="24"/>
      <c r="M10" t="s">
        <v>10</v>
      </c>
      <c r="N10" s="30"/>
    </row>
    <row r="11" spans="2:18">
      <c r="B11" t="s">
        <v>79</v>
      </c>
      <c r="C11" s="30">
        <f>8.23/100</f>
        <v>8.2299999999999998E-2</v>
      </c>
      <c r="G11" s="30"/>
      <c r="H11" s="24"/>
      <c r="N11" s="30"/>
    </row>
    <row r="12" spans="2:18">
      <c r="B12" s="1" t="s">
        <v>6</v>
      </c>
      <c r="C12" s="30"/>
      <c r="F12" t="s">
        <v>10</v>
      </c>
      <c r="G12" s="30"/>
      <c r="H12" s="24"/>
      <c r="M12" t="s">
        <v>11</v>
      </c>
      <c r="N12" s="30">
        <f>743967.76/10^7</f>
        <v>7.4396775999999998E-2</v>
      </c>
      <c r="Q12">
        <v>1090000</v>
      </c>
      <c r="R12">
        <f>Q12/10^6</f>
        <v>1.0900000000000001</v>
      </c>
    </row>
    <row r="13" spans="2:18">
      <c r="B13" t="s">
        <v>7</v>
      </c>
      <c r="C13" s="30">
        <f>106.97/100</f>
        <v>1.0697000000000001</v>
      </c>
      <c r="F13" t="s">
        <v>35</v>
      </c>
      <c r="G13" s="30">
        <v>65.900000000000006</v>
      </c>
      <c r="H13" s="24">
        <f t="shared" ref="H13:H27" si="0">(G13*(10^6)*$G$40)/(10^7)</f>
        <v>482.43083500000012</v>
      </c>
      <c r="M13" t="s">
        <v>12</v>
      </c>
      <c r="N13" s="30">
        <f>524491.87/10^7</f>
        <v>5.2449187000000001E-2</v>
      </c>
      <c r="Q13" s="9">
        <f>Q12/G9</f>
        <v>999999.99999999988</v>
      </c>
    </row>
    <row r="14" spans="2:18">
      <c r="B14" t="s">
        <v>8</v>
      </c>
      <c r="C14" s="30" t="s">
        <v>77</v>
      </c>
      <c r="F14" s="20" t="s">
        <v>15</v>
      </c>
      <c r="G14" s="44">
        <f>SUM(G7:G13)</f>
        <v>66.990000000000009</v>
      </c>
      <c r="H14" s="25">
        <f t="shared" si="0"/>
        <v>490.41034350000007</v>
      </c>
      <c r="M14" t="s">
        <v>43</v>
      </c>
      <c r="N14" s="30">
        <f>686465.12/10^7</f>
        <v>6.8646511999999993E-2</v>
      </c>
    </row>
    <row r="15" spans="2:18">
      <c r="B15" t="s">
        <v>9</v>
      </c>
      <c r="C15" s="30">
        <f>33.36/100</f>
        <v>0.33360000000000001</v>
      </c>
      <c r="G15" s="30"/>
      <c r="H15" s="24"/>
      <c r="M15" t="s">
        <v>14</v>
      </c>
      <c r="N15" s="30">
        <f>107182.49/10^7</f>
        <v>1.0718249000000001E-2</v>
      </c>
    </row>
    <row r="16" spans="2:18">
      <c r="C16" s="30"/>
      <c r="F16" t="s">
        <v>36</v>
      </c>
      <c r="G16" s="30"/>
      <c r="H16" s="24"/>
      <c r="M16" s="20" t="s">
        <v>15</v>
      </c>
      <c r="N16" s="44">
        <f>SUM(N7:N15)</f>
        <v>0.21612515500000001</v>
      </c>
    </row>
    <row r="17" spans="2:14">
      <c r="B17" s="1" t="s">
        <v>10</v>
      </c>
      <c r="C17" s="30"/>
      <c r="F17" t="s">
        <v>17</v>
      </c>
      <c r="G17" s="30"/>
      <c r="H17" s="24"/>
      <c r="N17" s="30"/>
    </row>
    <row r="18" spans="2:14">
      <c r="B18" t="s">
        <v>11</v>
      </c>
      <c r="C18" s="30">
        <f>1662.66/100</f>
        <v>16.6266</v>
      </c>
      <c r="F18" t="s">
        <v>18</v>
      </c>
      <c r="G18" s="30">
        <v>17.5</v>
      </c>
      <c r="H18" s="24">
        <f t="shared" si="0"/>
        <v>128.11137500000001</v>
      </c>
      <c r="M18" t="s">
        <v>36</v>
      </c>
      <c r="N18" s="30"/>
    </row>
    <row r="19" spans="2:14">
      <c r="B19" s="1" t="s">
        <v>6</v>
      </c>
      <c r="C19" s="30"/>
      <c r="F19" t="s">
        <v>19</v>
      </c>
      <c r="G19" s="30">
        <v>49.49</v>
      </c>
      <c r="H19" s="24">
        <f t="shared" si="0"/>
        <v>362.29896850000006</v>
      </c>
      <c r="M19" t="s">
        <v>17</v>
      </c>
      <c r="N19" s="30"/>
    </row>
    <row r="20" spans="2:14">
      <c r="B20" t="s">
        <v>12</v>
      </c>
      <c r="C20" s="30">
        <f>3167.72/100</f>
        <v>31.677199999999999</v>
      </c>
      <c r="G20" s="30"/>
      <c r="H20" s="24"/>
      <c r="M20" t="s">
        <v>44</v>
      </c>
      <c r="N20" s="30">
        <f>1092000/10^7</f>
        <v>0.10920000000000001</v>
      </c>
    </row>
    <row r="21" spans="2:14">
      <c r="B21" t="s">
        <v>13</v>
      </c>
      <c r="C21" s="30">
        <f>1966.42/100</f>
        <v>19.664200000000001</v>
      </c>
      <c r="F21" s="1" t="s">
        <v>20</v>
      </c>
      <c r="G21" s="30"/>
      <c r="H21" s="24"/>
      <c r="M21" t="s">
        <v>19</v>
      </c>
      <c r="N21" s="30">
        <f>-467423.43/10^7</f>
        <v>-4.6742342999999999E-2</v>
      </c>
    </row>
    <row r="22" spans="2:14">
      <c r="B22" t="s">
        <v>7</v>
      </c>
      <c r="C22" s="30">
        <f>1.65/100</f>
        <v>1.6500000000000001E-2</v>
      </c>
      <c r="F22" t="s">
        <v>37</v>
      </c>
      <c r="G22" s="30">
        <v>0</v>
      </c>
      <c r="H22" s="30">
        <v>0</v>
      </c>
      <c r="N22" s="30"/>
    </row>
    <row r="23" spans="2:14">
      <c r="B23" t="s">
        <v>14</v>
      </c>
      <c r="C23" s="30">
        <f>395.19/100</f>
        <v>3.9519000000000002</v>
      </c>
      <c r="F23" t="s">
        <v>26</v>
      </c>
      <c r="G23" s="30"/>
      <c r="H23" s="24"/>
      <c r="M23" t="s">
        <v>20</v>
      </c>
      <c r="N23" s="30"/>
    </row>
    <row r="24" spans="2:14">
      <c r="B24" s="20" t="s">
        <v>15</v>
      </c>
      <c r="C24" s="44">
        <f>SUM(C7:C23)</f>
        <v>99.485699999999994</v>
      </c>
      <c r="F24" t="s">
        <v>21</v>
      </c>
      <c r="G24" s="30"/>
      <c r="H24" s="24"/>
      <c r="M24" t="s">
        <v>45</v>
      </c>
      <c r="N24" s="30">
        <v>0</v>
      </c>
    </row>
    <row r="25" spans="2:14">
      <c r="C25" s="30"/>
      <c r="F25" t="s">
        <v>38</v>
      </c>
      <c r="G25" s="30">
        <v>0</v>
      </c>
      <c r="H25" s="30">
        <v>0</v>
      </c>
      <c r="M25" t="s">
        <v>26</v>
      </c>
      <c r="N25" s="30"/>
    </row>
    <row r="26" spans="2:14">
      <c r="B26" s="1" t="s">
        <v>16</v>
      </c>
      <c r="C26" s="30"/>
      <c r="F26" t="s">
        <v>39</v>
      </c>
      <c r="G26" s="30">
        <v>0</v>
      </c>
      <c r="H26" s="30">
        <v>0</v>
      </c>
      <c r="M26" t="s">
        <v>21</v>
      </c>
      <c r="N26" s="30"/>
    </row>
    <row r="27" spans="2:14">
      <c r="B27" t="s">
        <v>17</v>
      </c>
      <c r="C27" s="24"/>
      <c r="F27" s="20" t="s">
        <v>32</v>
      </c>
      <c r="G27" s="44">
        <f>SUM(G18:G26)</f>
        <v>66.990000000000009</v>
      </c>
      <c r="H27" s="25">
        <f t="shared" si="0"/>
        <v>490.41034350000007</v>
      </c>
      <c r="M27" t="s">
        <v>82</v>
      </c>
      <c r="N27" s="30">
        <f>8642.65/10^7</f>
        <v>8.6426499999999991E-4</v>
      </c>
    </row>
    <row r="28" spans="2:14">
      <c r="B28" t="s">
        <v>18</v>
      </c>
      <c r="C28" s="30">
        <f>1007.14/100</f>
        <v>10.071400000000001</v>
      </c>
      <c r="M28" t="s">
        <v>81</v>
      </c>
      <c r="N28" s="30">
        <f>1246703.81/10^7</f>
        <v>0.12467038100000001</v>
      </c>
    </row>
    <row r="29" spans="2:14">
      <c r="B29" t="s">
        <v>19</v>
      </c>
      <c r="C29" s="30">
        <f>1135.84/100</f>
        <v>11.3584</v>
      </c>
      <c r="M29" t="s">
        <v>29</v>
      </c>
      <c r="N29" s="30">
        <f>281328.52/10^7</f>
        <v>2.8132852000000003E-2</v>
      </c>
    </row>
    <row r="30" spans="2:14">
      <c r="C30" s="30"/>
      <c r="M30" s="20" t="s">
        <v>32</v>
      </c>
      <c r="N30" s="44">
        <f>SUM(N20:N29)</f>
        <v>0.21612515500000004</v>
      </c>
    </row>
    <row r="31" spans="2:14">
      <c r="B31" s="1" t="s">
        <v>20</v>
      </c>
      <c r="C31" s="30"/>
      <c r="F31" t="s">
        <v>15</v>
      </c>
      <c r="G31" s="3">
        <f>H14</f>
        <v>490.41034350000007</v>
      </c>
      <c r="N31" s="6"/>
    </row>
    <row r="32" spans="2:14">
      <c r="B32" s="1" t="s">
        <v>59</v>
      </c>
      <c r="C32" s="30"/>
      <c r="F32" t="s">
        <v>93</v>
      </c>
      <c r="G32" s="3">
        <f>G27-SUM(G18:G19)</f>
        <v>0</v>
      </c>
      <c r="N32" s="6"/>
    </row>
    <row r="33" spans="2:14">
      <c r="B33" s="1" t="s">
        <v>21</v>
      </c>
      <c r="C33" s="30"/>
      <c r="F33" s="4" t="s">
        <v>40</v>
      </c>
      <c r="G33" s="5">
        <f>G31-G32</f>
        <v>490.41034350000007</v>
      </c>
      <c r="M33" t="s">
        <v>15</v>
      </c>
      <c r="N33" s="6">
        <f>N16</f>
        <v>0.21612515500000001</v>
      </c>
    </row>
    <row r="34" spans="2:14">
      <c r="B34" t="s">
        <v>22</v>
      </c>
      <c r="C34" s="30">
        <f>158.6/100</f>
        <v>1.5859999999999999</v>
      </c>
      <c r="F34" t="s">
        <v>46</v>
      </c>
      <c r="G34" s="49">
        <v>0.2</v>
      </c>
      <c r="M34" t="s">
        <v>93</v>
      </c>
      <c r="N34" s="6">
        <f>N30-SUM(N20:N21)</f>
        <v>0.15366749800000004</v>
      </c>
    </row>
    <row r="35" spans="2:14">
      <c r="B35" t="s">
        <v>23</v>
      </c>
      <c r="C35" s="30">
        <f>644.09/100</f>
        <v>6.4409000000000001</v>
      </c>
      <c r="F35" t="s">
        <v>47</v>
      </c>
      <c r="G35" s="3">
        <f>G33*(1-G34)</f>
        <v>392.32827480000009</v>
      </c>
      <c r="M35" s="4" t="s">
        <v>40</v>
      </c>
      <c r="N35" s="5">
        <f>N33-N34</f>
        <v>6.2457656999999972E-2</v>
      </c>
    </row>
    <row r="36" spans="2:14">
      <c r="B36" t="s">
        <v>24</v>
      </c>
      <c r="C36" s="30">
        <f>0.67/100</f>
        <v>6.7000000000000002E-3</v>
      </c>
      <c r="M36" t="s">
        <v>46</v>
      </c>
      <c r="N36" s="49">
        <v>0.2</v>
      </c>
    </row>
    <row r="37" spans="2:14">
      <c r="B37" t="s">
        <v>80</v>
      </c>
      <c r="C37" s="30">
        <f>1.1/100</f>
        <v>1.1000000000000001E-2</v>
      </c>
      <c r="N37" s="7"/>
    </row>
    <row r="38" spans="2:14">
      <c r="B38" t="s">
        <v>25</v>
      </c>
      <c r="C38" s="30">
        <f>2.42/100</f>
        <v>2.4199999999999999E-2</v>
      </c>
      <c r="M38" t="s">
        <v>47</v>
      </c>
      <c r="N38" s="3">
        <f>N35*(1-N36)</f>
        <v>4.996612559999998E-2</v>
      </c>
    </row>
    <row r="39" spans="2:14">
      <c r="C39" s="30"/>
    </row>
    <row r="40" spans="2:14">
      <c r="B40" s="1" t="s">
        <v>26</v>
      </c>
      <c r="C40" s="30"/>
      <c r="F40" t="s">
        <v>84</v>
      </c>
      <c r="G40" s="3">
        <v>73.206500000000005</v>
      </c>
    </row>
    <row r="41" spans="2:14">
      <c r="B41" s="1" t="s">
        <v>21</v>
      </c>
      <c r="C41" s="30"/>
    </row>
    <row r="42" spans="2:14">
      <c r="B42" t="s">
        <v>22</v>
      </c>
      <c r="C42" s="30">
        <f>1844.91/100</f>
        <v>18.449100000000001</v>
      </c>
      <c r="F42" s="8"/>
    </row>
    <row r="43" spans="2:14">
      <c r="B43" t="s">
        <v>27</v>
      </c>
      <c r="C43" s="30">
        <f>4224.88/100</f>
        <v>42.248800000000003</v>
      </c>
    </row>
    <row r="44" spans="2:14">
      <c r="B44" t="s">
        <v>23</v>
      </c>
      <c r="C44" s="30">
        <f>181.61/100</f>
        <v>1.8161</v>
      </c>
    </row>
    <row r="45" spans="2:14">
      <c r="B45" t="s">
        <v>28</v>
      </c>
      <c r="C45" s="30">
        <f>9.31/100</f>
        <v>9.3100000000000002E-2</v>
      </c>
    </row>
    <row r="46" spans="2:14">
      <c r="B46" t="s">
        <v>29</v>
      </c>
      <c r="C46" s="30">
        <f>738/100</f>
        <v>7.38</v>
      </c>
    </row>
    <row r="47" spans="2:14">
      <c r="B47" t="s">
        <v>30</v>
      </c>
      <c r="C47" s="30">
        <v>0</v>
      </c>
      <c r="F47" s="3"/>
    </row>
    <row r="48" spans="2:14">
      <c r="B48" s="20" t="s">
        <v>32</v>
      </c>
      <c r="C48" s="44">
        <f>SUM(C28:C47)</f>
        <v>99.485700000000008</v>
      </c>
    </row>
    <row r="52" spans="2:6">
      <c r="B52" t="s">
        <v>15</v>
      </c>
      <c r="C52" s="32">
        <f>C24</f>
        <v>99.485699999999994</v>
      </c>
    </row>
    <row r="53" spans="2:6">
      <c r="B53" t="s">
        <v>93</v>
      </c>
      <c r="C53" s="32">
        <f>SUM(C43:C46)-C44+C36+C38</f>
        <v>49.752800000000008</v>
      </c>
      <c r="F53" s="9"/>
    </row>
    <row r="54" spans="2:6">
      <c r="B54" s="4" t="s">
        <v>40</v>
      </c>
      <c r="C54" s="45">
        <f>C52-C53</f>
        <v>49.732899999999987</v>
      </c>
    </row>
    <row r="55" spans="2:6">
      <c r="B55" t="s">
        <v>46</v>
      </c>
      <c r="C55" s="48">
        <v>0.2</v>
      </c>
    </row>
    <row r="56" spans="2:6">
      <c r="B56" t="s">
        <v>47</v>
      </c>
      <c r="C56" s="32">
        <f>C54*(1-C55)</f>
        <v>39.786319999999989</v>
      </c>
    </row>
    <row r="57" spans="2:6">
      <c r="B57" t="s">
        <v>97</v>
      </c>
      <c r="C57" s="46">
        <f>C56*0.7</f>
        <v>27.85042399999999</v>
      </c>
    </row>
    <row r="58" spans="2:6">
      <c r="C58" s="46"/>
    </row>
    <row r="61" spans="2:6">
      <c r="B61" s="4" t="s">
        <v>48</v>
      </c>
      <c r="C61" s="61">
        <f>C57+G35+N38</f>
        <v>420.22866492560007</v>
      </c>
    </row>
    <row r="65" spans="2:3">
      <c r="B65" s="9"/>
      <c r="C65" s="9"/>
    </row>
    <row r="67" spans="2:3">
      <c r="B67" s="9"/>
      <c r="C67" s="9"/>
    </row>
    <row r="68" spans="2:3">
      <c r="B68" s="9"/>
      <c r="C68" s="9"/>
    </row>
    <row r="77" spans="2:3">
      <c r="B77" t="s">
        <v>52</v>
      </c>
      <c r="C77" t="s">
        <v>51</v>
      </c>
    </row>
    <row r="78" spans="2:3">
      <c r="B78" t="s">
        <v>49</v>
      </c>
      <c r="C78" s="7">
        <v>1</v>
      </c>
    </row>
    <row r="79" spans="2:3">
      <c r="B79" t="s">
        <v>0</v>
      </c>
      <c r="C79" s="7">
        <v>0.7</v>
      </c>
    </row>
    <row r="80" spans="2:3">
      <c r="B80" t="s">
        <v>41</v>
      </c>
      <c r="C80" s="7">
        <v>1</v>
      </c>
    </row>
    <row r="81" spans="2:3">
      <c r="B81" t="s">
        <v>50</v>
      </c>
      <c r="C81" s="7">
        <v>1</v>
      </c>
    </row>
  </sheetData>
  <mergeCells count="2">
    <mergeCell ref="B3:C3"/>
    <mergeCell ref="M3:N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Historical Performance</vt:lpstr>
      <vt:lpstr>Sintex BAPL</vt:lpstr>
      <vt:lpstr>Subsidiary Valuation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Abhishek shahi</dc:creator>
  <cp:lastModifiedBy>Rachit</cp:lastModifiedBy>
  <dcterms:created xsi:type="dcterms:W3CDTF">2021-03-26T04:52:18Z</dcterms:created>
  <dcterms:modified xsi:type="dcterms:W3CDTF">2022-08-23T05:48:05Z</dcterms:modified>
</cp:coreProperties>
</file>