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2\Desktop\PL 125 -103-179_bansal_wire\"/>
    </mc:Choice>
  </mc:AlternateContent>
  <bookViews>
    <workbookView showVerticalScroll="0" xWindow="0" yWindow="0" windowWidth="24000" windowHeight="8835" activeTab="1"/>
  </bookViews>
  <sheets>
    <sheet name="Land" sheetId="2" r:id="rId1"/>
    <sheet name="Building" sheetId="1" r:id="rId2"/>
  </sheets>
  <definedNames>
    <definedName name="_xlnm.Print_Area" localSheetId="1">Building!$B$2:$V$17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I25" i="1"/>
  <c r="H25" i="1"/>
  <c r="W6" i="1"/>
  <c r="W7" i="1"/>
  <c r="W8" i="1"/>
  <c r="W9" i="1"/>
  <c r="W12" i="1"/>
  <c r="W5" i="1"/>
  <c r="D14" i="2" l="1"/>
  <c r="R12" i="1" l="1"/>
  <c r="R11" i="1"/>
  <c r="R6" i="1"/>
  <c r="J13" i="1"/>
  <c r="I23" i="1"/>
  <c r="I22" i="1"/>
  <c r="F5" i="1" l="1"/>
  <c r="J5" i="1" s="1"/>
  <c r="H20" i="1"/>
  <c r="F25" i="1" s="1"/>
  <c r="F26" i="1" s="1"/>
  <c r="F22" i="1"/>
  <c r="F29" i="1" s="1"/>
  <c r="F21" i="1"/>
  <c r="F23" i="1" s="1"/>
  <c r="R5" i="1" l="1"/>
  <c r="F12" i="1"/>
  <c r="F11" i="1"/>
  <c r="F9" i="1"/>
  <c r="J9" i="1" s="1"/>
  <c r="R9" i="1" s="1"/>
  <c r="F7" i="1"/>
  <c r="J7" i="1" s="1"/>
  <c r="R7" i="1" s="1"/>
  <c r="F10" i="1"/>
  <c r="J10" i="1" s="1"/>
  <c r="R10" i="1" s="1"/>
  <c r="F8" i="1"/>
  <c r="J8" i="1" s="1"/>
  <c r="R8" i="1" s="1"/>
  <c r="F6" i="1"/>
  <c r="P12" i="1"/>
  <c r="M12" i="1"/>
  <c r="P11" i="1"/>
  <c r="M11" i="1"/>
  <c r="P10" i="1"/>
  <c r="M10" i="1"/>
  <c r="P9" i="1"/>
  <c r="M9" i="1"/>
  <c r="P8" i="1"/>
  <c r="M8" i="1"/>
  <c r="J6" i="1" l="1"/>
  <c r="F24" i="1"/>
  <c r="F28" i="1" s="1"/>
  <c r="F30" i="1" s="1"/>
  <c r="F27" i="1"/>
  <c r="J11" i="1"/>
  <c r="S11" i="1" s="1"/>
  <c r="T11" i="1" s="1"/>
  <c r="V11" i="1" s="1"/>
  <c r="W11" i="1" s="1"/>
  <c r="J12" i="1"/>
  <c r="S9" i="1"/>
  <c r="T9" i="1" s="1"/>
  <c r="V9" i="1" s="1"/>
  <c r="F13" i="1"/>
  <c r="S12" i="1"/>
  <c r="T12" i="1" s="1"/>
  <c r="V12" i="1" s="1"/>
  <c r="S8" i="1"/>
  <c r="T8" i="1" s="1"/>
  <c r="V8" i="1" s="1"/>
  <c r="S10" i="1"/>
  <c r="T10" i="1" s="1"/>
  <c r="F25" i="2"/>
  <c r="F24" i="2"/>
  <c r="D15" i="2"/>
  <c r="D4" i="2"/>
  <c r="B12" i="2" s="1"/>
  <c r="V10" i="1" l="1"/>
  <c r="W10" i="1" s="1"/>
  <c r="F26" i="2"/>
  <c r="P7" i="1"/>
  <c r="M6" i="1"/>
  <c r="M7" i="1"/>
  <c r="S7" i="1" l="1"/>
  <c r="T7" i="1" s="1"/>
  <c r="V7" i="1" s="1"/>
  <c r="P6" i="1" l="1"/>
  <c r="S6" i="1" l="1"/>
  <c r="T6" i="1" s="1"/>
  <c r="V6" i="1" s="1"/>
  <c r="R13" i="1" l="1"/>
  <c r="P5" i="1"/>
  <c r="M5" i="1" l="1"/>
  <c r="S5" i="1" l="1"/>
  <c r="T5" i="1" s="1"/>
  <c r="T13" i="1" s="1"/>
  <c r="V5" i="1" l="1"/>
  <c r="V13" i="1" s="1"/>
  <c r="C12" i="2" l="1"/>
  <c r="D12" i="2" l="1"/>
  <c r="F28" i="2" s="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<sst xmlns="http://schemas.openxmlformats.org/spreadsheetml/2006/main" count="98" uniqueCount="73">
  <si>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</si>
  <si>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</si>
  <si>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</si>
  <si>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</si>
  <si>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</si>
  <si>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</si>
  <si>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</si>
  <si>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</si>
  <si>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</si>
  <si>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</si>
  <si>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</si>
  <si>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</si>
  <si>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</si>
  <si>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</si>
  <si>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</si>
  <si>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</si>
  <si>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</si>
  <si>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</si>
  <si>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</si>
  <si>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</si>
  <si>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</si>
  <si>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BUILDING VALUATION OF M/S. BANSAL WIRE INDUSTRIES LTD.|LONI ROAD,GHAZIABABD</t>
  </si>
  <si>
    <r>
      <t xml:space="preserve">2. </t>
    </r>
    <r>
      <rPr>
        <i/>
        <sz val="10"/>
        <color theme="1"/>
        <rFont val="Calibri"/>
        <family val="2"/>
        <scheme val="minor"/>
      </rPr>
      <t>All the structure that has been taken in the area statemnet belonging to M/s. Bansal Wire Industries Ltd.</t>
    </r>
  </si>
  <si>
    <t>LAND VALUATION</t>
  </si>
  <si>
    <t>Area in
(Sqm)</t>
  </si>
  <si>
    <t>Rates</t>
  </si>
  <si>
    <t>Value</t>
  </si>
  <si>
    <t>LAND + BUILDING</t>
  </si>
  <si>
    <t xml:space="preserve">Land </t>
  </si>
  <si>
    <t>Building</t>
  </si>
  <si>
    <t>Total</t>
  </si>
  <si>
    <t>FMV</t>
  </si>
  <si>
    <t>Land Circle Rate</t>
  </si>
  <si>
    <t>per sqm for land</t>
  </si>
  <si>
    <t>RV @ 15% Less</t>
  </si>
  <si>
    <t>Building Circle Rate</t>
  </si>
  <si>
    <t>per sqm for building</t>
  </si>
  <si>
    <t>DV @ 25% Less</t>
  </si>
  <si>
    <t>Land Circle Value</t>
  </si>
  <si>
    <t>Building Circle Value</t>
  </si>
  <si>
    <t>Building Area in Sqft</t>
  </si>
  <si>
    <t>Building Area in Sqm</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</si>
  <si>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</si>
  <si>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Referrence Image attached</t>
  </si>
  <si>
    <t>PL-125</t>
  </si>
  <si>
    <t>Platform 1</t>
  </si>
  <si>
    <t>Platform 2</t>
  </si>
  <si>
    <t>Platform 3</t>
  </si>
  <si>
    <t>RCC Structure</t>
  </si>
  <si>
    <t>Admin</t>
  </si>
  <si>
    <t>Staff</t>
  </si>
  <si>
    <t>RCC framed pillar beam column on RCC slab</t>
  </si>
  <si>
    <r>
      <t xml:space="preserve">Plinth Area Rate 
</t>
    </r>
    <r>
      <rPr>
        <b/>
        <i/>
        <sz val="10"/>
        <rFont val="Calibri"/>
        <family val="2"/>
        <scheme val="minor"/>
      </rPr>
      <t>(in per sq.ft)</t>
    </r>
  </si>
  <si>
    <t>First Floor</t>
  </si>
  <si>
    <t>Permisiable FAR</t>
  </si>
  <si>
    <t>Permissiable Ground Coverage</t>
  </si>
  <si>
    <t>Plot Area</t>
  </si>
  <si>
    <t>Permissiable GF Construction</t>
  </si>
  <si>
    <r>
      <t xml:space="preserve">Area Considered for valuation
</t>
    </r>
    <r>
      <rPr>
        <b/>
        <i/>
        <sz val="10"/>
        <rFont val="Calibri"/>
        <family val="2"/>
        <scheme val="minor"/>
      </rPr>
      <t>(in sq.ft)</t>
    </r>
  </si>
  <si>
    <t>Permissiable FF Construction</t>
  </si>
  <si>
    <t>Remaining Permissiable FF Construction</t>
  </si>
  <si>
    <t>GF Area</t>
  </si>
  <si>
    <t>FF Area</t>
  </si>
  <si>
    <t>sq.ft.</t>
  </si>
  <si>
    <t>Sq.m.</t>
  </si>
  <si>
    <t>TOTAL Constructed</t>
  </si>
  <si>
    <t>TOTAL Permissiable Constructed</t>
  </si>
  <si>
    <t>Difference</t>
  </si>
  <si>
    <t>Particulars</t>
  </si>
  <si>
    <t>Figure</t>
  </si>
  <si>
    <t>Ssteel structue bounded by brick wall with iron sheet roofing &amp; PCC  flooring</t>
  </si>
  <si>
    <t>Steel structue bounded by brick wall with iron sheet roofing &amp; PCC  flooring</t>
  </si>
  <si>
    <t>Sr. No.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</si>
</sst>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b/>
      <sz val="11"/>
      <color theme="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164" fontId="0" fillId="0" borderId="0" xfId="0" applyNumberFormat="1"/>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0" xfId="0" applyAlignment="1">
      <alignment wrapText="1"/>
    </xf>
    <xf numFmtId="0" fontId="0" fillId="0" borderId="0" xfId="0" applyAlignment="1">
      <alignment horizontal="center"/>
    </xf>
    <xf numFmtId="164" fontId="5"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0" fontId="0" fillId="0" borderId="0" xfId="0"/>
    <xf numFmtId="167" fontId="0" fillId="0" borderId="1" xfId="0" applyNumberFormat="1" applyBorder="1" applyAlignment="1">
      <alignment horizontal="center" vertical="center"/>
    </xf>
    <xf numFmtId="0" fontId="14" fillId="0" borderId="1" xfId="0" applyFont="1" applyBorder="1" applyAlignment="1">
      <alignment horizontal="center" vertical="center"/>
    </xf>
    <xf numFmtId="164" fontId="14" fillId="0" borderId="1" xfId="7" applyNumberFormat="1" applyFont="1" applyBorder="1" applyAlignment="1">
      <alignment horizontal="center" vertical="center"/>
    </xf>
    <xf numFmtId="164" fontId="14" fillId="0" borderId="1" xfId="0" applyNumberFormat="1" applyFont="1" applyBorder="1"/>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0" borderId="1" xfId="7" applyNumberFormat="1" applyFont="1" applyBorder="1"/>
    <xf numFmtId="0" fontId="17" fillId="0" borderId="3" xfId="0" applyFont="1" applyBorder="1" applyAlignment="1">
      <alignment horizontal="center" vertical="center" wrapText="1"/>
    </xf>
    <xf numFmtId="0" fontId="2" fillId="0" borderId="1" xfId="0" applyFont="1" applyBorder="1" applyAlignment="1">
      <alignment horizontal="center" vertical="center" wrapText="1"/>
    </xf>
    <xf numFmtId="164" fontId="14" fillId="0" borderId="2" xfId="7" applyNumberFormat="1" applyFont="1" applyBorder="1" applyAlignment="1">
      <alignment horizontal="center" vertical="center"/>
    </xf>
    <xf numFmtId="0" fontId="0" fillId="0" borderId="0" xfId="0" applyAlignment="1">
      <alignment horizontal="right" vertical="center"/>
    </xf>
    <xf numFmtId="0" fontId="14" fillId="0" borderId="0" xfId="0" applyFont="1" applyBorder="1" applyAlignment="1">
      <alignment horizontal="center" vertical="center"/>
    </xf>
    <xf numFmtId="164" fontId="14" fillId="0" borderId="0" xfId="7" applyNumberFormat="1" applyFont="1" applyBorder="1" applyAlignment="1">
      <alignment horizontal="center" vertical="center"/>
    </xf>
    <xf numFmtId="43" fontId="0" fillId="0" borderId="0" xfId="0" applyNumberFormat="1"/>
    <xf numFmtId="10" fontId="17" fillId="0" borderId="1" xfId="0" applyNumberFormat="1" applyFont="1" applyBorder="1" applyAlignment="1">
      <alignment horizontal="center" vertical="center" wrapText="1"/>
    </xf>
    <xf numFmtId="0" fontId="0" fillId="0" borderId="0" xfId="0" applyAlignment="1">
      <alignment vertical="center"/>
    </xf>
    <xf numFmtId="164" fontId="15" fillId="0" borderId="1" xfId="7" applyNumberFormat="1" applyFont="1" applyBorder="1" applyAlignment="1">
      <alignment horizontal="right" vertical="center"/>
    </xf>
    <xf numFmtId="164" fontId="15" fillId="0" borderId="2" xfId="7" applyNumberFormat="1" applyFont="1" applyBorder="1" applyAlignment="1">
      <alignment horizontal="center" vertical="center"/>
    </xf>
    <xf numFmtId="164" fontId="14" fillId="0" borderId="1" xfId="7" applyNumberFormat="1" applyFont="1" applyBorder="1" applyAlignment="1">
      <alignment horizontal="right" vertical="center"/>
    </xf>
    <xf numFmtId="0" fontId="14" fillId="0" borderId="1" xfId="0" applyFont="1" applyBorder="1" applyAlignment="1">
      <alignment horizontal="center" vertical="center"/>
    </xf>
    <xf numFmtId="2" fontId="0" fillId="0" borderId="1" xfId="0" applyNumberFormat="1" applyBorder="1" applyAlignment="1">
      <alignment horizontal="center" vertical="center"/>
    </xf>
    <xf numFmtId="43" fontId="2" fillId="0" borderId="1" xfId="3" applyNumberFormat="1" applyFont="1" applyBorder="1" applyAlignment="1">
      <alignment horizontal="center" vertical="center"/>
    </xf>
    <xf numFmtId="43" fontId="0" fillId="0" borderId="1" xfId="3"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3" applyNumberFormat="1" applyFont="1" applyBorder="1" applyAlignment="1">
      <alignment vertical="center"/>
    </xf>
    <xf numFmtId="43" fontId="0" fillId="0" borderId="1" xfId="3" applyNumberFormat="1" applyFont="1" applyBorder="1" applyAlignment="1">
      <alignment vertical="center"/>
    </xf>
    <xf numFmtId="43" fontId="0" fillId="0" borderId="1" xfId="0" applyNumberFormat="1" applyBorder="1"/>
    <xf numFmtId="0" fontId="0" fillId="0" borderId="1" xfId="0" applyBorder="1"/>
    <xf numFmtId="9" fontId="0" fillId="0" borderId="4" xfId="3" applyNumberFormat="1" applyFont="1" applyBorder="1" applyAlignment="1">
      <alignment vertical="center"/>
    </xf>
    <xf numFmtId="0" fontId="0" fillId="0" borderId="1" xfId="0" applyBorder="1" applyAlignment="1">
      <alignment wrapText="1"/>
    </xf>
    <xf numFmtId="0" fontId="0" fillId="0" borderId="1" xfId="0" applyBorder="1" applyAlignment="1">
      <alignment vertical="center" wrapText="1"/>
    </xf>
    <xf numFmtId="43" fontId="0" fillId="0" borderId="0" xfId="0" applyNumberFormat="1" applyAlignment="1">
      <alignment horizontal="center" vertical="center"/>
    </xf>
    <xf numFmtId="164" fontId="0" fillId="0" borderId="1" xfId="3" applyNumberFormat="1" applyFont="1" applyBorder="1" applyAlignment="1">
      <alignment horizontal="center"/>
    </xf>
    <xf numFmtId="164" fontId="0" fillId="0" borderId="1" xfId="3" applyNumberFormat="1" applyFont="1" applyBorder="1" applyAlignment="1">
      <alignment horizontal="center" vertical="center"/>
    </xf>
    <xf numFmtId="0" fontId="19" fillId="3" borderId="1" xfId="0" applyFont="1" applyFill="1" applyBorder="1" applyAlignment="1">
      <alignment horizontal="center" vertical="center" wrapText="1"/>
    </xf>
    <xf numFmtId="164" fontId="19" fillId="3" borderId="1" xfId="3" applyNumberFormat="1" applyFont="1" applyFill="1" applyBorder="1" applyAlignment="1">
      <alignment horizontal="center" vertical="center"/>
    </xf>
    <xf numFmtId="0" fontId="19" fillId="3" borderId="1" xfId="0" applyFont="1" applyFill="1" applyBorder="1" applyAlignment="1">
      <alignment horizontal="center" vertical="center"/>
    </xf>
    <xf numFmtId="0" fontId="2" fillId="0" borderId="1" xfId="0" applyFont="1" applyBorder="1" applyAlignment="1">
      <alignment horizontal="center" vertical="center"/>
    </xf>
    <xf numFmtId="2" fontId="0" fillId="0" borderId="0" xfId="0" applyNumberFormat="1"/>
    <xf numFmtId="0" fontId="0" fillId="5" borderId="1" xfId="0" applyFill="1" applyBorder="1" applyAlignment="1">
      <alignment horizontal="left" vertical="center"/>
    </xf>
    <xf numFmtId="43" fontId="0" fillId="5" borderId="1" xfId="0" applyNumberFormat="1" applyFill="1" applyBorder="1" applyAlignment="1">
      <alignment horizontal="center" vertical="center" wrapText="1"/>
    </xf>
    <xf numFmtId="0" fontId="13"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14" fillId="0" borderId="1" xfId="0" applyFont="1" applyBorder="1" applyAlignment="1">
      <alignment horizontal="center" vertical="center"/>
    </xf>
    <xf numFmtId="0" fontId="8" fillId="0" borderId="1" xfId="0" applyFont="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9" fontId="0" fillId="0" borderId="1" xfId="0" applyNumberFormat="1" applyBorder="1" applyAlignment="1">
      <alignment horizontal="center" vertical="center"/>
    </xf>
    <xf numFmtId="167" fontId="0" fillId="0" borderId="1" xfId="0" applyNumberFormat="1" applyBorder="1" applyAlignment="1">
      <alignment horizontal="center" vertical="center"/>
    </xf>
    <xf numFmtId="0" fontId="2" fillId="0" borderId="1" xfId="3" applyNumberFormat="1" applyFont="1" applyBorder="1" applyAlignment="1">
      <alignment horizontal="center" vertical="center"/>
    </xf>
    <xf numFmtId="0" fontId="0" fillId="0" borderId="1" xfId="3" applyNumberFormat="1" applyFont="1" applyBorder="1" applyAlignment="1">
      <alignment horizontal="center" vertical="center"/>
    </xf>
    <xf numFmtId="0" fontId="5" fillId="2" borderId="1" xfId="0" applyFont="1" applyFill="1" applyBorder="1" applyAlignment="1">
      <alignment vertical="center" wrapText="1"/>
    </xf>
  </cellXfs>
  <cellStyles count="10">
    <cellStyle name="Comma" xfId="3" builtinId="3"/>
    <cellStyle name="Comma 2" xfId="7"/>
    <cellStyle name="Comma 3" xfId="5"/>
    <cellStyle name="Comma 4" xfId="9"/>
    <cellStyle name="Currency" xfId="1" builtinId="4"/>
    <cellStyle name="Currency 2" xfId="6"/>
    <cellStyle name="Currency 3" xfId="4"/>
    <cellStyle name="Currency 4" xfId="8"/>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2" Type="http://schemas.microsoft.com/office/2007/relationships/hdphoto" Target="../media/hdphoto3.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475450</xdr:colOff>
      <xdr:row>0</xdr:row>
      <xdr:rowOff>0</xdr:rowOff>
    </xdr:from>
    <xdr:to>
      <xdr:col>11</xdr:col>
      <xdr:colOff>45625</xdr:colOff>
      <xdr:row>17</xdr:row>
      <xdr:rowOff>136070</xdr:rowOff>
    </xdr:to>
    <xdr:pic>
      <xdr:nvPicPr>
        <xdr:cNvPr id="2" name="Picture 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7367" t="8423" r="12431" b="10870"/>
        <a:stretch/>
      </xdr:blipFill>
      <xdr:spPr>
        <a:xfrm>
          <a:off x="6993271" y="0"/>
          <a:ext cx="9802747" cy="4776106"/>
        </a:xfrm>
        <a:prstGeom prst="rect">
          <a:avLst/>
        </a:prstGeom>
        <a:ln>
          <a:solidFill>
            <a:sysClr val="windowText" lastClr="000000"/>
          </a:solidFill>
        </a:ln>
      </xdr:spPr>
    </xdr:pic>
    <xdr:clientData/>
  </xdr:twoCellAnchor>
  <xdr:twoCellAnchor>
    <xdr:from>
      <xdr:col>10</xdr:col>
      <xdr:colOff>854847</xdr:colOff>
      <xdr:row>9</xdr:row>
      <xdr:rowOff>19211</xdr:rowOff>
    </xdr:from>
    <xdr:to>
      <xdr:col>10</xdr:col>
      <xdr:colOff>1646467</xdr:colOff>
      <xdr:row>9</xdr:row>
      <xdr:rowOff>231320</xdr:rowOff>
    </xdr:to>
    <xdr:sp macro="" textlink="">
      <xdr:nvSpPr>
        <xdr:cNvPr id="3" name="Rounded Rectangle 2">
          <a:extLst>
            <a:ext uri="{FF2B5EF4-FFF2-40B4-BE49-F238E27FC236}">
              <a16:creationId xmlns="" xmlns:a16="http://schemas.microsoft.com/office/drawing/2014/main" id="{00000000-0008-0000-0000-000004000000}"/>
            </a:ext>
          </a:extLst>
        </xdr:cNvPr>
        <xdr:cNvSpPr/>
      </xdr:nvSpPr>
      <xdr:spPr>
        <a:xfrm>
          <a:off x="15509740" y="2645390"/>
          <a:ext cx="791620" cy="21210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4</xdr:col>
      <xdr:colOff>1850571</xdr:colOff>
      <xdr:row>8</xdr:row>
      <xdr:rowOff>225717</xdr:rowOff>
    </xdr:from>
    <xdr:to>
      <xdr:col>5</xdr:col>
      <xdr:colOff>956504</xdr:colOff>
      <xdr:row>9</xdr:row>
      <xdr:rowOff>217713</xdr:rowOff>
    </xdr:to>
    <xdr:sp macro="" textlink="">
      <xdr:nvSpPr>
        <xdr:cNvPr id="4" name="Right Arrow 3">
          <a:extLst>
            <a:ext uri="{FF2B5EF4-FFF2-40B4-BE49-F238E27FC236}">
              <a16:creationId xmlns="" xmlns:a16="http://schemas.microsoft.com/office/drawing/2014/main" id="{00000000-0008-0000-0000-000005000000}"/>
            </a:ext>
          </a:extLst>
        </xdr:cNvPr>
        <xdr:cNvSpPr/>
      </xdr:nvSpPr>
      <xdr:spPr>
        <a:xfrm>
          <a:off x="6408964" y="2579753"/>
          <a:ext cx="1065361" cy="26413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editAs="oneCell">
    <xdr:from>
      <xdr:col>7</xdr:col>
      <xdr:colOff>108857</xdr:colOff>
      <xdr:row>18</xdr:row>
      <xdr:rowOff>13607</xdr:rowOff>
    </xdr:from>
    <xdr:to>
      <xdr:col>13</xdr:col>
      <xdr:colOff>363526</xdr:colOff>
      <xdr:row>33</xdr:row>
      <xdr:rowOff>96678</xdr:rowOff>
    </xdr:to>
    <xdr:pic>
      <xdr:nvPicPr>
        <xdr:cNvPr id="5" name="Picture 4"/>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Lst>
        </a:blip>
        <a:stretch>
          <a:fillRect/>
        </a:stretch>
      </xdr:blipFill>
      <xdr:spPr>
        <a:xfrm>
          <a:off x="9742714" y="4857750"/>
          <a:ext cx="8595848" cy="3961106"/>
        </a:xfrm>
        <a:prstGeom prst="rect">
          <a:avLst/>
        </a:prstGeom>
        <a:ln>
          <a:solidFill>
            <a:sysClr val="windowText" lastClr="000000"/>
          </a:solidFill>
        </a:ln>
      </xdr:spPr>
    </xdr:pic>
    <xdr:clientData/>
  </xdr:twoCellAnchor>
  <xdr:twoCellAnchor>
    <xdr:from>
      <xdr:col>7</xdr:col>
      <xdr:colOff>982436</xdr:colOff>
      <xdr:row>24</xdr:row>
      <xdr:rowOff>214834</xdr:rowOff>
    </xdr:from>
    <xdr:to>
      <xdr:col>7</xdr:col>
      <xdr:colOff>1653188</xdr:colOff>
      <xdr:row>25</xdr:row>
      <xdr:rowOff>125187</xdr:rowOff>
    </xdr:to>
    <xdr:sp macro="" textlink="">
      <xdr:nvSpPr>
        <xdr:cNvPr id="6" name="Right Arrow 5">
          <a:extLst>
            <a:ext uri="{FF2B5EF4-FFF2-40B4-BE49-F238E27FC236}">
              <a16:creationId xmlns="" xmlns:a16="http://schemas.microsoft.com/office/drawing/2014/main" id="{00000000-0008-0000-0000-000005000000}"/>
            </a:ext>
          </a:extLst>
        </xdr:cNvPr>
        <xdr:cNvSpPr/>
      </xdr:nvSpPr>
      <xdr:spPr>
        <a:xfrm>
          <a:off x="10616293" y="6446905"/>
          <a:ext cx="670752" cy="18249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9</xdr:col>
      <xdr:colOff>1714499</xdr:colOff>
      <xdr:row>24</xdr:row>
      <xdr:rowOff>185219</xdr:rowOff>
    </xdr:from>
    <xdr:to>
      <xdr:col>12</xdr:col>
      <xdr:colOff>261258</xdr:colOff>
      <xdr:row>25</xdr:row>
      <xdr:rowOff>136072</xdr:rowOff>
    </xdr:to>
    <xdr:sp macro="" textlink="">
      <xdr:nvSpPr>
        <xdr:cNvPr id="7" name="Rounded Rectangle 6">
          <a:extLst>
            <a:ext uri="{FF2B5EF4-FFF2-40B4-BE49-F238E27FC236}">
              <a16:creationId xmlns="" xmlns:a16="http://schemas.microsoft.com/office/drawing/2014/main" id="{00000000-0008-0000-0000-000004000000}"/>
            </a:ext>
          </a:extLst>
        </xdr:cNvPr>
        <xdr:cNvSpPr/>
      </xdr:nvSpPr>
      <xdr:spPr>
        <a:xfrm>
          <a:off x="14600463" y="6417290"/>
          <a:ext cx="3023509" cy="22299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272143</xdr:colOff>
      <xdr:row>18</xdr:row>
      <xdr:rowOff>13607</xdr:rowOff>
    </xdr:from>
    <xdr:to>
      <xdr:col>19</xdr:col>
      <xdr:colOff>231322</xdr:colOff>
      <xdr:row>39</xdr:row>
      <xdr:rowOff>91376</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8994322" y="6694714"/>
          <a:ext cx="9252857" cy="5221269"/>
        </a:xfrm>
        <a:prstGeom prst="rect">
          <a:avLst/>
        </a:prstGeom>
        <a:ln>
          <a:solidFill>
            <a:sysClr val="windowText" lastClr="000000"/>
          </a:solidFill>
        </a:ln>
      </xdr:spPr>
    </xdr:pic>
    <xdr:clientData/>
  </xdr:twoCellAnchor>
  <xdr:twoCellAnchor>
    <xdr:from>
      <xdr:col>10</xdr:col>
      <xdr:colOff>721179</xdr:colOff>
      <xdr:row>22</xdr:row>
      <xdr:rowOff>81643</xdr:rowOff>
    </xdr:from>
    <xdr:to>
      <xdr:col>12</xdr:col>
      <xdr:colOff>40821</xdr:colOff>
      <xdr:row>22</xdr:row>
      <xdr:rowOff>204107</xdr:rowOff>
    </xdr:to>
    <xdr:sp macro="" textlink="">
      <xdr:nvSpPr>
        <xdr:cNvPr id="3" name="Right Arrow 2"/>
        <xdr:cNvSpPr/>
      </xdr:nvSpPr>
      <xdr:spPr>
        <a:xfrm>
          <a:off x="8735786" y="7715250"/>
          <a:ext cx="721178" cy="12246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15</xdr:col>
      <xdr:colOff>693963</xdr:colOff>
      <xdr:row>22</xdr:row>
      <xdr:rowOff>81643</xdr:rowOff>
    </xdr:from>
    <xdr:to>
      <xdr:col>19</xdr:col>
      <xdr:colOff>435426</xdr:colOff>
      <xdr:row>22</xdr:row>
      <xdr:rowOff>204107</xdr:rowOff>
    </xdr:to>
    <xdr:sp macro="" textlink="">
      <xdr:nvSpPr>
        <xdr:cNvPr id="4" name="Rounded Rectangle 3"/>
        <xdr:cNvSpPr/>
      </xdr:nvSpPr>
      <xdr:spPr>
        <a:xfrm>
          <a:off x="14328320" y="7715250"/>
          <a:ext cx="4136570" cy="122464"/>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12</xdr:col>
      <xdr:colOff>476252</xdr:colOff>
      <xdr:row>20</xdr:row>
      <xdr:rowOff>40822</xdr:rowOff>
    </xdr:from>
    <xdr:to>
      <xdr:col>14</xdr:col>
      <xdr:colOff>108859</xdr:colOff>
      <xdr:row>20</xdr:row>
      <xdr:rowOff>40822</xdr:rowOff>
    </xdr:to>
    <xdr:cxnSp macro="">
      <xdr:nvCxnSpPr>
        <xdr:cNvPr id="6" name="Straight Connector 5"/>
        <xdr:cNvCxnSpPr/>
      </xdr:nvCxnSpPr>
      <xdr:spPr>
        <a:xfrm>
          <a:off x="10463895" y="7102929"/>
          <a:ext cx="1074964"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587831</xdr:colOff>
      <xdr:row>20</xdr:row>
      <xdr:rowOff>234043</xdr:rowOff>
    </xdr:from>
    <xdr:to>
      <xdr:col>13</xdr:col>
      <xdr:colOff>302081</xdr:colOff>
      <xdr:row>20</xdr:row>
      <xdr:rowOff>234043</xdr:rowOff>
    </xdr:to>
    <xdr:cxnSp macro="">
      <xdr:nvCxnSpPr>
        <xdr:cNvPr id="7" name="Straight Connector 6"/>
        <xdr:cNvCxnSpPr/>
      </xdr:nvCxnSpPr>
      <xdr:spPr>
        <a:xfrm>
          <a:off x="9935938" y="7296150"/>
          <a:ext cx="1074964"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29"/>
  <sheetViews>
    <sheetView topLeftCell="A10" zoomScale="70" zoomScaleNormal="70" workbookViewId="0">
      <selection activeCell="D15" sqref="D15"/>
    </sheetView>
  </sheetViews>
  <sheetFormatPr defaultRowHeight="15" x14ac:dyDescent="0.25"/>
  <cols>
    <col min="2" max="2" width="19.28515625" bestFit="1" customWidth="1"/>
    <col min="3" max="3" width="20.42578125" bestFit="1" customWidth="1"/>
    <col min="4" max="4" width="19.28515625" bestFit="1" customWidth="1"/>
    <col min="5" max="5" width="29.28515625" bestFit="1" customWidth="1"/>
    <col min="6" max="6" width="19.28515625" bestFit="1" customWidth="1"/>
    <col min="7" max="7" width="27.42578125" bestFit="1" customWidth="1"/>
    <col min="8" max="8" width="29.28515625" bestFit="1" customWidth="1"/>
    <col min="9" max="9" width="19.28515625" bestFit="1" customWidth="1"/>
    <col min="10" max="10" width="26.42578125" bestFit="1" customWidth="1"/>
    <col min="11" max="11" width="31.42578125" bestFit="1" customWidth="1"/>
  </cols>
  <sheetData>
    <row r="2" spans="2:11" ht="21" x14ac:dyDescent="0.25">
      <c r="B2" s="61" t="s">
        <v>23</v>
      </c>
      <c r="C2" s="61"/>
      <c r="D2" s="61"/>
      <c r="E2" s="17"/>
      <c r="F2" s="17"/>
      <c r="G2" s="17"/>
      <c r="H2" s="17"/>
      <c r="I2" s="17"/>
      <c r="J2" s="17"/>
      <c r="K2" s="17"/>
    </row>
    <row r="3" spans="2:11" ht="42" x14ac:dyDescent="0.25">
      <c r="B3" s="22" t="s">
        <v>24</v>
      </c>
      <c r="C3" s="23" t="s">
        <v>25</v>
      </c>
      <c r="D3" s="23" t="s">
        <v>26</v>
      </c>
      <c r="E3" s="17"/>
      <c r="F3" s="17"/>
      <c r="G3" s="17"/>
      <c r="H3" s="17"/>
      <c r="I3" s="17"/>
      <c r="J3" s="17"/>
      <c r="K3" s="17"/>
    </row>
    <row r="4" spans="2:11" ht="21" x14ac:dyDescent="0.25">
      <c r="B4" s="19">
        <v>5518</v>
      </c>
      <c r="C4" s="20">
        <v>30000</v>
      </c>
      <c r="D4" s="20">
        <f>B4*C4</f>
        <v>165540000</v>
      </c>
      <c r="E4" s="17"/>
      <c r="F4" s="17"/>
      <c r="G4" s="17"/>
      <c r="H4" s="17"/>
      <c r="I4" s="17"/>
      <c r="J4" s="17"/>
      <c r="K4" s="17"/>
    </row>
    <row r="5" spans="2:11" ht="21" x14ac:dyDescent="0.25">
      <c r="B5" s="29"/>
      <c r="C5" s="30"/>
      <c r="D5" s="30"/>
      <c r="E5" s="17"/>
      <c r="F5" s="17"/>
      <c r="G5" s="17"/>
      <c r="H5" s="17"/>
      <c r="I5" s="17"/>
      <c r="J5" s="17"/>
      <c r="K5" s="17"/>
    </row>
    <row r="6" spans="2:11" ht="21" x14ac:dyDescent="0.25">
      <c r="B6" s="29"/>
      <c r="C6" s="30"/>
      <c r="D6" s="30"/>
      <c r="E6" s="17"/>
      <c r="F6" s="17"/>
      <c r="G6" s="17"/>
      <c r="H6" s="17"/>
      <c r="I6" s="17"/>
      <c r="J6" s="17"/>
      <c r="K6" s="17"/>
    </row>
    <row r="7" spans="2:11" ht="21" x14ac:dyDescent="0.25">
      <c r="B7" s="29"/>
      <c r="C7" s="30"/>
      <c r="D7" s="30"/>
      <c r="E7" s="17"/>
      <c r="F7" s="17"/>
      <c r="G7" s="17"/>
      <c r="H7" s="17"/>
      <c r="I7" s="17"/>
      <c r="J7" s="17"/>
      <c r="K7" s="17"/>
    </row>
    <row r="8" spans="2:11" ht="21" x14ac:dyDescent="0.25">
      <c r="B8" s="29"/>
      <c r="C8" s="30"/>
      <c r="D8" s="30"/>
      <c r="E8" s="17"/>
      <c r="F8" s="17"/>
      <c r="G8" s="17"/>
      <c r="H8" s="17"/>
      <c r="I8" s="17"/>
      <c r="J8" s="17"/>
      <c r="K8" s="17"/>
    </row>
    <row r="9" spans="2:11" ht="21" x14ac:dyDescent="0.25">
      <c r="B9" s="29"/>
      <c r="C9" s="30"/>
      <c r="D9" s="30"/>
      <c r="E9" s="17"/>
      <c r="F9" s="17"/>
      <c r="G9" s="17"/>
      <c r="H9" s="17"/>
      <c r="I9" s="17"/>
      <c r="J9" s="17"/>
      <c r="K9" s="17"/>
    </row>
    <row r="10" spans="2:11" ht="21" x14ac:dyDescent="0.25">
      <c r="B10" s="61" t="s">
        <v>27</v>
      </c>
      <c r="C10" s="61"/>
      <c r="D10" s="61"/>
      <c r="E10" s="17"/>
      <c r="F10" s="17"/>
      <c r="G10" s="17"/>
      <c r="H10" s="17"/>
      <c r="I10" s="17"/>
      <c r="J10" s="17"/>
      <c r="K10" s="17"/>
    </row>
    <row r="11" spans="2:11" ht="21" x14ac:dyDescent="0.25">
      <c r="B11" s="22" t="s">
        <v>28</v>
      </c>
      <c r="C11" s="23" t="s">
        <v>29</v>
      </c>
      <c r="D11" s="23" t="s">
        <v>30</v>
      </c>
      <c r="E11" s="17"/>
      <c r="F11" s="17"/>
      <c r="G11" s="17"/>
      <c r="H11" s="17"/>
      <c r="I11" s="17"/>
      <c r="J11" s="17"/>
      <c r="K11" s="17"/>
    </row>
    <row r="12" spans="2:11" ht="21" x14ac:dyDescent="0.35">
      <c r="B12" s="21">
        <f>D4</f>
        <v>165540000</v>
      </c>
      <c r="C12" s="24">
        <f>Building!V13</f>
        <v>27632133</v>
      </c>
      <c r="D12" s="21">
        <f>B12+C12</f>
        <v>193172133</v>
      </c>
      <c r="E12" s="17"/>
      <c r="F12" s="17"/>
      <c r="G12" s="17"/>
      <c r="H12" s="17"/>
      <c r="I12" s="17"/>
      <c r="J12" s="17"/>
      <c r="K12" s="17"/>
    </row>
    <row r="13" spans="2:11" ht="21" x14ac:dyDescent="0.25">
      <c r="B13" s="63" t="s">
        <v>44</v>
      </c>
      <c r="C13" s="19" t="s">
        <v>31</v>
      </c>
      <c r="D13" s="20">
        <v>191100000</v>
      </c>
    </row>
    <row r="14" spans="2:11" ht="21" x14ac:dyDescent="0.25">
      <c r="B14" s="63"/>
      <c r="C14" s="19" t="s">
        <v>34</v>
      </c>
      <c r="D14" s="20">
        <f>D13*0.85</f>
        <v>162435000</v>
      </c>
    </row>
    <row r="15" spans="2:11" ht="21" x14ac:dyDescent="0.25">
      <c r="B15" s="63"/>
      <c r="C15" s="19" t="s">
        <v>37</v>
      </c>
      <c r="D15" s="20">
        <f>D13*0.75</f>
        <v>143325000</v>
      </c>
    </row>
    <row r="16" spans="2:11" x14ac:dyDescent="0.25">
      <c r="B16" s="17"/>
      <c r="C16" s="17"/>
      <c r="D16" s="17"/>
    </row>
    <row r="19" spans="2:18" x14ac:dyDescent="0.25">
      <c r="G19" s="62" t="s">
        <v>43</v>
      </c>
    </row>
    <row r="20" spans="2:18" x14ac:dyDescent="0.25">
      <c r="G20" s="62"/>
    </row>
    <row r="21" spans="2:18" ht="21" x14ac:dyDescent="0.25">
      <c r="B21" s="17"/>
      <c r="C21" s="17"/>
      <c r="D21" s="28"/>
      <c r="E21" s="36" t="s">
        <v>32</v>
      </c>
      <c r="F21" s="27">
        <v>20000</v>
      </c>
      <c r="G21" s="37" t="s">
        <v>33</v>
      </c>
    </row>
    <row r="22" spans="2:18" ht="21" x14ac:dyDescent="0.25">
      <c r="B22" s="17"/>
      <c r="C22" s="17"/>
      <c r="D22" s="28"/>
      <c r="E22" s="36" t="s">
        <v>35</v>
      </c>
      <c r="F22" s="27">
        <v>0</v>
      </c>
      <c r="G22" s="37" t="s">
        <v>36</v>
      </c>
    </row>
    <row r="23" spans="2:18" x14ac:dyDescent="0.25">
      <c r="B23" s="17"/>
      <c r="C23" s="17"/>
      <c r="D23" s="17"/>
      <c r="E23" s="17"/>
      <c r="F23" s="17"/>
      <c r="G23" s="17"/>
      <c r="H23" s="17"/>
    </row>
    <row r="24" spans="2:18" ht="21" x14ac:dyDescent="0.25">
      <c r="B24" s="17"/>
      <c r="C24" s="17"/>
      <c r="D24" s="28"/>
      <c r="E24" s="34" t="s">
        <v>38</v>
      </c>
      <c r="F24" s="35">
        <f>B4*F21</f>
        <v>110360000</v>
      </c>
      <c r="G24" s="17"/>
      <c r="H24" s="17"/>
    </row>
    <row r="25" spans="2:18" ht="21" x14ac:dyDescent="0.25">
      <c r="B25" s="17"/>
      <c r="C25" s="17"/>
      <c r="D25" s="28"/>
      <c r="E25" s="34" t="s">
        <v>39</v>
      </c>
      <c r="F25" s="35">
        <f>C28*F22</f>
        <v>0</v>
      </c>
      <c r="G25" s="17"/>
      <c r="H25" s="17"/>
    </row>
    <row r="26" spans="2:18" ht="21" x14ac:dyDescent="0.25">
      <c r="B26" s="17"/>
      <c r="C26" s="17"/>
      <c r="D26" s="33"/>
      <c r="E26" s="34" t="s">
        <v>30</v>
      </c>
      <c r="F26" s="35">
        <f>F24+F25</f>
        <v>110360000</v>
      </c>
      <c r="G26" s="17"/>
      <c r="H26" s="17"/>
    </row>
    <row r="27" spans="2:18" ht="30.75" thickBot="1" x14ac:dyDescent="0.3">
      <c r="B27" s="26" t="s">
        <v>40</v>
      </c>
      <c r="C27" s="38">
        <v>7428.8365695999992</v>
      </c>
      <c r="D27" s="17"/>
      <c r="E27" s="17"/>
      <c r="F27" s="17"/>
      <c r="G27" s="17"/>
      <c r="H27" s="17"/>
    </row>
    <row r="28" spans="2:18" ht="47.25" thickBot="1" x14ac:dyDescent="0.3">
      <c r="B28" s="26" t="s">
        <v>41</v>
      </c>
      <c r="C28" s="18">
        <v>0</v>
      </c>
      <c r="D28" s="17"/>
      <c r="E28" s="25" t="s">
        <v>42</v>
      </c>
      <c r="F28" s="32">
        <f>(D12-F26)/D12</f>
        <v>0.42869606352589168</v>
      </c>
      <c r="G28" s="31"/>
      <c r="H28" s="31"/>
    </row>
    <row r="29" spans="2:18" x14ac:dyDescent="0.25"/>
  </sheetData>
  <mergeCells count="4">
    <mergeCell ref="B2:D2"/>
    <mergeCell ref="B10:D10"/>
    <mergeCell ref="G19:G20"/>
    <mergeCell ref="B13:B1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30"/>
  <sheetViews>
    <sheetView tabSelected="1" zoomScale="70" zoomScaleNormal="70" zoomScaleSheetLayoutView="85" workbookViewId="0">
      <selection activeCell="B3" sqref="B3:V13"/>
    </sheetView>
  </sheetViews>
  <sheetFormatPr defaultRowHeight="15" x14ac:dyDescent="0.25"/>
  <cols>
    <col min="2" max="2" width="9.5703125" bestFit="1" customWidth="1"/>
    <col min="3" max="3" width="11.140625" hidden="1" customWidth="1"/>
    <col min="4" max="4" width="13.140625" style="13" bestFit="1" customWidth="1"/>
    <col min="5" max="5" width="22.42578125" style="13" customWidth="1"/>
    <col min="6" max="6" width="14.5703125" style="16" bestFit="1" customWidth="1"/>
    <col min="7" max="7" width="9.42578125" customWidth="1"/>
    <col min="8" max="8" width="15.42578125" style="17" hidden="1" customWidth="1"/>
    <col min="9" max="9" width="14.42578125" style="17" hidden="1" customWidth="1"/>
    <col min="10" max="10" width="18.5703125" style="17" bestFit="1" customWidth="1"/>
    <col min="11" max="11" width="15.7109375" customWidth="1"/>
    <col min="12" max="12" width="12.42578125" customWidth="1"/>
    <col min="13" max="13" width="13.28515625" customWidth="1"/>
    <col min="14" max="14" width="14.7109375" customWidth="1"/>
    <col min="15" max="15" width="10.42578125" customWidth="1"/>
    <col min="16" max="16" width="16.42578125" customWidth="1"/>
    <col min="17" max="17" width="15.42578125" bestFit="1" customWidth="1"/>
    <col min="18" max="18" width="24.28515625" bestFit="1" customWidth="1"/>
    <col min="19" max="19" width="16.42578125" bestFit="1" customWidth="1"/>
    <col min="20" max="20" width="19.42578125" customWidth="1"/>
    <col min="21" max="21" width="15.28515625" hidden="1" customWidth="1"/>
    <col min="22" max="22" width="25.28515625" style="14" bestFit="1" customWidth="1"/>
    <col min="23" max="23" width="17" bestFit="1" customWidth="1"/>
    <col min="24" max="25" width="14.28515625" bestFit="1" customWidth="1"/>
  </cols>
  <sheetData>
    <row r="3" spans="2:25" ht="15.75" x14ac:dyDescent="0.25">
      <c r="B3" s="65" t="s">
        <v>21</v>
      </c>
      <c r="C3" s="65"/>
      <c r="D3" s="65"/>
      <c r="E3" s="65"/>
      <c r="F3" s="65"/>
      <c r="G3" s="65"/>
      <c r="H3" s="65"/>
      <c r="I3" s="65"/>
      <c r="J3" s="65"/>
      <c r="K3" s="65"/>
      <c r="L3" s="65"/>
      <c r="M3" s="65"/>
      <c r="N3" s="65"/>
      <c r="O3" s="65"/>
      <c r="P3" s="65"/>
      <c r="Q3" s="65"/>
      <c r="R3" s="65"/>
      <c r="S3" s="65"/>
      <c r="T3" s="65"/>
      <c r="U3" s="65"/>
      <c r="V3" s="65"/>
    </row>
    <row r="4" spans="2:25" s="12" customFormat="1" ht="60" x14ac:dyDescent="0.25">
      <c r="B4" s="10" t="s">
        <v>72</v>
      </c>
      <c r="C4" s="10" t="s">
        <v>0</v>
      </c>
      <c r="D4" s="11" t="s">
        <v>19</v>
      </c>
      <c r="E4" s="11" t="s">
        <v>3</v>
      </c>
      <c r="F4" s="15" t="s">
        <v>15</v>
      </c>
      <c r="G4" s="73" t="s">
        <v>12</v>
      </c>
      <c r="H4" s="11" t="s">
        <v>55</v>
      </c>
      <c r="I4" s="11" t="s">
        <v>54</v>
      </c>
      <c r="J4" s="15" t="s">
        <v>58</v>
      </c>
      <c r="K4" s="11" t="s">
        <v>1</v>
      </c>
      <c r="L4" s="11" t="s">
        <v>2</v>
      </c>
      <c r="M4" s="11" t="s">
        <v>13</v>
      </c>
      <c r="N4" s="11" t="s">
        <v>14</v>
      </c>
      <c r="O4" s="11" t="s">
        <v>4</v>
      </c>
      <c r="P4" s="11" t="s">
        <v>6</v>
      </c>
      <c r="Q4" s="11" t="s">
        <v>52</v>
      </c>
      <c r="R4" s="11" t="s">
        <v>10</v>
      </c>
      <c r="S4" s="11" t="s">
        <v>7</v>
      </c>
      <c r="T4" s="11" t="s">
        <v>8</v>
      </c>
      <c r="U4" s="11" t="s">
        <v>11</v>
      </c>
      <c r="V4" s="11" t="s">
        <v>9</v>
      </c>
    </row>
    <row r="5" spans="2:25" ht="60" x14ac:dyDescent="0.25">
      <c r="B5" s="9">
        <v>1</v>
      </c>
      <c r="C5" s="42" t="s">
        <v>17</v>
      </c>
      <c r="D5" s="42" t="s">
        <v>45</v>
      </c>
      <c r="E5" s="42" t="s">
        <v>70</v>
      </c>
      <c r="F5" s="72">
        <f>(39+82+30)*22.5</f>
        <v>3397.5</v>
      </c>
      <c r="G5" s="6">
        <v>7</v>
      </c>
      <c r="H5" s="69">
        <v>0.6</v>
      </c>
      <c r="I5" s="70">
        <v>1.3</v>
      </c>
      <c r="J5" s="38">
        <f>F5</f>
        <v>3397.5</v>
      </c>
      <c r="K5" s="41">
        <v>2010</v>
      </c>
      <c r="L5" s="41">
        <v>2022</v>
      </c>
      <c r="M5" s="41">
        <f>L5-K5</f>
        <v>12</v>
      </c>
      <c r="N5" s="41">
        <v>45</v>
      </c>
      <c r="O5" s="2">
        <v>0.1</v>
      </c>
      <c r="P5" s="3">
        <f t="shared" ref="P5:P12" si="0">(1-O5)/N5</f>
        <v>0.02</v>
      </c>
      <c r="Q5" s="4">
        <v>1250</v>
      </c>
      <c r="R5" s="4">
        <f>Q5*J5</f>
        <v>4246875</v>
      </c>
      <c r="S5" s="4">
        <f t="shared" ref="S5" si="1">R5*P5*M5</f>
        <v>1019250</v>
      </c>
      <c r="T5" s="4">
        <f t="shared" ref="T5" si="2">MAX(R5-S5,0)</f>
        <v>3227625</v>
      </c>
      <c r="U5" s="7">
        <v>0</v>
      </c>
      <c r="V5" s="4">
        <f t="shared" ref="V5:V7" si="3">IF(T5&gt;O5*R5,T5*(1-U5),R5*O5)</f>
        <v>3227625</v>
      </c>
      <c r="W5" s="8">
        <f>V5/F5</f>
        <v>950</v>
      </c>
      <c r="X5" s="1"/>
      <c r="Y5" s="1"/>
    </row>
    <row r="6" spans="2:25" ht="60" x14ac:dyDescent="0.25">
      <c r="B6" s="9">
        <v>2</v>
      </c>
      <c r="C6" s="42" t="s">
        <v>17</v>
      </c>
      <c r="D6" s="42" t="s">
        <v>46</v>
      </c>
      <c r="E6" s="42" t="s">
        <v>70</v>
      </c>
      <c r="F6" s="72">
        <f>(39+82+30)*40</f>
        <v>6040</v>
      </c>
      <c r="G6" s="6">
        <v>7</v>
      </c>
      <c r="H6" s="69"/>
      <c r="I6" s="70"/>
      <c r="J6" s="38">
        <f t="shared" ref="J6:J12" si="4">F6</f>
        <v>6040</v>
      </c>
      <c r="K6" s="41">
        <v>2010</v>
      </c>
      <c r="L6" s="41">
        <v>2022</v>
      </c>
      <c r="M6" s="41">
        <f t="shared" ref="M6:M7" si="5">L6-K6</f>
        <v>12</v>
      </c>
      <c r="N6" s="41">
        <v>45</v>
      </c>
      <c r="O6" s="2">
        <v>0.1</v>
      </c>
      <c r="P6" s="3">
        <f t="shared" si="0"/>
        <v>0.02</v>
      </c>
      <c r="Q6" s="4">
        <v>1250</v>
      </c>
      <c r="R6" s="4">
        <f>Q6*J6</f>
        <v>7550000</v>
      </c>
      <c r="S6" s="4">
        <f>R6*P6*M6</f>
        <v>1812000</v>
      </c>
      <c r="T6" s="4">
        <f>MAX(R6-S6,0)</f>
        <v>5738000</v>
      </c>
      <c r="U6" s="7">
        <v>0</v>
      </c>
      <c r="V6" s="4">
        <f t="shared" si="3"/>
        <v>5738000</v>
      </c>
      <c r="W6" s="8">
        <f t="shared" ref="W6:W12" si="6">V6/F6</f>
        <v>950</v>
      </c>
      <c r="X6" s="1"/>
      <c r="Y6" s="1"/>
    </row>
    <row r="7" spans="2:25" ht="60" x14ac:dyDescent="0.25">
      <c r="B7" s="9">
        <v>3</v>
      </c>
      <c r="C7" s="42" t="s">
        <v>17</v>
      </c>
      <c r="D7" s="42" t="s">
        <v>47</v>
      </c>
      <c r="E7" s="42" t="s">
        <v>71</v>
      </c>
      <c r="F7" s="72">
        <f>(30+24+65)*40</f>
        <v>4760</v>
      </c>
      <c r="G7" s="6">
        <v>7</v>
      </c>
      <c r="H7" s="69"/>
      <c r="I7" s="70"/>
      <c r="J7" s="38">
        <f t="shared" si="4"/>
        <v>4760</v>
      </c>
      <c r="K7" s="41">
        <v>2010</v>
      </c>
      <c r="L7" s="41">
        <v>2022</v>
      </c>
      <c r="M7" s="41">
        <f t="shared" si="5"/>
        <v>12</v>
      </c>
      <c r="N7" s="41">
        <v>45</v>
      </c>
      <c r="O7" s="2">
        <v>0.1</v>
      </c>
      <c r="P7" s="3">
        <f t="shared" si="0"/>
        <v>0.02</v>
      </c>
      <c r="Q7" s="4">
        <v>1250</v>
      </c>
      <c r="R7" s="4">
        <f t="shared" ref="R7:R10" si="7">Q7*J7</f>
        <v>5950000</v>
      </c>
      <c r="S7" s="4">
        <f>R7*P7*M7</f>
        <v>1428000</v>
      </c>
      <c r="T7" s="4">
        <f>MAX(R7-S7,0)</f>
        <v>4522000</v>
      </c>
      <c r="U7" s="7">
        <v>0</v>
      </c>
      <c r="V7" s="4">
        <f t="shared" si="3"/>
        <v>4522000</v>
      </c>
      <c r="W7" s="8">
        <f t="shared" si="6"/>
        <v>950</v>
      </c>
      <c r="X7" s="1"/>
      <c r="Y7" s="1"/>
    </row>
    <row r="8" spans="2:25" s="17" customFormat="1" ht="30" x14ac:dyDescent="0.25">
      <c r="B8" s="9">
        <v>4</v>
      </c>
      <c r="C8" s="42" t="s">
        <v>17</v>
      </c>
      <c r="D8" s="42" t="s">
        <v>48</v>
      </c>
      <c r="E8" s="42" t="s">
        <v>51</v>
      </c>
      <c r="F8" s="72">
        <f>(39+82+20+30)*25</f>
        <v>4275</v>
      </c>
      <c r="G8" s="6">
        <v>12</v>
      </c>
      <c r="H8" s="69"/>
      <c r="I8" s="70"/>
      <c r="J8" s="38">
        <f t="shared" si="4"/>
        <v>4275</v>
      </c>
      <c r="K8" s="41">
        <v>2010</v>
      </c>
      <c r="L8" s="41">
        <v>2022</v>
      </c>
      <c r="M8" s="41">
        <f>L8-K8</f>
        <v>12</v>
      </c>
      <c r="N8" s="41">
        <v>60</v>
      </c>
      <c r="O8" s="2">
        <v>0.1</v>
      </c>
      <c r="P8" s="3">
        <f t="shared" si="0"/>
        <v>1.5000000000000001E-2</v>
      </c>
      <c r="Q8" s="4">
        <v>1200</v>
      </c>
      <c r="R8" s="4">
        <f t="shared" si="7"/>
        <v>5130000</v>
      </c>
      <c r="S8" s="4">
        <f t="shared" ref="S8" si="8">R8*P8*M8</f>
        <v>923400</v>
      </c>
      <c r="T8" s="4">
        <f t="shared" ref="T8" si="9">MAX(R8-S8,0)</f>
        <v>4206600</v>
      </c>
      <c r="U8" s="7">
        <v>0.05</v>
      </c>
      <c r="V8" s="4">
        <f t="shared" ref="V8:V10" si="10">IF(T8&gt;O8*R8,T8*(1-U8),R8*O8)</f>
        <v>3996270</v>
      </c>
      <c r="W8" s="8">
        <f t="shared" si="6"/>
        <v>934.8</v>
      </c>
      <c r="X8" s="1"/>
      <c r="Y8" s="1"/>
    </row>
    <row r="9" spans="2:25" s="17" customFormat="1" ht="30" x14ac:dyDescent="0.25">
      <c r="B9" s="9">
        <v>5</v>
      </c>
      <c r="C9" s="42" t="s">
        <v>17</v>
      </c>
      <c r="D9" s="42" t="s">
        <v>49</v>
      </c>
      <c r="E9" s="42" t="s">
        <v>51</v>
      </c>
      <c r="F9" s="72">
        <f>70*30</f>
        <v>2100</v>
      </c>
      <c r="G9" s="6">
        <v>12</v>
      </c>
      <c r="H9" s="69"/>
      <c r="I9" s="70"/>
      <c r="J9" s="38">
        <f t="shared" si="4"/>
        <v>2100</v>
      </c>
      <c r="K9" s="41">
        <v>2010</v>
      </c>
      <c r="L9" s="41">
        <v>2022</v>
      </c>
      <c r="M9" s="41">
        <f t="shared" ref="M9:M10" si="11">L9-K9</f>
        <v>12</v>
      </c>
      <c r="N9" s="41">
        <v>60</v>
      </c>
      <c r="O9" s="2">
        <v>0.1</v>
      </c>
      <c r="P9" s="3">
        <f t="shared" si="0"/>
        <v>1.5000000000000001E-2</v>
      </c>
      <c r="Q9" s="4">
        <v>1200</v>
      </c>
      <c r="R9" s="4">
        <f t="shared" si="7"/>
        <v>2520000</v>
      </c>
      <c r="S9" s="4">
        <f>R9*P9*M9</f>
        <v>453600</v>
      </c>
      <c r="T9" s="4">
        <f>MAX(R9-S9,0)</f>
        <v>2066400</v>
      </c>
      <c r="U9" s="7">
        <v>0</v>
      </c>
      <c r="V9" s="4">
        <f t="shared" si="10"/>
        <v>2066400</v>
      </c>
      <c r="W9" s="8">
        <f t="shared" si="6"/>
        <v>984</v>
      </c>
      <c r="X9" s="1"/>
      <c r="Y9" s="1"/>
    </row>
    <row r="10" spans="2:25" s="17" customFormat="1" ht="30" x14ac:dyDescent="0.25">
      <c r="B10" s="9">
        <v>6</v>
      </c>
      <c r="C10" s="42" t="s">
        <v>17</v>
      </c>
      <c r="D10" s="42" t="s">
        <v>50</v>
      </c>
      <c r="E10" s="42" t="s">
        <v>51</v>
      </c>
      <c r="F10" s="72">
        <f>(46+25+37)*19</f>
        <v>2052</v>
      </c>
      <c r="G10" s="6">
        <v>12</v>
      </c>
      <c r="H10" s="69"/>
      <c r="I10" s="70"/>
      <c r="J10" s="38">
        <f t="shared" si="4"/>
        <v>2052</v>
      </c>
      <c r="K10" s="41">
        <v>2010</v>
      </c>
      <c r="L10" s="41">
        <v>2022</v>
      </c>
      <c r="M10" s="41">
        <f t="shared" si="11"/>
        <v>12</v>
      </c>
      <c r="N10" s="41">
        <v>60</v>
      </c>
      <c r="O10" s="2">
        <v>0.1</v>
      </c>
      <c r="P10" s="3">
        <f t="shared" si="0"/>
        <v>1.5000000000000001E-2</v>
      </c>
      <c r="Q10" s="4">
        <v>1200</v>
      </c>
      <c r="R10" s="4">
        <f t="shared" si="7"/>
        <v>2462400</v>
      </c>
      <c r="S10" s="4">
        <f>R10*P10*M10</f>
        <v>443232</v>
      </c>
      <c r="T10" s="4">
        <f>MAX(R10-S10,0)</f>
        <v>2019168</v>
      </c>
      <c r="U10" s="7">
        <v>0</v>
      </c>
      <c r="V10" s="4">
        <f t="shared" si="10"/>
        <v>2019168</v>
      </c>
      <c r="W10" s="8">
        <f t="shared" si="6"/>
        <v>984</v>
      </c>
      <c r="X10" s="1"/>
      <c r="Y10" s="1"/>
    </row>
    <row r="11" spans="2:25" s="17" customFormat="1" ht="30" x14ac:dyDescent="0.25">
      <c r="B11" s="9">
        <v>7</v>
      </c>
      <c r="C11" s="42" t="s">
        <v>53</v>
      </c>
      <c r="D11" s="42" t="s">
        <v>48</v>
      </c>
      <c r="E11" s="42" t="s">
        <v>51</v>
      </c>
      <c r="F11" s="72">
        <f>(39+82+20+30)*25</f>
        <v>4275</v>
      </c>
      <c r="G11" s="6">
        <v>12</v>
      </c>
      <c r="H11" s="69"/>
      <c r="I11" s="70"/>
      <c r="J11" s="38">
        <f t="shared" si="4"/>
        <v>4275</v>
      </c>
      <c r="K11" s="41">
        <v>2010</v>
      </c>
      <c r="L11" s="41">
        <v>2022</v>
      </c>
      <c r="M11" s="41">
        <f t="shared" ref="M11:M12" si="12">L11-K11</f>
        <v>12</v>
      </c>
      <c r="N11" s="41">
        <v>60</v>
      </c>
      <c r="O11" s="2">
        <v>0.1</v>
      </c>
      <c r="P11" s="3">
        <f t="shared" si="0"/>
        <v>1.5000000000000001E-2</v>
      </c>
      <c r="Q11" s="4">
        <v>1200</v>
      </c>
      <c r="R11" s="4">
        <f>Q11*J11</f>
        <v>5130000</v>
      </c>
      <c r="S11" s="4">
        <f>R11*P11*M11</f>
        <v>923400</v>
      </c>
      <c r="T11" s="4">
        <f>MAX(R11-S11,0)</f>
        <v>4206600</v>
      </c>
      <c r="U11" s="7">
        <v>0.05</v>
      </c>
      <c r="V11" s="4">
        <f t="shared" ref="V11:V12" si="13">IF(T11&gt;O11*R11,T11*(1-U11),R11*O11)</f>
        <v>3996270</v>
      </c>
      <c r="W11" s="8">
        <f t="shared" si="6"/>
        <v>934.8</v>
      </c>
      <c r="X11" s="1"/>
      <c r="Y11" s="1"/>
    </row>
    <row r="12" spans="2:25" s="17" customFormat="1" ht="30" x14ac:dyDescent="0.25">
      <c r="B12" s="9">
        <v>8</v>
      </c>
      <c r="C12" s="42" t="s">
        <v>53</v>
      </c>
      <c r="D12" s="42" t="s">
        <v>49</v>
      </c>
      <c r="E12" s="42" t="s">
        <v>51</v>
      </c>
      <c r="F12" s="72">
        <f>70*30</f>
        <v>2100</v>
      </c>
      <c r="G12" s="6">
        <v>12</v>
      </c>
      <c r="H12" s="69"/>
      <c r="I12" s="70"/>
      <c r="J12" s="38">
        <f t="shared" si="4"/>
        <v>2100</v>
      </c>
      <c r="K12" s="41">
        <v>2010</v>
      </c>
      <c r="L12" s="41">
        <v>2022</v>
      </c>
      <c r="M12" s="41">
        <f t="shared" si="12"/>
        <v>12</v>
      </c>
      <c r="N12" s="41">
        <v>60</v>
      </c>
      <c r="O12" s="2">
        <v>0.1</v>
      </c>
      <c r="P12" s="3">
        <f t="shared" si="0"/>
        <v>1.5000000000000001E-2</v>
      </c>
      <c r="Q12" s="4">
        <v>1200</v>
      </c>
      <c r="R12" s="4">
        <f>Q12*J12</f>
        <v>2520000</v>
      </c>
      <c r="S12" s="4">
        <f>R12*P12*M12</f>
        <v>453600</v>
      </c>
      <c r="T12" s="4">
        <f>MAX(R12-S12,0)</f>
        <v>2066400</v>
      </c>
      <c r="U12" s="7">
        <v>0</v>
      </c>
      <c r="V12" s="4">
        <f t="shared" si="13"/>
        <v>2066400</v>
      </c>
      <c r="W12" s="8">
        <f t="shared" si="6"/>
        <v>984</v>
      </c>
      <c r="X12" s="1"/>
      <c r="Y12" s="1"/>
    </row>
    <row r="13" spans="2:25" x14ac:dyDescent="0.25">
      <c r="B13" s="66" t="s">
        <v>5</v>
      </c>
      <c r="C13" s="66"/>
      <c r="D13" s="66"/>
      <c r="E13" s="66"/>
      <c r="F13" s="39">
        <f>SUM(F5:F12)</f>
        <v>28999.5</v>
      </c>
      <c r="G13" s="57"/>
      <c r="H13" s="57"/>
      <c r="I13" s="57"/>
      <c r="J13" s="71">
        <f>SUM(J5:J12)</f>
        <v>28999.5</v>
      </c>
      <c r="K13" s="66"/>
      <c r="L13" s="66"/>
      <c r="M13" s="66"/>
      <c r="N13" s="66"/>
      <c r="O13" s="66"/>
      <c r="P13" s="66"/>
      <c r="Q13" s="66"/>
      <c r="R13" s="5">
        <f>SUM((R5:R12))</f>
        <v>35509275</v>
      </c>
      <c r="S13" s="5"/>
      <c r="T13" s="5">
        <f>SUM(T5:T12)</f>
        <v>28052793</v>
      </c>
      <c r="U13" s="5"/>
      <c r="V13" s="5">
        <f>SUM((V5:V12))</f>
        <v>27632133</v>
      </c>
      <c r="W13" s="8"/>
    </row>
    <row r="14" spans="2:25" x14ac:dyDescent="0.25">
      <c r="B14" s="68" t="s">
        <v>16</v>
      </c>
      <c r="C14" s="68"/>
      <c r="D14" s="68"/>
      <c r="E14" s="68"/>
      <c r="F14" s="68"/>
      <c r="G14" s="68"/>
      <c r="H14" s="68"/>
      <c r="I14" s="68"/>
      <c r="J14" s="68"/>
      <c r="K14" s="68"/>
      <c r="L14" s="68"/>
      <c r="M14" s="68"/>
      <c r="N14" s="68"/>
      <c r="O14" s="68"/>
      <c r="P14" s="68"/>
      <c r="Q14" s="68"/>
      <c r="R14" s="68"/>
      <c r="S14" s="68"/>
      <c r="T14" s="68"/>
      <c r="U14" s="68"/>
      <c r="V14" s="68"/>
      <c r="W14" s="8"/>
    </row>
    <row r="15" spans="2:25" x14ac:dyDescent="0.25">
      <c r="B15" s="67" t="s">
        <v>20</v>
      </c>
      <c r="C15" s="67"/>
      <c r="D15" s="67"/>
      <c r="E15" s="67"/>
      <c r="F15" s="67"/>
      <c r="G15" s="67"/>
      <c r="H15" s="67"/>
      <c r="I15" s="67"/>
      <c r="J15" s="67"/>
      <c r="K15" s="67"/>
      <c r="L15" s="67"/>
      <c r="M15" s="67"/>
      <c r="N15" s="67"/>
      <c r="O15" s="67"/>
      <c r="P15" s="67"/>
      <c r="Q15" s="67"/>
      <c r="R15" s="67"/>
      <c r="S15" s="67"/>
      <c r="T15" s="67"/>
      <c r="U15" s="67"/>
      <c r="V15" s="67"/>
      <c r="W15" s="8"/>
    </row>
    <row r="16" spans="2:25" x14ac:dyDescent="0.25">
      <c r="B16" s="67" t="s">
        <v>22</v>
      </c>
      <c r="C16" s="64"/>
      <c r="D16" s="64"/>
      <c r="E16" s="64"/>
      <c r="F16" s="64"/>
      <c r="G16" s="64"/>
      <c r="H16" s="64"/>
      <c r="I16" s="64"/>
      <c r="J16" s="64"/>
      <c r="K16" s="64"/>
      <c r="L16" s="64"/>
      <c r="M16" s="64"/>
      <c r="N16" s="64"/>
      <c r="O16" s="64"/>
      <c r="P16" s="64"/>
      <c r="Q16" s="64"/>
      <c r="R16" s="64"/>
      <c r="S16" s="64"/>
      <c r="T16" s="64"/>
      <c r="U16" s="64"/>
      <c r="V16" s="64"/>
      <c r="W16" s="8"/>
    </row>
    <row r="17" spans="2:23" x14ac:dyDescent="0.25">
      <c r="B17" s="64" t="s">
        <v>18</v>
      </c>
      <c r="C17" s="64"/>
      <c r="D17" s="64"/>
      <c r="E17" s="64"/>
      <c r="F17" s="64"/>
      <c r="G17" s="64"/>
      <c r="H17" s="64"/>
      <c r="I17" s="64"/>
      <c r="J17" s="64"/>
      <c r="K17" s="64"/>
      <c r="L17" s="64"/>
      <c r="M17" s="64"/>
      <c r="N17" s="64"/>
      <c r="O17" s="64"/>
      <c r="P17" s="64"/>
      <c r="Q17" s="64"/>
      <c r="R17" s="64"/>
      <c r="S17" s="64"/>
      <c r="T17" s="64"/>
      <c r="U17" s="64"/>
      <c r="V17" s="64"/>
      <c r="W17" s="8"/>
    </row>
    <row r="18" spans="2:23" x14ac:dyDescent="0.25">
      <c r="W18" s="8"/>
    </row>
    <row r="19" spans="2:23" x14ac:dyDescent="0.25">
      <c r="E19" s="54" t="s">
        <v>68</v>
      </c>
      <c r="F19" s="55" t="s">
        <v>69</v>
      </c>
      <c r="G19" s="56" t="s">
        <v>19</v>
      </c>
    </row>
    <row r="20" spans="2:23" x14ac:dyDescent="0.25">
      <c r="E20" s="43" t="s">
        <v>56</v>
      </c>
      <c r="F20" s="44">
        <v>5118</v>
      </c>
      <c r="G20" s="47" t="s">
        <v>64</v>
      </c>
      <c r="H20" s="46">
        <f>F20*10.764</f>
        <v>55090.151999999995</v>
      </c>
      <c r="I20" s="47" t="s">
        <v>63</v>
      </c>
    </row>
    <row r="21" spans="2:23" ht="30" x14ac:dyDescent="0.25">
      <c r="E21" s="43" t="s">
        <v>55</v>
      </c>
      <c r="F21" s="48">
        <f>H5</f>
        <v>0.6</v>
      </c>
      <c r="H21" s="31"/>
    </row>
    <row r="22" spans="2:23" x14ac:dyDescent="0.25">
      <c r="B22" s="17"/>
      <c r="C22" s="17"/>
      <c r="E22" s="43" t="s">
        <v>54</v>
      </c>
      <c r="F22" s="45">
        <f>I5</f>
        <v>1.3</v>
      </c>
      <c r="I22" s="58">
        <f>SUM(J5:J10)</f>
        <v>22624.5</v>
      </c>
    </row>
    <row r="23" spans="2:23" ht="30" x14ac:dyDescent="0.25">
      <c r="E23" s="43" t="s">
        <v>57</v>
      </c>
      <c r="F23" s="40">
        <f>H20*F21</f>
        <v>33054.091199999995</v>
      </c>
      <c r="G23" s="41" t="s">
        <v>63</v>
      </c>
      <c r="H23" s="51"/>
      <c r="I23" s="58">
        <f>SUM(J11:J12)</f>
        <v>6375</v>
      </c>
    </row>
    <row r="24" spans="2:23" s="17" customFormat="1" x14ac:dyDescent="0.25">
      <c r="B24"/>
      <c r="C24"/>
      <c r="D24" s="13"/>
      <c r="E24" s="59" t="s">
        <v>61</v>
      </c>
      <c r="F24" s="60">
        <f>SUM(F5:F10)</f>
        <v>22624.5</v>
      </c>
      <c r="G24" s="41" t="s">
        <v>63</v>
      </c>
      <c r="H24" s="51"/>
      <c r="V24" s="14"/>
    </row>
    <row r="25" spans="2:23" ht="45" x14ac:dyDescent="0.25">
      <c r="E25" s="43" t="s">
        <v>60</v>
      </c>
      <c r="F25" s="40">
        <f>(H20*F22)-F23</f>
        <v>38563.106400000004</v>
      </c>
      <c r="G25" s="41" t="s">
        <v>63</v>
      </c>
      <c r="H25" s="51">
        <f>F20*F21</f>
        <v>3070.7999999999997</v>
      </c>
      <c r="I25" s="17">
        <f>F20*F22</f>
        <v>6653.4000000000005</v>
      </c>
      <c r="J25" s="17">
        <f>I25*10.7642</f>
        <v>71618.528280000013</v>
      </c>
    </row>
    <row r="26" spans="2:23" ht="30" x14ac:dyDescent="0.25">
      <c r="E26" s="43" t="s">
        <v>59</v>
      </c>
      <c r="F26" s="40">
        <f>F25</f>
        <v>38563.106400000004</v>
      </c>
      <c r="G26" s="41" t="s">
        <v>63</v>
      </c>
    </row>
    <row r="27" spans="2:23" s="17" customFormat="1" x14ac:dyDescent="0.25">
      <c r="B27"/>
      <c r="C27"/>
      <c r="D27" s="13"/>
      <c r="E27" s="59" t="s">
        <v>62</v>
      </c>
      <c r="F27" s="60">
        <f>SUM(F11:F12)</f>
        <v>6375</v>
      </c>
      <c r="G27" s="41" t="s">
        <v>63</v>
      </c>
      <c r="V27" s="14"/>
    </row>
    <row r="28" spans="2:23" x14ac:dyDescent="0.25">
      <c r="E28" s="50" t="s">
        <v>65</v>
      </c>
      <c r="F28" s="40">
        <f>F24+F27</f>
        <v>28999.5</v>
      </c>
      <c r="G28" s="41" t="s">
        <v>63</v>
      </c>
    </row>
    <row r="29" spans="2:23" ht="30" x14ac:dyDescent="0.25">
      <c r="E29" s="50" t="s">
        <v>66</v>
      </c>
      <c r="F29" s="53">
        <f>H20*F22</f>
        <v>71617.1976</v>
      </c>
      <c r="G29" s="41" t="s">
        <v>63</v>
      </c>
    </row>
    <row r="30" spans="2:23" x14ac:dyDescent="0.25">
      <c r="E30" s="49" t="s">
        <v>67</v>
      </c>
      <c r="F30" s="52">
        <f>F29-F28</f>
        <v>42617.6976</v>
      </c>
      <c r="G30" s="41" t="s">
        <v>63</v>
      </c>
    </row>
  </sheetData>
  <mergeCells count="9">
    <mergeCell ref="B17:V17"/>
    <mergeCell ref="B3:V3"/>
    <mergeCell ref="B13:E13"/>
    <mergeCell ref="K13:Q13"/>
    <mergeCell ref="B15:V15"/>
    <mergeCell ref="B16:V16"/>
    <mergeCell ref="B14:V14"/>
    <mergeCell ref="H5:H12"/>
    <mergeCell ref="I5:I12"/>
  </mergeCells>
  <pageMargins left="0.31496062992125984" right="0.31496062992125984" top="0.31496062992125984" bottom="0.31496062992125984"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abhishek solanki</cp:lastModifiedBy>
  <cp:lastPrinted>2022-01-07T08:12:53Z</cp:lastPrinted>
  <dcterms:created xsi:type="dcterms:W3CDTF">2021-09-16T11:33:35Z</dcterms:created>
  <dcterms:modified xsi:type="dcterms:W3CDTF">2022-06-28T13:33:40Z</dcterms:modified>
</cp:coreProperties>
</file>