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shish Sawe\"/>
    </mc:Choice>
  </mc:AlternateContent>
  <bookViews>
    <workbookView showVerticalScroll="0" xWindow="0" yWindow="0" windowWidth="24000" windowHeight="9735"/>
  </bookViews>
  <sheets>
    <sheet name="Building" sheetId="4" r:id="rId1"/>
    <sheet name="Land+Building" sheetId="3" r:id="rId2"/>
    <sheet name="Dealer 1 - Mr. Mangal Shelar" sheetId="6" r:id="rId3"/>
    <sheet name="Dealer 2 - Mr. Deva Daddika" sheetId="7" r:id="rId4"/>
  </sheets>
  <definedNames>
    <definedName name="_xlnm.Print_Area" localSheetId="0">Building!$B$1:$T$11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3" l="1"/>
  <c r="H4" i="3"/>
  <c r="H13" i="4" l="1"/>
  <c r="D20" i="3" l="1"/>
  <c r="D19" i="3"/>
  <c r="D18" i="3"/>
  <c r="C23" i="3"/>
  <c r="D3" i="3"/>
  <c r="U8" i="7"/>
  <c r="W8" i="7" s="1"/>
  <c r="S8" i="7"/>
  <c r="M8" i="7" s="1"/>
  <c r="L8" i="7"/>
  <c r="J8" i="7"/>
  <c r="U7" i="7"/>
  <c r="W7" i="7" s="1"/>
  <c r="S7" i="7"/>
  <c r="M7" i="7"/>
  <c r="L7" i="7"/>
  <c r="J7" i="7"/>
  <c r="N7" i="7" s="1"/>
  <c r="O7" i="7" s="1"/>
  <c r="Q7" i="7" s="1"/>
  <c r="S6" i="7"/>
  <c r="S9" i="7" s="1"/>
  <c r="L6" i="7"/>
  <c r="J6" i="7"/>
  <c r="U6" i="7"/>
  <c r="W6" i="7" s="1"/>
  <c r="W9" i="7" s="1"/>
  <c r="U8" i="6"/>
  <c r="W8" i="6" s="1"/>
  <c r="U7" i="6"/>
  <c r="W7" i="6" s="1"/>
  <c r="N8" i="7" l="1"/>
  <c r="O8" i="7" s="1"/>
  <c r="Q8" i="7" s="1"/>
  <c r="M6" i="7"/>
  <c r="J8" i="6"/>
  <c r="J7" i="6"/>
  <c r="J6" i="6"/>
  <c r="L8" i="6"/>
  <c r="L7" i="6"/>
  <c r="L6" i="6"/>
  <c r="U6" i="6"/>
  <c r="W6" i="6" s="1"/>
  <c r="W9" i="6" s="1"/>
  <c r="G6" i="4"/>
  <c r="P6" i="4" s="1"/>
  <c r="G5" i="4"/>
  <c r="P5" i="4" s="1"/>
  <c r="G4" i="4"/>
  <c r="P4" i="4" s="1"/>
  <c r="N6" i="7" l="1"/>
  <c r="N9" i="7" s="1"/>
  <c r="C3" i="3"/>
  <c r="E3" i="3" s="1"/>
  <c r="O6" i="7" l="1"/>
  <c r="S6" i="6"/>
  <c r="M6" i="6" s="1"/>
  <c r="S8" i="6"/>
  <c r="M8" i="6" s="1"/>
  <c r="N8" i="6" s="1"/>
  <c r="O8" i="6" s="1"/>
  <c r="Q8" i="6" s="1"/>
  <c r="S7" i="6"/>
  <c r="M7" i="6" s="1"/>
  <c r="Q6" i="7" l="1"/>
  <c r="Q9" i="7" s="1"/>
  <c r="X6" i="7" s="1"/>
  <c r="Z6" i="7" s="1"/>
  <c r="Z13" i="7" s="1"/>
  <c r="H3" i="3" s="1"/>
  <c r="O9" i="7"/>
  <c r="N7" i="6"/>
  <c r="O7" i="6" s="1"/>
  <c r="Q7" i="6" s="1"/>
  <c r="N6" i="6"/>
  <c r="S9" i="6"/>
  <c r="N6" i="4"/>
  <c r="N5" i="4"/>
  <c r="N4" i="4"/>
  <c r="F17" i="3"/>
  <c r="F20" i="3"/>
  <c r="F19" i="3"/>
  <c r="F18" i="3"/>
  <c r="O6" i="6" l="1"/>
  <c r="N9" i="6"/>
  <c r="G7" i="4"/>
  <c r="F21" i="3"/>
  <c r="Q5" i="4"/>
  <c r="R5" i="4" s="1"/>
  <c r="T5" i="4" s="1"/>
  <c r="U5" i="4" s="1"/>
  <c r="Q6" i="4"/>
  <c r="R6" i="4" s="1"/>
  <c r="T6" i="4" s="1"/>
  <c r="U6" i="4" s="1"/>
  <c r="Q4" i="4"/>
  <c r="R4" i="4" s="1"/>
  <c r="E10" i="3"/>
  <c r="I19" i="4"/>
  <c r="J16" i="4"/>
  <c r="H16" i="4"/>
  <c r="E16" i="4"/>
  <c r="E11" i="3"/>
  <c r="C8" i="3"/>
  <c r="F25" i="3" l="1"/>
  <c r="O9" i="6"/>
  <c r="Q6" i="6"/>
  <c r="Q9" i="6" s="1"/>
  <c r="X6" i="6" s="1"/>
  <c r="Z6" i="6" s="1"/>
  <c r="Z12" i="6" s="1"/>
  <c r="H2" i="3" s="1"/>
  <c r="P7" i="4"/>
  <c r="T4" i="4"/>
  <c r="K16" i="4"/>
  <c r="L16" i="4" s="1"/>
  <c r="N16" i="4" s="1"/>
  <c r="R7" i="4" l="1"/>
  <c r="U4" i="4"/>
  <c r="T7" i="4"/>
  <c r="D8" i="3" s="1"/>
  <c r="P16" i="4" l="1"/>
  <c r="P19" i="4" l="1"/>
  <c r="E8" i="3"/>
</calcChain>
</file>

<file path=xl/sharedStrings.xml><?xml version="1.0" encoding="utf-8"?>
<sst xmlns="http://schemas.openxmlformats.org/spreadsheetml/2006/main" count="191" uniqueCount="117">
  <si>
    <t>SR. No.</t>
  </si>
  <si>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</si>
  <si>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</si>
  <si>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</si>
  <si>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</si>
  <si>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</si>
  <si>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</si>
  <si>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</si>
  <si>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</si>
  <si>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</si>
  <si>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</si>
  <si>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</si>
  <si>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</si>
  <si>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</si>
  <si>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</si>
  <si>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</si>
  <si>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</si>
  <si>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</si>
  <si>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Remarks:</t>
  </si>
  <si>
    <t>RCC framed pillar beam column on RCC slab</t>
  </si>
  <si>
    <t xml:space="preserve"> Building 1</t>
  </si>
  <si>
    <t>Ground Floor</t>
  </si>
  <si>
    <t>First Floor</t>
  </si>
  <si>
    <r>
      <t>3.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</si>
  <si>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Unit</t>
  </si>
  <si>
    <t>Rates</t>
  </si>
  <si>
    <t>Value</t>
  </si>
  <si>
    <t xml:space="preserve">Land </t>
  </si>
  <si>
    <t>Building</t>
  </si>
  <si>
    <t>Total</t>
  </si>
  <si>
    <t>FMV</t>
  </si>
  <si>
    <t>Plot area
(in sqm)</t>
  </si>
  <si>
    <t>Area</t>
  </si>
  <si>
    <t>Boundary wall valuation</t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</si>
  <si>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</si>
  <si>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Building + Wall</t>
  </si>
  <si>
    <r>
      <t xml:space="preserve">Wall
</t>
    </r>
    <r>
      <rPr>
        <b/>
        <i/>
        <sz val="10"/>
        <rFont val="Calibri"/>
        <family val="2"/>
        <scheme val="minor"/>
      </rPr>
      <t>(in Running ft.)</t>
    </r>
  </si>
  <si>
    <t>RV @ 15% Less</t>
  </si>
  <si>
    <t>DV @ 25% Less</t>
  </si>
  <si>
    <t>1 means no factor applied</t>
  </si>
  <si>
    <t>G</t>
  </si>
  <si>
    <t>Circle Rate</t>
  </si>
  <si>
    <t>Grand Total</t>
  </si>
  <si>
    <t>Unit Type</t>
  </si>
  <si>
    <t>Land / Unit no.</t>
  </si>
  <si>
    <t>Land</t>
  </si>
  <si>
    <t>Building Age Factor</t>
  </si>
  <si>
    <t>Road Widening factor</t>
  </si>
  <si>
    <t>Final Value</t>
  </si>
  <si>
    <t>% Difference</t>
  </si>
  <si>
    <t>CIRCLE RATE VALUE</t>
  </si>
  <si>
    <t>Second floor</t>
  </si>
  <si>
    <t>Residential unit</t>
  </si>
  <si>
    <t>in R. mtr.</t>
  </si>
  <si>
    <t>Rs /sqmtr.</t>
  </si>
  <si>
    <t>BUILDING VALUATION OF M/S. CHANDUKAKASARAF AND SONS PRIVATE LIMITED | PUNE, MAHARASHTRA</t>
  </si>
  <si>
    <r>
      <t xml:space="preserve">2. </t>
    </r>
    <r>
      <rPr>
        <i/>
        <sz val="10"/>
        <color theme="1"/>
        <rFont val="Calibri"/>
        <family val="2"/>
        <scheme val="minor"/>
      </rPr>
      <t xml:space="preserve">All the structure that has been taken in the area statemnet belonging to </t>
    </r>
    <r>
      <rPr>
        <b/>
        <i/>
        <sz val="10"/>
        <rFont val="Calibri"/>
        <family val="2"/>
        <scheme val="minor"/>
      </rPr>
      <t>M/S. CHANDUKAKASARAF AND SONS PRIVATE LIMITE.</t>
    </r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</si>
  <si>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pertaing to the building area statement such as area, floor, etc has been taken from the onsite survey and aproved building plan as provided by the bank / client.</t>
    </r>
  </si>
  <si>
    <t>2 F</t>
  </si>
  <si>
    <t>G F</t>
  </si>
  <si>
    <t>1 F</t>
  </si>
  <si>
    <t>Floor no.</t>
  </si>
  <si>
    <t>Permissiable usage</t>
  </si>
  <si>
    <t>Redential Unit</t>
  </si>
  <si>
    <t>Specification</t>
  </si>
  <si>
    <r>
      <t xml:space="preserve">Super Area
</t>
    </r>
    <r>
      <rPr>
        <b/>
        <sz val="9"/>
        <color theme="1"/>
        <rFont val="Calibri"/>
        <family val="2"/>
        <scheme val="minor"/>
      </rPr>
      <t>(in sq.ft.)</t>
    </r>
  </si>
  <si>
    <r>
      <t xml:space="preserve">Market rate
</t>
    </r>
    <r>
      <rPr>
        <b/>
        <sz val="9"/>
        <color theme="1"/>
        <rFont val="Calibri"/>
        <family val="2"/>
        <scheme val="minor"/>
      </rPr>
      <t>(Rs. / Sq.ft.)</t>
    </r>
  </si>
  <si>
    <t>Negotiation Factor</t>
  </si>
  <si>
    <t>Builder profit</t>
  </si>
  <si>
    <t>Sno.</t>
  </si>
  <si>
    <r>
      <t xml:space="preserve">Value of Land
</t>
    </r>
    <r>
      <rPr>
        <b/>
        <sz val="9"/>
        <color theme="1"/>
        <rFont val="Calibri"/>
        <family val="2"/>
        <scheme val="minor"/>
      </rPr>
      <t>(in Rs.)</t>
    </r>
  </si>
  <si>
    <r>
      <t xml:space="preserve">COC
</t>
    </r>
    <r>
      <rPr>
        <b/>
        <sz val="9"/>
        <color theme="1"/>
        <rFont val="Calibri"/>
        <family val="2"/>
        <scheme val="minor"/>
      </rPr>
      <t>(in Rs.)</t>
    </r>
  </si>
  <si>
    <r>
      <t xml:space="preserve">Asking Price
</t>
    </r>
    <r>
      <rPr>
        <b/>
        <sz val="9"/>
        <color theme="1"/>
        <rFont val="Calibri"/>
        <family val="2"/>
        <scheme val="minor"/>
      </rPr>
      <t>(in Rs.)</t>
    </r>
  </si>
  <si>
    <r>
      <t xml:space="preserve">Asking Price
after negotiations
</t>
    </r>
    <r>
      <rPr>
        <b/>
        <sz val="9"/>
        <color theme="1"/>
        <rFont val="Calibri"/>
        <family val="2"/>
        <scheme val="minor"/>
      </rPr>
      <t>(in Rs.)</t>
    </r>
  </si>
  <si>
    <t>Total COC</t>
  </si>
  <si>
    <r>
      <t xml:space="preserve">Considered Rate for COC
</t>
    </r>
    <r>
      <rPr>
        <b/>
        <sz val="9"/>
        <color theme="1"/>
        <rFont val="Calibri"/>
        <family val="2"/>
        <scheme val="minor"/>
      </rPr>
      <t>(Rs. Per sq.ft.)</t>
    </r>
  </si>
  <si>
    <r>
      <t xml:space="preserve">Area of Land
</t>
    </r>
    <r>
      <rPr>
        <b/>
        <sz val="9"/>
        <color theme="1"/>
        <rFont val="Calibri"/>
        <family val="2"/>
        <scheme val="minor"/>
      </rPr>
      <t>(in sq.mtr)</t>
    </r>
  </si>
  <si>
    <r>
      <t xml:space="preserve">Land Rate
</t>
    </r>
    <r>
      <rPr>
        <b/>
        <sz val="9"/>
        <color theme="1"/>
        <rFont val="Calibri"/>
        <family val="2"/>
        <scheme val="minor"/>
      </rPr>
      <t>(in Rs. sq.mtr.)</t>
    </r>
  </si>
  <si>
    <t xml:space="preserve">COMPUTATION OF LAND VALUE </t>
  </si>
  <si>
    <t>Name:</t>
  </si>
  <si>
    <t>Contact No.:</t>
  </si>
  <si>
    <t>Nature of reference:</t>
  </si>
  <si>
    <t>Property Consultant</t>
  </si>
  <si>
    <t>Size of the Property:</t>
  </si>
  <si>
    <t>Rates/ Price informed:</t>
  </si>
  <si>
    <t>Any other details/ Discussion held:</t>
  </si>
  <si>
    <t>Location:</t>
  </si>
  <si>
    <t>Economic life</t>
  </si>
  <si>
    <t>Salvage val</t>
  </si>
  <si>
    <t>Dep Rate</t>
  </si>
  <si>
    <t>replacement val</t>
  </si>
  <si>
    <t>Consumed life</t>
  </si>
  <si>
    <t>Total Depreciation</t>
  </si>
  <si>
    <t>Depreciated value</t>
  </si>
  <si>
    <t>Area in
(Sq.mtr.)</t>
  </si>
  <si>
    <t>CTS 439</t>
  </si>
  <si>
    <t>Age / Year of Construction</t>
  </si>
  <si>
    <t>Shop + Residential unit</t>
  </si>
  <si>
    <r>
      <t xml:space="preserve">Height
</t>
    </r>
    <r>
      <rPr>
        <b/>
        <i/>
        <sz val="10"/>
        <rFont val="Calibri"/>
        <family val="2"/>
        <scheme val="minor"/>
      </rPr>
      <t>(in ft.)</t>
    </r>
  </si>
  <si>
    <t>Discounting factor</t>
  </si>
  <si>
    <t xml:space="preserve">Name: </t>
  </si>
  <si>
    <t>Mr. Mangal Shelar</t>
  </si>
  <si>
    <t>Similar to subject property</t>
  </si>
  <si>
    <t>Neighborhood of subject property</t>
  </si>
  <si>
    <t>For Built-up Residential Unit - Rs.7,000/- per sq.ft. to Rs.8,000/- per sq.ft.</t>
  </si>
  <si>
    <t>Built-up Commercial Unit - Rs.15,000/- per sq.ft. to 20,000/- per  sq.ft. Ground Floor.</t>
  </si>
  <si>
    <t>The dealer reported that the rates will go on the lower side of the above mentioned range as per the age of the building.</t>
  </si>
  <si>
    <t>Mr. Deva Daddikar</t>
  </si>
  <si>
    <t>For Built-up Residential Unit - Rs.9,000/- per sq.ft. to Rs.10,000/- per sq.ft.</t>
  </si>
  <si>
    <t>Built-up Commercial Unit - Rs.20,000/- per sq.ft. to Rs.22,000/- per sq.ft. on Ground Floor.</t>
  </si>
  <si>
    <t>Also he had a live deal of 400 sq.ft. of commercial space which was fully furnished and asking price of 40.00 lakhs.</t>
  </si>
  <si>
    <t>rate of Comp 1</t>
  </si>
  <si>
    <t>rate of Comp 2</t>
  </si>
  <si>
    <t>Rates after adjustments</t>
  </si>
  <si>
    <t>BUILDING AGE JUSTIFICATION</t>
  </si>
  <si>
    <t>REPRESENTATIVE SAID THE STRUCTURE IS 50 YEARS OLD I.E. ON OR BEFORE 1972.</t>
  </si>
  <si>
    <t>Taking average of rates and discounting it by 10% for big plot comparable to the neighbouring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</si>
</sst>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* #,##0.0_ ;_ * \-#,##0.0_ ;_ * &quot;-&quot;?_ ;_ @_ "/>
    <numFmt numFmtId="168" formatCode="_ [$₹-4009]\ * #,##0_ ;_ [$₹-4009]\ * \-#,##0_ ;_ [$₹-4009]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0" applyNumberFormat="1"/>
    <xf numFmtId="44" fontId="0" fillId="0" borderId="0" xfId="0" applyNumberFormat="1"/>
    <xf numFmtId="166" fontId="0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44" fontId="0" fillId="0" borderId="0" xfId="1" applyFont="1"/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12" fillId="0" borderId="1" xfId="0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64" fontId="12" fillId="0" borderId="1" xfId="3" applyNumberFormat="1" applyFont="1" applyBorder="1"/>
    <xf numFmtId="0" fontId="0" fillId="0" borderId="0" xfId="0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166" fontId="15" fillId="0" borderId="1" xfId="1" applyNumberFormat="1" applyFont="1" applyBorder="1" applyAlignment="1">
      <alignment horizontal="center" vertical="center"/>
    </xf>
    <xf numFmtId="0" fontId="0" fillId="0" borderId="0" xfId="0"/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0" fontId="0" fillId="0" borderId="1" xfId="0" applyNumberFormat="1" applyBorder="1"/>
    <xf numFmtId="0" fontId="2" fillId="0" borderId="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43" fontId="0" fillId="0" borderId="1" xfId="3" applyFont="1" applyBorder="1" applyAlignment="1">
      <alignment horizontal="center" vertical="center"/>
    </xf>
    <xf numFmtId="167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3" fontId="0" fillId="0" borderId="14" xfId="3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166" fontId="0" fillId="0" borderId="14" xfId="1" applyNumberFormat="1" applyFont="1" applyBorder="1"/>
    <xf numFmtId="43" fontId="0" fillId="0" borderId="0" xfId="0" applyNumberFormat="1"/>
    <xf numFmtId="168" fontId="0" fillId="0" borderId="12" xfId="3" applyNumberFormat="1" applyFont="1" applyBorder="1" applyAlignment="1">
      <alignment vertical="center"/>
    </xf>
    <xf numFmtId="168" fontId="2" fillId="0" borderId="7" xfId="0" applyNumberFormat="1" applyFont="1" applyBorder="1" applyAlignment="1">
      <alignment vertical="center"/>
    </xf>
    <xf numFmtId="164" fontId="0" fillId="0" borderId="0" xfId="3" applyNumberFormat="1" applyFont="1" applyAlignment="1">
      <alignment horizontal="center" vertical="center"/>
    </xf>
    <xf numFmtId="43" fontId="0" fillId="0" borderId="0" xfId="3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vertical="center" wrapText="1"/>
    </xf>
    <xf numFmtId="166" fontId="0" fillId="0" borderId="5" xfId="1" applyNumberFormat="1" applyFont="1" applyBorder="1" applyAlignment="1">
      <alignment vertical="center" wrapText="1"/>
    </xf>
    <xf numFmtId="166" fontId="2" fillId="0" borderId="25" xfId="0" applyNumberFormat="1" applyFont="1" applyBorder="1"/>
    <xf numFmtId="0" fontId="2" fillId="7" borderId="4" xfId="0" applyFont="1" applyFill="1" applyBorder="1" applyAlignment="1">
      <alignment horizontal="center" vertical="center" wrapText="1"/>
    </xf>
    <xf numFmtId="168" fontId="0" fillId="0" borderId="4" xfId="3" applyNumberFormat="1" applyFont="1" applyBorder="1" applyAlignment="1">
      <alignment horizontal="center" vertical="center"/>
    </xf>
    <xf numFmtId="166" fontId="2" fillId="0" borderId="26" xfId="0" applyNumberFormat="1" applyFont="1" applyBorder="1"/>
    <xf numFmtId="168" fontId="0" fillId="0" borderId="12" xfId="3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68" fontId="0" fillId="0" borderId="15" xfId="3" applyNumberFormat="1" applyFont="1" applyBorder="1" applyAlignment="1">
      <alignment horizontal="center" vertical="center"/>
    </xf>
    <xf numFmtId="0" fontId="17" fillId="0" borderId="26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28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0" fillId="0" borderId="12" xfId="3" applyNumberFormat="1" applyFont="1" applyBorder="1" applyAlignment="1">
      <alignment horizontal="center" vertical="center" wrapText="1"/>
    </xf>
    <xf numFmtId="168" fontId="0" fillId="0" borderId="4" xfId="3" applyNumberFormat="1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166" fontId="0" fillId="0" borderId="4" xfId="1" applyNumberFormat="1" applyFont="1" applyBorder="1" applyAlignment="1">
      <alignment horizontal="center" vertical="center" wrapText="1"/>
    </xf>
    <xf numFmtId="168" fontId="0" fillId="0" borderId="12" xfId="3" applyNumberFormat="1" applyFont="1" applyBorder="1" applyAlignment="1">
      <alignment vertical="center" wrapText="1"/>
    </xf>
    <xf numFmtId="166" fontId="0" fillId="0" borderId="1" xfId="1" applyNumberFormat="1" applyFont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43" fontId="0" fillId="0" borderId="14" xfId="3" applyFont="1" applyBorder="1" applyAlignment="1">
      <alignment horizontal="center" vertical="center" wrapText="1"/>
    </xf>
    <xf numFmtId="166" fontId="0" fillId="0" borderId="14" xfId="1" applyNumberFormat="1" applyFont="1" applyBorder="1" applyAlignment="1">
      <alignment wrapText="1"/>
    </xf>
    <xf numFmtId="9" fontId="0" fillId="0" borderId="14" xfId="0" applyNumberFormat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 wrapText="1"/>
    </xf>
    <xf numFmtId="168" fontId="0" fillId="0" borderId="15" xfId="3" applyNumberFormat="1" applyFont="1" applyBorder="1" applyAlignment="1">
      <alignment horizontal="center" vertical="center" wrapText="1"/>
    </xf>
    <xf numFmtId="43" fontId="0" fillId="0" borderId="0" xfId="0" applyNumberFormat="1" applyAlignment="1">
      <alignment wrapText="1"/>
    </xf>
    <xf numFmtId="168" fontId="2" fillId="0" borderId="0" xfId="0" applyNumberFormat="1" applyFont="1" applyBorder="1" applyAlignment="1">
      <alignment vertical="center" wrapText="1"/>
    </xf>
    <xf numFmtId="166" fontId="2" fillId="0" borderId="26" xfId="0" applyNumberFormat="1" applyFont="1" applyBorder="1" applyAlignment="1">
      <alignment wrapText="1"/>
    </xf>
    <xf numFmtId="166" fontId="2" fillId="0" borderId="25" xfId="0" applyNumberFormat="1" applyFont="1" applyBorder="1" applyAlignment="1">
      <alignment wrapText="1"/>
    </xf>
    <xf numFmtId="168" fontId="2" fillId="0" borderId="7" xfId="0" applyNumberFormat="1" applyFont="1" applyBorder="1" applyAlignment="1">
      <alignment vertical="center" wrapText="1"/>
    </xf>
    <xf numFmtId="43" fontId="0" fillId="0" borderId="0" xfId="3" applyFont="1" applyFill="1" applyBorder="1" applyAlignment="1">
      <alignment horizontal="center" vertical="center" wrapText="1"/>
    </xf>
    <xf numFmtId="167" fontId="0" fillId="0" borderId="0" xfId="0" applyNumberFormat="1" applyAlignment="1">
      <alignment wrapText="1"/>
    </xf>
    <xf numFmtId="164" fontId="0" fillId="0" borderId="0" xfId="3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8" fillId="0" borderId="25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7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166" fontId="0" fillId="0" borderId="0" xfId="0" applyNumberFormat="1" applyAlignment="1">
      <alignment wrapText="1"/>
    </xf>
    <xf numFmtId="0" fontId="0" fillId="0" borderId="1" xfId="0" applyBorder="1" applyAlignment="1">
      <alignment horizontal="left" vertical="center"/>
    </xf>
    <xf numFmtId="166" fontId="0" fillId="0" borderId="1" xfId="1" applyNumberFormat="1" applyFont="1" applyBorder="1" applyAlignment="1">
      <alignment horizontal="left" vertical="center"/>
    </xf>
    <xf numFmtId="166" fontId="2" fillId="0" borderId="1" xfId="1" applyNumberFormat="1" applyFont="1" applyBorder="1"/>
    <xf numFmtId="166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17" fillId="0" borderId="29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43" fontId="0" fillId="0" borderId="11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6" fontId="0" fillId="0" borderId="12" xfId="1" applyNumberFormat="1" applyFont="1" applyBorder="1" applyAlignment="1">
      <alignment horizontal="center" vertical="center" wrapText="1"/>
    </xf>
  </cellXfs>
  <cellStyles count="8">
    <cellStyle name="Comma" xfId="3" builtinId="3"/>
    <cellStyle name="Comma 2" xfId="5"/>
    <cellStyle name="Comma 3" xfId="7"/>
    <cellStyle name="Currency" xfId="1" builtinId="4"/>
    <cellStyle name="Currency 2" xfId="4"/>
    <cellStyle name="Currency 3" xf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549089</xdr:colOff>
      <xdr:row>20</xdr:row>
      <xdr:rowOff>100853</xdr:rowOff>
    </xdr:from>
    <xdr:to>
      <xdr:col>8</xdr:col>
      <xdr:colOff>698282</xdr:colOff>
      <xdr:row>27</xdr:row>
      <xdr:rowOff>134471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060" y="3731559"/>
          <a:ext cx="6065898" cy="136711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86589</xdr:colOff>
      <xdr:row>13</xdr:row>
      <xdr:rowOff>173183</xdr:rowOff>
    </xdr:from>
    <xdr:to>
      <xdr:col>13</xdr:col>
      <xdr:colOff>416695</xdr:colOff>
      <xdr:row>32</xdr:row>
      <xdr:rowOff>40820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3875" y="3670219"/>
          <a:ext cx="6847927" cy="36776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W34"/>
  <sheetViews>
    <sheetView tabSelected="1" topLeftCell="E1" zoomScale="85" zoomScaleNormal="85" zoomScaleSheetLayoutView="85" workbookViewId="0">
      <selection activeCell="B2" sqref="B2:T11"/>
    </sheetView>
  </sheetViews>
  <sheetFormatPr defaultRowHeight="15" x14ac:dyDescent="0.25"/>
  <cols>
    <col min="1" max="1" width="3.42578125" style="22" customWidth="1"/>
    <col min="2" max="2" width="12.85546875" style="22" bestFit="1" customWidth="1"/>
    <col min="3" max="3" width="13.140625" style="22" bestFit="1" customWidth="1"/>
    <col min="4" max="4" width="10.85546875" style="9" bestFit="1" customWidth="1"/>
    <col min="5" max="5" width="18.28515625" style="9" bestFit="1" customWidth="1"/>
    <col min="6" max="6" width="23.140625" style="9" bestFit="1" customWidth="1"/>
    <col min="7" max="7" width="12.7109375" style="22" bestFit="1" customWidth="1"/>
    <col min="8" max="8" width="10.42578125" style="22" bestFit="1" customWidth="1"/>
    <col min="9" max="9" width="12.85546875" style="22" bestFit="1" customWidth="1"/>
    <col min="10" max="10" width="11.42578125" style="22" bestFit="1" customWidth="1"/>
    <col min="11" max="11" width="11.7109375" style="22" bestFit="1" customWidth="1"/>
    <col min="12" max="12" width="11.28515625" style="22" bestFit="1" customWidth="1"/>
    <col min="13" max="13" width="9.85546875" style="22" bestFit="1" customWidth="1"/>
    <col min="14" max="14" width="12.7109375" style="22" bestFit="1" customWidth="1"/>
    <col min="15" max="15" width="10.85546875" style="22" bestFit="1" customWidth="1"/>
    <col min="16" max="16" width="13.42578125" style="22" customWidth="1"/>
    <col min="17" max="17" width="12.42578125" style="22" customWidth="1"/>
    <col min="18" max="18" width="11.85546875" style="22" customWidth="1"/>
    <col min="19" max="19" width="11.42578125" style="22" customWidth="1"/>
    <col min="20" max="20" width="13.140625" style="28" bestFit="1" customWidth="1"/>
    <col min="21" max="21" width="10.7109375" style="22" bestFit="1" customWidth="1"/>
    <col min="22" max="23" width="14.28515625" style="22" bestFit="1" customWidth="1"/>
    <col min="24" max="16384" width="9.140625" style="22"/>
  </cols>
  <sheetData>
    <row r="2" spans="1:23" ht="15.75" x14ac:dyDescent="0.25">
      <c r="B2" s="134" t="s">
        <v>55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6"/>
    </row>
    <row r="3" spans="1:23" s="8" customFormat="1" ht="60" x14ac:dyDescent="0.25">
      <c r="A3" s="22"/>
      <c r="B3" s="7" t="s">
        <v>0</v>
      </c>
      <c r="C3" s="7" t="s">
        <v>1</v>
      </c>
      <c r="D3" s="27" t="s">
        <v>11</v>
      </c>
      <c r="E3" s="27" t="s">
        <v>24</v>
      </c>
      <c r="F3" s="27" t="s">
        <v>4</v>
      </c>
      <c r="G3" s="27" t="s">
        <v>17</v>
      </c>
      <c r="H3" s="27" t="s">
        <v>98</v>
      </c>
      <c r="I3" s="27" t="s">
        <v>2</v>
      </c>
      <c r="J3" s="27" t="s">
        <v>3</v>
      </c>
      <c r="K3" s="27" t="s">
        <v>14</v>
      </c>
      <c r="L3" s="27" t="s">
        <v>15</v>
      </c>
      <c r="M3" s="27" t="s">
        <v>5</v>
      </c>
      <c r="N3" s="27" t="s">
        <v>7</v>
      </c>
      <c r="O3" s="27" t="s">
        <v>16</v>
      </c>
      <c r="P3" s="27" t="s">
        <v>12</v>
      </c>
      <c r="Q3" s="27" t="s">
        <v>8</v>
      </c>
      <c r="R3" s="27" t="s">
        <v>9</v>
      </c>
      <c r="S3" s="27" t="s">
        <v>13</v>
      </c>
      <c r="T3" s="27" t="s">
        <v>10</v>
      </c>
    </row>
    <row r="4" spans="1:23" ht="30" x14ac:dyDescent="0.25">
      <c r="B4" s="36">
        <v>1</v>
      </c>
      <c r="C4" s="35" t="s">
        <v>21</v>
      </c>
      <c r="D4" s="34" t="s">
        <v>20</v>
      </c>
      <c r="E4" s="34" t="s">
        <v>97</v>
      </c>
      <c r="F4" s="34" t="s">
        <v>19</v>
      </c>
      <c r="G4" s="19">
        <f>(18.5*55.81)+(4.05*16.19)+(30.29*18.5)</f>
        <v>1658.4195000000002</v>
      </c>
      <c r="H4" s="19">
        <v>9.31</v>
      </c>
      <c r="I4" s="35">
        <v>1992</v>
      </c>
      <c r="J4" s="35">
        <v>2022</v>
      </c>
      <c r="K4" s="35">
        <v>30</v>
      </c>
      <c r="L4" s="35">
        <v>60</v>
      </c>
      <c r="M4" s="23">
        <v>0.1</v>
      </c>
      <c r="N4" s="24">
        <f>(1-M4)/L4</f>
        <v>1.5000000000000001E-2</v>
      </c>
      <c r="O4" s="67">
        <v>1200</v>
      </c>
      <c r="P4" s="3">
        <f>O4*G4</f>
        <v>1990103.4000000001</v>
      </c>
      <c r="Q4" s="3">
        <f>P4*N4*K4</f>
        <v>895546.53000000014</v>
      </c>
      <c r="R4" s="3">
        <f t="shared" ref="R4" si="0">MAX(P4-Q4,0)</f>
        <v>1094556.8700000001</v>
      </c>
      <c r="S4" s="26">
        <v>0</v>
      </c>
      <c r="T4" s="3">
        <f>IF(R4&gt;M4*P4,R4*(1-S4),P4*M4)</f>
        <v>1094556.8700000001</v>
      </c>
      <c r="U4" s="6">
        <f>T4/G4</f>
        <v>660</v>
      </c>
      <c r="V4" s="1"/>
      <c r="W4" s="1"/>
    </row>
    <row r="5" spans="1:23" ht="30" x14ac:dyDescent="0.25">
      <c r="B5" s="36">
        <v>2</v>
      </c>
      <c r="C5" s="35" t="s">
        <v>22</v>
      </c>
      <c r="D5" s="34" t="s">
        <v>20</v>
      </c>
      <c r="E5" s="34" t="s">
        <v>52</v>
      </c>
      <c r="F5" s="34" t="s">
        <v>19</v>
      </c>
      <c r="G5" s="19">
        <f>(18.5*55.81)+(4.05*16.19)+(30.29*18.5)</f>
        <v>1658.4195000000002</v>
      </c>
      <c r="H5" s="19">
        <v>10.23</v>
      </c>
      <c r="I5" s="35">
        <v>1992</v>
      </c>
      <c r="J5" s="35">
        <v>2022</v>
      </c>
      <c r="K5" s="35">
        <v>30</v>
      </c>
      <c r="L5" s="35">
        <v>60</v>
      </c>
      <c r="M5" s="23">
        <v>0.1</v>
      </c>
      <c r="N5" s="24">
        <f>(1-M5)/L5</f>
        <v>1.5000000000000001E-2</v>
      </c>
      <c r="O5" s="67">
        <v>1200</v>
      </c>
      <c r="P5" s="3">
        <f>O5*G5</f>
        <v>1990103.4000000001</v>
      </c>
      <c r="Q5" s="3">
        <f>P5*N5*K5</f>
        <v>895546.53000000014</v>
      </c>
      <c r="R5" s="3">
        <f>MAX(P5-Q5,0)</f>
        <v>1094556.8700000001</v>
      </c>
      <c r="S5" s="26">
        <v>0</v>
      </c>
      <c r="T5" s="3">
        <f>IF(R5&gt;M5*P5,R5*(1-S5),P5*M5)</f>
        <v>1094556.8700000001</v>
      </c>
      <c r="U5" s="6">
        <f>T5/G5</f>
        <v>660</v>
      </c>
      <c r="V5" s="1"/>
      <c r="W5" s="1"/>
    </row>
    <row r="6" spans="1:23" ht="30" x14ac:dyDescent="0.25">
      <c r="B6" s="36">
        <v>3</v>
      </c>
      <c r="C6" s="35" t="s">
        <v>51</v>
      </c>
      <c r="D6" s="34" t="s">
        <v>20</v>
      </c>
      <c r="E6" s="34" t="s">
        <v>52</v>
      </c>
      <c r="F6" s="34" t="s">
        <v>19</v>
      </c>
      <c r="G6" s="19">
        <f>(18.5*55.81)+(4.05*16.19)+(30.29*18.5)</f>
        <v>1658.4195000000002</v>
      </c>
      <c r="H6" s="19">
        <v>9.98</v>
      </c>
      <c r="I6" s="35">
        <v>1992</v>
      </c>
      <c r="J6" s="35">
        <v>2022</v>
      </c>
      <c r="K6" s="35">
        <v>30</v>
      </c>
      <c r="L6" s="35">
        <v>60</v>
      </c>
      <c r="M6" s="23">
        <v>0.1</v>
      </c>
      <c r="N6" s="24">
        <f>(1-M6)/L6</f>
        <v>1.5000000000000001E-2</v>
      </c>
      <c r="O6" s="67">
        <v>1200</v>
      </c>
      <c r="P6" s="3">
        <f>O6*G6</f>
        <v>1990103.4000000001</v>
      </c>
      <c r="Q6" s="3">
        <f>P6*N6*K6</f>
        <v>895546.53000000014</v>
      </c>
      <c r="R6" s="3">
        <f t="shared" ref="R6" si="1">MAX(P6-Q6,0)</f>
        <v>1094556.8700000001</v>
      </c>
      <c r="S6" s="26">
        <v>0</v>
      </c>
      <c r="T6" s="3">
        <f>IF(R6&gt;M6*P6,R6*(1-S6),P6*M6)</f>
        <v>1094556.8700000001</v>
      </c>
      <c r="U6" s="6">
        <f>T6/G6</f>
        <v>660</v>
      </c>
      <c r="V6" s="1"/>
      <c r="W6" s="1"/>
    </row>
    <row r="7" spans="1:23" x14ac:dyDescent="0.25">
      <c r="B7" s="137" t="s">
        <v>6</v>
      </c>
      <c r="C7" s="137"/>
      <c r="D7" s="137"/>
      <c r="E7" s="137"/>
      <c r="F7" s="137"/>
      <c r="G7" s="20">
        <f>SUM(G4:G6)</f>
        <v>4975.2585000000008</v>
      </c>
      <c r="H7" s="138"/>
      <c r="I7" s="139"/>
      <c r="J7" s="139"/>
      <c r="K7" s="139"/>
      <c r="L7" s="139"/>
      <c r="M7" s="139"/>
      <c r="N7" s="139"/>
      <c r="O7" s="140"/>
      <c r="P7" s="4">
        <f>SUM(P4:P6)</f>
        <v>5970310.2000000002</v>
      </c>
      <c r="Q7" s="4"/>
      <c r="R7" s="4">
        <f>SUM(R4:R6)</f>
        <v>3283670.6100000003</v>
      </c>
      <c r="S7" s="4"/>
      <c r="T7" s="4">
        <f>SUM(T4:T6)</f>
        <v>3283670.6100000003</v>
      </c>
      <c r="U7" s="6"/>
    </row>
    <row r="8" spans="1:23" x14ac:dyDescent="0.25">
      <c r="B8" s="141" t="s">
        <v>18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6"/>
    </row>
    <row r="9" spans="1:23" x14ac:dyDescent="0.25">
      <c r="B9" s="133" t="s">
        <v>57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6"/>
    </row>
    <row r="10" spans="1:23" x14ac:dyDescent="0.25">
      <c r="B10" s="142" t="s">
        <v>56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6"/>
    </row>
    <row r="11" spans="1:23" x14ac:dyDescent="0.25">
      <c r="B11" s="133" t="s">
        <v>23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6"/>
    </row>
    <row r="12" spans="1:23" x14ac:dyDescent="0.25">
      <c r="U12" s="6"/>
    </row>
    <row r="13" spans="1:23" x14ac:dyDescent="0.25">
      <c r="F13" s="9">
        <v>10.763999999999999</v>
      </c>
      <c r="H13" s="22">
        <f>G7/F13</f>
        <v>462.21279264214058</v>
      </c>
      <c r="U13" s="6"/>
    </row>
    <row r="14" spans="1:23" ht="15.75" hidden="1" x14ac:dyDescent="0.25">
      <c r="B14" s="134" t="s">
        <v>33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P14" s="28"/>
      <c r="T14" s="22"/>
    </row>
    <row r="15" spans="1:23" ht="75" hidden="1" x14ac:dyDescent="0.25">
      <c r="B15" s="27" t="s">
        <v>36</v>
      </c>
      <c r="C15" s="27" t="s">
        <v>2</v>
      </c>
      <c r="D15" s="27" t="s">
        <v>3</v>
      </c>
      <c r="E15" s="27" t="s">
        <v>14</v>
      </c>
      <c r="F15" s="27" t="s">
        <v>15</v>
      </c>
      <c r="G15" s="27" t="s">
        <v>5</v>
      </c>
      <c r="H15" s="27" t="s">
        <v>7</v>
      </c>
      <c r="I15" s="27" t="s">
        <v>34</v>
      </c>
      <c r="J15" s="27" t="s">
        <v>12</v>
      </c>
      <c r="K15" s="27" t="s">
        <v>8</v>
      </c>
      <c r="L15" s="27" t="s">
        <v>9</v>
      </c>
      <c r="M15" s="27" t="s">
        <v>13</v>
      </c>
      <c r="N15" s="27" t="s">
        <v>10</v>
      </c>
      <c r="P15" s="30" t="s">
        <v>35</v>
      </c>
      <c r="T15" s="22"/>
    </row>
    <row r="16" spans="1:23" hidden="1" x14ac:dyDescent="0.25">
      <c r="B16" s="25">
        <v>0</v>
      </c>
      <c r="C16" s="33">
        <v>2005</v>
      </c>
      <c r="D16" s="33">
        <v>2022</v>
      </c>
      <c r="E16" s="33">
        <f>D16-C16</f>
        <v>17</v>
      </c>
      <c r="F16" s="33">
        <v>35</v>
      </c>
      <c r="G16" s="23">
        <v>0.1</v>
      </c>
      <c r="H16" s="24">
        <f>(1-G16)/F16</f>
        <v>2.5714285714285714E-2</v>
      </c>
      <c r="I16" s="3">
        <v>1500</v>
      </c>
      <c r="J16" s="21">
        <f>I16*B16</f>
        <v>0</v>
      </c>
      <c r="K16" s="3">
        <f>J16*H16*E16</f>
        <v>0</v>
      </c>
      <c r="L16" s="3">
        <f>MAX(J16-K16,0)</f>
        <v>0</v>
      </c>
      <c r="M16" s="26">
        <v>0</v>
      </c>
      <c r="N16" s="3">
        <f>IF(L16&gt;G16*J16,L16*(1-M16),J16*G16)</f>
        <v>0</v>
      </c>
      <c r="P16" s="29">
        <f>T7+N16</f>
        <v>3283670.6100000003</v>
      </c>
      <c r="T16" s="22"/>
    </row>
    <row r="17" spans="2:23" hidden="1" x14ac:dyDescent="0.25">
      <c r="D17" s="22"/>
      <c r="E17" s="22"/>
      <c r="F17" s="22"/>
      <c r="I17" s="22">
        <v>5000</v>
      </c>
      <c r="J17" s="22" t="s">
        <v>54</v>
      </c>
      <c r="P17" s="28"/>
      <c r="T17" s="22"/>
    </row>
    <row r="18" spans="2:23" hidden="1" x14ac:dyDescent="0.25">
      <c r="B18" s="22">
        <v>272</v>
      </c>
      <c r="D18" s="22"/>
      <c r="E18" s="22"/>
      <c r="F18" s="22"/>
      <c r="I18" s="22">
        <v>3.2808000000000002</v>
      </c>
      <c r="J18" s="22" t="s">
        <v>53</v>
      </c>
      <c r="P18" s="28">
        <v>9600000</v>
      </c>
      <c r="T18" s="22"/>
    </row>
    <row r="19" spans="2:23" hidden="1" x14ac:dyDescent="0.25">
      <c r="D19" s="22"/>
      <c r="E19" s="22"/>
      <c r="F19" s="22"/>
      <c r="I19" s="22">
        <f>I17/I18</f>
        <v>1524.0185320653497</v>
      </c>
      <c r="P19" s="31">
        <f>P16+P18</f>
        <v>12883670.609999999</v>
      </c>
      <c r="T19" s="22"/>
    </row>
    <row r="20" spans="2:23" hidden="1" x14ac:dyDescent="0.25">
      <c r="D20" s="22"/>
      <c r="E20" s="22"/>
      <c r="F20" s="22"/>
      <c r="P20" s="28"/>
      <c r="T20" s="22"/>
    </row>
    <row r="21" spans="2:23" x14ac:dyDescent="0.25">
      <c r="U21" s="5"/>
      <c r="V21" s="2"/>
      <c r="W21" s="2"/>
    </row>
    <row r="23" spans="2:23" x14ac:dyDescent="0.25">
      <c r="J23" s="131" t="s">
        <v>114</v>
      </c>
      <c r="K23" s="131"/>
    </row>
    <row r="24" spans="2:23" x14ac:dyDescent="0.25">
      <c r="J24" s="131"/>
      <c r="K24" s="131"/>
    </row>
    <row r="25" spans="2:23" x14ac:dyDescent="0.25">
      <c r="J25" s="131"/>
      <c r="K25" s="131"/>
    </row>
    <row r="26" spans="2:23" x14ac:dyDescent="0.25">
      <c r="J26" s="131"/>
      <c r="K26" s="131"/>
    </row>
    <row r="30" spans="2:23" x14ac:dyDescent="0.25">
      <c r="E30" s="132" t="s">
        <v>115</v>
      </c>
      <c r="F30" s="132"/>
      <c r="G30" s="132"/>
      <c r="H30" s="132"/>
    </row>
    <row r="31" spans="2:23" x14ac:dyDescent="0.25">
      <c r="E31" s="132"/>
      <c r="F31" s="132"/>
      <c r="G31" s="132"/>
      <c r="H31" s="132"/>
    </row>
    <row r="32" spans="2:23" x14ac:dyDescent="0.25">
      <c r="E32" s="132"/>
      <c r="F32" s="132"/>
      <c r="G32" s="132"/>
      <c r="H32" s="132"/>
    </row>
    <row r="33" spans="5:8" x14ac:dyDescent="0.25">
      <c r="E33" s="132"/>
      <c r="F33" s="132"/>
      <c r="G33" s="132"/>
      <c r="H33" s="132"/>
    </row>
    <row r="34" spans="5:8" x14ac:dyDescent="0.25">
      <c r="E34" s="132"/>
      <c r="F34" s="132"/>
      <c r="G34" s="132"/>
      <c r="H34" s="132"/>
    </row>
  </sheetData>
  <mergeCells count="10">
    <mergeCell ref="J23:K26"/>
    <mergeCell ref="E30:H34"/>
    <mergeCell ref="B11:T11"/>
    <mergeCell ref="B14:N14"/>
    <mergeCell ref="B2:T2"/>
    <mergeCell ref="B7:F7"/>
    <mergeCell ref="H7:O7"/>
    <mergeCell ref="B8:T8"/>
    <mergeCell ref="B9:T9"/>
    <mergeCell ref="B10:T10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6"/>
  <sheetViews>
    <sheetView zoomScaleNormal="100" workbookViewId="0">
      <selection activeCell="F2" sqref="F2"/>
    </sheetView>
  </sheetViews>
  <sheetFormatPr defaultRowHeight="15" x14ac:dyDescent="0.25"/>
  <cols>
    <col min="1" max="1" width="9.140625" style="22"/>
    <col min="2" max="2" width="15" style="22" customWidth="1"/>
    <col min="3" max="3" width="19.5703125" style="22" bestFit="1" customWidth="1"/>
    <col min="4" max="4" width="21.140625" style="22" bestFit="1" customWidth="1"/>
    <col min="5" max="5" width="20.7109375" style="22" bestFit="1" customWidth="1"/>
    <col min="6" max="6" width="28" style="22" bestFit="1" customWidth="1"/>
    <col min="7" max="7" width="25.7109375" style="22" bestFit="1" customWidth="1"/>
    <col min="8" max="8" width="13.42578125" style="22" bestFit="1" customWidth="1"/>
    <col min="9" max="9" width="19.28515625" style="22" bestFit="1" customWidth="1"/>
    <col min="10" max="10" width="19.140625" style="22" bestFit="1" customWidth="1"/>
    <col min="11" max="11" width="23.140625" style="22" bestFit="1" customWidth="1"/>
    <col min="12" max="12" width="12.28515625" style="22" bestFit="1" customWidth="1"/>
    <col min="13" max="13" width="10.42578125" style="22" bestFit="1" customWidth="1"/>
    <col min="14" max="16384" width="9.140625" style="22"/>
  </cols>
  <sheetData>
    <row r="2" spans="2:11" ht="42" x14ac:dyDescent="0.25">
      <c r="C2" s="14" t="s">
        <v>94</v>
      </c>
      <c r="D2" s="15" t="s">
        <v>25</v>
      </c>
      <c r="E2" s="15" t="s">
        <v>26</v>
      </c>
      <c r="G2" s="127" t="s">
        <v>111</v>
      </c>
      <c r="H2" s="128">
        <f>'Dealer 1 - Mr. Mangal Shelar'!Z12</f>
        <v>142327.77777777778</v>
      </c>
    </row>
    <row r="3" spans="2:11" ht="21" x14ac:dyDescent="0.25">
      <c r="C3" s="66">
        <f>B5</f>
        <v>189</v>
      </c>
      <c r="D3" s="11">
        <f>H5</f>
        <v>149000</v>
      </c>
      <c r="E3" s="11">
        <f>C3*D3</f>
        <v>28161000</v>
      </c>
      <c r="G3" s="127" t="s">
        <v>112</v>
      </c>
      <c r="H3" s="59">
        <f>'Dealer 2 - Mr. Deva Daddika'!Z13</f>
        <v>189550</v>
      </c>
    </row>
    <row r="4" spans="2:11" ht="30" x14ac:dyDescent="0.25">
      <c r="B4" s="32" t="s">
        <v>31</v>
      </c>
      <c r="C4" s="149"/>
      <c r="D4" s="150"/>
      <c r="E4" s="150"/>
      <c r="G4" s="131" t="s">
        <v>113</v>
      </c>
      <c r="H4" s="59">
        <f>((H2+H3)/2)*0.9</f>
        <v>149345</v>
      </c>
      <c r="I4" s="143" t="s">
        <v>116</v>
      </c>
      <c r="J4" s="143"/>
      <c r="K4" s="143"/>
    </row>
    <row r="5" spans="2:11" x14ac:dyDescent="0.25">
      <c r="B5" s="36">
        <v>189</v>
      </c>
      <c r="G5" s="131"/>
      <c r="H5" s="129">
        <v>149000</v>
      </c>
      <c r="I5" s="143"/>
      <c r="J5" s="143"/>
      <c r="K5" s="143"/>
    </row>
    <row r="7" spans="2:11" ht="21" x14ac:dyDescent="0.25">
      <c r="C7" s="14" t="s">
        <v>27</v>
      </c>
      <c r="D7" s="15" t="s">
        <v>28</v>
      </c>
      <c r="E7" s="15" t="s">
        <v>29</v>
      </c>
    </row>
    <row r="8" spans="2:11" ht="21" x14ac:dyDescent="0.35">
      <c r="C8" s="12">
        <f>E3</f>
        <v>28161000</v>
      </c>
      <c r="D8" s="16">
        <f>Building!T7</f>
        <v>3283670.6100000003</v>
      </c>
      <c r="E8" s="12">
        <f>C8+D8</f>
        <v>31444670.609999999</v>
      </c>
    </row>
    <row r="9" spans="2:11" ht="21" x14ac:dyDescent="0.25">
      <c r="C9" s="146" t="s">
        <v>95</v>
      </c>
      <c r="D9" s="10" t="s">
        <v>30</v>
      </c>
      <c r="E9" s="13">
        <v>31400000</v>
      </c>
      <c r="F9" s="17"/>
    </row>
    <row r="10" spans="2:11" ht="21" x14ac:dyDescent="0.25">
      <c r="C10" s="147"/>
      <c r="D10" s="10" t="s">
        <v>37</v>
      </c>
      <c r="E10" s="13">
        <f>E9*0.85</f>
        <v>26690000</v>
      </c>
      <c r="F10" s="17"/>
    </row>
    <row r="11" spans="2:11" ht="21" x14ac:dyDescent="0.25">
      <c r="C11" s="148"/>
      <c r="D11" s="10" t="s">
        <v>38</v>
      </c>
      <c r="E11" s="13">
        <f>E9*0.75</f>
        <v>23550000</v>
      </c>
      <c r="F11" s="17"/>
    </row>
    <row r="14" spans="2:11" x14ac:dyDescent="0.25">
      <c r="C14" s="145" t="s">
        <v>50</v>
      </c>
      <c r="D14" s="145"/>
      <c r="E14" s="145"/>
    </row>
    <row r="15" spans="2:11" x14ac:dyDescent="0.25">
      <c r="C15" s="145"/>
      <c r="D15" s="145"/>
      <c r="E15" s="145"/>
    </row>
    <row r="16" spans="2:11" x14ac:dyDescent="0.25">
      <c r="B16" s="18" t="s">
        <v>44</v>
      </c>
      <c r="C16" s="18" t="s">
        <v>43</v>
      </c>
      <c r="D16" s="18" t="s">
        <v>32</v>
      </c>
      <c r="E16" s="44" t="s">
        <v>41</v>
      </c>
      <c r="F16" s="44" t="s">
        <v>29</v>
      </c>
    </row>
    <row r="17" spans="2:7" x14ac:dyDescent="0.25">
      <c r="B17" s="37" t="s">
        <v>45</v>
      </c>
      <c r="C17" s="37" t="s">
        <v>45</v>
      </c>
      <c r="D17" s="37">
        <v>189</v>
      </c>
      <c r="E17" s="130">
        <v>30520</v>
      </c>
      <c r="F17" s="130">
        <f>D17*E17</f>
        <v>5768280</v>
      </c>
    </row>
    <row r="18" spans="2:7" ht="30" x14ac:dyDescent="0.25">
      <c r="B18" s="37" t="s">
        <v>40</v>
      </c>
      <c r="C18" s="34" t="s">
        <v>97</v>
      </c>
      <c r="D18" s="19">
        <f>Building!G4/C23</f>
        <v>154.07093088071352</v>
      </c>
      <c r="E18" s="3">
        <v>130530</v>
      </c>
      <c r="F18" s="3">
        <f>D18*E18</f>
        <v>20110878.607859537</v>
      </c>
    </row>
    <row r="19" spans="2:7" x14ac:dyDescent="0.25">
      <c r="B19" s="37">
        <v>1</v>
      </c>
      <c r="C19" s="39" t="s">
        <v>52</v>
      </c>
      <c r="D19" s="19">
        <f>Building!G5/C23</f>
        <v>154.07093088071352</v>
      </c>
      <c r="E19" s="3">
        <v>64930</v>
      </c>
      <c r="F19" s="3">
        <f>D19*E19</f>
        <v>10003825.542084729</v>
      </c>
    </row>
    <row r="20" spans="2:7" x14ac:dyDescent="0.25">
      <c r="B20" s="37">
        <v>2</v>
      </c>
      <c r="C20" s="39" t="s">
        <v>52</v>
      </c>
      <c r="D20" s="19">
        <f>Building!G6/C23</f>
        <v>154.07093088071352</v>
      </c>
      <c r="E20" s="3">
        <v>64930</v>
      </c>
      <c r="F20" s="3">
        <f>D20*E20</f>
        <v>10003825.542084729</v>
      </c>
    </row>
    <row r="21" spans="2:7" x14ac:dyDescent="0.25">
      <c r="E21" s="132" t="s">
        <v>42</v>
      </c>
      <c r="F21" s="144">
        <f>SUM(F18:F20)</f>
        <v>40118529.692028999</v>
      </c>
    </row>
    <row r="22" spans="2:7" x14ac:dyDescent="0.25">
      <c r="E22" s="132"/>
      <c r="F22" s="144"/>
    </row>
    <row r="23" spans="2:7" x14ac:dyDescent="0.25">
      <c r="C23" s="22">
        <f>10.764</f>
        <v>10.763999999999999</v>
      </c>
      <c r="E23" s="40" t="s">
        <v>46</v>
      </c>
      <c r="F23" s="38">
        <v>1</v>
      </c>
      <c r="G23" s="22" t="s">
        <v>39</v>
      </c>
    </row>
    <row r="24" spans="2:7" x14ac:dyDescent="0.25">
      <c r="E24" s="40" t="s">
        <v>47</v>
      </c>
      <c r="F24" s="38">
        <v>1</v>
      </c>
      <c r="G24" s="22" t="s">
        <v>39</v>
      </c>
    </row>
    <row r="25" spans="2:7" x14ac:dyDescent="0.25">
      <c r="E25" s="43" t="s">
        <v>48</v>
      </c>
      <c r="F25" s="130">
        <f>F21*F23*F24</f>
        <v>40118529.692028999</v>
      </c>
    </row>
    <row r="26" spans="2:7" x14ac:dyDescent="0.25">
      <c r="E26" s="41" t="s">
        <v>49</v>
      </c>
      <c r="F26" s="42">
        <f>((F25-E9)/F25)</f>
        <v>0.2173192726392775</v>
      </c>
    </row>
  </sheetData>
  <mergeCells count="7">
    <mergeCell ref="G4:G5"/>
    <mergeCell ref="I4:K5"/>
    <mergeCell ref="E21:E22"/>
    <mergeCell ref="F21:F22"/>
    <mergeCell ref="C14:E15"/>
    <mergeCell ref="C9:C11"/>
    <mergeCell ref="C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6"/>
  <sheetViews>
    <sheetView zoomScale="70" zoomScaleNormal="70" workbookViewId="0">
      <selection activeCell="G7" sqref="G7"/>
    </sheetView>
  </sheetViews>
  <sheetFormatPr defaultRowHeight="15" x14ac:dyDescent="0.25"/>
  <cols>
    <col min="1" max="1" width="9.140625" style="9"/>
    <col min="2" max="2" width="7.140625" style="9" bestFit="1" customWidth="1"/>
    <col min="3" max="3" width="11.7109375" style="9" bestFit="1" customWidth="1"/>
    <col min="4" max="5" width="19.140625" style="9" bestFit="1" customWidth="1"/>
    <col min="6" max="7" width="14.42578125" style="9" bestFit="1" customWidth="1"/>
    <col min="8" max="8" width="16.7109375" style="9" bestFit="1" customWidth="1"/>
    <col min="9" max="9" width="17.140625" style="9" bestFit="1" customWidth="1"/>
    <col min="10" max="10" width="17.85546875" style="9" bestFit="1" customWidth="1"/>
    <col min="11" max="11" width="14.85546875" style="9" bestFit="1" customWidth="1"/>
    <col min="12" max="12" width="12.140625" style="9" bestFit="1" customWidth="1"/>
    <col min="13" max="13" width="20" style="9" bestFit="1" customWidth="1"/>
    <col min="14" max="14" width="23" style="9" bestFit="1" customWidth="1"/>
    <col min="15" max="15" width="22.85546875" style="9" bestFit="1" customWidth="1"/>
    <col min="16" max="16" width="15.28515625" style="9" bestFit="1" customWidth="1"/>
    <col min="17" max="17" width="15.85546875" style="9" bestFit="1" customWidth="1"/>
    <col min="18" max="18" width="20.7109375" style="9" bestFit="1" customWidth="1"/>
    <col min="19" max="19" width="16.42578125" style="9" customWidth="1"/>
    <col min="20" max="20" width="9.7109375" style="9" bestFit="1" customWidth="1"/>
    <col min="21" max="21" width="15.85546875" style="9" bestFit="1" customWidth="1"/>
    <col min="22" max="22" width="23.140625" style="9" bestFit="1" customWidth="1"/>
    <col min="23" max="23" width="22.140625" style="9" bestFit="1" customWidth="1"/>
    <col min="24" max="24" width="17.7109375" style="9" bestFit="1" customWidth="1"/>
    <col min="25" max="25" width="16.42578125" style="9" bestFit="1" customWidth="1"/>
    <col min="26" max="26" width="15.85546875" style="9" bestFit="1" customWidth="1"/>
    <col min="27" max="28" width="9.140625" style="9"/>
    <col min="29" max="29" width="12.85546875" style="9" bestFit="1" customWidth="1"/>
    <col min="30" max="30" width="83.5703125" style="9" customWidth="1"/>
    <col min="31" max="16384" width="9.140625" style="9"/>
  </cols>
  <sheetData>
    <row r="1" spans="2:30" ht="15.75" thickBot="1" x14ac:dyDescent="0.3"/>
    <row r="2" spans="2:30" x14ac:dyDescent="0.25">
      <c r="H2" s="156" t="s">
        <v>78</v>
      </c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8"/>
    </row>
    <row r="3" spans="2:30" ht="15.75" thickBot="1" x14ac:dyDescent="0.3">
      <c r="H3" s="159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/>
    </row>
    <row r="4" spans="2:30" ht="15.75" thickBot="1" x14ac:dyDescent="0.3"/>
    <row r="5" spans="2:30" ht="42" x14ac:dyDescent="0.25">
      <c r="B5" s="94" t="s">
        <v>69</v>
      </c>
      <c r="C5" s="53" t="s">
        <v>61</v>
      </c>
      <c r="D5" s="53" t="s">
        <v>62</v>
      </c>
      <c r="E5" s="53" t="s">
        <v>64</v>
      </c>
      <c r="F5" s="53" t="s">
        <v>65</v>
      </c>
      <c r="G5" s="53" t="s">
        <v>66</v>
      </c>
      <c r="H5" s="53" t="s">
        <v>96</v>
      </c>
      <c r="I5" s="53" t="s">
        <v>87</v>
      </c>
      <c r="J5" s="53" t="s">
        <v>91</v>
      </c>
      <c r="K5" s="53" t="s">
        <v>88</v>
      </c>
      <c r="L5" s="53" t="s">
        <v>89</v>
      </c>
      <c r="M5" s="53" t="s">
        <v>90</v>
      </c>
      <c r="N5" s="54" t="s">
        <v>92</v>
      </c>
      <c r="O5" s="81" t="s">
        <v>93</v>
      </c>
      <c r="P5" s="74" t="s">
        <v>99</v>
      </c>
      <c r="Q5" s="74" t="s">
        <v>30</v>
      </c>
      <c r="R5" s="73" t="s">
        <v>75</v>
      </c>
      <c r="S5" s="55" t="s">
        <v>71</v>
      </c>
      <c r="T5" s="55" t="s">
        <v>68</v>
      </c>
      <c r="U5" s="55" t="s">
        <v>72</v>
      </c>
      <c r="V5" s="55" t="s">
        <v>67</v>
      </c>
      <c r="W5" s="55" t="s">
        <v>73</v>
      </c>
      <c r="X5" s="56" t="s">
        <v>70</v>
      </c>
      <c r="Y5" s="57" t="s">
        <v>76</v>
      </c>
      <c r="Z5" s="58" t="s">
        <v>77</v>
      </c>
    </row>
    <row r="6" spans="2:30" ht="30" x14ac:dyDescent="0.25">
      <c r="B6" s="95">
        <v>1</v>
      </c>
      <c r="C6" s="34" t="s">
        <v>59</v>
      </c>
      <c r="D6" s="34" t="s">
        <v>97</v>
      </c>
      <c r="E6" s="34" t="s">
        <v>97</v>
      </c>
      <c r="F6" s="96">
        <v>1200</v>
      </c>
      <c r="G6" s="70">
        <v>15000</v>
      </c>
      <c r="H6" s="34">
        <v>30</v>
      </c>
      <c r="I6" s="34">
        <v>60</v>
      </c>
      <c r="J6" s="34">
        <f>H6</f>
        <v>30</v>
      </c>
      <c r="K6" s="97">
        <v>0.1</v>
      </c>
      <c r="L6" s="34">
        <f>(1-K6)/I6</f>
        <v>1.5000000000000001E-2</v>
      </c>
      <c r="M6" s="98">
        <f>S6</f>
        <v>1440000</v>
      </c>
      <c r="N6" s="99">
        <f>J6*M6*L6</f>
        <v>648000</v>
      </c>
      <c r="O6" s="100">
        <f>MAX(M6-N6,0)</f>
        <v>792000</v>
      </c>
      <c r="P6" s="97">
        <v>0.05</v>
      </c>
      <c r="Q6" s="101">
        <f>O6*(1-P6)</f>
        <v>752400</v>
      </c>
      <c r="R6" s="102">
        <v>1200</v>
      </c>
      <c r="S6" s="103">
        <f>F6*R6</f>
        <v>1440000</v>
      </c>
      <c r="T6" s="162">
        <v>0.125</v>
      </c>
      <c r="U6" s="78">
        <f>F6*G6</f>
        <v>18000000</v>
      </c>
      <c r="V6" s="162">
        <v>0.1</v>
      </c>
      <c r="W6" s="78">
        <f>U6*(1-V6)</f>
        <v>16200000</v>
      </c>
      <c r="X6" s="163">
        <f>(W9-Q9)*(1-T6)</f>
        <v>26899950</v>
      </c>
      <c r="Y6" s="153">
        <v>189</v>
      </c>
      <c r="Z6" s="155">
        <f>X6/Y6</f>
        <v>142327.77777777778</v>
      </c>
    </row>
    <row r="7" spans="2:30" x14ac:dyDescent="0.25">
      <c r="B7" s="95">
        <v>2</v>
      </c>
      <c r="C7" s="34" t="s">
        <v>60</v>
      </c>
      <c r="D7" s="34" t="s">
        <v>63</v>
      </c>
      <c r="E7" s="34" t="s">
        <v>52</v>
      </c>
      <c r="F7" s="96">
        <v>1200</v>
      </c>
      <c r="G7" s="104">
        <v>7000</v>
      </c>
      <c r="H7" s="34">
        <v>30</v>
      </c>
      <c r="I7" s="34">
        <v>60</v>
      </c>
      <c r="J7" s="34">
        <f>H7</f>
        <v>30</v>
      </c>
      <c r="K7" s="97">
        <v>0.1</v>
      </c>
      <c r="L7" s="34">
        <f>(1-K7)/I7</f>
        <v>1.5000000000000001E-2</v>
      </c>
      <c r="M7" s="98">
        <f>S7</f>
        <v>1440000</v>
      </c>
      <c r="N7" s="99">
        <f>J7*M7*L7</f>
        <v>648000</v>
      </c>
      <c r="O7" s="100">
        <f>MAX(M7-N7,0)</f>
        <v>792000</v>
      </c>
      <c r="P7" s="97">
        <v>0.05</v>
      </c>
      <c r="Q7" s="101">
        <f>O7*(1-P7)</f>
        <v>752400</v>
      </c>
      <c r="R7" s="102">
        <v>1200</v>
      </c>
      <c r="S7" s="103">
        <f>F7*R7</f>
        <v>1440000</v>
      </c>
      <c r="T7" s="162"/>
      <c r="U7" s="78">
        <f>F7*G7</f>
        <v>8400000</v>
      </c>
      <c r="V7" s="162"/>
      <c r="W7" s="78">
        <f>U7*(1-V7)</f>
        <v>8400000</v>
      </c>
      <c r="X7" s="163"/>
      <c r="Y7" s="154"/>
      <c r="Z7" s="155"/>
    </row>
    <row r="8" spans="2:30" ht="15.75" thickBot="1" x14ac:dyDescent="0.3">
      <c r="B8" s="105">
        <v>3</v>
      </c>
      <c r="C8" s="85" t="s">
        <v>58</v>
      </c>
      <c r="D8" s="85" t="s">
        <v>63</v>
      </c>
      <c r="E8" s="85" t="s">
        <v>52</v>
      </c>
      <c r="F8" s="106">
        <v>1200</v>
      </c>
      <c r="G8" s="107">
        <v>7000</v>
      </c>
      <c r="H8" s="85">
        <v>30</v>
      </c>
      <c r="I8" s="85">
        <v>60</v>
      </c>
      <c r="J8" s="85">
        <f>H8</f>
        <v>30</v>
      </c>
      <c r="K8" s="108">
        <v>0.1</v>
      </c>
      <c r="L8" s="85">
        <f>(1-K8)/I8</f>
        <v>1.5000000000000001E-2</v>
      </c>
      <c r="M8" s="109">
        <f>S8</f>
        <v>1440000</v>
      </c>
      <c r="N8" s="110">
        <f>J8*M8*L8</f>
        <v>648000</v>
      </c>
      <c r="O8" s="100">
        <f>MAX(M8-N8,0)</f>
        <v>792000</v>
      </c>
      <c r="P8" s="97">
        <v>0.05</v>
      </c>
      <c r="Q8" s="101">
        <f>O8*(1-P8)</f>
        <v>752400</v>
      </c>
      <c r="R8" s="102">
        <v>1200</v>
      </c>
      <c r="S8" s="103">
        <f>F8*R8</f>
        <v>1440000</v>
      </c>
      <c r="T8" s="162"/>
      <c r="U8" s="78">
        <f>F8*G8</f>
        <v>8400000</v>
      </c>
      <c r="V8" s="162"/>
      <c r="W8" s="79">
        <f>U8*(1-V8)</f>
        <v>8400000</v>
      </c>
      <c r="X8" s="163"/>
      <c r="Y8" s="154"/>
      <c r="Z8" s="155"/>
    </row>
    <row r="9" spans="2:30" ht="18.75" thickBot="1" x14ac:dyDescent="0.3">
      <c r="F9" s="111"/>
      <c r="H9" s="91"/>
      <c r="I9" s="112"/>
      <c r="J9" s="112"/>
      <c r="K9" s="112"/>
      <c r="L9" s="112"/>
      <c r="M9" s="112"/>
      <c r="N9" s="113">
        <f>SUM(N6:N8)</f>
        <v>1944000</v>
      </c>
      <c r="O9" s="114">
        <f>SUM(O6:O8)</f>
        <v>2376000</v>
      </c>
      <c r="P9" s="112"/>
      <c r="Q9" s="114">
        <f>SUM(Q6:Q8)</f>
        <v>2257200</v>
      </c>
      <c r="R9" s="91"/>
      <c r="S9" s="115">
        <f>SUM(S6:S8)</f>
        <v>4320000</v>
      </c>
      <c r="T9" s="91"/>
      <c r="U9" s="91"/>
      <c r="V9" s="91"/>
      <c r="W9" s="114">
        <f>SUM(W6:W8)</f>
        <v>33000000</v>
      </c>
      <c r="AC9" s="122" t="s">
        <v>100</v>
      </c>
      <c r="AD9" s="123" t="s">
        <v>101</v>
      </c>
    </row>
    <row r="10" spans="2:30" ht="15.75" thickBot="1" x14ac:dyDescent="0.3">
      <c r="F10" s="116"/>
      <c r="H10" s="91"/>
      <c r="I10" s="72"/>
      <c r="J10" s="72"/>
      <c r="K10" s="72"/>
      <c r="L10" s="72"/>
      <c r="M10" s="72"/>
      <c r="N10" s="72"/>
      <c r="O10" s="72"/>
      <c r="P10" s="72"/>
      <c r="Q10" s="72"/>
      <c r="R10" s="91"/>
      <c r="S10" s="69" t="s">
        <v>74</v>
      </c>
      <c r="T10" s="91"/>
      <c r="U10" s="91"/>
      <c r="V10" s="91"/>
      <c r="AC10" s="89" t="s">
        <v>80</v>
      </c>
      <c r="AD10" s="124">
        <v>8766787388</v>
      </c>
    </row>
    <row r="11" spans="2:30" ht="29.25" thickBot="1" x14ac:dyDescent="0.3">
      <c r="I11" s="117"/>
      <c r="J11" s="117"/>
      <c r="K11" s="117"/>
      <c r="L11" s="117"/>
      <c r="M11" s="117"/>
      <c r="N11" s="117"/>
      <c r="O11" s="117"/>
      <c r="P11" s="117"/>
      <c r="Q11" s="117"/>
      <c r="Y11" s="9">
        <v>10.763999999999999</v>
      </c>
      <c r="AC11" s="89" t="s">
        <v>81</v>
      </c>
      <c r="AD11" s="124" t="s">
        <v>82</v>
      </c>
    </row>
    <row r="12" spans="2:30" ht="29.25" thickBot="1" x14ac:dyDescent="0.3">
      <c r="Z12" s="126">
        <f>Z6</f>
        <v>142327.77777777778</v>
      </c>
      <c r="AC12" s="89" t="s">
        <v>83</v>
      </c>
      <c r="AD12" s="124" t="s">
        <v>102</v>
      </c>
    </row>
    <row r="13" spans="2:30" ht="15.75" thickBot="1" x14ac:dyDescent="0.3">
      <c r="R13" s="118"/>
      <c r="AC13" s="89" t="s">
        <v>86</v>
      </c>
      <c r="AD13" s="124" t="s">
        <v>103</v>
      </c>
    </row>
    <row r="14" spans="2:30" x14ac:dyDescent="0.25">
      <c r="R14" s="119"/>
      <c r="AC14" s="151" t="s">
        <v>84</v>
      </c>
      <c r="AD14" s="125" t="s">
        <v>104</v>
      </c>
    </row>
    <row r="15" spans="2:30" ht="15.75" thickBot="1" x14ac:dyDescent="0.3">
      <c r="AC15" s="152"/>
      <c r="AD15" s="124" t="s">
        <v>105</v>
      </c>
    </row>
    <row r="16" spans="2:30" ht="57.75" thickBot="1" x14ac:dyDescent="0.3">
      <c r="AC16" s="89" t="s">
        <v>85</v>
      </c>
      <c r="AD16" s="124" t="s">
        <v>106</v>
      </c>
    </row>
  </sheetData>
  <mergeCells count="7">
    <mergeCell ref="AC14:AC15"/>
    <mergeCell ref="Y6:Y8"/>
    <mergeCell ref="Z6:Z8"/>
    <mergeCell ref="H2:S3"/>
    <mergeCell ref="T6:T8"/>
    <mergeCell ref="V6:V8"/>
    <mergeCell ref="X6:X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8"/>
  <sheetViews>
    <sheetView zoomScale="85" zoomScaleNormal="85" workbookViewId="0">
      <selection activeCell="A7" sqref="A7"/>
    </sheetView>
  </sheetViews>
  <sheetFormatPr defaultRowHeight="15" x14ac:dyDescent="0.25"/>
  <cols>
    <col min="1" max="1" width="9.140625" style="22"/>
    <col min="2" max="2" width="4.85546875" style="22" bestFit="1" customWidth="1"/>
    <col min="3" max="3" width="11.7109375" style="22" bestFit="1" customWidth="1"/>
    <col min="4" max="5" width="14.7109375" style="22" bestFit="1" customWidth="1"/>
    <col min="6" max="6" width="10.7109375" style="22" bestFit="1" customWidth="1"/>
    <col min="7" max="7" width="12.5703125" style="22" bestFit="1" customWidth="1"/>
    <col min="8" max="8" width="15.5703125" style="22" bestFit="1" customWidth="1"/>
    <col min="9" max="13" width="14.42578125" style="22" customWidth="1"/>
    <col min="14" max="14" width="16.42578125" style="22" bestFit="1" customWidth="1"/>
    <col min="15" max="15" width="15.85546875" style="22" bestFit="1" customWidth="1"/>
    <col min="16" max="16" width="14.42578125" style="22" customWidth="1"/>
    <col min="17" max="17" width="15.85546875" style="22" bestFit="1" customWidth="1"/>
    <col min="18" max="18" width="15" style="22" bestFit="1" customWidth="1"/>
    <col min="19" max="19" width="16.42578125" style="22" bestFit="1" customWidth="1"/>
    <col min="20" max="20" width="9.7109375" style="22" bestFit="1" customWidth="1"/>
    <col min="21" max="21" width="17.5703125" style="22" bestFit="1" customWidth="1"/>
    <col min="22" max="22" width="16.7109375" style="22" bestFit="1" customWidth="1"/>
    <col min="23" max="23" width="16.140625" style="22" bestFit="1" customWidth="1"/>
    <col min="24" max="24" width="17.7109375" style="22" bestFit="1" customWidth="1"/>
    <col min="25" max="25" width="11.5703125" style="22" bestFit="1" customWidth="1"/>
    <col min="26" max="26" width="15" style="22" bestFit="1" customWidth="1"/>
    <col min="27" max="27" width="9.140625" style="22"/>
    <col min="28" max="28" width="10.5703125" style="22" bestFit="1" customWidth="1"/>
    <col min="29" max="29" width="76.140625" style="22" customWidth="1"/>
    <col min="30" max="16384" width="9.140625" style="22"/>
  </cols>
  <sheetData>
    <row r="1" spans="2:29" ht="15.75" thickBot="1" x14ac:dyDescent="0.3"/>
    <row r="2" spans="2:29" x14ac:dyDescent="0.25">
      <c r="H2" s="156" t="s">
        <v>78</v>
      </c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8"/>
    </row>
    <row r="3" spans="2:29" ht="15.75" thickBot="1" x14ac:dyDescent="0.3">
      <c r="H3" s="159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1"/>
    </row>
    <row r="4" spans="2:29" ht="15.75" thickBot="1" x14ac:dyDescent="0.3"/>
    <row r="5" spans="2:29" ht="57" x14ac:dyDescent="0.25">
      <c r="B5" s="51" t="s">
        <v>69</v>
      </c>
      <c r="C5" s="52" t="s">
        <v>61</v>
      </c>
      <c r="D5" s="53" t="s">
        <v>62</v>
      </c>
      <c r="E5" s="53" t="s">
        <v>64</v>
      </c>
      <c r="F5" s="53" t="s">
        <v>65</v>
      </c>
      <c r="G5" s="53" t="s">
        <v>66</v>
      </c>
      <c r="H5" s="53" t="s">
        <v>96</v>
      </c>
      <c r="I5" s="53" t="s">
        <v>87</v>
      </c>
      <c r="J5" s="53" t="s">
        <v>91</v>
      </c>
      <c r="K5" s="53" t="s">
        <v>88</v>
      </c>
      <c r="L5" s="53" t="s">
        <v>89</v>
      </c>
      <c r="M5" s="53" t="s">
        <v>90</v>
      </c>
      <c r="N5" s="54" t="s">
        <v>92</v>
      </c>
      <c r="O5" s="81" t="s">
        <v>93</v>
      </c>
      <c r="P5" s="74" t="s">
        <v>99</v>
      </c>
      <c r="Q5" s="74" t="s">
        <v>30</v>
      </c>
      <c r="R5" s="73" t="s">
        <v>75</v>
      </c>
      <c r="S5" s="55" t="s">
        <v>71</v>
      </c>
      <c r="T5" s="55" t="s">
        <v>68</v>
      </c>
      <c r="U5" s="55" t="s">
        <v>72</v>
      </c>
      <c r="V5" s="55" t="s">
        <v>67</v>
      </c>
      <c r="W5" s="55" t="s">
        <v>73</v>
      </c>
      <c r="X5" s="56" t="s">
        <v>70</v>
      </c>
      <c r="Y5" s="57" t="s">
        <v>76</v>
      </c>
      <c r="Z5" s="58" t="s">
        <v>77</v>
      </c>
    </row>
    <row r="6" spans="2:29" ht="45" x14ac:dyDescent="0.25">
      <c r="B6" s="47">
        <v>1</v>
      </c>
      <c r="C6" s="35" t="s">
        <v>59</v>
      </c>
      <c r="D6" s="34" t="s">
        <v>97</v>
      </c>
      <c r="E6" s="34" t="s">
        <v>97</v>
      </c>
      <c r="F6" s="45">
        <v>1200</v>
      </c>
      <c r="G6" s="3">
        <v>20000</v>
      </c>
      <c r="H6" s="35">
        <v>30</v>
      </c>
      <c r="I6" s="35">
        <v>60</v>
      </c>
      <c r="J6" s="35">
        <f>H6</f>
        <v>30</v>
      </c>
      <c r="K6" s="23">
        <v>0.1</v>
      </c>
      <c r="L6" s="35">
        <f>(1-K6)/I6</f>
        <v>1.5000000000000001E-2</v>
      </c>
      <c r="M6" s="75">
        <f>S6</f>
        <v>1440000</v>
      </c>
      <c r="N6" s="84">
        <f>J6*M6*L6</f>
        <v>648000</v>
      </c>
      <c r="O6" s="82">
        <f>MAX(M6-N6,0)</f>
        <v>792000</v>
      </c>
      <c r="P6" s="23">
        <v>0.05</v>
      </c>
      <c r="Q6" s="76">
        <f>O6*(1-P6)</f>
        <v>752400</v>
      </c>
      <c r="R6" s="77">
        <v>1200</v>
      </c>
      <c r="S6" s="62">
        <f>F6*R6</f>
        <v>1440000</v>
      </c>
      <c r="T6" s="162">
        <v>0.125</v>
      </c>
      <c r="U6" s="78">
        <f>F6*G6</f>
        <v>24000000</v>
      </c>
      <c r="V6" s="162">
        <v>0.1</v>
      </c>
      <c r="W6" s="78">
        <f>U6*(1-V6)</f>
        <v>21600000</v>
      </c>
      <c r="X6" s="163">
        <f>(W9-Q9)*(1-T6)</f>
        <v>35824950</v>
      </c>
      <c r="Y6" s="153">
        <v>189</v>
      </c>
      <c r="Z6" s="155">
        <f>X6/Y6</f>
        <v>189550</v>
      </c>
    </row>
    <row r="7" spans="2:29" ht="30" x14ac:dyDescent="0.25">
      <c r="B7" s="47">
        <v>2</v>
      </c>
      <c r="C7" s="35" t="s">
        <v>60</v>
      </c>
      <c r="D7" s="35" t="s">
        <v>63</v>
      </c>
      <c r="E7" s="34" t="s">
        <v>52</v>
      </c>
      <c r="F7" s="45">
        <v>1200</v>
      </c>
      <c r="G7" s="59">
        <v>9000</v>
      </c>
      <c r="H7" s="35">
        <v>30</v>
      </c>
      <c r="I7" s="35">
        <v>60</v>
      </c>
      <c r="J7" s="35">
        <f>H7</f>
        <v>30</v>
      </c>
      <c r="K7" s="23">
        <v>0.1</v>
      </c>
      <c r="L7" s="35">
        <f>(1-K7)/I7</f>
        <v>1.5000000000000001E-2</v>
      </c>
      <c r="M7" s="75">
        <f>S7</f>
        <v>1440000</v>
      </c>
      <c r="N7" s="84">
        <f>J7*M7*L7</f>
        <v>648000</v>
      </c>
      <c r="O7" s="82">
        <f>MAX(M7-N7,0)</f>
        <v>792000</v>
      </c>
      <c r="P7" s="23">
        <v>0.05</v>
      </c>
      <c r="Q7" s="76">
        <f>O7*(1-P7)</f>
        <v>752400</v>
      </c>
      <c r="R7" s="77">
        <v>1200</v>
      </c>
      <c r="S7" s="62">
        <f>F7*R7</f>
        <v>1440000</v>
      </c>
      <c r="T7" s="162"/>
      <c r="U7" s="78">
        <f>F7*G7</f>
        <v>10800000</v>
      </c>
      <c r="V7" s="162"/>
      <c r="W7" s="78">
        <f>U7*(1-V7)</f>
        <v>10800000</v>
      </c>
      <c r="X7" s="163"/>
      <c r="Y7" s="154"/>
      <c r="Z7" s="155"/>
    </row>
    <row r="8" spans="2:29" ht="30.75" thickBot="1" x14ac:dyDescent="0.3">
      <c r="B8" s="48">
        <v>3</v>
      </c>
      <c r="C8" s="49" t="s">
        <v>58</v>
      </c>
      <c r="D8" s="49" t="s">
        <v>63</v>
      </c>
      <c r="E8" s="85" t="s">
        <v>52</v>
      </c>
      <c r="F8" s="50">
        <v>1200</v>
      </c>
      <c r="G8" s="60">
        <v>9000</v>
      </c>
      <c r="H8" s="49">
        <v>30</v>
      </c>
      <c r="I8" s="49">
        <v>60</v>
      </c>
      <c r="J8" s="49">
        <f>H8</f>
        <v>30</v>
      </c>
      <c r="K8" s="86">
        <v>0.1</v>
      </c>
      <c r="L8" s="49">
        <f>(1-K8)/I8</f>
        <v>1.5000000000000001E-2</v>
      </c>
      <c r="M8" s="87">
        <f>S8</f>
        <v>1440000</v>
      </c>
      <c r="N8" s="88">
        <f>J8*M8*L8</f>
        <v>648000</v>
      </c>
      <c r="O8" s="82">
        <f>MAX(M8-N8,0)</f>
        <v>792000</v>
      </c>
      <c r="P8" s="23">
        <v>0.05</v>
      </c>
      <c r="Q8" s="76">
        <f>O8*(1-P8)</f>
        <v>752400</v>
      </c>
      <c r="R8" s="77">
        <v>1200</v>
      </c>
      <c r="S8" s="62">
        <f>F8*R8</f>
        <v>1440000</v>
      </c>
      <c r="T8" s="162"/>
      <c r="U8" s="78">
        <f>F8*G8</f>
        <v>10800000</v>
      </c>
      <c r="V8" s="162"/>
      <c r="W8" s="79">
        <f>U8*(1-V8)</f>
        <v>10800000</v>
      </c>
      <c r="X8" s="163"/>
      <c r="Y8" s="154"/>
      <c r="Z8" s="155"/>
    </row>
    <row r="9" spans="2:29" ht="15.75" thickBot="1" x14ac:dyDescent="0.3">
      <c r="F9" s="61"/>
      <c r="H9" s="17"/>
      <c r="I9" s="71"/>
      <c r="J9" s="71"/>
      <c r="K9" s="71"/>
      <c r="L9" s="71"/>
      <c r="M9" s="71"/>
      <c r="N9" s="83">
        <f>SUM(N6:N8)</f>
        <v>1944000</v>
      </c>
      <c r="O9" s="80">
        <f>SUM(O6:O8)</f>
        <v>2376000</v>
      </c>
      <c r="P9" s="71"/>
      <c r="Q9" s="80">
        <f>SUM(Q6:Q8)</f>
        <v>2257200</v>
      </c>
      <c r="R9" s="17"/>
      <c r="S9" s="63">
        <f>SUM(S6:S8)</f>
        <v>4320000</v>
      </c>
      <c r="T9" s="17"/>
      <c r="U9" s="17"/>
      <c r="V9" s="17"/>
      <c r="W9" s="80">
        <f>SUM(W6:W8)</f>
        <v>43200000</v>
      </c>
    </row>
    <row r="10" spans="2:29" ht="15.75" thickBot="1" x14ac:dyDescent="0.3">
      <c r="F10" s="65"/>
      <c r="H10" s="17"/>
      <c r="I10" s="72"/>
      <c r="J10" s="72"/>
      <c r="K10" s="72"/>
      <c r="L10" s="72"/>
      <c r="M10" s="72"/>
      <c r="N10" s="72"/>
      <c r="O10" s="72"/>
      <c r="P10" s="72"/>
      <c r="Q10" s="72"/>
      <c r="R10" s="17"/>
      <c r="S10" s="68" t="s">
        <v>74</v>
      </c>
      <c r="T10" s="17"/>
      <c r="U10" s="17"/>
      <c r="V10" s="17"/>
      <c r="AB10" s="120" t="s">
        <v>79</v>
      </c>
      <c r="AC10" s="121" t="s">
        <v>107</v>
      </c>
    </row>
    <row r="11" spans="2:29" ht="29.25" thickBot="1" x14ac:dyDescent="0.3">
      <c r="I11" s="46"/>
      <c r="J11" s="46"/>
      <c r="K11" s="46"/>
      <c r="L11" s="46"/>
      <c r="M11" s="46"/>
      <c r="N11" s="46"/>
      <c r="O11" s="46"/>
      <c r="P11" s="46"/>
      <c r="Q11" s="46"/>
      <c r="Y11" s="22">
        <v>10.763999999999999</v>
      </c>
      <c r="AB11" s="89" t="s">
        <v>80</v>
      </c>
      <c r="AC11" s="124">
        <v>9175063413</v>
      </c>
    </row>
    <row r="12" spans="2:29" ht="29.25" thickBot="1" x14ac:dyDescent="0.3">
      <c r="AB12" s="89" t="s">
        <v>81</v>
      </c>
      <c r="AC12" s="90" t="s">
        <v>82</v>
      </c>
    </row>
    <row r="13" spans="2:29" ht="43.5" thickBot="1" x14ac:dyDescent="0.3">
      <c r="R13" s="64"/>
      <c r="Z13" s="5">
        <f>Z6</f>
        <v>189550</v>
      </c>
      <c r="AB13" s="89" t="s">
        <v>83</v>
      </c>
      <c r="AC13" s="93" t="s">
        <v>102</v>
      </c>
    </row>
    <row r="14" spans="2:29" ht="15.75" thickBot="1" x14ac:dyDescent="0.3">
      <c r="R14" s="1"/>
      <c r="AB14" s="89" t="s">
        <v>86</v>
      </c>
      <c r="AC14" s="90" t="s">
        <v>103</v>
      </c>
    </row>
    <row r="15" spans="2:29" x14ac:dyDescent="0.25">
      <c r="AB15" s="151" t="s">
        <v>84</v>
      </c>
      <c r="AC15" s="92" t="s">
        <v>108</v>
      </c>
    </row>
    <row r="16" spans="2:29" ht="29.25" thickBot="1" x14ac:dyDescent="0.3">
      <c r="AB16" s="152"/>
      <c r="AC16" s="93" t="s">
        <v>109</v>
      </c>
    </row>
    <row r="17" spans="28:29" ht="28.5" x14ac:dyDescent="0.25">
      <c r="AB17" s="151" t="s">
        <v>85</v>
      </c>
      <c r="AC17" s="92" t="s">
        <v>106</v>
      </c>
    </row>
    <row r="18" spans="28:29" ht="29.25" thickBot="1" x14ac:dyDescent="0.3">
      <c r="AB18" s="152"/>
      <c r="AC18" s="93" t="s">
        <v>110</v>
      </c>
    </row>
  </sheetData>
  <mergeCells count="8">
    <mergeCell ref="Y6:Y8"/>
    <mergeCell ref="Z6:Z8"/>
    <mergeCell ref="AB15:AB16"/>
    <mergeCell ref="AB17:AB18"/>
    <mergeCell ref="H2:S3"/>
    <mergeCell ref="T6:T8"/>
    <mergeCell ref="V6:V8"/>
    <mergeCell ref="X6:X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Building</vt:lpstr>
      <vt:lpstr>Land+Building</vt:lpstr>
      <vt:lpstr>Dealer 1 - Mr. Mangal Shelar</vt:lpstr>
      <vt:lpstr>Dealer 2 - Mr. Deva Daddika</vt:lpstr>
      <vt:lpstr>Building!Print_Area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Ashish Sawe</cp:lastModifiedBy>
  <cp:lastPrinted>2022-01-07T08:12:53Z</cp:lastPrinted>
  <dcterms:created xsi:type="dcterms:W3CDTF">2021-09-16T11:33:35Z</dcterms:created>
  <dcterms:modified xsi:type="dcterms:W3CDTF">2022-10-31T11:31:59Z</dcterms:modified>
</cp:coreProperties>
</file>