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161-124-243_Bengal Polypet\"/>
    </mc:Choice>
  </mc:AlternateContent>
  <bookViews>
    <workbookView showVerticalScroll="0" xWindow="0" yWindow="0" windowWidth="12495" windowHeight="6120" activeTab="2"/>
  </bookViews>
  <sheets>
    <sheet name="Building" sheetId="1" r:id="rId1"/>
    <sheet name="Land" sheetId="2" r:id="rId2"/>
    <sheet name="CIRLE RATE" sheetId="3" r:id="rId3"/>
  </sheets>
  <definedNames>
    <definedName name="_xlnm.Print_Area" localSheetId="0">Building!$B$1:$T$12</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9" i="1" l="1"/>
  <c r="L16" i="1"/>
  <c r="D25" i="1"/>
  <c r="H8" i="2" l="1"/>
  <c r="L8" i="2"/>
  <c r="I7" i="2"/>
  <c r="K7" i="2" s="1"/>
  <c r="I6" i="2"/>
  <c r="J6" i="2" s="1"/>
  <c r="I5" i="2"/>
  <c r="J5" i="2" s="1"/>
  <c r="I8" i="2" l="1"/>
  <c r="J7" i="2"/>
  <c r="J8" i="2" s="1"/>
  <c r="K6" i="2"/>
  <c r="K5" i="2"/>
  <c r="K7" i="3"/>
  <c r="K8" i="3"/>
  <c r="K6" i="3"/>
  <c r="L9" i="3"/>
  <c r="H9" i="3"/>
  <c r="I8" i="3"/>
  <c r="J8" i="3" s="1"/>
  <c r="J7" i="3"/>
  <c r="I7" i="3"/>
  <c r="I6" i="3"/>
  <c r="Q18" i="1"/>
  <c r="I9" i="3" l="1"/>
  <c r="J6" i="3"/>
  <c r="J9" i="3" s="1"/>
  <c r="H7" i="1" l="1"/>
  <c r="H6" i="1"/>
  <c r="H5" i="1"/>
  <c r="H4" i="1"/>
  <c r="F7" i="1"/>
  <c r="G7" i="1" s="1"/>
  <c r="F6" i="1"/>
  <c r="G6" i="1" s="1"/>
  <c r="F5" i="1"/>
  <c r="G5" i="1" s="1"/>
  <c r="F4" i="1"/>
  <c r="G4" i="1" s="1"/>
  <c r="I21" i="1" l="1"/>
  <c r="I20" i="1"/>
  <c r="G8" i="1" l="1"/>
  <c r="P5" i="1" l="1"/>
  <c r="N5" i="1"/>
  <c r="K5" i="1"/>
  <c r="P6" i="1"/>
  <c r="N6" i="1"/>
  <c r="K6" i="1"/>
  <c r="Q5" i="1" l="1"/>
  <c r="R5" i="1" s="1"/>
  <c r="T5" i="1" s="1"/>
  <c r="Q6" i="1"/>
  <c r="R6" i="1" s="1"/>
  <c r="T6" i="1" s="1"/>
  <c r="K7" i="1"/>
  <c r="N7" i="1"/>
  <c r="P7" i="1"/>
  <c r="Q7" i="1" l="1"/>
  <c r="R7" i="1" s="1"/>
  <c r="T7" i="1" s="1"/>
  <c r="P4" i="1" l="1"/>
  <c r="P8" i="1" s="1"/>
  <c r="N4" i="1"/>
  <c r="K4" i="1" l="1"/>
  <c r="Q4" i="1" l="1"/>
  <c r="R4" i="1" s="1"/>
  <c r="R8" i="1" s="1"/>
  <c r="T4" i="1" l="1"/>
  <c r="T8" i="1" s="1"/>
  <c r="L17" i="1" s="1"/>
  <c r="L19" i="1" s="1"/>
  <c r="U16" i="1" l="1"/>
</calcChain>
</file>

<file path=xl/comments1.xml><?xml version="1.0" encoding="utf-8"?>
<comments xmlns="http://schemas.openxmlformats.org/spreadsheetml/2006/main">
  <authors>
    <author>admin</author>
  </authors>
  <commentList>
    <comment ref="T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<sst xmlns="http://schemas.openxmlformats.org/spreadsheetml/2006/main" count="88" uniqueCount="58">
  <si>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</si>
  <si>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</si>
  <si>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</si>
  <si>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</si>
  <si>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</si>
  <si>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</si>
  <si>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</si>
  <si>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</si>
  <si>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</si>
  <si>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</si>
  <si>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</si>
  <si>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</si>
  <si>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</si>
  <si>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</si>
  <si>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</si>
  <si>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</si>
  <si>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</si>
  <si>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</si>
  <si>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Ground Floor</t>
  </si>
  <si>
    <r>
      <t>3.</t>
    </r>
    <r>
      <rPr>
        <i/>
        <sz val="10"/>
        <color theme="1"/>
        <rFont val="Calibri"/>
        <family val="2"/>
        <scheme val="minor"/>
      </rPr>
      <t xml:space="preserve"> The valuation is done by considering the depreciated replacement cost approach.</t>
    </r>
  </si>
  <si>
    <t>RV</t>
  </si>
  <si>
    <t>DV</t>
  </si>
  <si>
    <t>TOTAL FMV</t>
  </si>
  <si>
    <t>Unit</t>
  </si>
  <si>
    <t>Office Room</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</si>
  <si>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</si>
  <si>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</si>
  <si>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LAND</t>
  </si>
  <si>
    <t>BUILDING</t>
  </si>
  <si>
    <t>BUILDING VALUATION OF M/S.BENGAL POLYPET |ASHOKNAGAR, NORTH 24 PARGANAS, WEST BENGAL</t>
  </si>
  <si>
    <t>Main Shed</t>
  </si>
  <si>
    <t>Lean to shed attached to main shed</t>
  </si>
  <si>
    <t>Lean to shed attached to garrage</t>
  </si>
  <si>
    <t>Area (in sq. mtr.)</t>
  </si>
  <si>
    <t>Tin shed over steel structure</t>
  </si>
  <si>
    <t>Tin shed over RCC framed column and brick wall</t>
  </si>
  <si>
    <r>
      <t xml:space="preserve">2. </t>
    </r>
    <r>
      <rPr>
        <i/>
        <sz val="10"/>
        <color theme="1"/>
        <rFont val="Calibri"/>
        <family val="2"/>
        <scheme val="minor"/>
      </rPr>
      <t>All the structure that has been taken in the area statemnet belonging to M/s. Bengal Polypet</t>
    </r>
  </si>
  <si>
    <t>Sr. No.</t>
  </si>
  <si>
    <t>Land Area ( in decimals)</t>
  </si>
  <si>
    <t>Land Area (in Katha )</t>
  </si>
  <si>
    <t>Land Area (in sq. ft.)</t>
  </si>
  <si>
    <t>Sale deed No</t>
  </si>
  <si>
    <t>I-409/2019</t>
  </si>
  <si>
    <t>I-408/2019</t>
  </si>
  <si>
    <t>I-485/2019</t>
  </si>
  <si>
    <t>Industrial</t>
  </si>
  <si>
    <t>Residential</t>
  </si>
  <si>
    <t>P&amp;M</t>
  </si>
  <si>
    <t>Detoriation Factor</t>
  </si>
  <si>
    <t>CIRCLE RATE CALCULATION OF M/S.BENGAL POLYPET |ASHOKNAGAR, NORTH 24 PARGANAS, WEST BENGAL</t>
  </si>
  <si>
    <t>Land Type(as per ROR)</t>
  </si>
  <si>
    <t>RS Khatian No.</t>
  </si>
  <si>
    <t>Proposed Land Type</t>
  </si>
  <si>
    <t>Circle Rate</t>
  </si>
  <si>
    <t>Rate per Katha</t>
  </si>
  <si>
    <t>`</t>
  </si>
  <si>
    <t>LAND AREA STATEMENT OF M/S.BENGAL POLYPET |ASHOKNAGAR, NORTH 24 PARGANAS, WEST BENGAL</t>
  </si>
  <si>
    <t>BOUNDARY WALL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</si>
</sst>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2"/>
      <color theme="1"/>
      <name val="Calibri"/>
      <family val="2"/>
      <scheme val="minor"/>
    </font>
    <font>
      <sz val="11"/>
      <color theme="3" tint="-0.499984740745262"/>
      <name val="Calibri"/>
      <family val="2"/>
      <scheme val="minor"/>
    </font>
    <font>
      <b/>
      <sz val="11"/>
      <color theme="0"/>
      <name val="Calibri"/>
      <family val="2"/>
      <scheme val="minor"/>
    </font>
    <font>
      <b/>
      <sz val="9"/>
      <color theme="0"/>
      <name val="Calibri"/>
      <family val="2"/>
      <scheme val="minor"/>
    </font>
  </fonts>
  <fills count="8">
    <fill>
      <patternFill patternType="none"/>
    </fill>
    <fill>
      <patternFill patternType="gray125"/>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0">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2" fillId="4" borderId="0" xfId="0" applyFont="1" applyFill="1"/>
    <xf numFmtId="164" fontId="2" fillId="0" borderId="1" xfId="3" applyNumberFormat="1" applyFont="1" applyBorder="1" applyAlignment="1">
      <alignment horizontal="center" vertical="center"/>
    </xf>
    <xf numFmtId="0" fontId="2" fillId="4" borderId="0" xfId="0" applyFont="1" applyFill="1" applyAlignment="1">
      <alignment wrapText="1"/>
    </xf>
    <xf numFmtId="167" fontId="0" fillId="3" borderId="0" xfId="0" applyNumberFormat="1" applyFill="1"/>
    <xf numFmtId="167" fontId="2" fillId="3" borderId="0" xfId="0" applyNumberFormat="1" applyFont="1" applyFill="1"/>
    <xf numFmtId="166" fontId="2" fillId="3" borderId="0" xfId="1" applyNumberFormat="1" applyFont="1" applyFill="1"/>
    <xf numFmtId="0" fontId="2" fillId="0" borderId="1" xfId="0" applyFont="1" applyBorder="1" applyAlignment="1">
      <alignment horizontal="center" vertical="center"/>
    </xf>
    <xf numFmtId="166" fontId="0" fillId="0" borderId="0" xfId="1" applyNumberFormat="1" applyFont="1"/>
    <xf numFmtId="0" fontId="2" fillId="0" borderId="1" xfId="0" applyFont="1" applyBorder="1" applyAlignment="1">
      <alignment horizontal="center" vertical="center"/>
    </xf>
    <xf numFmtId="0" fontId="2" fillId="0" borderId="1" xfId="0" applyFont="1" applyBorder="1" applyAlignment="1">
      <alignment horizontal="center" vertical="center"/>
    </xf>
    <xf numFmtId="167" fontId="0" fillId="0" borderId="1" xfId="0" applyNumberFormat="1" applyBorder="1"/>
    <xf numFmtId="0" fontId="2" fillId="6" borderId="5"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xf>
    <xf numFmtId="167" fontId="0" fillId="0" borderId="1" xfId="3" applyNumberFormat="1" applyFont="1" applyBorder="1"/>
    <xf numFmtId="167" fontId="2" fillId="0" borderId="1" xfId="0" applyNumberFormat="1" applyFont="1" applyBorder="1"/>
    <xf numFmtId="167" fontId="0" fillId="0" borderId="1" xfId="0" applyNumberFormat="1" applyBorder="1" applyAlignment="1">
      <alignment horizontal="center"/>
    </xf>
    <xf numFmtId="0" fontId="8" fillId="0" borderId="1"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5" fillId="7" borderId="1" xfId="0" applyFont="1" applyFill="1" applyBorder="1" applyAlignment="1">
      <alignment horizontal="center"/>
    </xf>
    <xf numFmtId="0" fontId="0" fillId="7" borderId="1" xfId="0" applyFill="1" applyBorder="1" applyAlignment="1">
      <alignment horizont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13" fillId="0" borderId="0" xfId="0" applyFont="1" applyFill="1" applyBorder="1" applyAlignment="1"/>
    <xf numFmtId="0" fontId="14" fillId="0" borderId="0" xfId="0" applyFont="1" applyFill="1" applyBorder="1" applyAlignment="1">
      <alignment horizontal="center" vertical="center" wrapText="1"/>
    </xf>
    <xf numFmtId="0" fontId="16" fillId="7" borderId="2" xfId="0" applyFont="1" applyFill="1" applyBorder="1" applyAlignment="1"/>
    <xf numFmtId="0" fontId="16" fillId="7" borderId="3" xfId="0" applyFont="1" applyFill="1" applyBorder="1" applyAlignment="1"/>
    <xf numFmtId="0" fontId="16" fillId="7" borderId="4" xfId="0" applyFont="1" applyFill="1" applyBorder="1" applyAlignment="1"/>
    <xf numFmtId="0" fontId="2" fillId="5" borderId="5"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67" fontId="0" fillId="0" borderId="0" xfId="0" applyNumberFormat="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3"/>
  <sheetViews>
    <sheetView zoomScale="85" zoomScaleNormal="85" zoomScaleSheetLayoutView="85" workbookViewId="0">
      <selection activeCell="L19" sqref="L19"/>
    </sheetView>
  </sheetViews>
  <sheetFormatPr defaultRowHeight="15" x14ac:dyDescent="0.25"/>
  <cols>
    <col min="2" max="2" width="7.28515625" bestFit="1" customWidth="1"/>
    <col min="3" max="3" width="16.85546875" customWidth="1"/>
    <col min="4" max="4" width="19.5703125" style="16" customWidth="1"/>
    <col min="5" max="5" width="24.42578125" style="16" customWidth="1"/>
    <col min="6" max="6" width="15.85546875" style="16" customWidth="1"/>
    <col min="7" max="7" width="9.5703125" customWidth="1"/>
    <col min="8" max="8" width="7" bestFit="1" customWidth="1"/>
    <col min="9" max="9" width="14.7109375" customWidth="1"/>
    <col min="10" max="10" width="9.42578125" customWidth="1"/>
    <col min="11" max="11" width="16.85546875" customWidth="1"/>
    <col min="12" max="12" width="14.7109375" customWidth="1"/>
    <col min="13" max="13" width="7.7109375" hidden="1" customWidth="1"/>
    <col min="14" max="14" width="12.42578125" hidden="1" customWidth="1"/>
    <col min="15" max="15" width="10.85546875" bestFit="1" customWidth="1"/>
    <col min="16" max="16" width="14.42578125" customWidth="1"/>
    <col min="17" max="17" width="13.42578125" hidden="1" customWidth="1"/>
    <col min="18" max="18" width="16.140625" hidden="1" customWidth="1"/>
    <col min="19" max="19" width="10.5703125" hidden="1" customWidth="1"/>
    <col min="20" max="20" width="18.28515625" style="17" customWidth="1"/>
    <col min="21" max="21" width="17" bestFit="1" customWidth="1"/>
    <col min="22" max="23" width="14.28515625" bestFit="1" customWidth="1"/>
  </cols>
  <sheetData>
    <row r="2" spans="2:23" ht="15.75" customHeight="1" x14ac:dyDescent="0.25">
      <c r="B2" s="36" t="s">
        <v>29</v>
      </c>
      <c r="C2" s="37"/>
      <c r="D2" s="37"/>
      <c r="E2" s="37"/>
      <c r="F2" s="37"/>
      <c r="G2" s="37"/>
      <c r="H2" s="37"/>
      <c r="I2" s="37"/>
      <c r="J2" s="37"/>
      <c r="K2" s="37"/>
      <c r="L2" s="37"/>
      <c r="M2" s="37"/>
      <c r="N2" s="37"/>
      <c r="O2" s="37"/>
      <c r="P2" s="37"/>
      <c r="Q2" s="37"/>
      <c r="R2" s="37"/>
      <c r="S2" s="37"/>
      <c r="T2" s="38"/>
    </row>
    <row r="3" spans="2:23" s="14" customFormat="1" ht="60" x14ac:dyDescent="0.25">
      <c r="B3" s="57" t="s">
        <v>0</v>
      </c>
      <c r="C3" s="57" t="s">
        <v>1</v>
      </c>
      <c r="D3" s="58" t="s">
        <v>23</v>
      </c>
      <c r="E3" s="58" t="s">
        <v>4</v>
      </c>
      <c r="F3" s="58" t="s">
        <v>33</v>
      </c>
      <c r="G3" s="58" t="s">
        <v>16</v>
      </c>
      <c r="H3" s="58" t="s">
        <v>12</v>
      </c>
      <c r="I3" s="58" t="s">
        <v>2</v>
      </c>
      <c r="J3" s="58" t="s">
        <v>3</v>
      </c>
      <c r="K3" s="58" t="s">
        <v>13</v>
      </c>
      <c r="L3" s="58" t="s">
        <v>14</v>
      </c>
      <c r="M3" s="58" t="s">
        <v>5</v>
      </c>
      <c r="N3" s="58" t="s">
        <v>7</v>
      </c>
      <c r="O3" s="58" t="s">
        <v>15</v>
      </c>
      <c r="P3" s="58" t="s">
        <v>11</v>
      </c>
      <c r="Q3" s="58" t="s">
        <v>8</v>
      </c>
      <c r="R3" s="58" t="s">
        <v>9</v>
      </c>
      <c r="S3" s="58" t="s">
        <v>48</v>
      </c>
      <c r="T3" s="58" t="s">
        <v>10</v>
      </c>
    </row>
    <row r="4" spans="2:23" ht="44.25" customHeight="1" x14ac:dyDescent="0.25">
      <c r="B4" s="13">
        <v>1</v>
      </c>
      <c r="C4" s="15" t="s">
        <v>18</v>
      </c>
      <c r="D4" s="15" t="s">
        <v>30</v>
      </c>
      <c r="E4" s="15" t="s">
        <v>34</v>
      </c>
      <c r="F4" s="15">
        <f>32*8.5</f>
        <v>272</v>
      </c>
      <c r="G4" s="10">
        <f>10.76*F4</f>
        <v>2926.72</v>
      </c>
      <c r="H4" s="10">
        <f>3.28*6.5</f>
        <v>21.32</v>
      </c>
      <c r="I4" s="2">
        <v>2019</v>
      </c>
      <c r="J4" s="2">
        <v>2022</v>
      </c>
      <c r="K4" s="2">
        <f>J4-I4</f>
        <v>3</v>
      </c>
      <c r="L4" s="2">
        <v>40</v>
      </c>
      <c r="M4" s="3">
        <v>0.1</v>
      </c>
      <c r="N4" s="5">
        <f>(1-M4)/L4</f>
        <v>2.2499999999999999E-2</v>
      </c>
      <c r="O4" s="6">
        <v>800</v>
      </c>
      <c r="P4" s="6">
        <f>O4*G4</f>
        <v>2341376</v>
      </c>
      <c r="Q4" s="6">
        <f t="shared" ref="Q4:Q7" si="0">P4*N4*K4</f>
        <v>158042.88</v>
      </c>
      <c r="R4" s="6">
        <f t="shared" ref="R4:R7" si="1">MAX(P4-Q4,0)</f>
        <v>2183333.12</v>
      </c>
      <c r="S4" s="11">
        <v>0</v>
      </c>
      <c r="T4" s="6">
        <f t="shared" ref="T4:T7" si="2">IF(R4&gt;M4*P4,R4*(1-S4),P4*M4)</f>
        <v>2183333.12</v>
      </c>
      <c r="U4" s="12"/>
      <c r="V4" s="1"/>
      <c r="W4" s="1"/>
    </row>
    <row r="5" spans="2:23" ht="60.75" customHeight="1" x14ac:dyDescent="0.25">
      <c r="B5" s="13">
        <v>2</v>
      </c>
      <c r="C5" s="2" t="s">
        <v>18</v>
      </c>
      <c r="D5" s="15" t="s">
        <v>31</v>
      </c>
      <c r="E5" s="15" t="s">
        <v>34</v>
      </c>
      <c r="F5" s="15">
        <f>29*6</f>
        <v>174</v>
      </c>
      <c r="G5" s="10">
        <f t="shared" ref="G5:G7" si="3">10.76*F5</f>
        <v>1872.24</v>
      </c>
      <c r="H5" s="10">
        <f>4.8*3.28</f>
        <v>15.743999999999998</v>
      </c>
      <c r="I5" s="2">
        <v>2019</v>
      </c>
      <c r="J5" s="2">
        <v>2022</v>
      </c>
      <c r="K5" s="2">
        <f>J5-I5</f>
        <v>3</v>
      </c>
      <c r="L5" s="2">
        <v>40</v>
      </c>
      <c r="M5" s="3">
        <v>0.1</v>
      </c>
      <c r="N5" s="5">
        <f>(1-M5)/L5</f>
        <v>2.2499999999999999E-2</v>
      </c>
      <c r="O5" s="6">
        <v>600</v>
      </c>
      <c r="P5" s="6">
        <f>O5*G5</f>
        <v>1123344</v>
      </c>
      <c r="Q5" s="6">
        <f>P5*N5*K5</f>
        <v>75825.72</v>
      </c>
      <c r="R5" s="6">
        <f>MAX(P5-Q5,0)</f>
        <v>1047518.28</v>
      </c>
      <c r="S5" s="11">
        <v>0</v>
      </c>
      <c r="T5" s="6">
        <f t="shared" si="2"/>
        <v>1047518.28</v>
      </c>
      <c r="U5" s="12"/>
      <c r="V5" s="1"/>
      <c r="W5" s="1"/>
    </row>
    <row r="6" spans="2:23" ht="40.5" customHeight="1" x14ac:dyDescent="0.25">
      <c r="B6" s="13">
        <v>3</v>
      </c>
      <c r="C6" s="2" t="s">
        <v>18</v>
      </c>
      <c r="D6" s="15" t="s">
        <v>32</v>
      </c>
      <c r="E6" s="15" t="s">
        <v>34</v>
      </c>
      <c r="F6" s="15">
        <f>9.7*5.3</f>
        <v>51.41</v>
      </c>
      <c r="G6" s="10">
        <f t="shared" si="3"/>
        <v>553.1715999999999</v>
      </c>
      <c r="H6" s="10">
        <f>3.28*4</f>
        <v>13.12</v>
      </c>
      <c r="I6" s="2">
        <v>2019</v>
      </c>
      <c r="J6" s="2">
        <v>2022</v>
      </c>
      <c r="K6" s="2">
        <f t="shared" ref="K6" si="4">J6-I6</f>
        <v>3</v>
      </c>
      <c r="L6" s="2">
        <v>40</v>
      </c>
      <c r="M6" s="3">
        <v>0.1</v>
      </c>
      <c r="N6" s="5">
        <f t="shared" ref="N6" si="5">(1-M6)/L6</f>
        <v>2.2499999999999999E-2</v>
      </c>
      <c r="O6" s="6">
        <v>600</v>
      </c>
      <c r="P6" s="6">
        <f t="shared" ref="P6" si="6">O6*G6</f>
        <v>331902.95999999996</v>
      </c>
      <c r="Q6" s="6">
        <f t="shared" ref="Q6" si="7">P6*N6*K6</f>
        <v>22403.449799999999</v>
      </c>
      <c r="R6" s="6">
        <f t="shared" ref="R6" si="8">MAX(P6-Q6,0)</f>
        <v>309499.51019999996</v>
      </c>
      <c r="S6" s="11">
        <v>0</v>
      </c>
      <c r="T6" s="6">
        <f t="shared" ref="T6" si="9">IF(R6&gt;M6*P6,R6*(1-S6),P6*M6)</f>
        <v>309499.51019999996</v>
      </c>
      <c r="U6" s="12"/>
      <c r="V6" s="1"/>
      <c r="W6" s="1"/>
    </row>
    <row r="7" spans="2:23" ht="30" x14ac:dyDescent="0.25">
      <c r="B7" s="13">
        <v>4</v>
      </c>
      <c r="C7" s="2" t="s">
        <v>18</v>
      </c>
      <c r="D7" s="15" t="s">
        <v>24</v>
      </c>
      <c r="E7" s="15" t="s">
        <v>35</v>
      </c>
      <c r="F7" s="15">
        <f>6.7*8.2</f>
        <v>54.94</v>
      </c>
      <c r="G7" s="10">
        <f t="shared" si="3"/>
        <v>591.15440000000001</v>
      </c>
      <c r="H7" s="10">
        <f>3*3.28</f>
        <v>9.84</v>
      </c>
      <c r="I7" s="2">
        <v>2017</v>
      </c>
      <c r="J7" s="2">
        <v>2022</v>
      </c>
      <c r="K7" s="2">
        <f t="shared" ref="K7" si="10">J7-I7</f>
        <v>5</v>
      </c>
      <c r="L7" s="2">
        <v>60</v>
      </c>
      <c r="M7" s="3">
        <v>0.1</v>
      </c>
      <c r="N7" s="5">
        <f t="shared" ref="N7" si="11">(1-M7)/L7</f>
        <v>1.5000000000000001E-2</v>
      </c>
      <c r="O7" s="6">
        <v>950</v>
      </c>
      <c r="P7" s="6">
        <f t="shared" ref="P7" si="12">O7*G7</f>
        <v>561596.68000000005</v>
      </c>
      <c r="Q7" s="6">
        <f t="shared" si="0"/>
        <v>42119.751000000004</v>
      </c>
      <c r="R7" s="6">
        <f t="shared" si="1"/>
        <v>519476.92900000006</v>
      </c>
      <c r="S7" s="11">
        <v>0</v>
      </c>
      <c r="T7" s="6">
        <f t="shared" si="2"/>
        <v>519476.92900000006</v>
      </c>
      <c r="U7" s="12"/>
      <c r="V7" s="1"/>
      <c r="W7" s="1"/>
    </row>
    <row r="8" spans="2:23" x14ac:dyDescent="0.25">
      <c r="B8" s="39" t="s">
        <v>6</v>
      </c>
      <c r="C8" s="39"/>
      <c r="D8" s="39"/>
      <c r="E8" s="39"/>
      <c r="F8" s="24"/>
      <c r="G8" s="19">
        <f>SUM(G4:G7)</f>
        <v>5943.2860000000001</v>
      </c>
      <c r="H8" s="9"/>
      <c r="I8" s="39"/>
      <c r="J8" s="39"/>
      <c r="K8" s="39"/>
      <c r="L8" s="39"/>
      <c r="M8" s="39"/>
      <c r="N8" s="39"/>
      <c r="O8" s="39"/>
      <c r="P8" s="7">
        <f>SUM(P4:P7)</f>
        <v>4358219.6399999997</v>
      </c>
      <c r="Q8" s="7"/>
      <c r="R8" s="7">
        <f>SUM(R4:R7)</f>
        <v>4059827.8392000003</v>
      </c>
      <c r="S8" s="7"/>
      <c r="T8" s="7">
        <f>SUM((T4:T7))</f>
        <v>4059827.8392000003</v>
      </c>
      <c r="U8" s="12"/>
    </row>
    <row r="9" spans="2:23" x14ac:dyDescent="0.25">
      <c r="B9" s="41" t="s">
        <v>17</v>
      </c>
      <c r="C9" s="41"/>
      <c r="D9" s="41"/>
      <c r="E9" s="41"/>
      <c r="F9" s="41"/>
      <c r="G9" s="41"/>
      <c r="H9" s="41"/>
      <c r="I9" s="41"/>
      <c r="J9" s="41"/>
      <c r="K9" s="41"/>
      <c r="L9" s="41"/>
      <c r="M9" s="41"/>
      <c r="N9" s="41"/>
      <c r="O9" s="41"/>
      <c r="P9" s="41"/>
      <c r="Q9" s="41"/>
      <c r="R9" s="41"/>
      <c r="S9" s="41"/>
      <c r="T9" s="41"/>
      <c r="U9" s="12"/>
    </row>
    <row r="10" spans="2:23" x14ac:dyDescent="0.25">
      <c r="B10" s="40" t="s">
        <v>25</v>
      </c>
      <c r="C10" s="40"/>
      <c r="D10" s="40"/>
      <c r="E10" s="40"/>
      <c r="F10" s="40"/>
      <c r="G10" s="40"/>
      <c r="H10" s="40"/>
      <c r="I10" s="40"/>
      <c r="J10" s="40"/>
      <c r="K10" s="40"/>
      <c r="L10" s="40"/>
      <c r="M10" s="40"/>
      <c r="N10" s="40"/>
      <c r="O10" s="40"/>
      <c r="P10" s="40"/>
      <c r="Q10" s="40"/>
      <c r="R10" s="40"/>
      <c r="S10" s="40"/>
      <c r="T10" s="40"/>
      <c r="U10" s="12"/>
    </row>
    <row r="11" spans="2:23" x14ac:dyDescent="0.25">
      <c r="B11" s="40" t="s">
        <v>36</v>
      </c>
      <c r="C11" s="35"/>
      <c r="D11" s="35"/>
      <c r="E11" s="35"/>
      <c r="F11" s="35"/>
      <c r="G11" s="35"/>
      <c r="H11" s="35"/>
      <c r="I11" s="35"/>
      <c r="J11" s="35"/>
      <c r="K11" s="35"/>
      <c r="L11" s="35"/>
      <c r="M11" s="35"/>
      <c r="N11" s="35"/>
      <c r="O11" s="35"/>
      <c r="P11" s="35"/>
      <c r="Q11" s="35"/>
      <c r="R11" s="35"/>
      <c r="S11" s="35"/>
      <c r="T11" s="35"/>
      <c r="U11" s="12"/>
    </row>
    <row r="12" spans="2:23" x14ac:dyDescent="0.25">
      <c r="B12" s="35" t="s">
        <v>19</v>
      </c>
      <c r="C12" s="35"/>
      <c r="D12" s="35"/>
      <c r="E12" s="35"/>
      <c r="F12" s="35"/>
      <c r="G12" s="35"/>
      <c r="H12" s="35"/>
      <c r="I12" s="35"/>
      <c r="J12" s="35"/>
      <c r="K12" s="35"/>
      <c r="L12" s="35"/>
      <c r="M12" s="35"/>
      <c r="N12" s="35"/>
      <c r="O12" s="35"/>
      <c r="P12" s="35"/>
      <c r="Q12" s="35"/>
      <c r="R12" s="35"/>
      <c r="S12" s="35"/>
      <c r="T12" s="35"/>
      <c r="U12" s="12"/>
    </row>
    <row r="13" spans="2:23" x14ac:dyDescent="0.25">
      <c r="U13" s="12"/>
    </row>
    <row r="14" spans="2:23" x14ac:dyDescent="0.25">
      <c r="U14" s="12"/>
    </row>
    <row r="15" spans="2:23" x14ac:dyDescent="0.25">
      <c r="K15" s="18" t="s">
        <v>57</v>
      </c>
      <c r="L15" s="21">
        <v>114000</v>
      </c>
      <c r="P15">
        <v>10.7639</v>
      </c>
      <c r="U15" s="12"/>
    </row>
    <row r="16" spans="2:23" x14ac:dyDescent="0.25">
      <c r="K16" s="18" t="s">
        <v>27</v>
      </c>
      <c r="L16" s="21">
        <f>10.285*405000</f>
        <v>4165425</v>
      </c>
      <c r="U16" s="25">
        <f>L16+L17</f>
        <v>8225252.8392000003</v>
      </c>
    </row>
    <row r="17" spans="4:23" ht="15" customHeight="1" x14ac:dyDescent="0.25">
      <c r="K17" s="18" t="s">
        <v>28</v>
      </c>
      <c r="L17" s="21">
        <f>T8</f>
        <v>4059827.8392000003</v>
      </c>
      <c r="U17" s="12"/>
    </row>
    <row r="18" spans="4:23" ht="30" customHeight="1" x14ac:dyDescent="0.25">
      <c r="K18" s="18" t="s">
        <v>47</v>
      </c>
      <c r="L18" s="21">
        <v>13872792</v>
      </c>
      <c r="Q18">
        <f>6500*19694</f>
        <v>128011000</v>
      </c>
      <c r="U18" s="12"/>
    </row>
    <row r="19" spans="4:23" ht="30" x14ac:dyDescent="0.25">
      <c r="K19" s="20" t="s">
        <v>22</v>
      </c>
      <c r="L19" s="22">
        <f>SUM(L15:L18)</f>
        <v>22212044.839200001</v>
      </c>
      <c r="P19" s="59">
        <f>L15+L17</f>
        <v>4173827.8392000003</v>
      </c>
      <c r="U19" s="12"/>
    </row>
    <row r="20" spans="4:23" ht="30" x14ac:dyDescent="0.25">
      <c r="H20" s="18" t="s">
        <v>20</v>
      </c>
      <c r="I20" s="23">
        <f>0.85*L20</f>
        <v>18870000</v>
      </c>
      <c r="K20" s="20" t="s">
        <v>26</v>
      </c>
      <c r="L20" s="22">
        <v>22200000</v>
      </c>
      <c r="U20" s="12"/>
    </row>
    <row r="21" spans="4:23" x14ac:dyDescent="0.25">
      <c r="H21" s="18" t="s">
        <v>21</v>
      </c>
      <c r="I21" s="23">
        <f>0.75*L20</f>
        <v>16650000</v>
      </c>
      <c r="U21" s="12"/>
    </row>
    <row r="22" spans="4:23" x14ac:dyDescent="0.25">
      <c r="U22" s="12"/>
    </row>
    <row r="24" spans="4:23" x14ac:dyDescent="0.25">
      <c r="U24" s="8"/>
      <c r="V24" s="4"/>
      <c r="W24" s="4"/>
    </row>
    <row r="25" spans="4:23" x14ac:dyDescent="0.25">
      <c r="D25" s="16">
        <f>450000*0.9</f>
        <v>405000</v>
      </c>
    </row>
    <row r="33" ht="15" customHeight="1" x14ac:dyDescent="0.25"/>
  </sheetData>
  <mergeCells count="7">
    <mergeCell ref="B12:T12"/>
    <mergeCell ref="B2:T2"/>
    <mergeCell ref="B8:E8"/>
    <mergeCell ref="I8:O8"/>
    <mergeCell ref="B10:T10"/>
    <mergeCell ref="B11:T11"/>
    <mergeCell ref="B9:T9"/>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T29"/>
  <sheetViews>
    <sheetView zoomScale="115" zoomScaleNormal="115" workbookViewId="0">
      <selection activeCell="E15" sqref="E15"/>
    </sheetView>
  </sheetViews>
  <sheetFormatPr defaultRowHeight="15" x14ac:dyDescent="0.25"/>
  <cols>
    <col min="1" max="1" width="12.7109375" customWidth="1"/>
    <col min="2" max="2" width="6.28515625" customWidth="1"/>
    <col min="3" max="3" width="10" customWidth="1"/>
    <col min="4" max="4" width="10.28515625" customWidth="1"/>
    <col min="5" max="5" width="11" customWidth="1"/>
    <col min="6" max="6" width="11.7109375" customWidth="1"/>
    <col min="7" max="7" width="10" customWidth="1"/>
    <col min="8" max="8" width="12.42578125" customWidth="1"/>
    <col min="9" max="9" width="12.5703125" customWidth="1"/>
    <col min="10" max="10" width="0" hidden="1" customWidth="1"/>
    <col min="11" max="11" width="11.5703125" hidden="1" customWidth="1"/>
    <col min="12" max="12" width="17.28515625" hidden="1" customWidth="1"/>
  </cols>
  <sheetData>
    <row r="3" spans="2:12" x14ac:dyDescent="0.25">
      <c r="C3" s="53" t="s">
        <v>56</v>
      </c>
      <c r="D3" s="54"/>
      <c r="E3" s="54"/>
      <c r="F3" s="54"/>
      <c r="G3" s="54"/>
      <c r="H3" s="54"/>
      <c r="I3" s="54"/>
      <c r="J3" s="54"/>
      <c r="K3" s="54"/>
      <c r="L3" s="55"/>
    </row>
    <row r="4" spans="2:12" ht="45" x14ac:dyDescent="0.25">
      <c r="B4" s="51"/>
      <c r="C4" s="56" t="s">
        <v>37</v>
      </c>
      <c r="D4" s="56" t="s">
        <v>52</v>
      </c>
      <c r="E4" s="56" t="s">
        <v>50</v>
      </c>
      <c r="F4" s="56" t="s">
        <v>41</v>
      </c>
      <c r="G4" s="56" t="s">
        <v>51</v>
      </c>
      <c r="H4" s="56" t="s">
        <v>38</v>
      </c>
      <c r="I4" s="56" t="s">
        <v>39</v>
      </c>
      <c r="J4" s="29" t="s">
        <v>40</v>
      </c>
      <c r="K4" s="29" t="s">
        <v>54</v>
      </c>
      <c r="L4" s="29" t="s">
        <v>53</v>
      </c>
    </row>
    <row r="5" spans="2:12" x14ac:dyDescent="0.25">
      <c r="B5" s="52"/>
      <c r="C5" s="2">
        <v>1</v>
      </c>
      <c r="D5" s="2" t="s">
        <v>45</v>
      </c>
      <c r="E5" s="2" t="s">
        <v>45</v>
      </c>
      <c r="F5" s="2" t="s">
        <v>42</v>
      </c>
      <c r="G5" s="2">
        <v>2537</v>
      </c>
      <c r="H5" s="2">
        <v>8</v>
      </c>
      <c r="I5" s="2">
        <f>0.605*H5</f>
        <v>4.84</v>
      </c>
      <c r="J5" s="30">
        <f>720*I5</f>
        <v>3484.7999999999997</v>
      </c>
      <c r="K5" s="34">
        <f>L5/I5</f>
        <v>530128.30578512396</v>
      </c>
      <c r="L5" s="32">
        <v>2565821</v>
      </c>
    </row>
    <row r="6" spans="2:12" x14ac:dyDescent="0.25">
      <c r="B6" s="47"/>
      <c r="C6" s="2">
        <v>2</v>
      </c>
      <c r="D6" s="2" t="s">
        <v>45</v>
      </c>
      <c r="E6" s="2" t="s">
        <v>46</v>
      </c>
      <c r="F6" s="2" t="s">
        <v>43</v>
      </c>
      <c r="G6" s="2">
        <v>3775</v>
      </c>
      <c r="H6" s="2">
        <v>2</v>
      </c>
      <c r="I6" s="2">
        <f>0.605*H6</f>
        <v>1.21</v>
      </c>
      <c r="J6" s="30">
        <f t="shared" ref="J6:J7" si="0">720*I6</f>
        <v>871.19999999999993</v>
      </c>
      <c r="K6" s="34">
        <f t="shared" ref="K6:K7" si="1">L6/I6</f>
        <v>757325.61983471073</v>
      </c>
      <c r="L6" s="28">
        <v>916364</v>
      </c>
    </row>
    <row r="7" spans="2:12" x14ac:dyDescent="0.25">
      <c r="B7" s="47"/>
      <c r="C7" s="2">
        <v>3</v>
      </c>
      <c r="D7" s="2" t="s">
        <v>45</v>
      </c>
      <c r="E7" s="2" t="s">
        <v>46</v>
      </c>
      <c r="F7" s="2" t="s">
        <v>44</v>
      </c>
      <c r="G7" s="2">
        <v>3785</v>
      </c>
      <c r="H7" s="2">
        <v>7</v>
      </c>
      <c r="I7" s="2">
        <f>0.605*H7</f>
        <v>4.2349999999999994</v>
      </c>
      <c r="J7" s="30">
        <f t="shared" si="0"/>
        <v>3049.2</v>
      </c>
      <c r="K7" s="34">
        <f t="shared" si="1"/>
        <v>757325.38370720204</v>
      </c>
      <c r="L7" s="28">
        <v>3207273</v>
      </c>
    </row>
    <row r="8" spans="2:12" x14ac:dyDescent="0.25">
      <c r="B8" s="47"/>
      <c r="C8" s="42" t="s">
        <v>6</v>
      </c>
      <c r="D8" s="43"/>
      <c r="E8" s="43"/>
      <c r="F8" s="43"/>
      <c r="G8" s="44"/>
      <c r="H8" s="27">
        <f>SUM(H5:H7)</f>
        <v>17</v>
      </c>
      <c r="I8" s="27">
        <f>SUM(I5:I7)</f>
        <v>10.285</v>
      </c>
      <c r="J8" s="31">
        <f>SUM(J5:J7)</f>
        <v>7405.2</v>
      </c>
      <c r="K8" s="31"/>
      <c r="L8" s="33">
        <f>SUM(L5:L7)</f>
        <v>6689458</v>
      </c>
    </row>
    <row r="9" spans="2:12" x14ac:dyDescent="0.25">
      <c r="B9" s="48"/>
      <c r="C9" s="48"/>
      <c r="D9" s="48"/>
      <c r="E9" s="49"/>
      <c r="F9" s="49"/>
      <c r="G9" s="49"/>
      <c r="H9" s="50"/>
    </row>
    <row r="29" spans="20:20" x14ac:dyDescent="0.25"/>
  </sheetData>
  <mergeCells count="2">
    <mergeCell ref="B9:D9"/>
    <mergeCell ref="C8:G8"/>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9"/>
  <sheetViews>
    <sheetView tabSelected="1" workbookViewId="0">
      <selection activeCell="C5" sqref="C5"/>
    </sheetView>
  </sheetViews>
  <sheetFormatPr defaultRowHeight="15" x14ac:dyDescent="0.25"/>
  <cols>
    <col min="4" max="4" width="11.7109375" customWidth="1"/>
    <col min="5" max="5" width="13.85546875" customWidth="1"/>
    <col min="6" max="7" width="10.5703125" customWidth="1"/>
    <col min="8" max="8" width="13.42578125" customWidth="1"/>
    <col min="9" max="9" width="12.28515625" customWidth="1"/>
    <col min="10" max="11" width="13.140625" style="17" customWidth="1"/>
    <col min="12" max="12" width="15.85546875" customWidth="1"/>
    <col min="13" max="13" width="0.28515625" hidden="1" customWidth="1"/>
    <col min="14" max="15" width="9.140625" hidden="1" customWidth="1"/>
  </cols>
  <sheetData>
    <row r="4" spans="3:16" x14ac:dyDescent="0.25">
      <c r="C4" s="45" t="s">
        <v>49</v>
      </c>
      <c r="D4" s="46"/>
      <c r="E4" s="46"/>
      <c r="F4" s="46"/>
      <c r="G4" s="46"/>
      <c r="H4" s="46"/>
      <c r="I4" s="46"/>
      <c r="J4" s="46"/>
      <c r="K4" s="46"/>
      <c r="L4" s="46"/>
      <c r="M4" s="46"/>
      <c r="N4" s="46"/>
      <c r="O4" s="46"/>
      <c r="P4" t="s">
        <v>55</v>
      </c>
    </row>
    <row r="5" spans="3:16" ht="30" x14ac:dyDescent="0.25">
      <c r="C5" s="56" t="s">
        <v>37</v>
      </c>
      <c r="D5" s="56" t="s">
        <v>52</v>
      </c>
      <c r="E5" s="56" t="s">
        <v>50</v>
      </c>
      <c r="F5" s="56" t="s">
        <v>41</v>
      </c>
      <c r="G5" s="56" t="s">
        <v>51</v>
      </c>
      <c r="H5" s="56" t="s">
        <v>38</v>
      </c>
      <c r="I5" s="56" t="s">
        <v>39</v>
      </c>
      <c r="J5" s="56" t="s">
        <v>40</v>
      </c>
      <c r="K5" s="56" t="s">
        <v>54</v>
      </c>
      <c r="L5" s="56" t="s">
        <v>53</v>
      </c>
    </row>
    <row r="6" spans="3:16" x14ac:dyDescent="0.25">
      <c r="C6" s="2">
        <v>1</v>
      </c>
      <c r="D6" s="2" t="s">
        <v>45</v>
      </c>
      <c r="E6" s="2" t="s">
        <v>45</v>
      </c>
      <c r="F6" s="2" t="s">
        <v>42</v>
      </c>
      <c r="G6" s="2">
        <v>2537</v>
      </c>
      <c r="H6" s="2">
        <v>8</v>
      </c>
      <c r="I6" s="2">
        <f>0.605*H6</f>
        <v>4.84</v>
      </c>
      <c r="J6" s="30">
        <f>720*I6</f>
        <v>3484.7999999999997</v>
      </c>
      <c r="K6" s="34">
        <f>L6/I6</f>
        <v>530128.30578512396</v>
      </c>
      <c r="L6" s="32">
        <v>2565821</v>
      </c>
    </row>
    <row r="7" spans="3:16" x14ac:dyDescent="0.25">
      <c r="C7" s="2">
        <v>2</v>
      </c>
      <c r="D7" s="2" t="s">
        <v>45</v>
      </c>
      <c r="E7" s="2" t="s">
        <v>46</v>
      </c>
      <c r="F7" s="2" t="s">
        <v>43</v>
      </c>
      <c r="G7" s="2">
        <v>3775</v>
      </c>
      <c r="H7" s="2">
        <v>2</v>
      </c>
      <c r="I7" s="2">
        <f t="shared" ref="I7:I8" si="0">0.605*H7</f>
        <v>1.21</v>
      </c>
      <c r="J7" s="30">
        <f t="shared" ref="J7:J8" si="1">720*I7</f>
        <v>871.19999999999993</v>
      </c>
      <c r="K7" s="34">
        <f t="shared" ref="K7:K8" si="2">L7/I7</f>
        <v>757325.61983471073</v>
      </c>
      <c r="L7" s="28">
        <v>916364</v>
      </c>
    </row>
    <row r="8" spans="3:16" x14ac:dyDescent="0.25">
      <c r="C8" s="2">
        <v>3</v>
      </c>
      <c r="D8" s="2" t="s">
        <v>45</v>
      </c>
      <c r="E8" s="2" t="s">
        <v>46</v>
      </c>
      <c r="F8" s="2" t="s">
        <v>44</v>
      </c>
      <c r="G8" s="2">
        <v>3785</v>
      </c>
      <c r="H8" s="2">
        <v>7</v>
      </c>
      <c r="I8" s="2">
        <f t="shared" si="0"/>
        <v>4.2349999999999994</v>
      </c>
      <c r="J8" s="30">
        <f t="shared" si="1"/>
        <v>3049.2</v>
      </c>
      <c r="K8" s="34">
        <f t="shared" si="2"/>
        <v>757325.38370720204</v>
      </c>
      <c r="L8" s="28">
        <v>3207273</v>
      </c>
    </row>
    <row r="9" spans="3:16" x14ac:dyDescent="0.25">
      <c r="C9" s="42" t="s">
        <v>6</v>
      </c>
      <c r="D9" s="43"/>
      <c r="E9" s="43"/>
      <c r="F9" s="43"/>
      <c r="G9" s="44"/>
      <c r="H9" s="26">
        <f>SUM(H6:H8)</f>
        <v>17</v>
      </c>
      <c r="I9" s="26">
        <f>SUM(I6:I8)</f>
        <v>10.285</v>
      </c>
      <c r="J9" s="31">
        <f>SUM(J6:J8)</f>
        <v>7405.2</v>
      </c>
      <c r="K9" s="31"/>
      <c r="L9" s="33">
        <f>SUM(L6:L8)</f>
        <v>6689458</v>
      </c>
    </row>
  </sheetData>
  <mergeCells count="2">
    <mergeCell ref="C4:O4"/>
    <mergeCell ref="C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Land</vt:lpstr>
      <vt:lpstr>CIRLE RATE</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2022-07-11T10:31:04Z</dcterms:modified>
</cp:coreProperties>
</file>