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un Tomar\Arun Tomar Files for Review\VIS(2022-23)-PL176-137-257__Ms_MB_Foods, Haridwar (UK) - L &amp; B\uploads\VIS(2022-23)-PL176-137-257\"/>
    </mc:Choice>
  </mc:AlternateContent>
  <bookViews>
    <workbookView showVerticalScroll="0" xWindow="0" yWindow="0" windowWidth="24000" windowHeight="9735"/>
  </bookViews>
  <sheets>
    <sheet name="Land" sheetId="2" r:id="rId1"/>
    <sheet name="Building" sheetId="1" r:id="rId2"/>
  </sheets>
  <definedNames>
    <definedName name="_xlnm.Print_Area" localSheetId="1">Building!$B$1:$U$13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2" l="1"/>
  <c r="F31" i="2"/>
  <c r="G31" i="2"/>
  <c r="H31" i="2" s="1"/>
  <c r="F30" i="2"/>
  <c r="F29" i="2"/>
  <c r="I31" i="2" l="1"/>
  <c r="F24" i="2"/>
  <c r="F23" i="2"/>
  <c r="I20" i="2"/>
  <c r="O5" i="1"/>
  <c r="O6" i="1"/>
  <c r="O7" i="1"/>
  <c r="O8" i="1"/>
  <c r="O4" i="1"/>
  <c r="F18" i="1"/>
  <c r="F17" i="1"/>
  <c r="F16" i="1"/>
  <c r="F22" i="1"/>
  <c r="F21" i="1"/>
  <c r="G6" i="1"/>
  <c r="G5" i="1"/>
  <c r="G16" i="1"/>
  <c r="G8" i="1"/>
  <c r="F32" i="2" l="1"/>
  <c r="C41" i="2"/>
  <c r="B31" i="2" l="1"/>
  <c r="B32" i="2" s="1"/>
  <c r="I30" i="2" l="1"/>
  <c r="I29" i="2"/>
  <c r="I16" i="2"/>
  <c r="C4" i="2" l="1"/>
  <c r="D4" i="2" s="1"/>
  <c r="F22" i="2"/>
  <c r="G29" i="2"/>
  <c r="D11" i="2" l="1"/>
  <c r="D10" i="2"/>
  <c r="L8" i="1"/>
  <c r="L7" i="1"/>
  <c r="L6" i="1"/>
  <c r="L5" i="1"/>
  <c r="L4" i="1"/>
  <c r="I8" i="1" l="1"/>
  <c r="Q8" i="1" s="1"/>
  <c r="G7" i="1"/>
  <c r="I7" i="1" s="1"/>
  <c r="Q7" i="1" s="1"/>
  <c r="I6" i="1"/>
  <c r="Q6" i="1" s="1"/>
  <c r="G1" i="1"/>
  <c r="G4" i="1"/>
  <c r="B5" i="2"/>
  <c r="I4" i="1" l="1"/>
  <c r="E18" i="1"/>
  <c r="I5" i="1"/>
  <c r="Q5" i="1" s="1"/>
  <c r="R5" i="1" s="1"/>
  <c r="S5" i="1" s="1"/>
  <c r="U5" i="1" s="1"/>
  <c r="E17" i="1"/>
  <c r="F21" i="2"/>
  <c r="R7" i="1"/>
  <c r="S7" i="1" s="1"/>
  <c r="U7" i="1" s="1"/>
  <c r="R6" i="1"/>
  <c r="S6" i="1" s="1"/>
  <c r="U6" i="1" s="1"/>
  <c r="R8" i="1"/>
  <c r="S8" i="1" s="1"/>
  <c r="U8" i="1" s="1"/>
  <c r="I17" i="2" l="1"/>
  <c r="I18" i="2" s="1"/>
  <c r="P19" i="1"/>
  <c r="P20" i="1" s="1"/>
  <c r="B8" i="2" l="1"/>
  <c r="O15" i="1"/>
  <c r="Q4" i="1" l="1"/>
  <c r="I9" i="1"/>
  <c r="F19" i="2" s="1"/>
  <c r="F20" i="2" s="1"/>
  <c r="P15" i="1"/>
  <c r="Q15" i="1" s="1"/>
  <c r="R4" i="1" l="1"/>
  <c r="S4" i="1" s="1"/>
  <c r="U4" i="1" s="1"/>
  <c r="G9" i="1" l="1"/>
  <c r="Q9" i="1" l="1"/>
  <c r="S9" i="1" l="1"/>
  <c r="U9" i="1" l="1"/>
  <c r="C8" i="2" s="1"/>
  <c r="D8" i="2" l="1"/>
  <c r="H30" i="2"/>
  <c r="G32" i="2" s="1"/>
  <c r="H29" i="2"/>
  <c r="H32" i="2" l="1"/>
  <c r="I32" i="2"/>
  <c r="G33" i="2"/>
</calcChain>
</file>

<file path=xl/comments1.xml><?xml version="1.0" encoding="utf-8"?>
<comments xmlns="http://schemas.openxmlformats.org/spreadsheetml/2006/main">
  <authors>
    <author>admin</author>
  </authors>
  <commentList>
    <comment ref="Q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<sst xmlns="http://schemas.openxmlformats.org/spreadsheetml/2006/main" count="113" uniqueCount="106">
  <si>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</si>
  <si>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</si>
  <si>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</si>
  <si>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</si>
  <si>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</si>
  <si>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</si>
  <si>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</si>
  <si>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</si>
  <si>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</si>
  <si>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</si>
  <si>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</si>
  <si>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</si>
  <si>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</si>
  <si>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</si>
  <si>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</si>
  <si>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</si>
  <si>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t>Remarks:</t>
  </si>
  <si>
    <t>Ground Floor</t>
  </si>
  <si>
    <r>
      <t>3.</t>
    </r>
    <r>
      <rPr>
        <i/>
        <sz val="10"/>
        <color theme="1"/>
        <rFont val="Calibri"/>
        <family val="2"/>
        <scheme val="minor"/>
      </rPr>
      <t xml:space="preserve"> The valuation is done by considering the depreciated replacement cost approach.</t>
    </r>
  </si>
  <si>
    <t>Unit</t>
  </si>
  <si>
    <t>BUILDING VALUATION OF M/S.SHRI RAM TRADING COMPANY|HARIDWAR,UTTARKHAND</t>
  </si>
  <si>
    <t>First Floor</t>
  </si>
  <si>
    <t>Area Considered for valuation
(in sq.ft)</t>
  </si>
  <si>
    <t>Area in sqm</t>
  </si>
  <si>
    <t>Conversion to sqft</t>
  </si>
  <si>
    <t>in sqft</t>
  </si>
  <si>
    <t>Total Permisiable FAR</t>
  </si>
  <si>
    <r>
      <t xml:space="preserve">Plinth Area  Average Rate 
</t>
    </r>
    <r>
      <rPr>
        <b/>
        <i/>
        <sz val="10"/>
        <rFont val="Calibri"/>
        <family val="2"/>
        <scheme val="minor"/>
      </rPr>
      <t>(in per sq.ft)</t>
    </r>
  </si>
  <si>
    <t>LAND VALUATION</t>
  </si>
  <si>
    <t>Area in
(Sqm)</t>
  </si>
  <si>
    <t>Value</t>
  </si>
  <si>
    <t>LAND + BUILDING</t>
  </si>
  <si>
    <t xml:space="preserve">Land </t>
  </si>
  <si>
    <t>Building</t>
  </si>
  <si>
    <t>Total</t>
  </si>
  <si>
    <t>FMV</t>
  </si>
  <si>
    <t>per sqm for land</t>
  </si>
  <si>
    <t>per sqm for building</t>
  </si>
  <si>
    <t>Building Area in Sqm</t>
  </si>
  <si>
    <t>Building Area in Sqft</t>
  </si>
  <si>
    <t>Remaining Permissiable FAR</t>
  </si>
  <si>
    <t>RV @ 15% Less</t>
  </si>
  <si>
    <t>DV @ 25% Less</t>
  </si>
  <si>
    <t>Land Circle Rate</t>
  </si>
  <si>
    <t>Building Circle Rate</t>
  </si>
  <si>
    <t>Land Circle Value</t>
  </si>
  <si>
    <t>Building Circle Value</t>
  </si>
  <si>
    <r>
      <rPr>
        <b/>
        <sz val="14"/>
        <color theme="1"/>
        <rFont val="Arial"/>
        <family val="2"/>
      </rPr>
      <t>% difference</t>
    </r>
    <r>
      <rPr>
        <b/>
        <sz val="11"/>
        <color theme="1"/>
        <rFont val="Arial"/>
        <family val="2"/>
      </rPr>
      <t xml:space="preserve"> </t>
    </r>
    <r>
      <rPr>
        <sz val="11"/>
        <color theme="1"/>
        <rFont val="Arial"/>
        <family val="2"/>
      </rPr>
      <t>between Circle Rate and Fair Market Value</t>
    </r>
  </si>
  <si>
    <t>Permissiable Covered area</t>
  </si>
  <si>
    <t>Sqm</t>
  </si>
  <si>
    <t>Sqft</t>
  </si>
  <si>
    <t>Referrence Image attached above</t>
  </si>
  <si>
    <r>
      <t xml:space="preserve">2. </t>
    </r>
    <r>
      <rPr>
        <i/>
        <sz val="10"/>
        <color theme="1"/>
        <rFont val="Calibri"/>
        <family val="2"/>
        <scheme val="minor"/>
      </rPr>
      <t>All the structure that has been taken in the area statemnet belonging to M/s. MB Foods.</t>
    </r>
  </si>
  <si>
    <t>total value</t>
  </si>
  <si>
    <t>rate / sqm</t>
  </si>
  <si>
    <t>Factory Building</t>
  </si>
  <si>
    <t>Sno.</t>
  </si>
  <si>
    <t>Block no.</t>
  </si>
  <si>
    <t>A</t>
  </si>
  <si>
    <t>B</t>
  </si>
  <si>
    <t>Office Building</t>
  </si>
  <si>
    <t>C</t>
  </si>
  <si>
    <t>D</t>
  </si>
  <si>
    <t>Guard Room</t>
  </si>
  <si>
    <t>Boiler Room</t>
  </si>
  <si>
    <r>
      <t xml:space="preserve">1. </t>
    </r>
    <r>
      <rPr>
        <b/>
        <i/>
        <sz val="10"/>
        <color theme="1"/>
        <rFont val="Calibri"/>
        <family val="2"/>
        <scheme val="minor"/>
      </rPr>
      <t>All the details pertaing to the building area statement such as area, floor, etc has been taken from approved building area statement has been provided to us by the bank or client and sample measurement taken during site survey.</t>
    </r>
  </si>
  <si>
    <t xml:space="preserve">G.I. Shed Area on Load Bearing wall and structure made of iron with PCC &amp; tile flooring </t>
  </si>
  <si>
    <t>RCC slab on RCC beam and column &amp; flooring of vetrified tiles</t>
  </si>
  <si>
    <t>RCC slab on RCC beam and column &amp; PCC flooring</t>
  </si>
  <si>
    <r>
      <t xml:space="preserve">PL-176
</t>
    </r>
    <r>
      <rPr>
        <b/>
        <sz val="12"/>
        <color theme="1"/>
        <rFont val="Calibri"/>
        <family val="2"/>
        <scheme val="minor"/>
      </rPr>
      <t>(M/s MB Foods)</t>
    </r>
  </si>
  <si>
    <t>Rates
(Per Sqm)</t>
  </si>
  <si>
    <t>Building Area in Sqm
(RCC Structiure only)</t>
  </si>
  <si>
    <t>RCC</t>
  </si>
  <si>
    <t>Shed Area</t>
  </si>
  <si>
    <t>sqm</t>
  </si>
  <si>
    <t>Hectare</t>
  </si>
  <si>
    <t>Bigha</t>
  </si>
  <si>
    <t>SITE PLAN AREA CONVERSION</t>
  </si>
  <si>
    <t>adopted rate -&gt;</t>
  </si>
  <si>
    <t>Building Area in Sqm
(Shed Structiure only)</t>
  </si>
  <si>
    <t>Subject Proeprty
22.513 Bigha</t>
  </si>
  <si>
    <t>sq yards</t>
  </si>
  <si>
    <t>sqyards</t>
  </si>
  <si>
    <t>1 bigha in subject prop. Region</t>
  </si>
  <si>
    <t>12,000 for RCC &amp; 11,000 for Shed Area</t>
  </si>
  <si>
    <t>Rate per Bigha</t>
  </si>
  <si>
    <t>OWNER IS OVER CHARGING</t>
  </si>
  <si>
    <t>Industrial Land</t>
  </si>
  <si>
    <t>Industrial Lnad</t>
  </si>
  <si>
    <t>Agricultureal Land</t>
  </si>
  <si>
    <r>
      <t xml:space="preserve">Rate is considered as of </t>
    </r>
    <r>
      <rPr>
        <b/>
        <sz val="11"/>
        <color theme="1"/>
        <rFont val="Calibri"/>
        <family val="2"/>
        <scheme val="minor"/>
      </rPr>
      <t>Deal Closing Rate</t>
    </r>
    <r>
      <rPr>
        <sz val="11"/>
        <color theme="1"/>
        <rFont val="Calibri"/>
        <family val="2"/>
        <scheme val="minor"/>
      </rPr>
      <t xml:space="preserve"> basis</t>
    </r>
  </si>
  <si>
    <t>&lt;- Considered for valuation (approx value)</t>
  </si>
  <si>
    <t>20-22</t>
  </si>
  <si>
    <t>1 BIGHA = 20 BISWA</t>
  </si>
  <si>
    <t>Inhabitant Comp 2
20 Bigha @ 17LAKHS FOR ALL</t>
  </si>
  <si>
    <t xml:space="preserve">1 Bigha </t>
  </si>
  <si>
    <t>Biswa</t>
  </si>
  <si>
    <t>ON SITE</t>
  </si>
  <si>
    <t xml:space="preserve">20 Bigha = </t>
  </si>
  <si>
    <t>SHALL BE CONSIDERED FOR VALUATION</t>
  </si>
  <si>
    <t>Sq. Yards</t>
  </si>
  <si>
    <t xml:space="preserve">Inhabitant Comp 2
12 Bigha @
12 - 16 Lakhs / Bighas </t>
  </si>
  <si>
    <t>Dealer Comp 1
16 Bigha @ 11Lkah / Bigha</t>
  </si>
  <si>
    <t>Comp 1</t>
  </si>
  <si>
    <t>Comp 2</t>
  </si>
  <si>
    <t>Comp3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</si>
</sst>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0.0"/>
    <numFmt numFmtId="167" formatCode="_ * #,##0.000_ ;_ * \-#,##0.000_ ;_ * &quot;-&quot;??_ ;_ @_ "/>
    <numFmt numFmtId="168" formatCode="0.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b/>
      <sz val="14"/>
      <color theme="1"/>
      <name val="Arial"/>
      <family val="2"/>
    </font>
    <font>
      <sz val="16"/>
      <color theme="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8"/>
      <color theme="1"/>
      <name val="Calibri"/>
      <family val="2"/>
      <scheme val="minor"/>
    </font>
    <font>
      <u/>
      <sz val="11"/>
      <color theme="10"/>
      <name val="Calibri"/>
      <family val="2"/>
      <scheme val="minor"/>
    </font>
    <font>
      <sz val="11"/>
      <color rgb="FF0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
      <patternFill patternType="solid">
        <fgColor rgb="FF92D05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rgb="FFFF0000"/>
      </top>
      <bottom/>
      <diagonal/>
    </border>
    <border>
      <left style="thin">
        <color rgb="FFFF0000"/>
      </left>
      <right/>
      <top/>
      <bottom/>
      <diagonal/>
    </border>
    <border>
      <left style="thin">
        <color rgb="FFFF0000"/>
      </left>
      <right style="thin">
        <color rgb="FFFF0000"/>
      </right>
      <top style="thin">
        <color rgb="FFFF0000"/>
      </top>
      <bottom style="thin">
        <color indexed="64"/>
      </bottom>
      <diagonal/>
    </border>
    <border>
      <left style="thin">
        <color rgb="FFFF0000"/>
      </left>
      <right style="thin">
        <color rgb="FFFF0000"/>
      </right>
      <top style="thin">
        <color indexed="64"/>
      </top>
      <bottom style="thin">
        <color rgb="FFFF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6">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cellStyleXfs>
  <cellXfs count="130">
    <xf numFmtId="0" fontId="0" fillId="0" borderId="0" xfId="0"/>
    <xf numFmtId="164" fontId="0" fillId="0" borderId="0" xfId="0" applyNumberFormat="1"/>
    <xf numFmtId="44" fontId="0" fillId="0" borderId="0" xfId="0" applyNumberFormat="1"/>
    <xf numFmtId="165" fontId="2" fillId="0" borderId="1" xfId="1" applyNumberFormat="1" applyFont="1" applyBorder="1" applyAlignment="1">
      <alignment horizontal="center" vertical="center"/>
    </xf>
    <xf numFmtId="165" fontId="0" fillId="0" borderId="0" xfId="0" applyNumberFormat="1"/>
    <xf numFmtId="0" fontId="2" fillId="0" borderId="1" xfId="0"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2" fontId="0" fillId="0" borderId="1" xfId="0" applyNumberFormat="1" applyBorder="1" applyAlignment="1">
      <alignment horizontal="center" vertical="center"/>
    </xf>
    <xf numFmtId="2" fontId="0" fillId="0" borderId="1" xfId="0" applyNumberFormat="1" applyBorder="1"/>
    <xf numFmtId="0" fontId="0" fillId="0" borderId="0" xfId="0"/>
    <xf numFmtId="0" fontId="0" fillId="0" borderId="1" xfId="0" applyBorder="1" applyAlignment="1">
      <alignment horizontal="center" vertical="center"/>
    </xf>
    <xf numFmtId="164" fontId="14" fillId="0" borderId="1" xfId="4" applyNumberFormat="1" applyFont="1" applyBorder="1" applyAlignment="1">
      <alignment horizontal="center" vertical="center"/>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7" fillId="0" borderId="7" xfId="0" applyFont="1" applyBorder="1" applyAlignment="1">
      <alignment horizontal="center" vertical="center" wrapText="1"/>
    </xf>
    <xf numFmtId="0" fontId="0" fillId="0" borderId="0" xfId="0" applyAlignment="1">
      <alignment horizontal="right" vertical="center"/>
    </xf>
    <xf numFmtId="164" fontId="14" fillId="0" borderId="0" xfId="4" applyNumberFormat="1" applyFont="1" applyBorder="1" applyAlignment="1">
      <alignment horizontal="center" vertical="center"/>
    </xf>
    <xf numFmtId="43" fontId="0" fillId="0" borderId="0" xfId="0" applyNumberFormat="1"/>
    <xf numFmtId="9" fontId="0" fillId="0" borderId="5" xfId="0" applyNumberFormat="1" applyBorder="1" applyAlignment="1">
      <alignment horizontal="center" vertical="center"/>
    </xf>
    <xf numFmtId="44" fontId="0" fillId="0" borderId="5" xfId="1" applyNumberFormat="1" applyFont="1" applyBorder="1" applyAlignment="1">
      <alignment horizontal="center" vertical="center"/>
    </xf>
    <xf numFmtId="165" fontId="0" fillId="0" borderId="5" xfId="1" applyNumberFormat="1" applyFont="1" applyBorder="1" applyAlignment="1">
      <alignment horizontal="center" vertical="center"/>
    </xf>
    <xf numFmtId="9" fontId="0" fillId="0" borderId="1" xfId="0" applyNumberFormat="1" applyBorder="1" applyAlignment="1">
      <alignment vertical="center"/>
    </xf>
    <xf numFmtId="1"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vertical="center"/>
    </xf>
    <xf numFmtId="2" fontId="0" fillId="0" borderId="5" xfId="0" applyNumberFormat="1" applyBorder="1" applyAlignment="1">
      <alignment horizontal="center" vertical="center"/>
    </xf>
    <xf numFmtId="43" fontId="2" fillId="0" borderId="1" xfId="2" applyNumberFormat="1" applyFont="1" applyBorder="1" applyAlignment="1">
      <alignment horizontal="center" vertical="center"/>
    </xf>
    <xf numFmtId="0" fontId="0" fillId="0" borderId="1" xfId="0" applyBorder="1" applyAlignment="1">
      <alignment horizontal="center" vertical="center" wrapText="1"/>
    </xf>
    <xf numFmtId="43"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164" fontId="14" fillId="0" borderId="1" xfId="2" applyNumberFormat="1" applyFont="1" applyBorder="1" applyAlignment="1">
      <alignment horizontal="center" vertical="center"/>
    </xf>
    <xf numFmtId="164" fontId="14" fillId="0" borderId="1" xfId="4" applyNumberFormat="1" applyFont="1" applyFill="1" applyBorder="1" applyAlignment="1">
      <alignment horizontal="right" vertical="center"/>
    </xf>
    <xf numFmtId="0" fontId="14" fillId="0" borderId="3" xfId="0" applyFont="1" applyFill="1" applyBorder="1" applyAlignment="1">
      <alignment horizontal="center" vertical="center"/>
    </xf>
    <xf numFmtId="43" fontId="0" fillId="0" borderId="5" xfId="2" applyNumberFormat="1" applyFont="1" applyBorder="1" applyAlignment="1">
      <alignment horizontal="center" vertical="center" wrapText="1"/>
    </xf>
    <xf numFmtId="0" fontId="0" fillId="0" borderId="0" xfId="0"/>
    <xf numFmtId="0" fontId="7" fillId="0" borderId="0" xfId="0" applyFont="1"/>
    <xf numFmtId="0" fontId="14" fillId="0" borderId="1" xfId="0" applyFont="1" applyBorder="1" applyAlignment="1">
      <alignment horizontal="center" vertical="center"/>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0" fillId="0" borderId="1" xfId="0" applyBorder="1" applyAlignment="1">
      <alignment horizontal="center" vertical="center" wrapText="1"/>
    </xf>
    <xf numFmtId="0" fontId="19" fillId="0" borderId="0" xfId="0" applyFont="1" applyBorder="1" applyAlignment="1">
      <alignment horizontal="center" vertical="center"/>
    </xf>
    <xf numFmtId="0" fontId="22" fillId="0" borderId="1" xfId="0" applyFont="1" applyFill="1" applyBorder="1" applyAlignment="1">
      <alignment horizontal="right" vertical="center" wrapText="1"/>
    </xf>
    <xf numFmtId="164" fontId="21" fillId="0" borderId="4" xfId="4" applyNumberFormat="1" applyFont="1" applyFill="1" applyBorder="1" applyAlignment="1">
      <alignment horizontal="center" vertical="center"/>
    </xf>
    <xf numFmtId="10" fontId="17" fillId="0" borderId="1" xfId="0" applyNumberFormat="1" applyFont="1" applyFill="1" applyBorder="1" applyAlignment="1">
      <alignment horizontal="center" vertical="center" wrapText="1"/>
    </xf>
    <xf numFmtId="0" fontId="0" fillId="0" borderId="9" xfId="0" applyBorder="1"/>
    <xf numFmtId="0" fontId="0" fillId="0" borderId="10" xfId="0" applyBorder="1"/>
    <xf numFmtId="0" fontId="13" fillId="4" borderId="1" xfId="0" applyFont="1" applyFill="1" applyBorder="1" applyAlignment="1">
      <alignment horizontal="center" vertical="center"/>
    </xf>
    <xf numFmtId="0" fontId="2" fillId="0" borderId="1" xfId="0" applyFont="1" applyBorder="1" applyAlignment="1">
      <alignment horizontal="center" vertical="center"/>
    </xf>
    <xf numFmtId="164" fontId="0" fillId="0" borderId="0" xfId="2" applyNumberFormat="1" applyFont="1" applyAlignment="1">
      <alignment vertical="center"/>
    </xf>
    <xf numFmtId="164" fontId="0" fillId="0" borderId="0" xfId="0" applyNumberFormat="1" applyAlignment="1">
      <alignment vertical="center"/>
    </xf>
    <xf numFmtId="43" fontId="0" fillId="0" borderId="0" xfId="0" applyNumberFormat="1" applyAlignment="1">
      <alignment wrapText="1"/>
    </xf>
    <xf numFmtId="164" fontId="0" fillId="0" borderId="1" xfId="2" applyNumberFormat="1" applyFont="1" applyBorder="1" applyAlignment="1">
      <alignment vertical="center"/>
    </xf>
    <xf numFmtId="167" fontId="0" fillId="0" borderId="1" xfId="2" applyNumberFormat="1" applyFont="1" applyBorder="1" applyAlignment="1">
      <alignment vertical="center"/>
    </xf>
    <xf numFmtId="168" fontId="0" fillId="0" borderId="1" xfId="0" applyNumberFormat="1" applyBorder="1" applyAlignment="1">
      <alignment vertical="center"/>
    </xf>
    <xf numFmtId="166" fontId="0" fillId="0" borderId="0" xfId="0" applyNumberFormat="1"/>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43" fontId="0" fillId="0" borderId="1" xfId="2" applyNumberFormat="1" applyFont="1" applyFill="1" applyBorder="1" applyAlignment="1">
      <alignment horizontal="center" vertical="center"/>
    </xf>
    <xf numFmtId="43" fontId="0" fillId="0" borderId="5" xfId="2" applyNumberFormat="1" applyFont="1" applyFill="1" applyBorder="1" applyAlignment="1">
      <alignment horizontal="center" vertical="center"/>
    </xf>
    <xf numFmtId="43" fontId="0" fillId="0" borderId="14" xfId="2" applyNumberFormat="1" applyFont="1" applyFill="1" applyBorder="1" applyAlignment="1">
      <alignment horizontal="center" vertical="center"/>
    </xf>
    <xf numFmtId="43" fontId="0" fillId="0" borderId="16" xfId="2" applyNumberFormat="1" applyFont="1" applyFill="1" applyBorder="1" applyAlignment="1">
      <alignment horizontal="center" vertical="center"/>
    </xf>
    <xf numFmtId="0" fontId="0" fillId="0" borderId="0" xfId="0" applyAlignment="1">
      <alignment horizontal="left" vertical="center"/>
    </xf>
    <xf numFmtId="164" fontId="14"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168" fontId="0" fillId="0" borderId="0" xfId="0" applyNumberFormat="1"/>
    <xf numFmtId="0" fontId="2" fillId="6" borderId="1" xfId="0" applyFont="1" applyFill="1" applyBorder="1" applyAlignment="1">
      <alignment horizontal="center" vertical="center" wrapText="1"/>
    </xf>
    <xf numFmtId="43" fontId="0" fillId="6" borderId="1" xfId="0" applyNumberFormat="1" applyFill="1" applyBorder="1" applyAlignment="1">
      <alignment horizontal="center" vertical="center"/>
    </xf>
    <xf numFmtId="164" fontId="0" fillId="6" borderId="1" xfId="0" applyNumberFormat="1" applyFill="1" applyBorder="1" applyAlignment="1">
      <alignment horizontal="center" vertical="center"/>
    </xf>
    <xf numFmtId="43" fontId="0" fillId="6" borderId="1" xfId="0" applyNumberFormat="1" applyFill="1" applyBorder="1" applyAlignment="1">
      <alignment vertical="center"/>
    </xf>
    <xf numFmtId="0" fontId="2" fillId="6" borderId="1" xfId="0" applyFont="1" applyFill="1" applyBorder="1" applyAlignment="1">
      <alignment horizontal="right" vertical="center"/>
    </xf>
    <xf numFmtId="0" fontId="0" fillId="0" borderId="1" xfId="0" applyBorder="1" applyAlignment="1">
      <alignment horizontal="center"/>
    </xf>
    <xf numFmtId="164" fontId="14" fillId="0" borderId="4" xfId="4" applyNumberFormat="1" applyFont="1" applyFill="1" applyBorder="1" applyAlignment="1">
      <alignment horizontal="center" vertical="center"/>
    </xf>
    <xf numFmtId="164" fontId="14" fillId="0" borderId="4" xfId="4" applyNumberFormat="1" applyFont="1" applyFill="1" applyBorder="1" applyAlignment="1">
      <alignment horizontal="center" vertical="center" wrapText="1"/>
    </xf>
    <xf numFmtId="0" fontId="2" fillId="0" borderId="0" xfId="0" applyFont="1" applyAlignment="1">
      <alignment horizontal="center" vertical="center"/>
    </xf>
    <xf numFmtId="164" fontId="23" fillId="6" borderId="1" xfId="2" applyNumberFormat="1" applyFont="1" applyFill="1" applyBorder="1" applyAlignment="1">
      <alignment horizontal="right" vertical="center" wrapText="1"/>
    </xf>
    <xf numFmtId="0" fontId="0" fillId="0" borderId="0" xfId="0" applyAlignment="1">
      <alignment horizontal="center" vertical="center" wrapText="1"/>
    </xf>
    <xf numFmtId="164" fontId="0" fillId="6" borderId="1" xfId="2" applyNumberFormat="1" applyFont="1" applyFill="1" applyBorder="1" applyAlignment="1">
      <alignment horizontal="center" vertical="center" wrapText="1"/>
    </xf>
    <xf numFmtId="0" fontId="24" fillId="0" borderId="1" xfId="15" applyFont="1" applyBorder="1" applyAlignment="1">
      <alignment horizontal="center" vertical="center" wrapText="1"/>
    </xf>
    <xf numFmtId="2" fontId="25"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xf>
    <xf numFmtId="164" fontId="0" fillId="0" borderId="1" xfId="0" applyNumberFormat="1" applyBorder="1" applyAlignment="1"/>
    <xf numFmtId="164" fontId="15" fillId="0" borderId="1" xfId="0" applyNumberFormat="1" applyFont="1" applyBorder="1"/>
    <xf numFmtId="164" fontId="15" fillId="0" borderId="1" xfId="4" applyNumberFormat="1" applyFont="1" applyBorder="1" applyAlignment="1">
      <alignment horizontal="center" vertical="center"/>
    </xf>
    <xf numFmtId="164" fontId="15" fillId="0" borderId="1" xfId="4" applyNumberFormat="1" applyFont="1" applyBorder="1" applyAlignment="1">
      <alignment horizontal="center"/>
    </xf>
    <xf numFmtId="2" fontId="0" fillId="0" borderId="0" xfId="0" applyNumberFormat="1" applyAlignment="1">
      <alignment wrapText="1"/>
    </xf>
    <xf numFmtId="164" fontId="0" fillId="0" borderId="0" xfId="0" applyNumberFormat="1" applyAlignment="1">
      <alignment wrapText="1"/>
    </xf>
    <xf numFmtId="0" fontId="13" fillId="4" borderId="1"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1" fontId="0" fillId="0" borderId="5" xfId="0" applyNumberFormat="1" applyBorder="1" applyAlignment="1">
      <alignment horizontal="center" vertical="center"/>
    </xf>
    <xf numFmtId="1" fontId="0" fillId="0" borderId="8" xfId="0" applyNumberFormat="1" applyBorder="1" applyAlignment="1">
      <alignment horizontal="center" vertical="center"/>
    </xf>
    <xf numFmtId="1" fontId="0" fillId="0" borderId="6" xfId="0" applyNumberFormat="1" applyBorder="1" applyAlignment="1">
      <alignment horizontal="center" vertical="center"/>
    </xf>
    <xf numFmtId="0" fontId="0" fillId="0" borderId="0" xfId="0" applyFont="1" applyAlignment="1">
      <alignment horizontal="center" vertical="center"/>
    </xf>
  </cellXfs>
  <cellStyles count="16">
    <cellStyle name="Comma" xfId="2" builtinId="3"/>
    <cellStyle name="Comma 2" xfId="4"/>
    <cellStyle name="Comma 2 2" xfId="10"/>
    <cellStyle name="Comma 3" xfId="8"/>
    <cellStyle name="Comma 4" xfId="12"/>
    <cellStyle name="Comma 5" xfId="14"/>
    <cellStyle name="Comma 6" xfId="6"/>
    <cellStyle name="Currency" xfId="1" builtinId="4"/>
    <cellStyle name="Currency 2" xfId="3"/>
    <cellStyle name="Currency 2 2" xfId="9"/>
    <cellStyle name="Currency 3" xfId="7"/>
    <cellStyle name="Currency 4" xfId="11"/>
    <cellStyle name="Currency 5" xfId="13"/>
    <cellStyle name="Currency 6" xfId="5"/>
    <cellStyle name="Hyperlink" xfId="15" builtinId="8"/>
    <cellStyle name="Normal" xfId="0" builtinId="0"/>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Q42"/>
  <sheetViews>
    <sheetView tabSelected="1" topLeftCell="G13" zoomScale="85" zoomScaleNormal="85" workbookViewId="0">
      <selection activeCell="K30" sqref="K30"/>
    </sheetView>
  </sheetViews>
  <sheetFormatPr defaultRowHeight="15" x14ac:dyDescent="0.25"/>
  <cols>
    <col min="1" max="1" width="17.28515625" bestFit="1" customWidth="1"/>
    <col min="2" max="2" width="18.140625" bestFit="1" customWidth="1"/>
    <col min="3" max="3" width="20.42578125" style="13" customWidth="1"/>
    <col min="4" max="4" width="17.7109375" bestFit="1" customWidth="1"/>
    <col min="5" max="5" width="27.140625" bestFit="1" customWidth="1"/>
    <col min="6" max="6" width="17" bestFit="1" customWidth="1"/>
    <col min="7" max="7" width="25.28515625" customWidth="1"/>
    <col min="8" max="8" width="45.85546875" bestFit="1" customWidth="1"/>
    <col min="9" max="9" width="27.7109375" bestFit="1" customWidth="1"/>
    <col min="10" max="10" width="26.42578125" bestFit="1" customWidth="1"/>
    <col min="11" max="11" width="31.42578125" bestFit="1" customWidth="1"/>
    <col min="12" max="12" width="11.7109375" bestFit="1" customWidth="1"/>
  </cols>
  <sheetData>
    <row r="2" spans="2:14" ht="21" x14ac:dyDescent="0.25">
      <c r="B2" s="98" t="s">
        <v>28</v>
      </c>
      <c r="C2" s="98"/>
      <c r="D2" s="98"/>
      <c r="E2" s="16"/>
      <c r="F2" s="16"/>
      <c r="G2" s="16"/>
      <c r="H2" s="16"/>
      <c r="I2" s="16"/>
      <c r="J2" s="16"/>
      <c r="K2" s="16"/>
      <c r="L2" s="16"/>
      <c r="M2" s="16"/>
      <c r="N2" s="16"/>
    </row>
    <row r="3" spans="2:14" ht="42" x14ac:dyDescent="0.25">
      <c r="B3" s="19" t="s">
        <v>29</v>
      </c>
      <c r="C3" s="45" t="s">
        <v>70</v>
      </c>
      <c r="D3" s="20" t="s">
        <v>30</v>
      </c>
      <c r="E3" s="16"/>
      <c r="F3" s="37"/>
      <c r="G3" s="16"/>
      <c r="H3" s="16"/>
      <c r="I3" s="16"/>
      <c r="J3" s="16"/>
      <c r="K3" s="16"/>
      <c r="L3" s="16"/>
      <c r="M3" s="16"/>
      <c r="N3" s="16"/>
    </row>
    <row r="4" spans="2:14" ht="21" x14ac:dyDescent="0.25">
      <c r="B4" s="38">
        <v>15360</v>
      </c>
      <c r="C4" s="71">
        <f>H33</f>
        <v>1500</v>
      </c>
      <c r="D4" s="18">
        <f>B4*C4</f>
        <v>23040000</v>
      </c>
      <c r="E4" s="16"/>
      <c r="F4" s="16"/>
      <c r="G4" s="16"/>
      <c r="H4" s="16"/>
      <c r="I4" s="16"/>
      <c r="J4" s="16"/>
      <c r="K4" s="16"/>
      <c r="L4" s="16"/>
      <c r="M4" s="16"/>
      <c r="N4" s="16"/>
    </row>
    <row r="5" spans="2:14" s="16" customFormat="1" ht="21" x14ac:dyDescent="0.25">
      <c r="B5" s="48">
        <f>B4/3000</f>
        <v>5.12</v>
      </c>
      <c r="C5" s="23"/>
      <c r="D5" s="23"/>
      <c r="F5" s="37"/>
    </row>
    <row r="6" spans="2:14" s="16" customFormat="1" ht="21" x14ac:dyDescent="0.25">
      <c r="B6" s="103" t="s">
        <v>31</v>
      </c>
      <c r="C6" s="104"/>
      <c r="D6" s="105"/>
      <c r="F6" s="42"/>
    </row>
    <row r="7" spans="2:14" s="16" customFormat="1" ht="21" x14ac:dyDescent="0.25">
      <c r="B7" s="45" t="s">
        <v>32</v>
      </c>
      <c r="C7" s="54" t="s">
        <v>33</v>
      </c>
      <c r="D7" s="46" t="s">
        <v>34</v>
      </c>
    </row>
    <row r="8" spans="2:14" s="16" customFormat="1" ht="21" x14ac:dyDescent="0.35">
      <c r="B8" s="93">
        <f>D4</f>
        <v>23040000</v>
      </c>
      <c r="C8" s="95">
        <f>Building!U9</f>
        <v>45311773.805999994</v>
      </c>
      <c r="D8" s="93">
        <f>B8+C8</f>
        <v>68351773.805999994</v>
      </c>
    </row>
    <row r="9" spans="2:14" s="16" customFormat="1" ht="21" x14ac:dyDescent="0.25">
      <c r="B9" s="101" t="s">
        <v>69</v>
      </c>
      <c r="C9" s="44" t="s">
        <v>35</v>
      </c>
      <c r="D9" s="94">
        <v>68300000</v>
      </c>
      <c r="L9"/>
      <c r="M9"/>
      <c r="N9"/>
    </row>
    <row r="10" spans="2:14" ht="21" x14ac:dyDescent="0.25">
      <c r="B10" s="102"/>
      <c r="C10" s="44" t="s">
        <v>41</v>
      </c>
      <c r="D10" s="94">
        <f>D9*E10</f>
        <v>58055000</v>
      </c>
      <c r="E10" s="37">
        <v>0.85</v>
      </c>
      <c r="F10" s="1"/>
      <c r="G10" s="16"/>
      <c r="H10" s="16"/>
      <c r="I10" s="16"/>
      <c r="J10" s="16"/>
    </row>
    <row r="11" spans="2:14" ht="21" x14ac:dyDescent="0.25">
      <c r="B11" s="102"/>
      <c r="C11" s="44" t="s">
        <v>42</v>
      </c>
      <c r="D11" s="94">
        <f>D9*E11</f>
        <v>51225000</v>
      </c>
      <c r="E11" s="37">
        <v>0.75</v>
      </c>
      <c r="F11" s="16"/>
      <c r="G11" s="16"/>
      <c r="H11" s="16"/>
      <c r="I11" s="16"/>
      <c r="J11" s="16"/>
    </row>
    <row r="12" spans="2:14" x14ac:dyDescent="0.25">
      <c r="E12" s="16"/>
      <c r="F12" s="16"/>
      <c r="G12" s="16"/>
      <c r="H12" s="16"/>
      <c r="I12" s="16"/>
      <c r="J12" s="16"/>
      <c r="K12" s="16"/>
    </row>
    <row r="13" spans="2:14" ht="21" x14ac:dyDescent="0.25">
      <c r="B13" s="42"/>
      <c r="D13" s="42"/>
      <c r="E13" s="16"/>
      <c r="F13" s="16"/>
      <c r="G13" s="22"/>
      <c r="H13" s="39" t="s">
        <v>43</v>
      </c>
      <c r="I13" s="82">
        <v>1200</v>
      </c>
      <c r="J13" s="40" t="s">
        <v>36</v>
      </c>
      <c r="K13" s="99" t="s">
        <v>51</v>
      </c>
      <c r="L13" s="53"/>
    </row>
    <row r="14" spans="2:14" ht="42" x14ac:dyDescent="0.25">
      <c r="B14" s="42"/>
      <c r="D14" s="56"/>
      <c r="E14" s="31"/>
      <c r="F14" s="16"/>
      <c r="G14" s="22"/>
      <c r="H14" s="39" t="s">
        <v>44</v>
      </c>
      <c r="I14" s="83" t="s">
        <v>84</v>
      </c>
      <c r="J14" s="40" t="s">
        <v>37</v>
      </c>
      <c r="K14" s="100"/>
      <c r="L14" s="53"/>
    </row>
    <row r="15" spans="2:14" x14ac:dyDescent="0.25">
      <c r="D15" s="56"/>
      <c r="E15" s="31"/>
      <c r="F15" s="16"/>
      <c r="G15" s="16"/>
      <c r="H15" s="16"/>
      <c r="I15" s="16"/>
      <c r="J15" s="16"/>
      <c r="K15" s="52"/>
    </row>
    <row r="16" spans="2:14" ht="18.75" x14ac:dyDescent="0.25">
      <c r="B16" s="16"/>
      <c r="D16" s="57"/>
      <c r="E16" s="37"/>
      <c r="F16" s="16"/>
      <c r="G16" s="22"/>
      <c r="H16" s="49" t="s">
        <v>45</v>
      </c>
      <c r="I16" s="50">
        <f>B4*I13</f>
        <v>18432000</v>
      </c>
      <c r="J16" s="16"/>
      <c r="K16" s="16"/>
    </row>
    <row r="17" spans="2:17" ht="18.75" x14ac:dyDescent="0.25">
      <c r="E17" s="16"/>
      <c r="F17" s="16"/>
      <c r="G17" s="22"/>
      <c r="H17" s="49" t="s">
        <v>46</v>
      </c>
      <c r="I17" s="50">
        <f>(F21*J17)+(F22*K17)</f>
        <v>45632150</v>
      </c>
      <c r="J17" s="31">
        <v>12000</v>
      </c>
      <c r="K17" s="70">
        <v>11000</v>
      </c>
      <c r="L17" s="16"/>
    </row>
    <row r="18" spans="2:17" ht="18.75" x14ac:dyDescent="0.25">
      <c r="E18" s="16"/>
      <c r="F18" s="16"/>
      <c r="G18" s="31"/>
      <c r="H18" s="49" t="s">
        <v>34</v>
      </c>
      <c r="I18" s="50">
        <f>I17+I16</f>
        <v>64064150</v>
      </c>
      <c r="J18" s="16"/>
      <c r="K18" s="16"/>
      <c r="L18" s="16"/>
    </row>
    <row r="19" spans="2:17" ht="15.75" thickBot="1" x14ac:dyDescent="0.3">
      <c r="E19" s="72" t="s">
        <v>39</v>
      </c>
      <c r="F19" s="66">
        <f>Building!I9</f>
        <v>44362.103759999991</v>
      </c>
      <c r="G19" s="16"/>
      <c r="H19" s="16"/>
      <c r="I19" s="16"/>
      <c r="J19" s="16"/>
      <c r="K19" s="16"/>
      <c r="L19" s="16"/>
    </row>
    <row r="20" spans="2:17" ht="33" thickBot="1" x14ac:dyDescent="0.3">
      <c r="E20" s="63" t="s">
        <v>38</v>
      </c>
      <c r="F20" s="67">
        <f>F19/10.764</f>
        <v>4121.3399999999992</v>
      </c>
      <c r="G20" s="16"/>
      <c r="H20" s="21" t="s">
        <v>47</v>
      </c>
      <c r="I20" s="51">
        <f>(D9-I18)/D9</f>
        <v>6.2018301610541726E-2</v>
      </c>
      <c r="J20" s="24"/>
      <c r="K20" s="24"/>
      <c r="L20" s="16"/>
    </row>
    <row r="21" spans="2:17" ht="30" customHeight="1" x14ac:dyDescent="0.25">
      <c r="E21" s="64" t="s">
        <v>71</v>
      </c>
      <c r="F21" s="68">
        <f>SUM(Building!G5:G7)/10.764</f>
        <v>297.40999999999997</v>
      </c>
    </row>
    <row r="22" spans="2:17" ht="30.75" thickBot="1" x14ac:dyDescent="0.3">
      <c r="E22" s="65" t="s">
        <v>79</v>
      </c>
      <c r="F22" s="69">
        <f>SUM(Building!G4,Building!G8)/10.764</f>
        <v>3823.93</v>
      </c>
      <c r="G22" s="42"/>
    </row>
    <row r="23" spans="2:17" x14ac:dyDescent="0.25">
      <c r="F23" s="62">
        <f>SUM(F21:F22)</f>
        <v>4121.34</v>
      </c>
      <c r="G23" s="42"/>
    </row>
    <row r="24" spans="2:17" x14ac:dyDescent="0.25">
      <c r="F24">
        <f>F23*10.764</f>
        <v>44362.103759999998</v>
      </c>
    </row>
    <row r="25" spans="2:17" ht="21" customHeight="1" x14ac:dyDescent="0.25"/>
    <row r="26" spans="2:17" x14ac:dyDescent="0.25">
      <c r="G26" s="1"/>
    </row>
    <row r="27" spans="2:17" x14ac:dyDescent="0.25">
      <c r="B27" s="106" t="s">
        <v>77</v>
      </c>
      <c r="C27" s="106"/>
    </row>
    <row r="28" spans="2:17" x14ac:dyDescent="0.25">
      <c r="B28" s="106"/>
      <c r="C28" s="106"/>
      <c r="F28" s="91" t="s">
        <v>23</v>
      </c>
      <c r="G28" s="91" t="s">
        <v>53</v>
      </c>
      <c r="H28" s="91" t="s">
        <v>54</v>
      </c>
      <c r="I28" s="91" t="s">
        <v>85</v>
      </c>
    </row>
    <row r="29" spans="2:17" ht="35.25" customHeight="1" x14ac:dyDescent="0.25">
      <c r="B29" s="59">
        <v>15360</v>
      </c>
      <c r="C29" s="55" t="s">
        <v>74</v>
      </c>
      <c r="D29" t="s">
        <v>103</v>
      </c>
      <c r="E29" s="73" t="s">
        <v>102</v>
      </c>
      <c r="F29" s="35">
        <f>16*B33</f>
        <v>12103.04</v>
      </c>
      <c r="G29" s="36">
        <f>1100000*16</f>
        <v>17600000</v>
      </c>
      <c r="H29" s="35">
        <f>G29/F29</f>
        <v>1454.1801068161387</v>
      </c>
      <c r="I29" s="36">
        <f>G29/16</f>
        <v>1100000</v>
      </c>
      <c r="J29" s="84" t="s">
        <v>87</v>
      </c>
    </row>
    <row r="30" spans="2:17" ht="45" x14ac:dyDescent="0.25">
      <c r="B30" s="60">
        <v>1.536</v>
      </c>
      <c r="C30" s="55" t="s">
        <v>75</v>
      </c>
      <c r="D30" t="s">
        <v>105</v>
      </c>
      <c r="E30" s="73" t="s">
        <v>101</v>
      </c>
      <c r="F30" s="35">
        <f>12*B33</f>
        <v>9077.2800000000007</v>
      </c>
      <c r="G30" s="36">
        <f>1200000*12</f>
        <v>14400000</v>
      </c>
      <c r="H30" s="35">
        <f>G30/F30</f>
        <v>1586.3782983448784</v>
      </c>
      <c r="I30" s="36">
        <f>G30/12</f>
        <v>1200000</v>
      </c>
      <c r="J30" s="84" t="s">
        <v>87</v>
      </c>
    </row>
    <row r="31" spans="2:17" ht="33.75" customHeight="1" x14ac:dyDescent="0.25">
      <c r="B31" s="61">
        <f>(B29*1.196)/B33</f>
        <v>24.285548093702072</v>
      </c>
      <c r="C31" s="55" t="s">
        <v>76</v>
      </c>
      <c r="D31" t="s">
        <v>104</v>
      </c>
      <c r="E31" s="74" t="s">
        <v>94</v>
      </c>
      <c r="F31" s="35">
        <f>20*B33</f>
        <v>15128.800000000001</v>
      </c>
      <c r="G31" s="36">
        <f>1550000*20</f>
        <v>31000000</v>
      </c>
      <c r="H31" s="35">
        <f>G31/F31</f>
        <v>2049.0719686954681</v>
      </c>
      <c r="I31" s="36">
        <f>G31/20</f>
        <v>1550000</v>
      </c>
      <c r="J31" s="129" t="s">
        <v>86</v>
      </c>
      <c r="K31" s="37" t="s">
        <v>89</v>
      </c>
    </row>
    <row r="32" spans="2:17" ht="34.5" customHeight="1" x14ac:dyDescent="0.25">
      <c r="B32" s="92">
        <f>B31*966.18348</f>
        <v>23464.295370880434</v>
      </c>
      <c r="C32" s="72" t="s">
        <v>81</v>
      </c>
      <c r="E32" s="76" t="s">
        <v>80</v>
      </c>
      <c r="F32" s="77">
        <f>B29</f>
        <v>15360</v>
      </c>
      <c r="G32" s="78">
        <f>F32*H30</f>
        <v>24366770.662577331</v>
      </c>
      <c r="H32" s="77">
        <f>G32/F32</f>
        <v>1586.3782983448784</v>
      </c>
      <c r="I32" s="78">
        <f>G32/22.513</f>
        <v>1082342.2317140021</v>
      </c>
      <c r="J32" s="86" t="s">
        <v>90</v>
      </c>
      <c r="K32" s="84" t="s">
        <v>88</v>
      </c>
    </row>
    <row r="33" spans="1:9" ht="30" x14ac:dyDescent="0.25">
      <c r="A33" s="111" t="s">
        <v>83</v>
      </c>
      <c r="B33" s="14">
        <v>756.44</v>
      </c>
      <c r="C33" s="113" t="s">
        <v>82</v>
      </c>
      <c r="D33" s="88"/>
      <c r="F33" s="80" t="s">
        <v>78</v>
      </c>
      <c r="G33" s="79">
        <f>G32/22.513</f>
        <v>1082342.2317140021</v>
      </c>
      <c r="H33" s="85">
        <v>1500</v>
      </c>
      <c r="I33" s="87" t="s">
        <v>91</v>
      </c>
    </row>
    <row r="34" spans="1:9" ht="30" customHeight="1" x14ac:dyDescent="0.25">
      <c r="A34" s="112"/>
      <c r="B34" s="14"/>
      <c r="C34" s="114"/>
      <c r="D34" s="88"/>
    </row>
    <row r="35" spans="1:9" x14ac:dyDescent="0.25">
      <c r="B35" s="37"/>
      <c r="G35" s="42"/>
    </row>
    <row r="36" spans="1:9" x14ac:dyDescent="0.25">
      <c r="E36" s="17" t="s">
        <v>92</v>
      </c>
      <c r="I36" s="75"/>
    </row>
    <row r="37" spans="1:9" x14ac:dyDescent="0.25">
      <c r="B37" s="42"/>
      <c r="E37" s="17" t="s">
        <v>93</v>
      </c>
    </row>
    <row r="40" spans="1:9" ht="15.75" thickBot="1" x14ac:dyDescent="0.3">
      <c r="A40" s="110" t="s">
        <v>97</v>
      </c>
      <c r="B40" s="17" t="s">
        <v>95</v>
      </c>
      <c r="C40" s="89">
        <v>48.399995279999999</v>
      </c>
      <c r="D40" t="s">
        <v>96</v>
      </c>
    </row>
    <row r="41" spans="1:9" ht="15.75" thickBot="1" x14ac:dyDescent="0.3">
      <c r="A41" s="110"/>
      <c r="B41" s="109" t="s">
        <v>98</v>
      </c>
      <c r="C41" s="90">
        <f>20*C40</f>
        <v>967.99990559999992</v>
      </c>
      <c r="D41" s="107" t="s">
        <v>99</v>
      </c>
      <c r="E41" s="108"/>
    </row>
    <row r="42" spans="1:9" x14ac:dyDescent="0.25">
      <c r="A42" s="110"/>
      <c r="B42" s="109"/>
      <c r="C42" s="81" t="s">
        <v>100</v>
      </c>
    </row>
  </sheetData>
  <mergeCells count="10">
    <mergeCell ref="D41:E41"/>
    <mergeCell ref="B41:B42"/>
    <mergeCell ref="A40:A42"/>
    <mergeCell ref="A33:A34"/>
    <mergeCell ref="C33:C34"/>
    <mergeCell ref="B2:D2"/>
    <mergeCell ref="K13:K14"/>
    <mergeCell ref="B9:B11"/>
    <mergeCell ref="B6:D6"/>
    <mergeCell ref="B27:C28"/>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25"/>
  <sheetViews>
    <sheetView zoomScale="85" zoomScaleNormal="85" zoomScaleSheetLayoutView="85" workbookViewId="0">
      <selection activeCell="B2" sqref="B2:U13"/>
    </sheetView>
  </sheetViews>
  <sheetFormatPr defaultRowHeight="15" x14ac:dyDescent="0.25"/>
  <cols>
    <col min="1" max="1" width="9.140625" style="42"/>
    <col min="2" max="2" width="4.85546875" bestFit="1" customWidth="1"/>
    <col min="3" max="3" width="9" style="16" bestFit="1" customWidth="1"/>
    <col min="4" max="4" width="13.42578125" bestFit="1" customWidth="1"/>
    <col min="5" max="5" width="13.140625" style="12" bestFit="1" customWidth="1"/>
    <col min="6" max="6" width="29.85546875" style="12" bestFit="1" customWidth="1"/>
    <col min="7" max="7" width="10.28515625" bestFit="1" customWidth="1"/>
    <col min="8" max="8" width="7" bestFit="1" customWidth="1"/>
    <col min="9" max="9" width="14.7109375" customWidth="1"/>
    <col min="10" max="10" width="12.28515625" customWidth="1"/>
    <col min="11" max="11" width="9.5703125" customWidth="1"/>
    <col min="12" max="12" width="10.42578125" hidden="1" customWidth="1"/>
    <col min="13" max="13" width="12.140625" customWidth="1"/>
    <col min="14" max="14" width="11.28515625" hidden="1" customWidth="1"/>
    <col min="15" max="15" width="26.42578125" hidden="1" customWidth="1"/>
    <col min="16" max="16" width="16.28515625" bestFit="1" customWidth="1"/>
    <col min="17" max="17" width="17.28515625" bestFit="1" customWidth="1"/>
    <col min="18" max="18" width="13.42578125" hidden="1" customWidth="1"/>
    <col min="19" max="19" width="13.42578125" bestFit="1" customWidth="1"/>
    <col min="20" max="20" width="10.85546875" hidden="1" customWidth="1"/>
    <col min="21" max="21" width="13.42578125" style="13" bestFit="1" customWidth="1"/>
    <col min="22" max="22" width="17" bestFit="1" customWidth="1"/>
    <col min="23" max="24" width="14.28515625" bestFit="1" customWidth="1"/>
  </cols>
  <sheetData>
    <row r="1" spans="1:24" x14ac:dyDescent="0.25">
      <c r="G1">
        <f>123.96+3781.74+58.93+42.19</f>
        <v>4006.8199999999997</v>
      </c>
    </row>
    <row r="2" spans="1:24" ht="15.75" x14ac:dyDescent="0.25">
      <c r="B2" s="118" t="s">
        <v>20</v>
      </c>
      <c r="C2" s="119"/>
      <c r="D2" s="119"/>
      <c r="E2" s="119"/>
      <c r="F2" s="119"/>
      <c r="G2" s="119"/>
      <c r="H2" s="119"/>
      <c r="I2" s="119"/>
      <c r="J2" s="119"/>
      <c r="K2" s="119"/>
      <c r="L2" s="119"/>
      <c r="M2" s="119"/>
      <c r="N2" s="119"/>
      <c r="O2" s="119"/>
      <c r="P2" s="119"/>
      <c r="Q2" s="119"/>
      <c r="R2" s="119"/>
      <c r="S2" s="119"/>
      <c r="T2" s="119"/>
      <c r="U2" s="120"/>
    </row>
    <row r="3" spans="1:24" s="10" customFormat="1" ht="60" x14ac:dyDescent="0.25">
      <c r="A3" s="43"/>
      <c r="B3" s="8" t="s">
        <v>56</v>
      </c>
      <c r="C3" s="8" t="s">
        <v>57</v>
      </c>
      <c r="D3" s="9" t="s">
        <v>19</v>
      </c>
      <c r="E3" s="8" t="s">
        <v>0</v>
      </c>
      <c r="F3" s="9" t="s">
        <v>3</v>
      </c>
      <c r="G3" s="9" t="s">
        <v>15</v>
      </c>
      <c r="H3" s="9" t="s">
        <v>12</v>
      </c>
      <c r="I3" s="9" t="s">
        <v>22</v>
      </c>
      <c r="J3" s="9" t="s">
        <v>1</v>
      </c>
      <c r="K3" s="9" t="s">
        <v>2</v>
      </c>
      <c r="L3" s="9" t="s">
        <v>13</v>
      </c>
      <c r="M3" s="9" t="s">
        <v>14</v>
      </c>
      <c r="N3" s="9" t="s">
        <v>4</v>
      </c>
      <c r="O3" s="9" t="s">
        <v>6</v>
      </c>
      <c r="P3" s="9" t="s">
        <v>27</v>
      </c>
      <c r="Q3" s="9" t="s">
        <v>10</v>
      </c>
      <c r="R3" s="9" t="s">
        <v>7</v>
      </c>
      <c r="S3" s="9" t="s">
        <v>8</v>
      </c>
      <c r="T3" s="9" t="s">
        <v>11</v>
      </c>
      <c r="U3" s="9" t="s">
        <v>9</v>
      </c>
    </row>
    <row r="4" spans="1:24" ht="45" x14ac:dyDescent="0.25">
      <c r="B4" s="7">
        <v>1</v>
      </c>
      <c r="C4" s="7" t="s">
        <v>58</v>
      </c>
      <c r="D4" s="11" t="s">
        <v>55</v>
      </c>
      <c r="E4" s="11" t="s">
        <v>17</v>
      </c>
      <c r="F4" s="47" t="s">
        <v>66</v>
      </c>
      <c r="G4" s="41">
        <f>3781.74*10.764</f>
        <v>40706.649359999996</v>
      </c>
      <c r="H4" s="29">
        <v>30</v>
      </c>
      <c r="I4" s="41">
        <f>G4</f>
        <v>40706.649359999996</v>
      </c>
      <c r="J4" s="126">
        <v>2022</v>
      </c>
      <c r="K4" s="126">
        <v>2022</v>
      </c>
      <c r="L4" s="29">
        <f>K4-J4</f>
        <v>0</v>
      </c>
      <c r="M4" s="29">
        <v>35</v>
      </c>
      <c r="N4" s="30">
        <v>0.1</v>
      </c>
      <c r="O4" s="32">
        <f>(1-N4)/M4</f>
        <v>2.5714285714285714E-2</v>
      </c>
      <c r="P4" s="27">
        <v>1000</v>
      </c>
      <c r="Q4" s="26">
        <f>P4*I4</f>
        <v>40706649.359999999</v>
      </c>
      <c r="R4" s="27">
        <f>Q4*O4*L4</f>
        <v>0</v>
      </c>
      <c r="S4" s="27">
        <f t="shared" ref="S4" si="0">MAX(Q4-R4,0)</f>
        <v>40706649.359999999</v>
      </c>
      <c r="T4" s="25">
        <v>0</v>
      </c>
      <c r="U4" s="27">
        <f>IF(S4&gt;N4*Q4,S4*(1-T4),Q4*N4)</f>
        <v>40706649.359999999</v>
      </c>
      <c r="V4" s="6"/>
      <c r="W4" s="1"/>
      <c r="X4" s="1"/>
    </row>
    <row r="5" spans="1:24" s="16" customFormat="1" x14ac:dyDescent="0.25">
      <c r="A5" s="42"/>
      <c r="B5" s="7">
        <v>2</v>
      </c>
      <c r="C5" s="124" t="s">
        <v>59</v>
      </c>
      <c r="D5" s="115" t="s">
        <v>60</v>
      </c>
      <c r="E5" s="34" t="s">
        <v>17</v>
      </c>
      <c r="F5" s="115" t="s">
        <v>67</v>
      </c>
      <c r="G5" s="41">
        <f>123.96*10.764</f>
        <v>1334.3054399999999</v>
      </c>
      <c r="H5" s="29">
        <v>10</v>
      </c>
      <c r="I5" s="41">
        <f>G5</f>
        <v>1334.3054399999999</v>
      </c>
      <c r="J5" s="127"/>
      <c r="K5" s="127"/>
      <c r="L5" s="29">
        <f>K4-J4</f>
        <v>0</v>
      </c>
      <c r="M5" s="29">
        <v>60</v>
      </c>
      <c r="N5" s="30">
        <v>0.1</v>
      </c>
      <c r="O5" s="32">
        <f t="shared" ref="O5:O8" si="1">(1-N5)/M5</f>
        <v>1.5000000000000001E-2</v>
      </c>
      <c r="P5" s="27">
        <v>1400</v>
      </c>
      <c r="Q5" s="27">
        <f>P5*I5</f>
        <v>1868027.6159999999</v>
      </c>
      <c r="R5" s="27">
        <f>Q5*O5*L5</f>
        <v>0</v>
      </c>
      <c r="S5" s="27">
        <f>MAX(Q5-R5,0)</f>
        <v>1868027.6159999999</v>
      </c>
      <c r="T5" s="25">
        <v>0</v>
      </c>
      <c r="U5" s="27">
        <f>IF(S5&gt;N5*Q5,S5*(1-T5),Q5*N5)</f>
        <v>1868027.6159999999</v>
      </c>
      <c r="V5" s="6"/>
      <c r="W5" s="42"/>
      <c r="X5" s="1"/>
    </row>
    <row r="6" spans="1:24" s="16" customFormat="1" x14ac:dyDescent="0.25">
      <c r="A6" s="42"/>
      <c r="B6" s="7">
        <v>3</v>
      </c>
      <c r="C6" s="125"/>
      <c r="D6" s="116"/>
      <c r="E6" s="17" t="s">
        <v>21</v>
      </c>
      <c r="F6" s="116"/>
      <c r="G6" s="41">
        <f>114.52*10.764</f>
        <v>1232.69328</v>
      </c>
      <c r="H6" s="29">
        <v>10</v>
      </c>
      <c r="I6" s="41">
        <f>G6</f>
        <v>1232.69328</v>
      </c>
      <c r="J6" s="127"/>
      <c r="K6" s="127"/>
      <c r="L6" s="29">
        <f>K4-J4</f>
        <v>0</v>
      </c>
      <c r="M6" s="29">
        <v>60</v>
      </c>
      <c r="N6" s="30">
        <v>0.1</v>
      </c>
      <c r="O6" s="32">
        <f t="shared" si="1"/>
        <v>1.5000000000000001E-2</v>
      </c>
      <c r="P6" s="27">
        <v>1400</v>
      </c>
      <c r="Q6" s="27">
        <f>P6*I6</f>
        <v>1725770.5919999999</v>
      </c>
      <c r="R6" s="27">
        <f>Q6*O6*L6</f>
        <v>0</v>
      </c>
      <c r="S6" s="27">
        <f>MAX(Q6-R6,0)</f>
        <v>1725770.5919999999</v>
      </c>
      <c r="T6" s="25">
        <v>0</v>
      </c>
      <c r="U6" s="27">
        <f>IF(S6&gt;N6*Q6,S6*(1-T6),Q6*N6)</f>
        <v>1725770.5919999999</v>
      </c>
      <c r="V6" s="6"/>
      <c r="W6" s="42"/>
      <c r="X6" s="1"/>
    </row>
    <row r="7" spans="1:24" s="16" customFormat="1" ht="30" x14ac:dyDescent="0.25">
      <c r="A7" s="42"/>
      <c r="B7" s="7">
        <v>4</v>
      </c>
      <c r="C7" s="7" t="s">
        <v>61</v>
      </c>
      <c r="D7" s="34" t="s">
        <v>63</v>
      </c>
      <c r="E7" s="17" t="s">
        <v>21</v>
      </c>
      <c r="F7" s="47" t="s">
        <v>68</v>
      </c>
      <c r="G7" s="41">
        <f>58.93*10.764</f>
        <v>634.32251999999994</v>
      </c>
      <c r="H7" s="29">
        <v>9</v>
      </c>
      <c r="I7" s="41">
        <f>G7</f>
        <v>634.32251999999994</v>
      </c>
      <c r="J7" s="127"/>
      <c r="K7" s="127"/>
      <c r="L7" s="29">
        <f>K4-J4</f>
        <v>0</v>
      </c>
      <c r="M7" s="29">
        <v>60</v>
      </c>
      <c r="N7" s="30">
        <v>0.1</v>
      </c>
      <c r="O7" s="32">
        <f t="shared" si="1"/>
        <v>1.5000000000000001E-2</v>
      </c>
      <c r="P7" s="27">
        <v>950</v>
      </c>
      <c r="Q7" s="27">
        <f>P7*I7</f>
        <v>602606.39399999997</v>
      </c>
      <c r="R7" s="27">
        <f>Q7*O7*L7</f>
        <v>0</v>
      </c>
      <c r="S7" s="27">
        <f>MAX(Q7-R7,0)</f>
        <v>602606.39399999997</v>
      </c>
      <c r="T7" s="25">
        <v>0</v>
      </c>
      <c r="U7" s="27">
        <f>IF(S7&gt;N7*Q7,S7*(1-T7),Q7*N7)</f>
        <v>602606.39399999997</v>
      </c>
      <c r="V7" s="6"/>
      <c r="W7" s="42"/>
      <c r="X7" s="1"/>
    </row>
    <row r="8" spans="1:24" s="16" customFormat="1" ht="45" x14ac:dyDescent="0.25">
      <c r="A8" s="42"/>
      <c r="B8" s="7">
        <v>5</v>
      </c>
      <c r="C8" s="7" t="s">
        <v>62</v>
      </c>
      <c r="D8" s="34" t="s">
        <v>64</v>
      </c>
      <c r="E8" s="17" t="s">
        <v>21</v>
      </c>
      <c r="F8" s="47" t="s">
        <v>66</v>
      </c>
      <c r="G8" s="41">
        <f>42.19*10.764</f>
        <v>454.13315999999998</v>
      </c>
      <c r="H8" s="29">
        <v>25</v>
      </c>
      <c r="I8" s="41">
        <f>G8</f>
        <v>454.13315999999998</v>
      </c>
      <c r="J8" s="128"/>
      <c r="K8" s="128"/>
      <c r="L8" s="29">
        <f>K4-J4</f>
        <v>0</v>
      </c>
      <c r="M8" s="29">
        <v>35</v>
      </c>
      <c r="N8" s="30">
        <v>0.1</v>
      </c>
      <c r="O8" s="32">
        <f t="shared" si="1"/>
        <v>2.5714285714285714E-2</v>
      </c>
      <c r="P8" s="27">
        <v>900</v>
      </c>
      <c r="Q8" s="27">
        <f>P8*I8</f>
        <v>408719.84399999998</v>
      </c>
      <c r="R8" s="27">
        <f>Q8*O8*L8</f>
        <v>0</v>
      </c>
      <c r="S8" s="27">
        <f>MAX(Q8-R8,0)</f>
        <v>408719.84399999998</v>
      </c>
      <c r="T8" s="25">
        <v>0</v>
      </c>
      <c r="U8" s="27">
        <f>IF(S8&gt;N8*Q8,S8*(1-T8),Q8*N8)</f>
        <v>408719.84399999998</v>
      </c>
      <c r="V8" s="6"/>
      <c r="W8" s="42"/>
      <c r="X8" s="1"/>
    </row>
    <row r="9" spans="1:24" x14ac:dyDescent="0.25">
      <c r="B9" s="121" t="s">
        <v>5</v>
      </c>
      <c r="C9" s="121"/>
      <c r="D9" s="121"/>
      <c r="E9" s="121"/>
      <c r="F9" s="121"/>
      <c r="G9" s="33">
        <f>SUM(G4:G8)</f>
        <v>44362.103759999991</v>
      </c>
      <c r="H9" s="5"/>
      <c r="I9" s="33">
        <f>SUM(I4:I8)</f>
        <v>44362.103759999991</v>
      </c>
      <c r="J9" s="121"/>
      <c r="K9" s="121"/>
      <c r="L9" s="121"/>
      <c r="M9" s="121"/>
      <c r="N9" s="121"/>
      <c r="O9" s="121"/>
      <c r="P9" s="121"/>
      <c r="Q9" s="3">
        <f>SUM(Q4:Q8)</f>
        <v>45311773.805999994</v>
      </c>
      <c r="R9" s="3"/>
      <c r="S9" s="3">
        <f>SUM(S4:S8)</f>
        <v>45311773.805999994</v>
      </c>
      <c r="T9" s="28"/>
      <c r="U9" s="3">
        <f>SUM((U4:U8))</f>
        <v>45311773.805999994</v>
      </c>
      <c r="V9" s="6"/>
      <c r="W9" s="42"/>
    </row>
    <row r="10" spans="1:24" x14ac:dyDescent="0.25">
      <c r="B10" s="123" t="s">
        <v>16</v>
      </c>
      <c r="C10" s="123"/>
      <c r="D10" s="123"/>
      <c r="E10" s="123"/>
      <c r="F10" s="123"/>
      <c r="G10" s="123"/>
      <c r="H10" s="123"/>
      <c r="I10" s="123"/>
      <c r="J10" s="123"/>
      <c r="K10" s="123"/>
      <c r="L10" s="123"/>
      <c r="M10" s="123"/>
      <c r="N10" s="123"/>
      <c r="O10" s="123"/>
      <c r="P10" s="123"/>
      <c r="Q10" s="123"/>
      <c r="R10" s="123"/>
      <c r="S10" s="123"/>
      <c r="T10" s="123"/>
      <c r="U10" s="123"/>
      <c r="V10" s="6"/>
      <c r="W10" s="42"/>
    </row>
    <row r="11" spans="1:24" x14ac:dyDescent="0.25">
      <c r="B11" s="122" t="s">
        <v>65</v>
      </c>
      <c r="C11" s="122"/>
      <c r="D11" s="122"/>
      <c r="E11" s="122"/>
      <c r="F11" s="122"/>
      <c r="G11" s="122"/>
      <c r="H11" s="122"/>
      <c r="I11" s="122"/>
      <c r="J11" s="122"/>
      <c r="K11" s="122"/>
      <c r="L11" s="122"/>
      <c r="M11" s="122"/>
      <c r="N11" s="122"/>
      <c r="O11" s="122"/>
      <c r="P11" s="122"/>
      <c r="Q11" s="122"/>
      <c r="R11" s="122"/>
      <c r="S11" s="122"/>
      <c r="T11" s="122"/>
      <c r="U11" s="122"/>
      <c r="V11" s="42"/>
      <c r="W11" s="42"/>
    </row>
    <row r="12" spans="1:24" x14ac:dyDescent="0.25">
      <c r="B12" s="122" t="s">
        <v>52</v>
      </c>
      <c r="C12" s="122"/>
      <c r="D12" s="117"/>
      <c r="E12" s="117"/>
      <c r="F12" s="117"/>
      <c r="G12" s="117"/>
      <c r="H12" s="117"/>
      <c r="I12" s="117"/>
      <c r="J12" s="117"/>
      <c r="K12" s="117"/>
      <c r="L12" s="117"/>
      <c r="M12" s="117"/>
      <c r="N12" s="117"/>
      <c r="O12" s="117"/>
      <c r="P12" s="117"/>
      <c r="Q12" s="117"/>
      <c r="R12" s="117"/>
      <c r="S12" s="117"/>
      <c r="T12" s="117"/>
      <c r="U12" s="117"/>
      <c r="V12" s="42"/>
      <c r="W12" s="42"/>
    </row>
    <row r="13" spans="1:24" x14ac:dyDescent="0.25">
      <c r="B13" s="117" t="s">
        <v>18</v>
      </c>
      <c r="C13" s="117"/>
      <c r="D13" s="117"/>
      <c r="E13" s="117"/>
      <c r="F13" s="117"/>
      <c r="G13" s="117"/>
      <c r="H13" s="117"/>
      <c r="I13" s="117"/>
      <c r="J13" s="117"/>
      <c r="K13" s="117"/>
      <c r="L13" s="117"/>
      <c r="M13" s="117"/>
      <c r="N13" s="117"/>
      <c r="O13" s="117"/>
      <c r="P13" s="117"/>
      <c r="Q13" s="117"/>
      <c r="R13" s="117"/>
      <c r="S13" s="117"/>
      <c r="T13" s="117"/>
      <c r="U13" s="117"/>
      <c r="V13" s="42"/>
      <c r="W13" s="42"/>
    </row>
    <row r="14" spans="1:24" x14ac:dyDescent="0.25">
      <c r="V14" s="42"/>
      <c r="W14" s="42"/>
    </row>
    <row r="15" spans="1:24" x14ac:dyDescent="0.25">
      <c r="M15" s="14">
        <v>811.04399999999998</v>
      </c>
      <c r="N15" s="14">
        <v>10.763999999999999</v>
      </c>
      <c r="O15" s="14">
        <f>M15*N15</f>
        <v>8730.0776159999987</v>
      </c>
      <c r="P15" s="15" t="e">
        <f>O15*#REF!</f>
        <v>#REF!</v>
      </c>
      <c r="Q15" s="14" t="e">
        <f>P15-I4</f>
        <v>#REF!</v>
      </c>
      <c r="V15" s="42"/>
      <c r="W15" s="42"/>
    </row>
    <row r="16" spans="1:24" x14ac:dyDescent="0.25">
      <c r="F16" s="97">
        <f>G4+G8</f>
        <v>41160.782519999993</v>
      </c>
      <c r="G16" s="24">
        <f>SUM(G4,,G8)</f>
        <v>41160.782519999993</v>
      </c>
      <c r="M16" s="110" t="s">
        <v>23</v>
      </c>
      <c r="N16" s="110" t="s">
        <v>24</v>
      </c>
      <c r="O16" s="110" t="s">
        <v>25</v>
      </c>
      <c r="P16" s="115" t="s">
        <v>26</v>
      </c>
      <c r="Q16" s="115" t="s">
        <v>40</v>
      </c>
      <c r="S16" s="13"/>
      <c r="T16" s="6"/>
      <c r="U16"/>
      <c r="V16" s="42"/>
      <c r="W16" s="42"/>
    </row>
    <row r="17" spans="4:21" x14ac:dyDescent="0.25">
      <c r="D17" t="s">
        <v>72</v>
      </c>
      <c r="E17" s="58">
        <f>SUM(G5:G7)</f>
        <v>3201.3212399999993</v>
      </c>
      <c r="F17" s="97">
        <f>G5+G6+G7</f>
        <v>3201.3212399999993</v>
      </c>
      <c r="M17" s="110"/>
      <c r="N17" s="110"/>
      <c r="O17" s="110"/>
      <c r="P17" s="116"/>
      <c r="Q17" s="116"/>
      <c r="U17"/>
    </row>
    <row r="18" spans="4:21" x14ac:dyDescent="0.25">
      <c r="D18" t="s">
        <v>73</v>
      </c>
      <c r="E18" s="58">
        <f>SUM(G4,G8)</f>
        <v>41160.782519999993</v>
      </c>
      <c r="F18" s="97">
        <f>SUM(F16:F17)</f>
        <v>44362.103759999991</v>
      </c>
      <c r="P18" s="6"/>
      <c r="U18"/>
    </row>
    <row r="19" spans="4:21" x14ac:dyDescent="0.25">
      <c r="O19" s="110" t="s">
        <v>48</v>
      </c>
      <c r="P19" s="14" t="e">
        <f>M15*#REF!</f>
        <v>#REF!</v>
      </c>
      <c r="Q19" s="17" t="s">
        <v>49</v>
      </c>
      <c r="U19"/>
    </row>
    <row r="20" spans="4:21" x14ac:dyDescent="0.25">
      <c r="O20" s="110"/>
      <c r="P20" s="14" t="e">
        <f>P19*N15</f>
        <v>#REF!</v>
      </c>
      <c r="Q20" s="17" t="s">
        <v>50</v>
      </c>
      <c r="U20"/>
    </row>
    <row r="21" spans="4:21" x14ac:dyDescent="0.25">
      <c r="F21" s="12">
        <f>3781.74+123.96+58.93+42.19+114.52</f>
        <v>4121.34</v>
      </c>
      <c r="Q21" s="13"/>
      <c r="R21" s="6"/>
      <c r="U21"/>
    </row>
    <row r="22" spans="4:21" x14ac:dyDescent="0.25">
      <c r="F22" s="96">
        <f>F21*10.764</f>
        <v>44362.103759999998</v>
      </c>
      <c r="Q22" s="13"/>
      <c r="U22"/>
    </row>
    <row r="23" spans="4:21" x14ac:dyDescent="0.25">
      <c r="Q23" s="13"/>
      <c r="R23" s="4"/>
      <c r="S23" s="2"/>
      <c r="T23" s="2"/>
      <c r="U23"/>
    </row>
    <row r="24" spans="4:21" x14ac:dyDescent="0.25">
      <c r="Q24" s="13"/>
      <c r="U24"/>
    </row>
    <row r="25" spans="4:21" x14ac:dyDescent="0.25">
      <c r="Q25" s="13"/>
      <c r="U25"/>
    </row>
  </sheetData>
  <mergeCells count="18">
    <mergeCell ref="B13:U13"/>
    <mergeCell ref="B2:U2"/>
    <mergeCell ref="B9:F9"/>
    <mergeCell ref="J9:P9"/>
    <mergeCell ref="B11:U11"/>
    <mergeCell ref="B12:U12"/>
    <mergeCell ref="B10:U10"/>
    <mergeCell ref="D5:D6"/>
    <mergeCell ref="C5:C6"/>
    <mergeCell ref="J4:J8"/>
    <mergeCell ref="K4:K8"/>
    <mergeCell ref="F5:F6"/>
    <mergeCell ref="N16:N17"/>
    <mergeCell ref="M16:M17"/>
    <mergeCell ref="O16:O17"/>
    <mergeCell ref="O19:O20"/>
    <mergeCell ref="Q16:Q17"/>
    <mergeCell ref="P16:P17"/>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vt:lpstr>
      <vt:lpstr>Building</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Arun Tomar</cp:lastModifiedBy>
  <cp:lastPrinted>2022-01-07T08:12:53Z</cp:lastPrinted>
  <dcterms:created xsi:type="dcterms:W3CDTF">2021-09-16T11:33:35Z</dcterms:created>
  <dcterms:modified xsi:type="dcterms:W3CDTF">2022-07-18T09:01:39Z</dcterms:modified>
</cp:coreProperties>
</file>