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engineer12\Desktop\"/>
    </mc:Choice>
  </mc:AlternateContent>
  <xr:revisionPtr revIDLastSave="0" documentId="13_ncr:1_{DB58C566-E010-44BD-97FD-9C31D77AE9F0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Land" sheetId="2" r:id="rId1"/>
    <sheet name="Sheet2" sheetId="8" r:id="rId2"/>
    <sheet name="Building" sheetId="1" r:id="rId3"/>
    <sheet name="Sheet1" sheetId="7" r:id="rId4"/>
    <sheet name="FAR summary" sheetId="3" r:id="rId5"/>
    <sheet name="Co-generation" sheetId="4" r:id="rId6"/>
  </sheets>
  <definedNames>
    <definedName name="_xlnm._FilterDatabase" localSheetId="2" hidden="1">Building!$B$2:$AA$69</definedName>
    <definedName name="_xlnm._FilterDatabase" localSheetId="3" hidden="1">Sheet1!$E$6:$X$23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0" i="1" l="1"/>
  <c r="G60" i="1"/>
  <c r="W61" i="1"/>
  <c r="N15" i="1"/>
  <c r="N16" i="1"/>
  <c r="N22" i="1"/>
  <c r="N23" i="1"/>
  <c r="N24" i="1"/>
  <c r="N25" i="1"/>
  <c r="N26" i="1"/>
  <c r="N27" i="1"/>
  <c r="N28" i="1"/>
  <c r="N30" i="1"/>
  <c r="N31" i="1"/>
  <c r="N32" i="1"/>
  <c r="N33" i="1"/>
  <c r="N34" i="1"/>
  <c r="N35" i="1"/>
  <c r="N39" i="1"/>
  <c r="N41" i="1"/>
  <c r="N42" i="1"/>
  <c r="N43" i="1"/>
  <c r="N44" i="1"/>
  <c r="N45" i="1"/>
  <c r="N46" i="1"/>
  <c r="N47" i="1"/>
  <c r="N48" i="1"/>
  <c r="N50" i="1"/>
  <c r="N52" i="1"/>
  <c r="N54" i="1"/>
  <c r="P17" i="1"/>
  <c r="P18" i="1"/>
  <c r="P19" i="1"/>
  <c r="P20" i="1"/>
  <c r="P21" i="1"/>
  <c r="S13" i="1"/>
  <c r="W62" i="1"/>
  <c r="G62" i="1"/>
  <c r="I54" i="1"/>
  <c r="I55" i="1"/>
  <c r="I5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4" i="1"/>
  <c r="B2" i="4" l="1"/>
  <c r="W59" i="1"/>
  <c r="W58" i="1"/>
  <c r="B2" i="1" l="1"/>
  <c r="G57" i="1" l="1"/>
  <c r="P31" i="7" l="1"/>
  <c r="Q31" i="7" l="1"/>
  <c r="D51" i="4" l="1"/>
  <c r="B49" i="4"/>
  <c r="C49" i="4"/>
  <c r="D49" i="4"/>
  <c r="E49" i="4"/>
  <c r="B50" i="4"/>
  <c r="C50" i="4"/>
  <c r="B51" i="4"/>
  <c r="C51" i="4"/>
  <c r="B52" i="4"/>
  <c r="C52" i="4"/>
  <c r="B53" i="4"/>
  <c r="C53" i="4"/>
  <c r="B39" i="4"/>
  <c r="B25" i="4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21" i="4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3" i="4"/>
  <c r="D50" i="3"/>
  <c r="E52" i="4" s="1"/>
  <c r="C50" i="3"/>
  <c r="D52" i="4" s="1"/>
  <c r="D49" i="3"/>
  <c r="D48" i="3"/>
  <c r="E50" i="4" s="1"/>
  <c r="C48" i="3"/>
  <c r="D50" i="4" s="1"/>
  <c r="A38" i="3"/>
  <c r="A25" i="3"/>
  <c r="A31" i="3" s="1"/>
  <c r="A32" i="3" s="1"/>
  <c r="A33" i="3" s="1"/>
  <c r="A34" i="3" s="1"/>
  <c r="A21" i="3"/>
  <c r="A7" i="3"/>
  <c r="A15" i="3" s="1"/>
  <c r="A16" i="3" s="1"/>
  <c r="A17" i="3" s="1"/>
  <c r="A3" i="3"/>
  <c r="A2" i="3"/>
  <c r="C51" i="3" l="1"/>
  <c r="D53" i="4" s="1"/>
  <c r="D51" i="3"/>
  <c r="E53" i="4" s="1"/>
  <c r="E51" i="4"/>
  <c r="W63" i="1" l="1"/>
  <c r="H8" i="7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H9" i="7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H10" i="7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H11" i="7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H12" i="7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H13" i="7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H14" i="7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S37" i="1" l="1"/>
  <c r="S47" i="1"/>
  <c r="S53" i="1"/>
  <c r="S56" i="1"/>
  <c r="N5" i="1"/>
  <c r="N6" i="1"/>
  <c r="N7" i="1"/>
  <c r="N8" i="1"/>
  <c r="N9" i="1"/>
  <c r="N10" i="1"/>
  <c r="N11" i="1"/>
  <c r="N12" i="1"/>
  <c r="N13" i="1"/>
  <c r="N14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N4" i="1"/>
  <c r="H7" i="7"/>
  <c r="I7" i="7" s="1"/>
  <c r="S42" i="1" l="1"/>
  <c r="S49" i="1"/>
  <c r="S45" i="1"/>
  <c r="S41" i="1"/>
  <c r="S33" i="1"/>
  <c r="S29" i="1"/>
  <c r="S25" i="1"/>
  <c r="S21" i="1"/>
  <c r="S17" i="1"/>
  <c r="S52" i="1"/>
  <c r="S48" i="1"/>
  <c r="S44" i="1"/>
  <c r="S40" i="1"/>
  <c r="S36" i="1"/>
  <c r="S32" i="1"/>
  <c r="S28" i="1"/>
  <c r="S24" i="1"/>
  <c r="S20" i="1"/>
  <c r="S8" i="1"/>
  <c r="S55" i="1"/>
  <c r="S51" i="1"/>
  <c r="S43" i="1"/>
  <c r="S39" i="1"/>
  <c r="S35" i="1"/>
  <c r="S31" i="1"/>
  <c r="S27" i="1"/>
  <c r="S23" i="1"/>
  <c r="S19" i="1"/>
  <c r="S15" i="1"/>
  <c r="S7" i="1"/>
  <c r="S54" i="1"/>
  <c r="S57" i="1" s="1"/>
  <c r="S50" i="1"/>
  <c r="S46" i="1"/>
  <c r="S38" i="1"/>
  <c r="S34" i="1"/>
  <c r="S30" i="1"/>
  <c r="S26" i="1"/>
  <c r="S22" i="1"/>
  <c r="S18" i="1"/>
  <c r="S14" i="1"/>
  <c r="J7" i="7"/>
  <c r="K7" i="7" s="1"/>
  <c r="L7" i="7" s="1"/>
  <c r="M7" i="7" s="1"/>
  <c r="N7" i="7" s="1"/>
  <c r="O7" i="7" s="1"/>
  <c r="P7" i="7" s="1"/>
  <c r="Q7" i="7" s="1"/>
  <c r="R7" i="7" s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T37" i="1" s="1"/>
  <c r="M38" i="1"/>
  <c r="M39" i="1"/>
  <c r="M40" i="1"/>
  <c r="M41" i="1"/>
  <c r="M42" i="1"/>
  <c r="M43" i="1"/>
  <c r="M44" i="1"/>
  <c r="M45" i="1"/>
  <c r="M46" i="1"/>
  <c r="M47" i="1"/>
  <c r="T47" i="1" s="1"/>
  <c r="U47" i="1" s="1"/>
  <c r="W47" i="1" s="1"/>
  <c r="M48" i="1"/>
  <c r="M49" i="1"/>
  <c r="M50" i="1"/>
  <c r="M51" i="1"/>
  <c r="M52" i="1"/>
  <c r="M53" i="1"/>
  <c r="T53" i="1" s="1"/>
  <c r="U53" i="1" s="1"/>
  <c r="W53" i="1" s="1"/>
  <c r="M54" i="1"/>
  <c r="M55" i="1"/>
  <c r="M56" i="1"/>
  <c r="T56" i="1" s="1"/>
  <c r="U56" i="1" s="1"/>
  <c r="W56" i="1" s="1"/>
  <c r="M4" i="1"/>
  <c r="P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M5" i="1"/>
  <c r="P5" i="1"/>
  <c r="M6" i="1"/>
  <c r="P6" i="1"/>
  <c r="M7" i="1"/>
  <c r="P7" i="1"/>
  <c r="M8" i="1"/>
  <c r="P8" i="1"/>
  <c r="M9" i="1"/>
  <c r="P9" i="1"/>
  <c r="M10" i="1"/>
  <c r="P10" i="1"/>
  <c r="M11" i="1"/>
  <c r="P11" i="1"/>
  <c r="M12" i="1"/>
  <c r="P12" i="1"/>
  <c r="M13" i="1"/>
  <c r="P13" i="1"/>
  <c r="M14" i="1"/>
  <c r="P14" i="1"/>
  <c r="M15" i="1"/>
  <c r="P15" i="1"/>
  <c r="M16" i="1"/>
  <c r="P16" i="1"/>
  <c r="M17" i="1"/>
  <c r="B56" i="1" l="1"/>
  <c r="B58" i="1" s="1"/>
  <c r="B59" i="1" s="1"/>
  <c r="B60" i="1" s="1"/>
  <c r="B61" i="1" s="1"/>
  <c r="B62" i="1" s="1"/>
  <c r="T52" i="1"/>
  <c r="U52" i="1" s="1"/>
  <c r="W52" i="1" s="1"/>
  <c r="S11" i="1"/>
  <c r="T11" i="1" s="1"/>
  <c r="U11" i="1" s="1"/>
  <c r="W11" i="1" s="1"/>
  <c r="S12" i="1"/>
  <c r="T12" i="1" s="1"/>
  <c r="U12" i="1" s="1"/>
  <c r="W12" i="1" s="1"/>
  <c r="T13" i="1"/>
  <c r="U13" i="1" s="1"/>
  <c r="W13" i="1" s="1"/>
  <c r="H57" i="1"/>
  <c r="T8" i="1"/>
  <c r="U8" i="1" s="1"/>
  <c r="W8" i="1" s="1"/>
  <c r="S7" i="7"/>
  <c r="T51" i="1"/>
  <c r="U51" i="1" s="1"/>
  <c r="W51" i="1" s="1"/>
  <c r="T33" i="1"/>
  <c r="U33" i="1" s="1"/>
  <c r="W33" i="1" s="1"/>
  <c r="T18" i="1"/>
  <c r="T34" i="1"/>
  <c r="U34" i="1" s="1"/>
  <c r="W34" i="1" s="1"/>
  <c r="T32" i="1"/>
  <c r="U32" i="1" s="1"/>
  <c r="W32" i="1" s="1"/>
  <c r="T48" i="1"/>
  <c r="U48" i="1" s="1"/>
  <c r="W48" i="1" s="1"/>
  <c r="T29" i="1"/>
  <c r="U29" i="1" s="1"/>
  <c r="W29" i="1" s="1"/>
  <c r="T49" i="1"/>
  <c r="U49" i="1" s="1"/>
  <c r="W49" i="1" s="1"/>
  <c r="T23" i="1"/>
  <c r="T26" i="1"/>
  <c r="U26" i="1" s="1"/>
  <c r="W26" i="1" s="1"/>
  <c r="T46" i="1"/>
  <c r="U46" i="1" s="1"/>
  <c r="W46" i="1" s="1"/>
  <c r="T31" i="1"/>
  <c r="U31" i="1" s="1"/>
  <c r="W31" i="1" s="1"/>
  <c r="T24" i="1"/>
  <c r="U24" i="1" s="1"/>
  <c r="W24" i="1" s="1"/>
  <c r="T40" i="1"/>
  <c r="U40" i="1" s="1"/>
  <c r="W40" i="1" s="1"/>
  <c r="T21" i="1"/>
  <c r="T41" i="1"/>
  <c r="U41" i="1" s="1"/>
  <c r="W41" i="1" s="1"/>
  <c r="U23" i="1"/>
  <c r="W23" i="1" s="1"/>
  <c r="T39" i="1"/>
  <c r="U39" i="1" s="1"/>
  <c r="W39" i="1" s="1"/>
  <c r="T30" i="1"/>
  <c r="U30" i="1" s="1"/>
  <c r="W30" i="1" s="1"/>
  <c r="T50" i="1"/>
  <c r="U50" i="1" s="1"/>
  <c r="W50" i="1" s="1"/>
  <c r="T19" i="1"/>
  <c r="T35" i="1"/>
  <c r="U35" i="1" s="1"/>
  <c r="W35" i="1" s="1"/>
  <c r="T55" i="1"/>
  <c r="U55" i="1" s="1"/>
  <c r="W55" i="1" s="1"/>
  <c r="T28" i="1"/>
  <c r="U28" i="1" s="1"/>
  <c r="W28" i="1" s="1"/>
  <c r="T44" i="1"/>
  <c r="U44" i="1" s="1"/>
  <c r="W44" i="1" s="1"/>
  <c r="T25" i="1"/>
  <c r="U25" i="1" s="1"/>
  <c r="W25" i="1" s="1"/>
  <c r="T45" i="1"/>
  <c r="U45" i="1" s="1"/>
  <c r="W45" i="1" s="1"/>
  <c r="T22" i="1"/>
  <c r="U22" i="1" s="1"/>
  <c r="W22" i="1" s="1"/>
  <c r="T38" i="1"/>
  <c r="U38" i="1" s="1"/>
  <c r="W38" i="1" s="1"/>
  <c r="T27" i="1"/>
  <c r="U27" i="1" s="1"/>
  <c r="W27" i="1" s="1"/>
  <c r="T43" i="1"/>
  <c r="U43" i="1" s="1"/>
  <c r="W43" i="1" s="1"/>
  <c r="T20" i="1"/>
  <c r="T36" i="1"/>
  <c r="U36" i="1" s="1"/>
  <c r="W36" i="1" s="1"/>
  <c r="T54" i="1"/>
  <c r="U37" i="1"/>
  <c r="W37" i="1" s="1"/>
  <c r="T42" i="1"/>
  <c r="U42" i="1" s="1"/>
  <c r="W42" i="1" s="1"/>
  <c r="T7" i="1"/>
  <c r="U7" i="1" s="1"/>
  <c r="W7" i="1" s="1"/>
  <c r="T17" i="1"/>
  <c r="T15" i="1"/>
  <c r="U15" i="1" s="1"/>
  <c r="W15" i="1" s="1"/>
  <c r="T14" i="1"/>
  <c r="U14" i="1" s="1"/>
  <c r="W14" i="1" s="1"/>
  <c r="Z5" i="1"/>
  <c r="U54" i="1" l="1"/>
  <c r="T57" i="1"/>
  <c r="U20" i="1"/>
  <c r="W20" i="1" s="1"/>
  <c r="U21" i="1"/>
  <c r="W21" i="1" s="1"/>
  <c r="U18" i="1"/>
  <c r="W18" i="1" s="1"/>
  <c r="U17" i="1"/>
  <c r="W17" i="1" s="1"/>
  <c r="U19" i="1"/>
  <c r="W19" i="1" s="1"/>
  <c r="T7" i="7"/>
  <c r="U7" i="7" s="1"/>
  <c r="V7" i="7" s="1"/>
  <c r="W7" i="7" s="1"/>
  <c r="S9" i="1"/>
  <c r="T9" i="1" s="1"/>
  <c r="U9" i="1" s="1"/>
  <c r="W9" i="1" s="1"/>
  <c r="S4" i="1"/>
  <c r="T4" i="1" s="1"/>
  <c r="S5" i="1"/>
  <c r="T5" i="1" s="1"/>
  <c r="W54" i="1" l="1"/>
  <c r="U57" i="1"/>
  <c r="X7" i="7"/>
  <c r="S6" i="1"/>
  <c r="T6" i="1" s="1"/>
  <c r="U6" i="1" s="1"/>
  <c r="W6" i="1" s="1"/>
  <c r="U5" i="1"/>
  <c r="W5" i="1" s="1"/>
  <c r="AA5" i="1" s="1"/>
  <c r="U4" i="1"/>
  <c r="J57" i="2"/>
  <c r="S16" i="1" l="1"/>
  <c r="T16" i="1" s="1"/>
  <c r="U16" i="1" s="1"/>
  <c r="W16" i="1" s="1"/>
  <c r="S10" i="1"/>
  <c r="T10" i="1" s="1"/>
  <c r="U10" i="1" s="1"/>
  <c r="W10" i="1" s="1"/>
  <c r="W57" i="1" s="1"/>
  <c r="W64" i="1" s="1"/>
  <c r="W4" i="1"/>
  <c r="S69" i="1" l="1"/>
  <c r="T69" i="1" s="1"/>
  <c r="U69" i="1" l="1"/>
  <c r="W69" i="1" s="1"/>
  <c r="X57" i="1" l="1"/>
  <c r="P32" i="7" l="1"/>
  <c r="P33" i="7" s="1"/>
  <c r="Q32" i="7" l="1"/>
  <c r="Q33" i="7" s="1"/>
</calcChain>
</file>

<file path=xl/sharedStrings.xml><?xml version="1.0" encoding="utf-8"?>
<sst xmlns="http://schemas.openxmlformats.org/spreadsheetml/2006/main" count="376" uniqueCount="185">
  <si>
    <t>Sr. No.</t>
  </si>
  <si>
    <t>Floor</t>
  </si>
  <si>
    <t>Description</t>
  </si>
  <si>
    <t>Type of Structure</t>
  </si>
  <si>
    <t>Condition of Structure</t>
  </si>
  <si>
    <r>
      <t xml:space="preserve">Area 
</t>
    </r>
    <r>
      <rPr>
        <b/>
        <i/>
        <sz val="11"/>
        <rFont val="Calibri"/>
        <family val="2"/>
        <scheme val="minor"/>
      </rPr>
      <t>(in sq ft)</t>
    </r>
  </si>
  <si>
    <r>
      <t xml:space="preserve">Area 
</t>
    </r>
    <r>
      <rPr>
        <b/>
        <i/>
        <sz val="11"/>
        <rFont val="Calibri"/>
        <family val="2"/>
        <scheme val="minor"/>
      </rPr>
      <t>(in sq mtr)</t>
    </r>
  </si>
  <si>
    <t>Height
(in ft.)</t>
  </si>
  <si>
    <t>Year of Construction</t>
  </si>
  <si>
    <t xml:space="preserve">Year of Valuation </t>
  </si>
  <si>
    <r>
      <t xml:space="preserve">Total Life Consumed 
</t>
    </r>
    <r>
      <rPr>
        <b/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</si>
  <si>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b/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</si>
  <si>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</si>
  <si>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</si>
  <si>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b/>
        <i/>
        <sz val="11"/>
        <rFont val="Calibri"/>
        <family val="2"/>
        <scheme val="minor"/>
      </rPr>
      <t>(in per sq.ft.)</t>
    </r>
  </si>
  <si>
    <t>Gross Replacement Value
(INR)</t>
  </si>
  <si>
    <t xml:space="preserve">Depreciation Factor
(INR) </t>
  </si>
  <si>
    <t>Depreciated Value
(INR)</t>
  </si>
  <si>
    <t>Depreciated Replacement Market Value
(INR)</t>
  </si>
  <si>
    <t>Govt. Guideline rates
(per sq. ft.)</t>
  </si>
  <si>
    <t>Age Factor</t>
  </si>
  <si>
    <t>Total Govt. Guideline value</t>
  </si>
  <si>
    <t>Boundary Wall</t>
  </si>
  <si>
    <t>REMARKS:-</t>
  </si>
  <si>
    <t>3. Structure valuation is done on the basis of 'Depreciated Cost Approach' method only.</t>
  </si>
  <si>
    <t>S. No.</t>
  </si>
  <si>
    <t>Particular</t>
  </si>
  <si>
    <t>Road</t>
  </si>
  <si>
    <t>Total</t>
  </si>
  <si>
    <t>S.No.</t>
  </si>
  <si>
    <t>Khasra No.</t>
  </si>
  <si>
    <t xml:space="preserve">Gross Block </t>
  </si>
  <si>
    <t xml:space="preserve">Building </t>
  </si>
  <si>
    <t>Gross Block</t>
  </si>
  <si>
    <t>Net Block</t>
  </si>
  <si>
    <t>Plant and Machinery</t>
  </si>
  <si>
    <t>S.No</t>
  </si>
  <si>
    <t>Average</t>
  </si>
  <si>
    <t>Poor</t>
  </si>
  <si>
    <t>1500 per R.mtr.</t>
  </si>
  <si>
    <t>4000 per R.mtr.</t>
  </si>
  <si>
    <t>Grand Total</t>
  </si>
  <si>
    <t>2. Covered Area has been taken on the basis of area sheet of the buildings provided by the client.</t>
  </si>
  <si>
    <t>Area ( in hectares)</t>
  </si>
  <si>
    <t>93 (Min.)</t>
  </si>
  <si>
    <t>92 (Min.)</t>
  </si>
  <si>
    <t>35 (Min.)</t>
  </si>
  <si>
    <t>67/2</t>
  </si>
  <si>
    <t>129/1</t>
  </si>
  <si>
    <t>130/2</t>
  </si>
  <si>
    <t>116 (Min.)</t>
  </si>
  <si>
    <t>138/1</t>
  </si>
  <si>
    <t>90 (Min.)</t>
  </si>
  <si>
    <t>67/3</t>
  </si>
  <si>
    <t>121/1</t>
  </si>
  <si>
    <t>129/2</t>
  </si>
  <si>
    <t>130/1</t>
  </si>
  <si>
    <t>91/2</t>
  </si>
  <si>
    <t>89 (Min.)</t>
  </si>
  <si>
    <t>121/2</t>
  </si>
  <si>
    <t>140/2</t>
  </si>
  <si>
    <t>40'</t>
  </si>
  <si>
    <t>60'</t>
  </si>
  <si>
    <t>35'</t>
  </si>
  <si>
    <t>12'</t>
  </si>
  <si>
    <t>17'</t>
  </si>
  <si>
    <t>30'</t>
  </si>
  <si>
    <t>85'</t>
  </si>
  <si>
    <t>18'</t>
  </si>
  <si>
    <t>22'</t>
  </si>
  <si>
    <t>15'</t>
  </si>
  <si>
    <t>50'</t>
  </si>
  <si>
    <t>14'</t>
  </si>
  <si>
    <t>11'</t>
  </si>
  <si>
    <t>10'</t>
  </si>
  <si>
    <t>8'</t>
  </si>
  <si>
    <t>20'</t>
  </si>
  <si>
    <t>9'</t>
  </si>
  <si>
    <t>16'</t>
  </si>
  <si>
    <t xml:space="preserve">Age </t>
  </si>
  <si>
    <t>Ordinary</t>
  </si>
  <si>
    <t>Fixed Assets</t>
  </si>
  <si>
    <t>as on 31.03.2022</t>
  </si>
  <si>
    <t>Land &amp; Site Development</t>
  </si>
  <si>
    <t>- Factory</t>
  </si>
  <si>
    <t>- Non Factory</t>
  </si>
  <si>
    <t>Plant &amp; Machinery</t>
  </si>
  <si>
    <t>D.G. Set</t>
  </si>
  <si>
    <t>Lab Equipments</t>
  </si>
  <si>
    <t>Computers</t>
  </si>
  <si>
    <t>Weigh Bridges</t>
  </si>
  <si>
    <t>Office Equipments</t>
  </si>
  <si>
    <t>Furniture and Fixtures</t>
  </si>
  <si>
    <t>Vehicles</t>
  </si>
  <si>
    <t>31.03.2022</t>
  </si>
  <si>
    <t>Factory</t>
  </si>
  <si>
    <t xml:space="preserve">Total </t>
  </si>
  <si>
    <t>Net Bock</t>
  </si>
  <si>
    <t>Sugar Section</t>
  </si>
  <si>
    <t>Cogeneration Section</t>
  </si>
  <si>
    <t>Distillery Section</t>
  </si>
  <si>
    <t xml:space="preserve"> SUMMARY</t>
  </si>
  <si>
    <t>Division</t>
  </si>
  <si>
    <t xml:space="preserve">Area </t>
  </si>
  <si>
    <t>In sq. mtr.</t>
  </si>
  <si>
    <t>In sq. ft.</t>
  </si>
  <si>
    <t>Sugar</t>
  </si>
  <si>
    <t>Distillery</t>
  </si>
  <si>
    <t>Hot water URG</t>
  </si>
  <si>
    <t>Cold water URG</t>
  </si>
  <si>
    <t>Rs.12 per litre</t>
  </si>
  <si>
    <t>Deterioration Factor</t>
  </si>
  <si>
    <t>2.a</t>
  </si>
  <si>
    <t>2.b</t>
  </si>
  <si>
    <t>1. All the structures present within the compound of the property of M/s. Uttam Sugar Mills Limited| Situated at Village- Khaikheri, Tehsil &amp; District- Muzaffarnagar, Uttar Pradesh has been considered in this valuation report.</t>
  </si>
  <si>
    <t>Mill House</t>
  </si>
  <si>
    <t>Evaporation House</t>
  </si>
  <si>
    <t>Raw Pan House</t>
  </si>
  <si>
    <t>Sugar House</t>
  </si>
  <si>
    <t>Power House</t>
  </si>
  <si>
    <t>Boiler</t>
  </si>
  <si>
    <t>Refinery</t>
  </si>
  <si>
    <t>Clarification House</t>
  </si>
  <si>
    <t>Brown Sugar Packaging</t>
  </si>
  <si>
    <t>1 Kg Branded Packaging</t>
  </si>
  <si>
    <t>1 Kg Branded Store</t>
  </si>
  <si>
    <t>Workshop</t>
  </si>
  <si>
    <t>Store</t>
  </si>
  <si>
    <t>Power House Panel Room</t>
  </si>
  <si>
    <t>Mill House Panel Room</t>
  </si>
  <si>
    <t>Clarification Panel Room</t>
  </si>
  <si>
    <t>Centrifugal Panel Room</t>
  </si>
  <si>
    <t>Refinery &amp; Drier house panel room</t>
  </si>
  <si>
    <t>VFD Room</t>
  </si>
  <si>
    <t>Instrumentation Work Shop</t>
  </si>
  <si>
    <t>Production Office &amp; Lab</t>
  </si>
  <si>
    <t>Engg. Office Block</t>
  </si>
  <si>
    <t>Cane Weighing Bridge Room Trolley</t>
  </si>
  <si>
    <t>Cane Weighing Bridge Room Center</t>
  </si>
  <si>
    <t>Cane Weighing Bridge Room Cart</t>
  </si>
  <si>
    <t>Sales Weighing Bridge</t>
  </si>
  <si>
    <t>Supervisor Room in Yard</t>
  </si>
  <si>
    <t>Token Room No.1</t>
  </si>
  <si>
    <t>Token Room No.2</t>
  </si>
  <si>
    <t>Lime Store</t>
  </si>
  <si>
    <t>Brown Sugar Store</t>
  </si>
  <si>
    <t>Kissan Shed</t>
  </si>
  <si>
    <t>Godown No. 1</t>
  </si>
  <si>
    <t>Godown No. 2</t>
  </si>
  <si>
    <t>V.P. Office</t>
  </si>
  <si>
    <t>Time Office</t>
  </si>
  <si>
    <t>Account Office</t>
  </si>
  <si>
    <t>Cane Office</t>
  </si>
  <si>
    <t>Cane Account</t>
  </si>
  <si>
    <t>Sales Office</t>
  </si>
  <si>
    <t>Security Office</t>
  </si>
  <si>
    <t>Security Check Post (Main Gate)</t>
  </si>
  <si>
    <t>Security Check Post (Plant Gate)</t>
  </si>
  <si>
    <t>Dispensary</t>
  </si>
  <si>
    <t>Toilet Block</t>
  </si>
  <si>
    <t>Toilet Time Office</t>
  </si>
  <si>
    <t>Canteen</t>
  </si>
  <si>
    <t>Guest House (VIP) 4 Blocks</t>
  </si>
  <si>
    <t>Guest House General(Officers) 16 Room</t>
  </si>
  <si>
    <t>Cow Shed</t>
  </si>
  <si>
    <t>Lagoon</t>
  </si>
  <si>
    <t>Panel Room</t>
  </si>
  <si>
    <t>Meter Room</t>
  </si>
  <si>
    <t>HT Cable Trenches</t>
  </si>
  <si>
    <t>Steel Structure with RCC &amp; Brick Work</t>
  </si>
  <si>
    <t>RCC &amp; Brick Work</t>
  </si>
  <si>
    <t>Brick Work with Steel Structure</t>
  </si>
  <si>
    <t>Brick Work with Stone</t>
  </si>
  <si>
    <t>Steel Structure with Brick Work &amp; Stone</t>
  </si>
  <si>
    <t>Brick Work</t>
  </si>
  <si>
    <t>Steel Structure with Brick Work</t>
  </si>
  <si>
    <t>Steel Structure Barcading with Brick Work</t>
  </si>
  <si>
    <t>256 M3/2,56,000 litre</t>
  </si>
  <si>
    <t>726 M3/7,26,000 litre</t>
  </si>
  <si>
    <t>Height
(in mtr.)</t>
  </si>
  <si>
    <t xml:space="preserve">RCC &amp; Brick Work with R.C.C. Roof </t>
  </si>
  <si>
    <t>RCC &amp; Brick Work with G.I. Sheet</t>
  </si>
  <si>
    <t>350 R.mtr.</t>
  </si>
  <si>
    <t xml:space="preserve">RCC &amp; Brick Work </t>
  </si>
  <si>
    <t>3500 per mtr.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</si>
</sst>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&quot;₹&quot;\ * #,##0_ ;_ &quot;₹&quot;\ * \-#,##0_ ;_ &quot;₹&quot;\ * &quot;-&quot;??_ ;_ @_ "/>
    <numFmt numFmtId="167" formatCode="_(* #,##0_);_(* \(#,##0\);_(* &quot;-&quot;??_);_(@_)"/>
    <numFmt numFmtId="168" formatCode="0.0000"/>
    <numFmt numFmtId="169" formatCode="_ [$₹-4009]\ * #,##0.00_ ;_ [$₹-4009]\ * \-#,##0.00_ ;_ [$₹-4009]\ * &quot;-&quot;??_ ;_ @_ "/>
    <numFmt numFmtId="170" formatCode="_(* #,##0.00_);_(* \(#,##0.00\);_(* &quot;-&quot;??_);_(@_)"/>
    <numFmt numFmtId="171" formatCode="_-* #,##0.0_-;\-* #,##0.0_-;_-* &quot;-&quot;??_-;_-@_-"/>
    <numFmt numFmtId="172" formatCode="_ [$₹-4009]\ * #,##0_ ;_ [$₹-4009]\ * \-#,##0_ ;_ [$₹-4009]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0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2" applyNumberFormat="1" applyFont="1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6" fontId="1" fillId="0" borderId="1" xfId="2" applyNumberFormat="1" applyFont="1" applyFill="1" applyBorder="1" applyAlignment="1">
      <alignment vertical="center"/>
    </xf>
    <xf numFmtId="166" fontId="0" fillId="0" borderId="5" xfId="2" applyNumberFormat="1" applyFon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167" fontId="0" fillId="0" borderId="1" xfId="1" applyNumberFormat="1" applyFont="1" applyBorder="1" applyAlignment="1">
      <alignment horizontal="justify" vertical="top"/>
    </xf>
    <xf numFmtId="0" fontId="0" fillId="0" borderId="2" xfId="0" applyBorder="1" applyAlignment="1">
      <alignment horizontal="center" vertical="center"/>
    </xf>
    <xf numFmtId="167" fontId="0" fillId="0" borderId="1" xfId="1" applyNumberFormat="1" applyFont="1" applyBorder="1" applyAlignment="1">
      <alignment horizontal="justify" vertical="center"/>
    </xf>
    <xf numFmtId="0" fontId="0" fillId="0" borderId="7" xfId="0" applyBorder="1"/>
    <xf numFmtId="0" fontId="11" fillId="0" borderId="0" xfId="0" applyFont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0" borderId="1" xfId="0" quotePrefix="1" applyBorder="1"/>
    <xf numFmtId="0" fontId="11" fillId="0" borderId="1" xfId="0" applyFont="1" applyBorder="1"/>
    <xf numFmtId="1" fontId="0" fillId="0" borderId="0" xfId="0" applyNumberFormat="1"/>
    <xf numFmtId="167" fontId="0" fillId="0" borderId="0" xfId="0" applyNumberFormat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/>
    <xf numFmtId="170" fontId="10" fillId="0" borderId="1" xfId="3" applyBorder="1"/>
    <xf numFmtId="170" fontId="10" fillId="0" borderId="1" xfId="3" applyFill="1" applyBorder="1"/>
    <xf numFmtId="170" fontId="11" fillId="0" borderId="1" xfId="3" applyFont="1" applyBorder="1" applyAlignment="1">
      <alignment horizontal="right"/>
    </xf>
    <xf numFmtId="170" fontId="11" fillId="0" borderId="1" xfId="3" applyFont="1" applyFill="1" applyBorder="1" applyAlignment="1">
      <alignment horizontal="right"/>
    </xf>
    <xf numFmtId="171" fontId="10" fillId="0" borderId="1" xfId="3" applyNumberFormat="1" applyFont="1" applyBorder="1" applyAlignment="1">
      <alignment horizontal="center"/>
    </xf>
    <xf numFmtId="171" fontId="10" fillId="0" borderId="1" xfId="0" applyNumberFormat="1" applyFont="1" applyBorder="1" applyAlignment="1">
      <alignment horizontal="center"/>
    </xf>
    <xf numFmtId="171" fontId="11" fillId="0" borderId="1" xfId="3" applyNumberFormat="1" applyFont="1" applyBorder="1" applyAlignment="1">
      <alignment horizontal="center"/>
    </xf>
    <xf numFmtId="170" fontId="0" fillId="0" borderId="1" xfId="0" applyNumberFormat="1" applyBorder="1"/>
    <xf numFmtId="170" fontId="10" fillId="0" borderId="1" xfId="3" applyFont="1" applyBorder="1" applyAlignment="1">
      <alignment horizontal="center"/>
    </xf>
    <xf numFmtId="170" fontId="0" fillId="0" borderId="1" xfId="3" applyFont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171" fontId="11" fillId="0" borderId="0" xfId="3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0" fillId="0" borderId="1" xfId="1" applyFont="1" applyBorder="1"/>
    <xf numFmtId="43" fontId="6" fillId="0" borderId="1" xfId="1" applyFont="1" applyBorder="1" applyAlignment="1">
      <alignment horizontal="right" vertical="center"/>
    </xf>
    <xf numFmtId="43" fontId="13" fillId="7" borderId="1" xfId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/>
    </xf>
    <xf numFmtId="172" fontId="11" fillId="0" borderId="0" xfId="0" applyNumberFormat="1" applyFont="1" applyAlignment="1">
      <alignment horizontal="center"/>
    </xf>
    <xf numFmtId="172" fontId="0" fillId="0" borderId="0" xfId="0" applyNumberFormat="1"/>
    <xf numFmtId="172" fontId="11" fillId="6" borderId="1" xfId="0" applyNumberFormat="1" applyFont="1" applyFill="1" applyBorder="1" applyAlignment="1">
      <alignment horizontal="center"/>
    </xf>
    <xf numFmtId="172" fontId="11" fillId="6" borderId="1" xfId="0" applyNumberFormat="1" applyFont="1" applyFill="1" applyBorder="1"/>
    <xf numFmtId="172" fontId="10" fillId="0" borderId="1" xfId="3" applyNumberFormat="1" applyBorder="1"/>
    <xf numFmtId="172" fontId="10" fillId="0" borderId="1" xfId="3" applyNumberFormat="1" applyFill="1" applyBorder="1"/>
    <xf numFmtId="172" fontId="11" fillId="0" borderId="1" xfId="3" applyNumberFormat="1" applyFont="1" applyBorder="1" applyAlignment="1">
      <alignment horizontal="right"/>
    </xf>
    <xf numFmtId="172" fontId="11" fillId="0" borderId="1" xfId="3" applyNumberFormat="1" applyFont="1" applyFill="1" applyBorder="1" applyAlignment="1">
      <alignment horizontal="right"/>
    </xf>
    <xf numFmtId="172" fontId="10" fillId="0" borderId="1" xfId="3" applyNumberFormat="1" applyFont="1" applyBorder="1" applyAlignment="1">
      <alignment horizontal="center"/>
    </xf>
    <xf numFmtId="172" fontId="10" fillId="0" borderId="1" xfId="0" applyNumberFormat="1" applyFont="1" applyBorder="1" applyAlignment="1">
      <alignment horizontal="center"/>
    </xf>
    <xf numFmtId="172" fontId="11" fillId="0" borderId="1" xfId="3" applyNumberFormat="1" applyFont="1" applyBorder="1" applyAlignment="1">
      <alignment horizontal="center"/>
    </xf>
    <xf numFmtId="172" fontId="0" fillId="0" borderId="1" xfId="0" applyNumberFormat="1" applyBorder="1"/>
    <xf numFmtId="172" fontId="0" fillId="0" borderId="1" xfId="3" applyNumberFormat="1" applyFont="1" applyBorder="1"/>
    <xf numFmtId="164" fontId="5" fillId="0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0" fillId="0" borderId="2" xfId="1" applyNumberFormat="1" applyFont="1" applyBorder="1" applyAlignment="1">
      <alignment horizontal="center" vertical="center"/>
    </xf>
    <xf numFmtId="167" fontId="0" fillId="0" borderId="4" xfId="1" applyNumberFormat="1" applyFont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67" fontId="12" fillId="5" borderId="1" xfId="3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wrapText="1"/>
    </xf>
    <xf numFmtId="167" fontId="0" fillId="0" borderId="1" xfId="3" applyNumberFormat="1" applyFont="1" applyBorder="1"/>
    <xf numFmtId="164" fontId="5" fillId="0" borderId="1" xfId="1" applyNumberFormat="1" applyFont="1" applyFill="1" applyBorder="1" applyAlignment="1">
      <alignment vertical="center" wrapText="1"/>
    </xf>
    <xf numFmtId="172" fontId="5" fillId="0" borderId="1" xfId="0" applyNumberFormat="1" applyFont="1" applyBorder="1" applyAlignment="1">
      <alignment horizontal="center" vertical="center" wrapText="1"/>
    </xf>
    <xf numFmtId="172" fontId="5" fillId="0" borderId="1" xfId="0" applyNumberFormat="1" applyFont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vertical="center"/>
    </xf>
    <xf numFmtId="169" fontId="2" fillId="4" borderId="4" xfId="0" applyNumberFormat="1" applyFont="1" applyFill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</cellXfs>
  <cellStyles count="4">
    <cellStyle name="Comma" xfId="1" builtinId="3"/>
    <cellStyle name="Comma 10" xfId="3" xr:uid="{00000000-0005-0000-0000-000001000000}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8:J57"/>
  <sheetViews>
    <sheetView workbookViewId="0">
      <selection activeCell="I49" sqref="I49"/>
    </sheetView>
  </sheetViews>
  <sheetFormatPr defaultRowHeight="15" x14ac:dyDescent="0.25"/>
  <cols>
    <col min="8" max="10" width="25.7109375" customWidth="1"/>
  </cols>
  <sheetData>
    <row r="8" spans="8:10" x14ac:dyDescent="0.25">
      <c r="H8" s="40" t="s">
        <v>25</v>
      </c>
      <c r="I8" s="40" t="s">
        <v>30</v>
      </c>
      <c r="J8" s="41" t="s">
        <v>43</v>
      </c>
    </row>
    <row r="9" spans="8:10" x14ac:dyDescent="0.25">
      <c r="H9" s="100">
        <v>1</v>
      </c>
      <c r="I9" s="26">
        <v>36</v>
      </c>
      <c r="J9" s="42">
        <v>1.0920000000000001</v>
      </c>
    </row>
    <row r="10" spans="8:10" x14ac:dyDescent="0.25">
      <c r="H10" s="101"/>
      <c r="I10" s="26">
        <v>58</v>
      </c>
      <c r="J10" s="42">
        <v>2.5000000000000001E-2</v>
      </c>
    </row>
    <row r="11" spans="8:10" x14ac:dyDescent="0.25">
      <c r="H11" s="102"/>
      <c r="I11" s="26">
        <v>60</v>
      </c>
      <c r="J11" s="42">
        <v>0.126</v>
      </c>
    </row>
    <row r="12" spans="8:10" x14ac:dyDescent="0.25">
      <c r="H12" s="23">
        <v>2</v>
      </c>
      <c r="I12" s="26">
        <v>55</v>
      </c>
      <c r="J12" s="42">
        <v>0.36699999999999999</v>
      </c>
    </row>
    <row r="13" spans="8:10" x14ac:dyDescent="0.25">
      <c r="H13" s="23">
        <v>3</v>
      </c>
      <c r="I13" s="26">
        <v>56</v>
      </c>
      <c r="J13" s="42">
        <v>0.379</v>
      </c>
    </row>
    <row r="14" spans="8:10" x14ac:dyDescent="0.25">
      <c r="H14" s="23">
        <v>4</v>
      </c>
      <c r="I14" s="26" t="s">
        <v>44</v>
      </c>
      <c r="J14" s="42">
        <v>2.0219999999999998</v>
      </c>
    </row>
    <row r="15" spans="8:10" x14ac:dyDescent="0.25">
      <c r="H15" s="23">
        <v>5</v>
      </c>
      <c r="I15" s="26">
        <v>63</v>
      </c>
      <c r="J15" s="42">
        <v>0.13200000000000001</v>
      </c>
    </row>
    <row r="16" spans="8:10" x14ac:dyDescent="0.25">
      <c r="H16" s="23">
        <v>6</v>
      </c>
      <c r="I16" s="26" t="s">
        <v>45</v>
      </c>
      <c r="J16" s="42">
        <v>2.2130000000000001</v>
      </c>
    </row>
    <row r="17" spans="8:10" x14ac:dyDescent="0.25">
      <c r="H17" s="23">
        <v>7</v>
      </c>
      <c r="I17" s="26" t="s">
        <v>45</v>
      </c>
      <c r="J17" s="42">
        <v>1.2649999999999999</v>
      </c>
    </row>
    <row r="18" spans="8:10" x14ac:dyDescent="0.25">
      <c r="H18" s="100">
        <v>8</v>
      </c>
      <c r="I18" s="26">
        <v>112</v>
      </c>
      <c r="J18" s="42">
        <v>1.2999999999999999E-2</v>
      </c>
    </row>
    <row r="19" spans="8:10" x14ac:dyDescent="0.25">
      <c r="H19" s="102"/>
      <c r="I19" s="26">
        <v>108</v>
      </c>
      <c r="J19" s="42">
        <v>0.114</v>
      </c>
    </row>
    <row r="20" spans="8:10" x14ac:dyDescent="0.25">
      <c r="H20" s="100">
        <v>9</v>
      </c>
      <c r="I20" s="26" t="s">
        <v>46</v>
      </c>
      <c r="J20" s="42">
        <v>1.2649999999999999</v>
      </c>
    </row>
    <row r="21" spans="8:10" x14ac:dyDescent="0.25">
      <c r="H21" s="101"/>
      <c r="I21" s="26" t="s">
        <v>47</v>
      </c>
      <c r="J21" s="42">
        <v>1.61</v>
      </c>
    </row>
    <row r="22" spans="8:10" x14ac:dyDescent="0.25">
      <c r="H22" s="101"/>
      <c r="I22" s="26">
        <v>69</v>
      </c>
      <c r="J22" s="42">
        <v>1.2999999999999999E-2</v>
      </c>
    </row>
    <row r="23" spans="8:10" x14ac:dyDescent="0.25">
      <c r="H23" s="102"/>
      <c r="I23" s="26"/>
      <c r="J23" s="42">
        <v>0.114</v>
      </c>
    </row>
    <row r="24" spans="8:10" x14ac:dyDescent="0.25">
      <c r="H24" s="23">
        <v>10</v>
      </c>
      <c r="I24" s="26">
        <v>128</v>
      </c>
      <c r="J24" s="42">
        <v>0.34100000000000003</v>
      </c>
    </row>
    <row r="25" spans="8:10" x14ac:dyDescent="0.25">
      <c r="H25" s="100">
        <v>11</v>
      </c>
      <c r="I25" s="26">
        <v>102</v>
      </c>
      <c r="J25" s="42">
        <v>0.126</v>
      </c>
    </row>
    <row r="26" spans="8:10" x14ac:dyDescent="0.25">
      <c r="H26" s="101"/>
      <c r="I26" s="26">
        <v>104</v>
      </c>
      <c r="J26" s="42">
        <v>8.8999999999999996E-2</v>
      </c>
    </row>
    <row r="27" spans="8:10" x14ac:dyDescent="0.25">
      <c r="H27" s="102"/>
      <c r="I27" s="26">
        <v>114</v>
      </c>
      <c r="J27" s="42">
        <v>0.70799999999999996</v>
      </c>
    </row>
    <row r="28" spans="8:10" x14ac:dyDescent="0.25">
      <c r="H28" s="23">
        <v>12</v>
      </c>
      <c r="I28" s="26">
        <v>116</v>
      </c>
      <c r="J28" s="42">
        <v>0.30399999999999999</v>
      </c>
    </row>
    <row r="29" spans="8:10" x14ac:dyDescent="0.25">
      <c r="H29" s="100">
        <v>13</v>
      </c>
      <c r="I29" s="26" t="s">
        <v>48</v>
      </c>
      <c r="J29" s="43">
        <v>0.12670000000000001</v>
      </c>
    </row>
    <row r="30" spans="8:10" x14ac:dyDescent="0.25">
      <c r="H30" s="102"/>
      <c r="I30" s="26" t="s">
        <v>49</v>
      </c>
      <c r="J30" s="42">
        <v>3.0830000000000002</v>
      </c>
    </row>
    <row r="31" spans="8:10" x14ac:dyDescent="0.25">
      <c r="H31" s="23">
        <v>14</v>
      </c>
      <c r="I31" s="26">
        <v>131</v>
      </c>
      <c r="J31" s="42">
        <v>0.30399999999999999</v>
      </c>
    </row>
    <row r="32" spans="8:10" x14ac:dyDescent="0.25">
      <c r="H32" s="100">
        <v>15</v>
      </c>
      <c r="I32" s="26">
        <v>37</v>
      </c>
      <c r="J32" s="42">
        <v>2.488</v>
      </c>
    </row>
    <row r="33" spans="8:10" x14ac:dyDescent="0.25">
      <c r="H33" s="101"/>
      <c r="I33" s="26">
        <v>61</v>
      </c>
      <c r="J33" s="42">
        <v>0.65800000000000003</v>
      </c>
    </row>
    <row r="34" spans="8:10" x14ac:dyDescent="0.25">
      <c r="H34" s="102"/>
      <c r="I34" s="26">
        <v>65</v>
      </c>
      <c r="J34" s="42">
        <v>3.7999999999999999E-2</v>
      </c>
    </row>
    <row r="35" spans="8:10" x14ac:dyDescent="0.25">
      <c r="H35" s="23">
        <v>16</v>
      </c>
      <c r="I35" s="26">
        <v>34</v>
      </c>
      <c r="J35" s="42">
        <v>1.2370000000000001</v>
      </c>
    </row>
    <row r="36" spans="8:10" x14ac:dyDescent="0.25">
      <c r="H36" s="23">
        <v>17</v>
      </c>
      <c r="I36" s="26" t="s">
        <v>50</v>
      </c>
      <c r="J36" s="42">
        <v>0.10100000000000001</v>
      </c>
    </row>
    <row r="37" spans="8:10" x14ac:dyDescent="0.25">
      <c r="H37" s="23">
        <v>18</v>
      </c>
      <c r="I37" s="26" t="s">
        <v>51</v>
      </c>
      <c r="J37" s="42">
        <v>0.10100000000000001</v>
      </c>
    </row>
    <row r="38" spans="8:10" x14ac:dyDescent="0.25">
      <c r="H38" s="23">
        <v>19</v>
      </c>
      <c r="I38" s="26">
        <v>118</v>
      </c>
      <c r="J38" s="42">
        <v>0.27800000000000002</v>
      </c>
    </row>
    <row r="39" spans="8:10" x14ac:dyDescent="0.25">
      <c r="H39" s="23">
        <v>20</v>
      </c>
      <c r="I39" s="26" t="s">
        <v>52</v>
      </c>
      <c r="J39" s="42">
        <v>2.0510000000000002</v>
      </c>
    </row>
    <row r="40" spans="8:10" x14ac:dyDescent="0.25">
      <c r="H40" s="23">
        <v>21</v>
      </c>
      <c r="I40" s="26">
        <v>95</v>
      </c>
      <c r="J40" s="42">
        <v>1.252</v>
      </c>
    </row>
    <row r="41" spans="8:10" x14ac:dyDescent="0.25">
      <c r="H41" s="23">
        <v>22</v>
      </c>
      <c r="I41" s="26">
        <v>132</v>
      </c>
      <c r="J41" s="42">
        <v>0.16400000000000001</v>
      </c>
    </row>
    <row r="42" spans="8:10" x14ac:dyDescent="0.25">
      <c r="H42" s="100">
        <v>23</v>
      </c>
      <c r="I42" s="26">
        <v>72</v>
      </c>
      <c r="J42" s="42">
        <v>0.13900000000000001</v>
      </c>
    </row>
    <row r="43" spans="8:10" x14ac:dyDescent="0.25">
      <c r="H43" s="102"/>
      <c r="I43" s="26">
        <v>75</v>
      </c>
      <c r="J43" s="42">
        <v>0.49299999999999999</v>
      </c>
    </row>
    <row r="44" spans="8:10" x14ac:dyDescent="0.25">
      <c r="H44" s="23">
        <v>24</v>
      </c>
      <c r="I44" s="26" t="s">
        <v>53</v>
      </c>
      <c r="J44" s="42">
        <v>3.7999999999999999E-2</v>
      </c>
    </row>
    <row r="45" spans="8:10" x14ac:dyDescent="0.25">
      <c r="H45" s="23">
        <v>25</v>
      </c>
      <c r="I45" s="26" t="s">
        <v>54</v>
      </c>
      <c r="J45" s="42">
        <v>2.1000000000000001E-2</v>
      </c>
    </row>
    <row r="46" spans="8:10" x14ac:dyDescent="0.25">
      <c r="H46" s="100">
        <v>26</v>
      </c>
      <c r="I46" s="26" t="s">
        <v>55</v>
      </c>
      <c r="J46" s="42">
        <v>0.27800000000000002</v>
      </c>
    </row>
    <row r="47" spans="8:10" x14ac:dyDescent="0.25">
      <c r="H47" s="102"/>
      <c r="I47" s="26" t="s">
        <v>56</v>
      </c>
      <c r="J47" s="42">
        <v>1.8089999999999999</v>
      </c>
    </row>
    <row r="48" spans="8:10" x14ac:dyDescent="0.25">
      <c r="H48" s="23">
        <v>27</v>
      </c>
      <c r="I48" s="26" t="s">
        <v>57</v>
      </c>
      <c r="J48" s="42">
        <v>1.607</v>
      </c>
    </row>
    <row r="49" spans="8:10" x14ac:dyDescent="0.25">
      <c r="H49" s="23">
        <v>28</v>
      </c>
      <c r="I49" s="26" t="s">
        <v>58</v>
      </c>
      <c r="J49" s="42">
        <v>2.5920000000000001</v>
      </c>
    </row>
    <row r="50" spans="8:10" x14ac:dyDescent="0.25">
      <c r="H50" s="100">
        <v>29</v>
      </c>
      <c r="I50" s="26" t="s">
        <v>59</v>
      </c>
      <c r="J50" s="42">
        <v>1.0999999999999999E-2</v>
      </c>
    </row>
    <row r="51" spans="8:10" x14ac:dyDescent="0.25">
      <c r="H51" s="102"/>
      <c r="I51" s="26">
        <v>120</v>
      </c>
      <c r="J51" s="42">
        <v>0.379</v>
      </c>
    </row>
    <row r="52" spans="8:10" x14ac:dyDescent="0.25">
      <c r="H52" s="100">
        <v>30</v>
      </c>
      <c r="I52" s="26">
        <v>135</v>
      </c>
      <c r="J52" s="42">
        <v>0.67</v>
      </c>
    </row>
    <row r="53" spans="8:10" x14ac:dyDescent="0.25">
      <c r="H53" s="101"/>
      <c r="I53" s="26">
        <v>137</v>
      </c>
      <c r="J53" s="42">
        <v>3.7810000000000001</v>
      </c>
    </row>
    <row r="54" spans="8:10" x14ac:dyDescent="0.25">
      <c r="H54" s="101"/>
      <c r="I54" s="26">
        <v>98</v>
      </c>
      <c r="J54" s="42">
        <v>0.19</v>
      </c>
    </row>
    <row r="55" spans="8:10" x14ac:dyDescent="0.25">
      <c r="H55" s="102"/>
      <c r="I55" s="26">
        <v>101</v>
      </c>
      <c r="J55" s="42">
        <v>0.379</v>
      </c>
    </row>
    <row r="56" spans="8:10" x14ac:dyDescent="0.25">
      <c r="H56" s="23">
        <v>31</v>
      </c>
      <c r="I56" s="26" t="s">
        <v>60</v>
      </c>
      <c r="J56" s="42">
        <v>6.3E-2</v>
      </c>
    </row>
    <row r="57" spans="8:10" x14ac:dyDescent="0.25">
      <c r="H57" s="99" t="s">
        <v>28</v>
      </c>
      <c r="I57" s="99"/>
      <c r="J57" s="44">
        <f>SUM(J9:J56)</f>
        <v>36.649699999999989</v>
      </c>
    </row>
  </sheetData>
  <mergeCells count="11">
    <mergeCell ref="H9:H11"/>
    <mergeCell ref="H18:H19"/>
    <mergeCell ref="H20:H23"/>
    <mergeCell ref="H25:H27"/>
    <mergeCell ref="H29:H30"/>
    <mergeCell ref="H57:I57"/>
    <mergeCell ref="H32:H34"/>
    <mergeCell ref="H42:H43"/>
    <mergeCell ref="H46:H47"/>
    <mergeCell ref="H50:H51"/>
    <mergeCell ref="H52:H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B69"/>
  <sheetViews>
    <sheetView tabSelected="1" topLeftCell="L1" zoomScaleNormal="100" workbookViewId="0">
      <pane ySplit="3" topLeftCell="A48" activePane="bottomLeft" state="frozen"/>
      <selection activeCell="D27" sqref="D27"/>
      <selection pane="bottomLeft" activeCell="W63" sqref="W63"/>
    </sheetView>
  </sheetViews>
  <sheetFormatPr defaultColWidth="9.140625" defaultRowHeight="15" x14ac:dyDescent="0.25"/>
  <cols>
    <col min="1" max="1" width="9.140625" style="1" customWidth="1"/>
    <col min="2" max="2" width="11.42578125" style="17" customWidth="1"/>
    <col min="3" max="3" width="23.28515625" style="17" hidden="1" customWidth="1"/>
    <col min="4" max="4" width="51.7109375" style="18" customWidth="1"/>
    <col min="5" max="5" width="50.7109375" style="17" customWidth="1"/>
    <col min="6" max="6" width="14.28515625" style="1" customWidth="1"/>
    <col min="7" max="7" width="13" style="16" customWidth="1"/>
    <col min="8" max="9" width="14.7109375" style="16" customWidth="1"/>
    <col min="10" max="10" width="11.85546875" style="19" customWidth="1"/>
    <col min="11" max="11" width="13.28515625" style="1" customWidth="1"/>
    <col min="12" max="12" width="13" style="1" customWidth="1"/>
    <col min="13" max="13" width="10.42578125" style="1" customWidth="1"/>
    <col min="14" max="14" width="11.42578125" style="1" customWidth="1"/>
    <col min="15" max="15" width="9.85546875" style="1" customWidth="1"/>
    <col min="16" max="17" width="12.85546875" style="1" customWidth="1"/>
    <col min="18" max="18" width="17.28515625" style="1" customWidth="1"/>
    <col min="19" max="21" width="16.85546875" style="1" customWidth="1"/>
    <col min="22" max="22" width="15.85546875" style="1" customWidth="1"/>
    <col min="23" max="23" width="16.85546875" style="1" customWidth="1"/>
    <col min="24" max="24" width="19.85546875" style="1" customWidth="1"/>
    <col min="25" max="25" width="11" style="1" customWidth="1"/>
    <col min="26" max="26" width="19.85546875" style="1" customWidth="1"/>
    <col min="27" max="27" width="12.5703125" style="1" customWidth="1"/>
    <col min="28" max="29" width="16.85546875" style="1" customWidth="1"/>
    <col min="30" max="30" width="14.28515625" style="1" customWidth="1"/>
    <col min="31" max="36" width="9.140625" style="1"/>
    <col min="37" max="37" width="12.7109375" style="1" customWidth="1"/>
    <col min="38" max="16384" width="9.140625" style="1"/>
  </cols>
  <sheetData>
    <row r="2" spans="2:27" ht="15" customHeight="1" x14ac:dyDescent="0.25">
      <c r="B2" s="103" t="str">
        <f>UPPER("Building Structural Sheet | M/S. Uttam Sugar Mills Limited| SITUATED AT Village- Khaikheri, Tehsil &amp; District- Muzaffarnagar, Uttar Pradesh")</f>
        <v>BUILDING STRUCTURAL SHEET | M/S. UTTAM SUGAR MILLS LIMITED| SITUATED AT VILLAGE- KHAIKHERI, TEHSIL &amp; DISTRICT- MUZAFFARNAGAR, UTTAR PRADESH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2:27" s="5" customFormat="1" ht="60" x14ac:dyDescent="0.25">
      <c r="B3" s="2" t="s">
        <v>0</v>
      </c>
      <c r="C3" s="2" t="s">
        <v>1</v>
      </c>
      <c r="D3" s="28" t="s">
        <v>2</v>
      </c>
      <c r="E3" s="28" t="s">
        <v>3</v>
      </c>
      <c r="F3" s="2" t="s">
        <v>4</v>
      </c>
      <c r="G3" s="3" t="s">
        <v>5</v>
      </c>
      <c r="H3" s="3" t="s">
        <v>6</v>
      </c>
      <c r="I3" s="4" t="s">
        <v>7</v>
      </c>
      <c r="J3" s="4" t="s">
        <v>179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/>
      <c r="R3" s="2" t="s">
        <v>14</v>
      </c>
      <c r="S3" s="2" t="s">
        <v>15</v>
      </c>
      <c r="T3" s="2" t="s">
        <v>16</v>
      </c>
      <c r="U3" s="2" t="s">
        <v>17</v>
      </c>
      <c r="V3" s="2" t="s">
        <v>111</v>
      </c>
      <c r="W3" s="2" t="s">
        <v>18</v>
      </c>
      <c r="X3" s="2" t="s">
        <v>19</v>
      </c>
      <c r="Y3" s="2" t="s">
        <v>20</v>
      </c>
      <c r="Z3" s="2" t="s">
        <v>21</v>
      </c>
    </row>
    <row r="4" spans="2:27" s="5" customFormat="1" ht="15" customHeight="1" x14ac:dyDescent="0.25">
      <c r="B4" s="24">
        <v>1</v>
      </c>
      <c r="C4" s="23"/>
      <c r="D4" s="27" t="s">
        <v>115</v>
      </c>
      <c r="E4" s="27" t="s">
        <v>169</v>
      </c>
      <c r="F4" s="7" t="s">
        <v>80</v>
      </c>
      <c r="G4" s="48">
        <v>17437.68</v>
      </c>
      <c r="H4" s="97">
        <f>G4*10.7639</f>
        <v>187697.44375199999</v>
      </c>
      <c r="I4" s="131">
        <f>J4*3.281</f>
        <v>65.62</v>
      </c>
      <c r="J4" s="130">
        <v>20</v>
      </c>
      <c r="K4" s="24">
        <v>2007</v>
      </c>
      <c r="L4" s="24">
        <v>2022</v>
      </c>
      <c r="M4" s="24">
        <f>L4-K4</f>
        <v>15</v>
      </c>
      <c r="N4" s="24">
        <f>VLOOKUP(E4,Sheet1!$E$6:$F$23,2,FALSE)</f>
        <v>40</v>
      </c>
      <c r="O4" s="25">
        <v>0.1</v>
      </c>
      <c r="P4" s="24">
        <f>(1-O4)/N4</f>
        <v>2.2499999999999999E-2</v>
      </c>
      <c r="Q4" s="24"/>
      <c r="R4" s="133">
        <v>1600</v>
      </c>
      <c r="S4" s="132">
        <f>G4*R4</f>
        <v>27900288</v>
      </c>
      <c r="T4" s="132">
        <f>S4*P4*M4</f>
        <v>9416347.1999999993</v>
      </c>
      <c r="U4" s="132">
        <f>MAX(S4-T4,O4*S4)</f>
        <v>18483940.800000001</v>
      </c>
      <c r="V4" s="25">
        <v>0.15</v>
      </c>
      <c r="W4" s="132">
        <f>U4*(1-V4)</f>
        <v>15711349.68</v>
      </c>
      <c r="X4" s="6"/>
      <c r="Y4" s="6"/>
      <c r="Z4" s="6"/>
    </row>
    <row r="5" spans="2:27" ht="15" customHeight="1" x14ac:dyDescent="0.25">
      <c r="B5" s="7">
        <f>INT(B4)+1</f>
        <v>2</v>
      </c>
      <c r="C5" s="23"/>
      <c r="D5" s="27" t="s">
        <v>116</v>
      </c>
      <c r="E5" s="27" t="s">
        <v>169</v>
      </c>
      <c r="F5" s="7" t="s">
        <v>80</v>
      </c>
      <c r="G5" s="48">
        <v>10898.55</v>
      </c>
      <c r="H5" s="97">
        <f t="shared" ref="H5:H56" si="0">G5*10.7639</f>
        <v>117310.90234499998</v>
      </c>
      <c r="I5" s="131">
        <f t="shared" ref="I5:I56" si="1">J5*3.281</f>
        <v>65.62</v>
      </c>
      <c r="J5" s="130">
        <v>20</v>
      </c>
      <c r="K5" s="24">
        <v>2007</v>
      </c>
      <c r="L5" s="24">
        <v>2022</v>
      </c>
      <c r="M5" s="24">
        <f t="shared" ref="M5:M56" si="2">L5-K5</f>
        <v>15</v>
      </c>
      <c r="N5" s="24">
        <f>VLOOKUP(E5,Sheet1!$E$6:$F$23,2,FALSE)</f>
        <v>40</v>
      </c>
      <c r="O5" s="25">
        <v>0.1</v>
      </c>
      <c r="P5" s="24">
        <f t="shared" ref="P5:P56" si="3">(1-O5)/N5</f>
        <v>2.2499999999999999E-2</v>
      </c>
      <c r="Q5" s="24"/>
      <c r="R5" s="133">
        <v>1600</v>
      </c>
      <c r="S5" s="132">
        <f t="shared" ref="S5:S56" si="4">G5*R5</f>
        <v>17437680</v>
      </c>
      <c r="T5" s="132">
        <f t="shared" ref="T5:T50" si="5">S5*P5*M5</f>
        <v>5885217</v>
      </c>
      <c r="U5" s="132">
        <f t="shared" ref="U5:U56" si="6">MAX(S5-T5,O5*S5)</f>
        <v>11552463</v>
      </c>
      <c r="V5" s="25">
        <v>0.15</v>
      </c>
      <c r="W5" s="132">
        <f t="shared" ref="W5:W56" si="7">U5*(1-V5)</f>
        <v>9819593.5499999989</v>
      </c>
      <c r="X5" s="8">
        <v>500</v>
      </c>
      <c r="Y5" s="9">
        <v>1</v>
      </c>
      <c r="Z5" s="8">
        <f>(X5*Y5*G5)</f>
        <v>5449275</v>
      </c>
      <c r="AA5" s="10">
        <f>W5/G5</f>
        <v>901</v>
      </c>
    </row>
    <row r="6" spans="2:27" ht="15" customHeight="1" x14ac:dyDescent="0.25">
      <c r="B6" s="7">
        <f t="shared" ref="B6:B50" si="8">INT(B5)+1</f>
        <v>3</v>
      </c>
      <c r="C6" s="23"/>
      <c r="D6" s="27" t="s">
        <v>117</v>
      </c>
      <c r="E6" s="27" t="s">
        <v>169</v>
      </c>
      <c r="F6" s="7" t="s">
        <v>38</v>
      </c>
      <c r="G6" s="48">
        <v>29208.113999999998</v>
      </c>
      <c r="H6" s="97">
        <f t="shared" si="0"/>
        <v>314393.21828459995</v>
      </c>
      <c r="I6" s="131">
        <f t="shared" si="1"/>
        <v>65.62</v>
      </c>
      <c r="J6" s="130">
        <v>20</v>
      </c>
      <c r="K6" s="24">
        <v>2007</v>
      </c>
      <c r="L6" s="24">
        <v>2022</v>
      </c>
      <c r="M6" s="24">
        <f t="shared" si="2"/>
        <v>15</v>
      </c>
      <c r="N6" s="24">
        <f>VLOOKUP(E6,Sheet1!$E$6:$F$23,2,FALSE)</f>
        <v>40</v>
      </c>
      <c r="O6" s="25">
        <v>0.1</v>
      </c>
      <c r="P6" s="24">
        <f t="shared" si="3"/>
        <v>2.2499999999999999E-2</v>
      </c>
      <c r="Q6" s="24"/>
      <c r="R6" s="133">
        <v>1600</v>
      </c>
      <c r="S6" s="132">
        <f t="shared" si="4"/>
        <v>46732982.399999999</v>
      </c>
      <c r="T6" s="132">
        <f t="shared" si="5"/>
        <v>15772381.559999997</v>
      </c>
      <c r="U6" s="132">
        <f t="shared" si="6"/>
        <v>30960600.840000004</v>
      </c>
      <c r="V6" s="25">
        <v>0.15</v>
      </c>
      <c r="W6" s="132">
        <f t="shared" si="7"/>
        <v>26316510.714000002</v>
      </c>
      <c r="X6" s="14"/>
      <c r="Y6" s="15"/>
      <c r="Z6" s="14"/>
      <c r="AA6" s="10"/>
    </row>
    <row r="7" spans="2:27" ht="15" customHeight="1" x14ac:dyDescent="0.25">
      <c r="B7" s="7">
        <f t="shared" si="8"/>
        <v>4</v>
      </c>
      <c r="C7" s="23"/>
      <c r="D7" s="27" t="s">
        <v>118</v>
      </c>
      <c r="E7" s="27" t="s">
        <v>169</v>
      </c>
      <c r="F7" s="7" t="s">
        <v>37</v>
      </c>
      <c r="G7" s="48">
        <v>13078.259999999998</v>
      </c>
      <c r="H7" s="97">
        <f t="shared" si="0"/>
        <v>140773.08281399996</v>
      </c>
      <c r="I7" s="131">
        <f t="shared" si="1"/>
        <v>65.62</v>
      </c>
      <c r="J7" s="130">
        <v>20</v>
      </c>
      <c r="K7" s="24">
        <v>2007</v>
      </c>
      <c r="L7" s="24">
        <v>2022</v>
      </c>
      <c r="M7" s="24">
        <f t="shared" si="2"/>
        <v>15</v>
      </c>
      <c r="N7" s="24">
        <f>VLOOKUP(E7,Sheet1!$E$6:$F$23,2,FALSE)</f>
        <v>40</v>
      </c>
      <c r="O7" s="25">
        <v>0.1</v>
      </c>
      <c r="P7" s="24">
        <f t="shared" si="3"/>
        <v>2.2499999999999999E-2</v>
      </c>
      <c r="Q7" s="24"/>
      <c r="R7" s="133">
        <v>1600</v>
      </c>
      <c r="S7" s="132">
        <f t="shared" si="4"/>
        <v>20925215.999999996</v>
      </c>
      <c r="T7" s="132">
        <f t="shared" si="5"/>
        <v>7062260.3999999985</v>
      </c>
      <c r="U7" s="132">
        <f t="shared" si="6"/>
        <v>13862955.599999998</v>
      </c>
      <c r="V7" s="25">
        <v>0.15</v>
      </c>
      <c r="W7" s="132">
        <f t="shared" si="7"/>
        <v>11783512.259999998</v>
      </c>
      <c r="X7" s="14"/>
      <c r="Y7" s="15"/>
      <c r="Z7" s="14"/>
      <c r="AA7" s="10"/>
    </row>
    <row r="8" spans="2:27" ht="15" customHeight="1" x14ac:dyDescent="0.25">
      <c r="B8" s="7">
        <f t="shared" si="8"/>
        <v>5</v>
      </c>
      <c r="C8" s="23"/>
      <c r="D8" s="27" t="s">
        <v>119</v>
      </c>
      <c r="E8" s="27" t="s">
        <v>169</v>
      </c>
      <c r="F8" s="7" t="s">
        <v>37</v>
      </c>
      <c r="G8" s="48">
        <v>9687.5999999999985</v>
      </c>
      <c r="H8" s="97">
        <f t="shared" si="0"/>
        <v>104276.35763999999</v>
      </c>
      <c r="I8" s="131">
        <f t="shared" si="1"/>
        <v>65.62</v>
      </c>
      <c r="J8" s="130">
        <v>20</v>
      </c>
      <c r="K8" s="24">
        <v>2007</v>
      </c>
      <c r="L8" s="24">
        <v>2022</v>
      </c>
      <c r="M8" s="24">
        <f t="shared" si="2"/>
        <v>15</v>
      </c>
      <c r="N8" s="24">
        <f>VLOOKUP(E8,Sheet1!$E$6:$F$23,2,FALSE)</f>
        <v>40</v>
      </c>
      <c r="O8" s="25">
        <v>0.1</v>
      </c>
      <c r="P8" s="24">
        <f t="shared" si="3"/>
        <v>2.2499999999999999E-2</v>
      </c>
      <c r="Q8" s="24"/>
      <c r="R8" s="133">
        <v>1600</v>
      </c>
      <c r="S8" s="132">
        <f t="shared" si="4"/>
        <v>15500159.999999998</v>
      </c>
      <c r="T8" s="132">
        <f t="shared" si="5"/>
        <v>5231303.9999999991</v>
      </c>
      <c r="U8" s="132">
        <f t="shared" si="6"/>
        <v>10268856</v>
      </c>
      <c r="V8" s="25">
        <v>0.15</v>
      </c>
      <c r="W8" s="132">
        <f t="shared" si="7"/>
        <v>8728527.5999999996</v>
      </c>
      <c r="X8" s="14"/>
      <c r="Y8" s="15"/>
      <c r="Z8" s="14"/>
      <c r="AA8" s="10"/>
    </row>
    <row r="9" spans="2:27" ht="15" customHeight="1" x14ac:dyDescent="0.25">
      <c r="B9" s="7">
        <f t="shared" si="8"/>
        <v>6</v>
      </c>
      <c r="C9" s="23"/>
      <c r="D9" s="27" t="s">
        <v>120</v>
      </c>
      <c r="E9" s="27" t="s">
        <v>169</v>
      </c>
      <c r="F9" s="7" t="s">
        <v>37</v>
      </c>
      <c r="G9" s="48">
        <v>6393.8159999999998</v>
      </c>
      <c r="H9" s="97">
        <f t="shared" si="0"/>
        <v>68822.396042399996</v>
      </c>
      <c r="I9" s="131">
        <f t="shared" si="1"/>
        <v>114.83500000000001</v>
      </c>
      <c r="J9" s="130">
        <v>35</v>
      </c>
      <c r="K9" s="24">
        <v>2007</v>
      </c>
      <c r="L9" s="24">
        <v>2022</v>
      </c>
      <c r="M9" s="24">
        <f t="shared" si="2"/>
        <v>15</v>
      </c>
      <c r="N9" s="24">
        <f>VLOOKUP(E9,Sheet1!$E$6:$F$23,2,FALSE)</f>
        <v>40</v>
      </c>
      <c r="O9" s="25">
        <v>0.1</v>
      </c>
      <c r="P9" s="24">
        <f t="shared" si="3"/>
        <v>2.2499999999999999E-2</v>
      </c>
      <c r="Q9" s="24"/>
      <c r="R9" s="133">
        <v>1600</v>
      </c>
      <c r="S9" s="132">
        <f t="shared" si="4"/>
        <v>10230105.6</v>
      </c>
      <c r="T9" s="132">
        <f t="shared" si="5"/>
        <v>3452660.6399999997</v>
      </c>
      <c r="U9" s="132">
        <f t="shared" si="6"/>
        <v>6777444.96</v>
      </c>
      <c r="V9" s="25">
        <v>0.15</v>
      </c>
      <c r="W9" s="132">
        <f t="shared" si="7"/>
        <v>5760828.216</v>
      </c>
      <c r="X9" s="14"/>
      <c r="Y9" s="15"/>
      <c r="Z9" s="14"/>
      <c r="AA9" s="10"/>
    </row>
    <row r="10" spans="2:27" ht="15" customHeight="1" x14ac:dyDescent="0.25">
      <c r="B10" s="7">
        <f t="shared" si="8"/>
        <v>7</v>
      </c>
      <c r="C10" s="23"/>
      <c r="D10" s="27" t="s">
        <v>121</v>
      </c>
      <c r="E10" s="27" t="s">
        <v>169</v>
      </c>
      <c r="F10" s="7" t="s">
        <v>38</v>
      </c>
      <c r="G10" s="48">
        <v>6781.32</v>
      </c>
      <c r="H10" s="97">
        <f t="shared" si="0"/>
        <v>72993.450347999998</v>
      </c>
      <c r="I10" s="131">
        <f t="shared" si="1"/>
        <v>32.81</v>
      </c>
      <c r="J10" s="130">
        <v>10</v>
      </c>
      <c r="K10" s="24">
        <v>2007</v>
      </c>
      <c r="L10" s="24">
        <v>2022</v>
      </c>
      <c r="M10" s="24">
        <f t="shared" si="2"/>
        <v>15</v>
      </c>
      <c r="N10" s="24">
        <f>VLOOKUP(E10,Sheet1!$E$6:$F$23,2,FALSE)</f>
        <v>40</v>
      </c>
      <c r="O10" s="25">
        <v>0.1</v>
      </c>
      <c r="P10" s="24">
        <f t="shared" si="3"/>
        <v>2.2499999999999999E-2</v>
      </c>
      <c r="Q10" s="24"/>
      <c r="R10" s="133">
        <v>1600</v>
      </c>
      <c r="S10" s="132">
        <f t="shared" si="4"/>
        <v>10850112</v>
      </c>
      <c r="T10" s="132">
        <f t="shared" si="5"/>
        <v>3661912.8</v>
      </c>
      <c r="U10" s="132">
        <f t="shared" si="6"/>
        <v>7188199.2000000002</v>
      </c>
      <c r="V10" s="25">
        <v>0.15</v>
      </c>
      <c r="W10" s="132">
        <f t="shared" si="7"/>
        <v>6109969.3200000003</v>
      </c>
      <c r="X10" s="14"/>
      <c r="Y10" s="15"/>
      <c r="Z10" s="14"/>
      <c r="AA10" s="10"/>
    </row>
    <row r="11" spans="2:27" ht="15" customHeight="1" x14ac:dyDescent="0.25">
      <c r="B11" s="7">
        <f t="shared" si="8"/>
        <v>8</v>
      </c>
      <c r="C11" s="23"/>
      <c r="D11" s="27" t="s">
        <v>122</v>
      </c>
      <c r="E11" s="27" t="s">
        <v>169</v>
      </c>
      <c r="F11" s="7" t="s">
        <v>37</v>
      </c>
      <c r="G11" s="48">
        <v>14834.137499999999</v>
      </c>
      <c r="H11" s="97">
        <f t="shared" si="0"/>
        <v>159673.17263624998</v>
      </c>
      <c r="I11" s="131">
        <f t="shared" si="1"/>
        <v>26.248000000000001</v>
      </c>
      <c r="J11" s="130">
        <v>8</v>
      </c>
      <c r="K11" s="24">
        <v>2007</v>
      </c>
      <c r="L11" s="24">
        <v>2022</v>
      </c>
      <c r="M11" s="24">
        <f t="shared" si="2"/>
        <v>15</v>
      </c>
      <c r="N11" s="24">
        <f>VLOOKUP(E11,Sheet1!$E$6:$F$23,2,FALSE)</f>
        <v>40</v>
      </c>
      <c r="O11" s="25">
        <v>0.1</v>
      </c>
      <c r="P11" s="24">
        <f t="shared" si="3"/>
        <v>2.2499999999999999E-2</v>
      </c>
      <c r="Q11" s="24"/>
      <c r="R11" s="133">
        <v>1600</v>
      </c>
      <c r="S11" s="132">
        <f t="shared" si="4"/>
        <v>23734620</v>
      </c>
      <c r="T11" s="132">
        <f t="shared" si="5"/>
        <v>8010434.2499999991</v>
      </c>
      <c r="U11" s="132">
        <f t="shared" si="6"/>
        <v>15724185.75</v>
      </c>
      <c r="V11" s="25">
        <v>0.15</v>
      </c>
      <c r="W11" s="132">
        <f t="shared" si="7"/>
        <v>13365557.887499999</v>
      </c>
      <c r="X11" s="14"/>
      <c r="Y11" s="15"/>
      <c r="Z11" s="14"/>
      <c r="AA11" s="10"/>
    </row>
    <row r="12" spans="2:27" ht="15" customHeight="1" x14ac:dyDescent="0.25">
      <c r="B12" s="7">
        <f t="shared" si="8"/>
        <v>9</v>
      </c>
      <c r="C12" s="23"/>
      <c r="D12" s="27" t="s">
        <v>123</v>
      </c>
      <c r="E12" s="27" t="s">
        <v>169</v>
      </c>
      <c r="F12" s="7" t="s">
        <v>37</v>
      </c>
      <c r="G12" s="48">
        <v>4520.88</v>
      </c>
      <c r="H12" s="97">
        <f t="shared" si="0"/>
        <v>48662.300232000001</v>
      </c>
      <c r="I12" s="131">
        <f t="shared" si="1"/>
        <v>16.405000000000001</v>
      </c>
      <c r="J12" s="130">
        <v>5</v>
      </c>
      <c r="K12" s="24">
        <v>2007</v>
      </c>
      <c r="L12" s="24">
        <v>2022</v>
      </c>
      <c r="M12" s="24">
        <f t="shared" si="2"/>
        <v>15</v>
      </c>
      <c r="N12" s="24">
        <f>VLOOKUP(E12,Sheet1!$E$6:$F$23,2,FALSE)</f>
        <v>40</v>
      </c>
      <c r="O12" s="25">
        <v>0.1</v>
      </c>
      <c r="P12" s="24">
        <f t="shared" si="3"/>
        <v>2.2499999999999999E-2</v>
      </c>
      <c r="Q12" s="24"/>
      <c r="R12" s="133">
        <v>1600</v>
      </c>
      <c r="S12" s="132">
        <f t="shared" si="4"/>
        <v>7233408</v>
      </c>
      <c r="T12" s="132">
        <f t="shared" si="5"/>
        <v>2441275.1999999997</v>
      </c>
      <c r="U12" s="132">
        <f t="shared" si="6"/>
        <v>4792132.8000000007</v>
      </c>
      <c r="V12" s="25">
        <v>0.15</v>
      </c>
      <c r="W12" s="132">
        <f t="shared" si="7"/>
        <v>4073312.8800000004</v>
      </c>
      <c r="X12" s="14"/>
      <c r="Y12" s="15"/>
      <c r="Z12" s="14"/>
      <c r="AA12" s="10"/>
    </row>
    <row r="13" spans="2:27" ht="15" customHeight="1" x14ac:dyDescent="0.25">
      <c r="B13" s="7">
        <f t="shared" si="8"/>
        <v>10</v>
      </c>
      <c r="C13" s="23"/>
      <c r="D13" s="27" t="s">
        <v>124</v>
      </c>
      <c r="E13" s="27" t="s">
        <v>169</v>
      </c>
      <c r="F13" s="7" t="s">
        <v>37</v>
      </c>
      <c r="G13" s="48">
        <v>1243.242</v>
      </c>
      <c r="H13" s="97">
        <f t="shared" si="0"/>
        <v>13382.1325638</v>
      </c>
      <c r="I13" s="131">
        <f t="shared" si="1"/>
        <v>14.7645</v>
      </c>
      <c r="J13" s="130">
        <v>4.5</v>
      </c>
      <c r="K13" s="24">
        <v>2007</v>
      </c>
      <c r="L13" s="24">
        <v>2022</v>
      </c>
      <c r="M13" s="24">
        <f t="shared" si="2"/>
        <v>15</v>
      </c>
      <c r="N13" s="24">
        <f>VLOOKUP(E13,Sheet1!$E$6:$F$23,2,FALSE)</f>
        <v>40</v>
      </c>
      <c r="O13" s="25">
        <v>0.1</v>
      </c>
      <c r="P13" s="24">
        <f t="shared" si="3"/>
        <v>2.2499999999999999E-2</v>
      </c>
      <c r="Q13" s="24"/>
      <c r="R13" s="133">
        <v>1600</v>
      </c>
      <c r="S13" s="132">
        <f t="shared" si="4"/>
        <v>1989187.2</v>
      </c>
      <c r="T13" s="132">
        <f t="shared" si="5"/>
        <v>671350.67999999993</v>
      </c>
      <c r="U13" s="132">
        <f t="shared" si="6"/>
        <v>1317836.52</v>
      </c>
      <c r="V13" s="25">
        <v>0.15</v>
      </c>
      <c r="W13" s="132">
        <f t="shared" si="7"/>
        <v>1120161.0419999999</v>
      </c>
      <c r="X13" s="14"/>
      <c r="Y13" s="15"/>
      <c r="Z13" s="14"/>
      <c r="AA13" s="10"/>
    </row>
    <row r="14" spans="2:27" ht="15" customHeight="1" x14ac:dyDescent="0.25">
      <c r="B14" s="7">
        <f t="shared" si="8"/>
        <v>11</v>
      </c>
      <c r="C14" s="23"/>
      <c r="D14" s="27" t="s">
        <v>125</v>
      </c>
      <c r="E14" s="27" t="s">
        <v>169</v>
      </c>
      <c r="F14" s="7" t="s">
        <v>37</v>
      </c>
      <c r="G14" s="48">
        <v>355.21199999999999</v>
      </c>
      <c r="H14" s="97">
        <f t="shared" si="0"/>
        <v>3823.4664467999996</v>
      </c>
      <c r="I14" s="131">
        <f t="shared" si="1"/>
        <v>19.686</v>
      </c>
      <c r="J14" s="130">
        <v>6</v>
      </c>
      <c r="K14" s="24">
        <v>2007</v>
      </c>
      <c r="L14" s="24">
        <v>2022</v>
      </c>
      <c r="M14" s="24">
        <f t="shared" si="2"/>
        <v>15</v>
      </c>
      <c r="N14" s="24">
        <f>VLOOKUP(E14,Sheet1!$E$6:$F$23,2,FALSE)</f>
        <v>40</v>
      </c>
      <c r="O14" s="25">
        <v>0.1</v>
      </c>
      <c r="P14" s="24">
        <f t="shared" si="3"/>
        <v>2.2499999999999999E-2</v>
      </c>
      <c r="Q14" s="24"/>
      <c r="R14" s="133">
        <v>1600</v>
      </c>
      <c r="S14" s="132">
        <f t="shared" si="4"/>
        <v>568339.19999999995</v>
      </c>
      <c r="T14" s="132">
        <f t="shared" si="5"/>
        <v>191814.47999999998</v>
      </c>
      <c r="U14" s="132">
        <f t="shared" si="6"/>
        <v>376524.72</v>
      </c>
      <c r="V14" s="25">
        <v>0.15</v>
      </c>
      <c r="W14" s="132">
        <f t="shared" si="7"/>
        <v>320046.01199999999</v>
      </c>
      <c r="X14" s="14"/>
      <c r="Y14" s="15"/>
      <c r="Z14" s="14"/>
      <c r="AA14" s="10"/>
    </row>
    <row r="15" spans="2:27" ht="15" customHeight="1" x14ac:dyDescent="0.25">
      <c r="B15" s="7">
        <f t="shared" si="8"/>
        <v>12</v>
      </c>
      <c r="C15" s="23"/>
      <c r="D15" s="27" t="s">
        <v>126</v>
      </c>
      <c r="E15" s="27" t="s">
        <v>169</v>
      </c>
      <c r="F15" s="7" t="s">
        <v>37</v>
      </c>
      <c r="G15" s="48">
        <v>753.4799999999999</v>
      </c>
      <c r="H15" s="97">
        <f t="shared" si="0"/>
        <v>8110.3833719999984</v>
      </c>
      <c r="I15" s="131">
        <f t="shared" si="1"/>
        <v>16.405000000000001</v>
      </c>
      <c r="J15" s="130">
        <v>5</v>
      </c>
      <c r="K15" s="24">
        <v>2007</v>
      </c>
      <c r="L15" s="24">
        <v>2022</v>
      </c>
      <c r="M15" s="24">
        <f t="shared" si="2"/>
        <v>15</v>
      </c>
      <c r="N15" s="24">
        <f>VLOOKUP(E15,Sheet1!$E$6:$F$23,2,FALSE)</f>
        <v>40</v>
      </c>
      <c r="O15" s="25">
        <v>0.1</v>
      </c>
      <c r="P15" s="24">
        <f t="shared" si="3"/>
        <v>2.2499999999999999E-2</v>
      </c>
      <c r="Q15" s="24"/>
      <c r="R15" s="133">
        <v>1600</v>
      </c>
      <c r="S15" s="132">
        <f t="shared" si="4"/>
        <v>1205567.9999999998</v>
      </c>
      <c r="T15" s="132">
        <f t="shared" si="5"/>
        <v>406879.19999999995</v>
      </c>
      <c r="U15" s="132">
        <f t="shared" si="6"/>
        <v>798688.79999999981</v>
      </c>
      <c r="V15" s="25">
        <v>0.15</v>
      </c>
      <c r="W15" s="132">
        <f t="shared" si="7"/>
        <v>678885.47999999986</v>
      </c>
      <c r="X15" s="14"/>
      <c r="Y15" s="15"/>
      <c r="Z15" s="14"/>
      <c r="AA15" s="10"/>
    </row>
    <row r="16" spans="2:27" ht="15" customHeight="1" x14ac:dyDescent="0.25">
      <c r="B16" s="7">
        <f t="shared" si="8"/>
        <v>13</v>
      </c>
      <c r="C16" s="23"/>
      <c r="D16" s="27" t="s">
        <v>127</v>
      </c>
      <c r="E16" s="27" t="s">
        <v>169</v>
      </c>
      <c r="F16" s="7" t="s">
        <v>37</v>
      </c>
      <c r="G16" s="48">
        <v>4520.88</v>
      </c>
      <c r="H16" s="97">
        <f t="shared" si="0"/>
        <v>48662.300232000001</v>
      </c>
      <c r="I16" s="131">
        <f t="shared" si="1"/>
        <v>16.405000000000001</v>
      </c>
      <c r="J16" s="130">
        <v>5</v>
      </c>
      <c r="K16" s="24">
        <v>2007</v>
      </c>
      <c r="L16" s="24">
        <v>2022</v>
      </c>
      <c r="M16" s="24">
        <f t="shared" si="2"/>
        <v>15</v>
      </c>
      <c r="N16" s="24">
        <f>VLOOKUP(E16,Sheet1!$E$6:$F$23,2,FALSE)</f>
        <v>40</v>
      </c>
      <c r="O16" s="25">
        <v>0.1</v>
      </c>
      <c r="P16" s="24">
        <f t="shared" si="3"/>
        <v>2.2499999999999999E-2</v>
      </c>
      <c r="Q16" s="24"/>
      <c r="R16" s="133">
        <v>1600</v>
      </c>
      <c r="S16" s="132">
        <f t="shared" si="4"/>
        <v>7233408</v>
      </c>
      <c r="T16" s="132">
        <f t="shared" si="5"/>
        <v>2441275.1999999997</v>
      </c>
      <c r="U16" s="132">
        <f t="shared" si="6"/>
        <v>4792132.8000000007</v>
      </c>
      <c r="V16" s="25">
        <v>0.15</v>
      </c>
      <c r="W16" s="132">
        <f t="shared" si="7"/>
        <v>4073312.8800000004</v>
      </c>
      <c r="X16" s="14"/>
      <c r="Y16" s="15"/>
      <c r="Z16" s="14"/>
      <c r="AA16" s="10"/>
    </row>
    <row r="17" spans="2:27" ht="15" customHeight="1" x14ac:dyDescent="0.25">
      <c r="B17" s="7">
        <f t="shared" si="8"/>
        <v>14</v>
      </c>
      <c r="C17" s="23"/>
      <c r="D17" s="27" t="s">
        <v>128</v>
      </c>
      <c r="E17" s="27" t="s">
        <v>180</v>
      </c>
      <c r="F17" s="7" t="s">
        <v>37</v>
      </c>
      <c r="G17" s="48">
        <v>3229.2</v>
      </c>
      <c r="H17" s="97">
        <f t="shared" si="0"/>
        <v>34758.785879999996</v>
      </c>
      <c r="I17" s="131">
        <f t="shared" si="1"/>
        <v>16.405000000000001</v>
      </c>
      <c r="J17" s="130">
        <v>5</v>
      </c>
      <c r="K17" s="24">
        <v>2007</v>
      </c>
      <c r="L17" s="24">
        <v>2022</v>
      </c>
      <c r="M17" s="24">
        <f t="shared" si="2"/>
        <v>15</v>
      </c>
      <c r="N17" s="24">
        <v>60</v>
      </c>
      <c r="O17" s="25">
        <v>0.1</v>
      </c>
      <c r="P17" s="24">
        <f t="shared" si="3"/>
        <v>1.5000000000000001E-2</v>
      </c>
      <c r="Q17" s="24"/>
      <c r="R17" s="133">
        <v>1300</v>
      </c>
      <c r="S17" s="132">
        <f t="shared" si="4"/>
        <v>4197960</v>
      </c>
      <c r="T17" s="132">
        <f t="shared" si="5"/>
        <v>944541</v>
      </c>
      <c r="U17" s="132">
        <f t="shared" si="6"/>
        <v>3253419</v>
      </c>
      <c r="V17" s="25">
        <v>0.15</v>
      </c>
      <c r="W17" s="132">
        <f t="shared" si="7"/>
        <v>2765406.15</v>
      </c>
      <c r="X17" s="14"/>
      <c r="Y17" s="15"/>
      <c r="Z17" s="14"/>
      <c r="AA17" s="10"/>
    </row>
    <row r="18" spans="2:27" ht="15" customHeight="1" x14ac:dyDescent="0.25">
      <c r="B18" s="7">
        <f t="shared" si="8"/>
        <v>15</v>
      </c>
      <c r="C18" s="47"/>
      <c r="D18" s="27" t="s">
        <v>129</v>
      </c>
      <c r="E18" s="27" t="s">
        <v>180</v>
      </c>
      <c r="F18" s="7" t="s">
        <v>37</v>
      </c>
      <c r="G18" s="48">
        <v>775.00799999999992</v>
      </c>
      <c r="H18" s="97">
        <f t="shared" si="0"/>
        <v>8342.1086111999994</v>
      </c>
      <c r="I18" s="131">
        <f t="shared" si="1"/>
        <v>16.405000000000001</v>
      </c>
      <c r="J18" s="130">
        <v>5</v>
      </c>
      <c r="K18" s="24">
        <v>2007</v>
      </c>
      <c r="L18" s="24">
        <v>2022</v>
      </c>
      <c r="M18" s="24">
        <f t="shared" si="2"/>
        <v>15</v>
      </c>
      <c r="N18" s="24">
        <v>60</v>
      </c>
      <c r="O18" s="25">
        <v>0.1</v>
      </c>
      <c r="P18" s="24">
        <f t="shared" si="3"/>
        <v>1.5000000000000001E-2</v>
      </c>
      <c r="Q18" s="24"/>
      <c r="R18" s="133">
        <v>1300</v>
      </c>
      <c r="S18" s="132">
        <f t="shared" si="4"/>
        <v>1007510.3999999999</v>
      </c>
      <c r="T18" s="132">
        <f t="shared" si="5"/>
        <v>226689.84</v>
      </c>
      <c r="U18" s="132">
        <f t="shared" si="6"/>
        <v>780820.55999999994</v>
      </c>
      <c r="V18" s="25">
        <v>0.15</v>
      </c>
      <c r="W18" s="132">
        <f t="shared" si="7"/>
        <v>663697.47599999991</v>
      </c>
      <c r="X18" s="14"/>
      <c r="Y18" s="15"/>
      <c r="Z18" s="14"/>
      <c r="AA18" s="10"/>
    </row>
    <row r="19" spans="2:27" ht="15" customHeight="1" x14ac:dyDescent="0.25">
      <c r="B19" s="7">
        <f t="shared" si="8"/>
        <v>16</v>
      </c>
      <c r="C19" s="47"/>
      <c r="D19" s="27" t="s">
        <v>130</v>
      </c>
      <c r="E19" s="27" t="s">
        <v>180</v>
      </c>
      <c r="F19" s="7" t="s">
        <v>37</v>
      </c>
      <c r="G19" s="48">
        <v>1937.52</v>
      </c>
      <c r="H19" s="97">
        <f t="shared" si="0"/>
        <v>20855.271527999997</v>
      </c>
      <c r="I19" s="131">
        <f t="shared" si="1"/>
        <v>16.405000000000001</v>
      </c>
      <c r="J19" s="130">
        <v>5</v>
      </c>
      <c r="K19" s="24">
        <v>2007</v>
      </c>
      <c r="L19" s="24">
        <v>2022</v>
      </c>
      <c r="M19" s="24">
        <f t="shared" si="2"/>
        <v>15</v>
      </c>
      <c r="N19" s="24">
        <v>60</v>
      </c>
      <c r="O19" s="25">
        <v>0.1</v>
      </c>
      <c r="P19" s="24">
        <f t="shared" si="3"/>
        <v>1.5000000000000001E-2</v>
      </c>
      <c r="Q19" s="24"/>
      <c r="R19" s="133">
        <v>1300</v>
      </c>
      <c r="S19" s="132">
        <f t="shared" si="4"/>
        <v>2518776</v>
      </c>
      <c r="T19" s="132">
        <f t="shared" si="5"/>
        <v>566724.6</v>
      </c>
      <c r="U19" s="132">
        <f t="shared" si="6"/>
        <v>1952051.4</v>
      </c>
      <c r="V19" s="25">
        <v>0.15</v>
      </c>
      <c r="W19" s="132">
        <f t="shared" si="7"/>
        <v>1659243.69</v>
      </c>
      <c r="X19" s="14"/>
      <c r="Y19" s="15"/>
      <c r="Z19" s="14"/>
      <c r="AA19" s="10"/>
    </row>
    <row r="20" spans="2:27" ht="15" customHeight="1" x14ac:dyDescent="0.25">
      <c r="B20" s="7">
        <f t="shared" si="8"/>
        <v>17</v>
      </c>
      <c r="C20" s="47"/>
      <c r="D20" s="27" t="s">
        <v>131</v>
      </c>
      <c r="E20" s="27" t="s">
        <v>180</v>
      </c>
      <c r="F20" s="7" t="s">
        <v>80</v>
      </c>
      <c r="G20" s="48">
        <v>2389.6079999999997</v>
      </c>
      <c r="H20" s="97">
        <f t="shared" si="0"/>
        <v>25721.501551199995</v>
      </c>
      <c r="I20" s="131">
        <f t="shared" si="1"/>
        <v>13.124000000000001</v>
      </c>
      <c r="J20" s="130">
        <v>4</v>
      </c>
      <c r="K20" s="24">
        <v>2007</v>
      </c>
      <c r="L20" s="24">
        <v>2022</v>
      </c>
      <c r="M20" s="24">
        <f t="shared" si="2"/>
        <v>15</v>
      </c>
      <c r="N20" s="24">
        <v>60</v>
      </c>
      <c r="O20" s="25">
        <v>0.1</v>
      </c>
      <c r="P20" s="24">
        <f t="shared" si="3"/>
        <v>1.5000000000000001E-2</v>
      </c>
      <c r="Q20" s="24"/>
      <c r="R20" s="133">
        <v>1200</v>
      </c>
      <c r="S20" s="132">
        <f t="shared" si="4"/>
        <v>2867529.5999999996</v>
      </c>
      <c r="T20" s="132">
        <f t="shared" si="5"/>
        <v>645194.15999999992</v>
      </c>
      <c r="U20" s="132">
        <f t="shared" si="6"/>
        <v>2222335.4399999995</v>
      </c>
      <c r="V20" s="25">
        <v>0.15</v>
      </c>
      <c r="W20" s="132">
        <f t="shared" si="7"/>
        <v>1888985.1239999996</v>
      </c>
      <c r="X20" s="14"/>
      <c r="Y20" s="15"/>
      <c r="Z20" s="14"/>
      <c r="AA20" s="10"/>
    </row>
    <row r="21" spans="2:27" ht="15" customHeight="1" x14ac:dyDescent="0.25">
      <c r="B21" s="7">
        <f t="shared" si="8"/>
        <v>18</v>
      </c>
      <c r="C21" s="47"/>
      <c r="D21" s="27" t="s">
        <v>132</v>
      </c>
      <c r="E21" s="27" t="s">
        <v>180</v>
      </c>
      <c r="F21" s="7" t="s">
        <v>80</v>
      </c>
      <c r="G21" s="48">
        <v>645.83999999999992</v>
      </c>
      <c r="H21" s="97">
        <f t="shared" si="0"/>
        <v>6951.7571759999992</v>
      </c>
      <c r="I21" s="131">
        <f t="shared" si="1"/>
        <v>13.124000000000001</v>
      </c>
      <c r="J21" s="130">
        <v>4</v>
      </c>
      <c r="K21" s="24">
        <v>2007</v>
      </c>
      <c r="L21" s="24">
        <v>2022</v>
      </c>
      <c r="M21" s="24">
        <f t="shared" si="2"/>
        <v>15</v>
      </c>
      <c r="N21" s="24">
        <v>60</v>
      </c>
      <c r="O21" s="25">
        <v>0.1</v>
      </c>
      <c r="P21" s="24">
        <f t="shared" si="3"/>
        <v>1.5000000000000001E-2</v>
      </c>
      <c r="Q21" s="24"/>
      <c r="R21" s="133">
        <v>1200</v>
      </c>
      <c r="S21" s="132">
        <f t="shared" si="4"/>
        <v>775007.99999999988</v>
      </c>
      <c r="T21" s="132">
        <f t="shared" si="5"/>
        <v>174376.8</v>
      </c>
      <c r="U21" s="132">
        <f t="shared" si="6"/>
        <v>600631.19999999995</v>
      </c>
      <c r="V21" s="25">
        <v>0.15</v>
      </c>
      <c r="W21" s="132">
        <f t="shared" si="7"/>
        <v>510536.51999999996</v>
      </c>
      <c r="X21" s="14"/>
      <c r="Y21" s="15"/>
      <c r="Z21" s="14"/>
      <c r="AA21" s="10"/>
    </row>
    <row r="22" spans="2:27" ht="15" customHeight="1" x14ac:dyDescent="0.25">
      <c r="B22" s="7">
        <f t="shared" si="8"/>
        <v>19</v>
      </c>
      <c r="C22" s="47"/>
      <c r="D22" s="27" t="s">
        <v>133</v>
      </c>
      <c r="E22" s="27" t="s">
        <v>171</v>
      </c>
      <c r="F22" s="7" t="s">
        <v>37</v>
      </c>
      <c r="G22" s="48">
        <v>968.76</v>
      </c>
      <c r="H22" s="97">
        <f t="shared" si="0"/>
        <v>10427.635763999999</v>
      </c>
      <c r="I22" s="131">
        <f t="shared" si="1"/>
        <v>13.124000000000001</v>
      </c>
      <c r="J22" s="130">
        <v>4</v>
      </c>
      <c r="K22" s="24">
        <v>2007</v>
      </c>
      <c r="L22" s="24">
        <v>2022</v>
      </c>
      <c r="M22" s="24">
        <f t="shared" si="2"/>
        <v>15</v>
      </c>
      <c r="N22" s="24">
        <f>VLOOKUP(E22,Sheet1!$E$6:$F$23,2,FALSE)</f>
        <v>45</v>
      </c>
      <c r="O22" s="25">
        <v>0.1</v>
      </c>
      <c r="P22" s="24">
        <f t="shared" si="3"/>
        <v>0.02</v>
      </c>
      <c r="Q22" s="24"/>
      <c r="R22" s="133">
        <v>700</v>
      </c>
      <c r="S22" s="132">
        <f t="shared" si="4"/>
        <v>678132</v>
      </c>
      <c r="T22" s="132">
        <f t="shared" si="5"/>
        <v>203439.59999999998</v>
      </c>
      <c r="U22" s="132">
        <f t="shared" si="6"/>
        <v>474692.4</v>
      </c>
      <c r="V22" s="25">
        <v>0.1</v>
      </c>
      <c r="W22" s="132">
        <f t="shared" si="7"/>
        <v>427223.16000000003</v>
      </c>
      <c r="X22" s="14"/>
      <c r="Y22" s="15"/>
      <c r="Z22" s="14"/>
      <c r="AA22" s="10"/>
    </row>
    <row r="23" spans="2:27" ht="15" customHeight="1" x14ac:dyDescent="0.25">
      <c r="B23" s="7">
        <f t="shared" si="8"/>
        <v>20</v>
      </c>
      <c r="C23" s="47"/>
      <c r="D23" s="27" t="s">
        <v>134</v>
      </c>
      <c r="E23" s="27" t="s">
        <v>171</v>
      </c>
      <c r="F23" s="7" t="s">
        <v>37</v>
      </c>
      <c r="G23" s="48">
        <v>968.76</v>
      </c>
      <c r="H23" s="97">
        <f t="shared" si="0"/>
        <v>10427.635763999999</v>
      </c>
      <c r="I23" s="131">
        <f t="shared" si="1"/>
        <v>13.124000000000001</v>
      </c>
      <c r="J23" s="130">
        <v>4</v>
      </c>
      <c r="K23" s="24">
        <v>2007</v>
      </c>
      <c r="L23" s="24">
        <v>2022</v>
      </c>
      <c r="M23" s="24">
        <f t="shared" si="2"/>
        <v>15</v>
      </c>
      <c r="N23" s="24">
        <f>VLOOKUP(E23,Sheet1!$E$6:$F$23,2,FALSE)</f>
        <v>45</v>
      </c>
      <c r="O23" s="25">
        <v>0.1</v>
      </c>
      <c r="P23" s="24">
        <f t="shared" si="3"/>
        <v>0.02</v>
      </c>
      <c r="Q23" s="24"/>
      <c r="R23" s="133">
        <v>700</v>
      </c>
      <c r="S23" s="132">
        <f t="shared" si="4"/>
        <v>678132</v>
      </c>
      <c r="T23" s="132">
        <f t="shared" si="5"/>
        <v>203439.59999999998</v>
      </c>
      <c r="U23" s="132">
        <f t="shared" si="6"/>
        <v>474692.4</v>
      </c>
      <c r="V23" s="25">
        <v>0.1</v>
      </c>
      <c r="W23" s="132">
        <f t="shared" si="7"/>
        <v>427223.16000000003</v>
      </c>
      <c r="X23" s="14"/>
      <c r="Y23" s="15"/>
      <c r="Z23" s="14"/>
      <c r="AA23" s="10"/>
    </row>
    <row r="24" spans="2:27" ht="15" customHeight="1" x14ac:dyDescent="0.25">
      <c r="B24" s="7">
        <f t="shared" si="8"/>
        <v>21</v>
      </c>
      <c r="C24" s="47"/>
      <c r="D24" s="27" t="s">
        <v>135</v>
      </c>
      <c r="E24" s="27" t="s">
        <v>171</v>
      </c>
      <c r="F24" s="7" t="s">
        <v>37</v>
      </c>
      <c r="G24" s="48">
        <v>1388.5559999999998</v>
      </c>
      <c r="H24" s="97">
        <f t="shared" si="0"/>
        <v>14946.277928399997</v>
      </c>
      <c r="I24" s="131">
        <f t="shared" si="1"/>
        <v>13.124000000000001</v>
      </c>
      <c r="J24" s="130">
        <v>4</v>
      </c>
      <c r="K24" s="24">
        <v>2007</v>
      </c>
      <c r="L24" s="24">
        <v>2022</v>
      </c>
      <c r="M24" s="24">
        <f t="shared" si="2"/>
        <v>15</v>
      </c>
      <c r="N24" s="24">
        <f>VLOOKUP(E24,Sheet1!$E$6:$F$23,2,FALSE)</f>
        <v>45</v>
      </c>
      <c r="O24" s="25">
        <v>0.1</v>
      </c>
      <c r="P24" s="24">
        <f t="shared" si="3"/>
        <v>0.02</v>
      </c>
      <c r="Q24" s="24"/>
      <c r="R24" s="133">
        <v>700</v>
      </c>
      <c r="S24" s="132">
        <f t="shared" si="4"/>
        <v>971989.19999999984</v>
      </c>
      <c r="T24" s="132">
        <f t="shared" si="5"/>
        <v>291596.75999999995</v>
      </c>
      <c r="U24" s="132">
        <f t="shared" si="6"/>
        <v>680392.44</v>
      </c>
      <c r="V24" s="25">
        <v>0.1</v>
      </c>
      <c r="W24" s="132">
        <f t="shared" si="7"/>
        <v>612353.196</v>
      </c>
      <c r="X24" s="14"/>
      <c r="Y24" s="15"/>
      <c r="Z24" s="14"/>
      <c r="AA24" s="10"/>
    </row>
    <row r="25" spans="2:27" ht="15" customHeight="1" x14ac:dyDescent="0.25">
      <c r="B25" s="7">
        <f t="shared" si="8"/>
        <v>22</v>
      </c>
      <c r="C25" s="47"/>
      <c r="D25" s="27" t="s">
        <v>136</v>
      </c>
      <c r="E25" s="27" t="s">
        <v>171</v>
      </c>
      <c r="F25" s="7" t="s">
        <v>37</v>
      </c>
      <c r="G25" s="48">
        <v>1291.6799999999998</v>
      </c>
      <c r="H25" s="97">
        <f t="shared" si="0"/>
        <v>13903.514351999998</v>
      </c>
      <c r="I25" s="131">
        <f t="shared" si="1"/>
        <v>13.124000000000001</v>
      </c>
      <c r="J25" s="130">
        <v>4</v>
      </c>
      <c r="K25" s="24">
        <v>2007</v>
      </c>
      <c r="L25" s="24">
        <v>2022</v>
      </c>
      <c r="M25" s="24">
        <f t="shared" si="2"/>
        <v>15</v>
      </c>
      <c r="N25" s="24">
        <f>VLOOKUP(E25,Sheet1!$E$6:$F$23,2,FALSE)</f>
        <v>45</v>
      </c>
      <c r="O25" s="25">
        <v>0.1</v>
      </c>
      <c r="P25" s="24">
        <f t="shared" si="3"/>
        <v>0.02</v>
      </c>
      <c r="Q25" s="24"/>
      <c r="R25" s="133">
        <v>700</v>
      </c>
      <c r="S25" s="132">
        <f t="shared" si="4"/>
        <v>904175.99999999988</v>
      </c>
      <c r="T25" s="132">
        <f t="shared" si="5"/>
        <v>271252.79999999993</v>
      </c>
      <c r="U25" s="132">
        <f t="shared" si="6"/>
        <v>632923.19999999995</v>
      </c>
      <c r="V25" s="25">
        <v>0.1</v>
      </c>
      <c r="W25" s="132">
        <f t="shared" si="7"/>
        <v>569630.88</v>
      </c>
      <c r="X25" s="14"/>
      <c r="Y25" s="15"/>
      <c r="Z25" s="14"/>
      <c r="AA25" s="10"/>
    </row>
    <row r="26" spans="2:27" ht="15" customHeight="1" x14ac:dyDescent="0.25">
      <c r="B26" s="7">
        <f t="shared" si="8"/>
        <v>23</v>
      </c>
      <c r="C26" s="47"/>
      <c r="D26" s="27" t="s">
        <v>137</v>
      </c>
      <c r="E26" s="27" t="s">
        <v>171</v>
      </c>
      <c r="F26" s="7" t="s">
        <v>37</v>
      </c>
      <c r="G26" s="48">
        <v>125.93879999999999</v>
      </c>
      <c r="H26" s="97">
        <f t="shared" si="0"/>
        <v>1355.5926493199997</v>
      </c>
      <c r="I26" s="131">
        <f t="shared" si="1"/>
        <v>13.124000000000001</v>
      </c>
      <c r="J26" s="130">
        <v>4</v>
      </c>
      <c r="K26" s="24">
        <v>2007</v>
      </c>
      <c r="L26" s="24">
        <v>2022</v>
      </c>
      <c r="M26" s="24">
        <f t="shared" si="2"/>
        <v>15</v>
      </c>
      <c r="N26" s="24">
        <f>VLOOKUP(E26,Sheet1!$E$6:$F$23,2,FALSE)</f>
        <v>45</v>
      </c>
      <c r="O26" s="25">
        <v>0.1</v>
      </c>
      <c r="P26" s="24">
        <f t="shared" si="3"/>
        <v>0.02</v>
      </c>
      <c r="Q26" s="24"/>
      <c r="R26" s="133">
        <v>700</v>
      </c>
      <c r="S26" s="132">
        <f t="shared" si="4"/>
        <v>88157.159999999989</v>
      </c>
      <c r="T26" s="132">
        <f t="shared" si="5"/>
        <v>26447.147999999997</v>
      </c>
      <c r="U26" s="132">
        <f t="shared" si="6"/>
        <v>61710.011999999988</v>
      </c>
      <c r="V26" s="25">
        <v>0.15</v>
      </c>
      <c r="W26" s="132">
        <f t="shared" si="7"/>
        <v>52453.51019999999</v>
      </c>
      <c r="X26" s="14"/>
      <c r="Y26" s="15"/>
      <c r="Z26" s="14"/>
      <c r="AA26" s="10"/>
    </row>
    <row r="27" spans="2:27" ht="15" customHeight="1" x14ac:dyDescent="0.25">
      <c r="B27" s="7">
        <f t="shared" si="8"/>
        <v>24</v>
      </c>
      <c r="C27" s="47"/>
      <c r="D27" s="27" t="s">
        <v>138</v>
      </c>
      <c r="E27" s="27" t="s">
        <v>171</v>
      </c>
      <c r="F27" s="7" t="s">
        <v>37</v>
      </c>
      <c r="G27" s="48">
        <v>125.93879999999999</v>
      </c>
      <c r="H27" s="97">
        <f t="shared" si="0"/>
        <v>1355.5926493199997</v>
      </c>
      <c r="I27" s="131">
        <f t="shared" si="1"/>
        <v>13.124000000000001</v>
      </c>
      <c r="J27" s="130">
        <v>4</v>
      </c>
      <c r="K27" s="24">
        <v>2007</v>
      </c>
      <c r="L27" s="24">
        <v>2022</v>
      </c>
      <c r="M27" s="24">
        <f t="shared" si="2"/>
        <v>15</v>
      </c>
      <c r="N27" s="24">
        <f>VLOOKUP(E27,Sheet1!$E$6:$F$23,2,FALSE)</f>
        <v>45</v>
      </c>
      <c r="O27" s="25">
        <v>0.1</v>
      </c>
      <c r="P27" s="24">
        <f t="shared" si="3"/>
        <v>0.02</v>
      </c>
      <c r="Q27" s="24"/>
      <c r="R27" s="133">
        <v>700</v>
      </c>
      <c r="S27" s="132">
        <f t="shared" si="4"/>
        <v>88157.159999999989</v>
      </c>
      <c r="T27" s="132">
        <f t="shared" si="5"/>
        <v>26447.147999999997</v>
      </c>
      <c r="U27" s="132">
        <f t="shared" si="6"/>
        <v>61710.011999999988</v>
      </c>
      <c r="V27" s="25">
        <v>0.15</v>
      </c>
      <c r="W27" s="132">
        <f t="shared" si="7"/>
        <v>52453.51019999999</v>
      </c>
      <c r="X27" s="14"/>
      <c r="Y27" s="15"/>
      <c r="Z27" s="14"/>
      <c r="AA27" s="10"/>
    </row>
    <row r="28" spans="2:27" ht="15" customHeight="1" x14ac:dyDescent="0.25">
      <c r="B28" s="7">
        <f t="shared" si="8"/>
        <v>25</v>
      </c>
      <c r="C28" s="47"/>
      <c r="D28" s="27" t="s">
        <v>139</v>
      </c>
      <c r="E28" s="27" t="s">
        <v>171</v>
      </c>
      <c r="F28" s="7" t="s">
        <v>37</v>
      </c>
      <c r="G28" s="48">
        <v>125.93879999999999</v>
      </c>
      <c r="H28" s="97">
        <f t="shared" si="0"/>
        <v>1355.5926493199997</v>
      </c>
      <c r="I28" s="131">
        <f t="shared" si="1"/>
        <v>13.124000000000001</v>
      </c>
      <c r="J28" s="130">
        <v>4</v>
      </c>
      <c r="K28" s="24">
        <v>2007</v>
      </c>
      <c r="L28" s="24">
        <v>2022</v>
      </c>
      <c r="M28" s="24">
        <f t="shared" si="2"/>
        <v>15</v>
      </c>
      <c r="N28" s="24">
        <f>VLOOKUP(E28,Sheet1!$E$6:$F$23,2,FALSE)</f>
        <v>45</v>
      </c>
      <c r="O28" s="25">
        <v>0.1</v>
      </c>
      <c r="P28" s="24">
        <f t="shared" si="3"/>
        <v>0.02</v>
      </c>
      <c r="Q28" s="24"/>
      <c r="R28" s="133">
        <v>700</v>
      </c>
      <c r="S28" s="132">
        <f t="shared" si="4"/>
        <v>88157.159999999989</v>
      </c>
      <c r="T28" s="132">
        <f t="shared" si="5"/>
        <v>26447.147999999997</v>
      </c>
      <c r="U28" s="132">
        <f t="shared" si="6"/>
        <v>61710.011999999988</v>
      </c>
      <c r="V28" s="25">
        <v>0.15</v>
      </c>
      <c r="W28" s="132">
        <f t="shared" si="7"/>
        <v>52453.51019999999</v>
      </c>
      <c r="X28" s="14"/>
      <c r="Y28" s="15"/>
      <c r="Z28" s="14"/>
      <c r="AA28" s="10"/>
    </row>
    <row r="29" spans="2:27" ht="15" customHeight="1" x14ac:dyDescent="0.25">
      <c r="B29" s="7">
        <f t="shared" si="8"/>
        <v>26</v>
      </c>
      <c r="C29" s="47"/>
      <c r="D29" s="27" t="s">
        <v>140</v>
      </c>
      <c r="E29" s="27" t="s">
        <v>183</v>
      </c>
      <c r="F29" s="7" t="s">
        <v>37</v>
      </c>
      <c r="G29" s="48">
        <v>258.33600000000001</v>
      </c>
      <c r="H29" s="97">
        <f t="shared" si="0"/>
        <v>2780.7028703999999</v>
      </c>
      <c r="I29" s="131">
        <f t="shared" si="1"/>
        <v>9.843</v>
      </c>
      <c r="J29" s="130">
        <v>3</v>
      </c>
      <c r="K29" s="24">
        <v>2007</v>
      </c>
      <c r="L29" s="24">
        <v>2022</v>
      </c>
      <c r="M29" s="24">
        <f t="shared" si="2"/>
        <v>15</v>
      </c>
      <c r="N29" s="24">
        <v>60</v>
      </c>
      <c r="O29" s="25">
        <v>0.1</v>
      </c>
      <c r="P29" s="24">
        <f t="shared" si="3"/>
        <v>1.5000000000000001E-2</v>
      </c>
      <c r="Q29" s="24"/>
      <c r="R29" s="133">
        <v>1000</v>
      </c>
      <c r="S29" s="132">
        <f t="shared" si="4"/>
        <v>258336</v>
      </c>
      <c r="T29" s="132">
        <f t="shared" si="5"/>
        <v>58125.600000000006</v>
      </c>
      <c r="U29" s="132">
        <f t="shared" si="6"/>
        <v>200210.4</v>
      </c>
      <c r="V29" s="25">
        <v>0.15</v>
      </c>
      <c r="W29" s="132">
        <f t="shared" si="7"/>
        <v>170178.84</v>
      </c>
      <c r="X29" s="14"/>
      <c r="Y29" s="15"/>
      <c r="Z29" s="14"/>
      <c r="AA29" s="10"/>
    </row>
    <row r="30" spans="2:27" ht="15" customHeight="1" x14ac:dyDescent="0.25">
      <c r="B30" s="7">
        <f t="shared" si="8"/>
        <v>27</v>
      </c>
      <c r="C30" s="47"/>
      <c r="D30" s="27" t="s">
        <v>141</v>
      </c>
      <c r="E30" s="27" t="s">
        <v>171</v>
      </c>
      <c r="F30" s="7" t="s">
        <v>37</v>
      </c>
      <c r="G30" s="48">
        <v>258.33600000000001</v>
      </c>
      <c r="H30" s="97">
        <f t="shared" si="0"/>
        <v>2780.7028703999999</v>
      </c>
      <c r="I30" s="131">
        <f t="shared" si="1"/>
        <v>13.124000000000001</v>
      </c>
      <c r="J30" s="130">
        <v>4</v>
      </c>
      <c r="K30" s="24">
        <v>2007</v>
      </c>
      <c r="L30" s="24">
        <v>2022</v>
      </c>
      <c r="M30" s="24">
        <f t="shared" si="2"/>
        <v>15</v>
      </c>
      <c r="N30" s="24">
        <f>VLOOKUP(E30,Sheet1!$E$6:$F$23,2,FALSE)</f>
        <v>45</v>
      </c>
      <c r="O30" s="25">
        <v>0.1</v>
      </c>
      <c r="P30" s="24">
        <f t="shared" si="3"/>
        <v>0.02</v>
      </c>
      <c r="Q30" s="24"/>
      <c r="R30" s="133">
        <v>700</v>
      </c>
      <c r="S30" s="132">
        <f t="shared" si="4"/>
        <v>180835.20000000001</v>
      </c>
      <c r="T30" s="132">
        <f t="shared" si="5"/>
        <v>54250.560000000005</v>
      </c>
      <c r="U30" s="132">
        <f t="shared" si="6"/>
        <v>126584.64000000001</v>
      </c>
      <c r="V30" s="25">
        <v>0.15</v>
      </c>
      <c r="W30" s="132">
        <f t="shared" si="7"/>
        <v>107596.944</v>
      </c>
      <c r="X30" s="14"/>
      <c r="Y30" s="15"/>
      <c r="Z30" s="14"/>
      <c r="AA30" s="10"/>
    </row>
    <row r="31" spans="2:27" ht="15" customHeight="1" x14ac:dyDescent="0.25">
      <c r="B31" s="7">
        <f t="shared" si="8"/>
        <v>28</v>
      </c>
      <c r="C31" s="47"/>
      <c r="D31" s="27" t="s">
        <v>142</v>
      </c>
      <c r="E31" s="27" t="s">
        <v>171</v>
      </c>
      <c r="F31" s="7" t="s">
        <v>37</v>
      </c>
      <c r="G31" s="48">
        <v>129.16800000000001</v>
      </c>
      <c r="H31" s="97">
        <f t="shared" si="0"/>
        <v>1390.3514352</v>
      </c>
      <c r="I31" s="131">
        <f t="shared" si="1"/>
        <v>13.124000000000001</v>
      </c>
      <c r="J31" s="130">
        <v>4</v>
      </c>
      <c r="K31" s="24">
        <v>2007</v>
      </c>
      <c r="L31" s="24">
        <v>2022</v>
      </c>
      <c r="M31" s="24">
        <f t="shared" si="2"/>
        <v>15</v>
      </c>
      <c r="N31" s="24">
        <f>VLOOKUP(E31,Sheet1!$E$6:$F$23,2,FALSE)</f>
        <v>45</v>
      </c>
      <c r="O31" s="25">
        <v>0.1</v>
      </c>
      <c r="P31" s="24">
        <f t="shared" si="3"/>
        <v>0.02</v>
      </c>
      <c r="Q31" s="24"/>
      <c r="R31" s="133">
        <v>700</v>
      </c>
      <c r="S31" s="132">
        <f t="shared" si="4"/>
        <v>90417.600000000006</v>
      </c>
      <c r="T31" s="132">
        <f t="shared" si="5"/>
        <v>27125.280000000002</v>
      </c>
      <c r="U31" s="132">
        <f t="shared" si="6"/>
        <v>63292.320000000007</v>
      </c>
      <c r="V31" s="25">
        <v>0.15</v>
      </c>
      <c r="W31" s="132">
        <f t="shared" si="7"/>
        <v>53798.472000000002</v>
      </c>
      <c r="X31" s="14"/>
      <c r="Y31" s="15"/>
      <c r="Z31" s="14"/>
      <c r="AA31" s="10"/>
    </row>
    <row r="32" spans="2:27" ht="15" customHeight="1" x14ac:dyDescent="0.25">
      <c r="B32" s="7">
        <f t="shared" si="8"/>
        <v>29</v>
      </c>
      <c r="C32" s="47"/>
      <c r="D32" s="27" t="s">
        <v>143</v>
      </c>
      <c r="E32" s="27" t="s">
        <v>171</v>
      </c>
      <c r="F32" s="7" t="s">
        <v>37</v>
      </c>
      <c r="G32" s="48">
        <v>129.16800000000001</v>
      </c>
      <c r="H32" s="97">
        <f t="shared" si="0"/>
        <v>1390.3514352</v>
      </c>
      <c r="I32" s="131">
        <f t="shared" si="1"/>
        <v>13.124000000000001</v>
      </c>
      <c r="J32" s="130">
        <v>4</v>
      </c>
      <c r="K32" s="24">
        <v>2007</v>
      </c>
      <c r="L32" s="24">
        <v>2022</v>
      </c>
      <c r="M32" s="24">
        <f t="shared" si="2"/>
        <v>15</v>
      </c>
      <c r="N32" s="24">
        <f>VLOOKUP(E32,Sheet1!$E$6:$F$23,2,FALSE)</f>
        <v>45</v>
      </c>
      <c r="O32" s="25">
        <v>0.1</v>
      </c>
      <c r="P32" s="24">
        <f t="shared" si="3"/>
        <v>0.02</v>
      </c>
      <c r="Q32" s="24"/>
      <c r="R32" s="133">
        <v>700</v>
      </c>
      <c r="S32" s="132">
        <f t="shared" si="4"/>
        <v>90417.600000000006</v>
      </c>
      <c r="T32" s="132">
        <f t="shared" si="5"/>
        <v>27125.280000000002</v>
      </c>
      <c r="U32" s="132">
        <f t="shared" si="6"/>
        <v>63292.320000000007</v>
      </c>
      <c r="V32" s="25">
        <v>0.15</v>
      </c>
      <c r="W32" s="132">
        <f t="shared" si="7"/>
        <v>53798.472000000002</v>
      </c>
      <c r="X32" s="14"/>
      <c r="Y32" s="15"/>
      <c r="Z32" s="14"/>
      <c r="AA32" s="10"/>
    </row>
    <row r="33" spans="2:27" ht="15" customHeight="1" x14ac:dyDescent="0.25">
      <c r="B33" s="7">
        <f t="shared" si="8"/>
        <v>30</v>
      </c>
      <c r="C33" s="47"/>
      <c r="D33" s="27" t="s">
        <v>144</v>
      </c>
      <c r="E33" s="27" t="s">
        <v>171</v>
      </c>
      <c r="F33" s="7" t="s">
        <v>37</v>
      </c>
      <c r="G33" s="48">
        <v>770.5904544</v>
      </c>
      <c r="H33" s="97">
        <f t="shared" si="0"/>
        <v>8294.5585921161601</v>
      </c>
      <c r="I33" s="131">
        <f t="shared" si="1"/>
        <v>19.686</v>
      </c>
      <c r="J33" s="130">
        <v>6</v>
      </c>
      <c r="K33" s="24">
        <v>2007</v>
      </c>
      <c r="L33" s="24">
        <v>2022</v>
      </c>
      <c r="M33" s="24">
        <f t="shared" si="2"/>
        <v>15</v>
      </c>
      <c r="N33" s="24">
        <f>VLOOKUP(E33,Sheet1!$E$6:$F$23,2,FALSE)</f>
        <v>45</v>
      </c>
      <c r="O33" s="25">
        <v>0.1</v>
      </c>
      <c r="P33" s="24">
        <f t="shared" si="3"/>
        <v>0.02</v>
      </c>
      <c r="Q33" s="24"/>
      <c r="R33" s="133">
        <v>700</v>
      </c>
      <c r="S33" s="132">
        <f t="shared" si="4"/>
        <v>539413.31808</v>
      </c>
      <c r="T33" s="132">
        <f t="shared" si="5"/>
        <v>161823.99542400002</v>
      </c>
      <c r="U33" s="132">
        <f t="shared" si="6"/>
        <v>377589.32265599997</v>
      </c>
      <c r="V33" s="25">
        <v>0.2</v>
      </c>
      <c r="W33" s="132">
        <f t="shared" si="7"/>
        <v>302071.4581248</v>
      </c>
      <c r="X33" s="14"/>
      <c r="Y33" s="15"/>
      <c r="Z33" s="14"/>
      <c r="AA33" s="10"/>
    </row>
    <row r="34" spans="2:27" ht="15" customHeight="1" x14ac:dyDescent="0.25">
      <c r="B34" s="7">
        <f t="shared" si="8"/>
        <v>31</v>
      </c>
      <c r="C34" s="47"/>
      <c r="D34" s="27" t="s">
        <v>145</v>
      </c>
      <c r="E34" s="27" t="s">
        <v>171</v>
      </c>
      <c r="F34" s="7" t="s">
        <v>37</v>
      </c>
      <c r="G34" s="48">
        <v>770.5904544</v>
      </c>
      <c r="H34" s="97">
        <f t="shared" si="0"/>
        <v>8294.5585921161601</v>
      </c>
      <c r="I34" s="131">
        <f t="shared" si="1"/>
        <v>19.686</v>
      </c>
      <c r="J34" s="130">
        <v>6</v>
      </c>
      <c r="K34" s="24">
        <v>2007</v>
      </c>
      <c r="L34" s="24">
        <v>2022</v>
      </c>
      <c r="M34" s="24">
        <f t="shared" si="2"/>
        <v>15</v>
      </c>
      <c r="N34" s="24">
        <f>VLOOKUP(E34,Sheet1!$E$6:$F$23,2,FALSE)</f>
        <v>45</v>
      </c>
      <c r="O34" s="25">
        <v>0.1</v>
      </c>
      <c r="P34" s="24">
        <f t="shared" si="3"/>
        <v>0.02</v>
      </c>
      <c r="Q34" s="24"/>
      <c r="R34" s="133">
        <v>700</v>
      </c>
      <c r="S34" s="132">
        <f t="shared" si="4"/>
        <v>539413.31808</v>
      </c>
      <c r="T34" s="132">
        <f t="shared" si="5"/>
        <v>161823.99542400002</v>
      </c>
      <c r="U34" s="132">
        <f t="shared" si="6"/>
        <v>377589.32265599997</v>
      </c>
      <c r="V34" s="25">
        <v>0.1</v>
      </c>
      <c r="W34" s="132">
        <f t="shared" si="7"/>
        <v>339830.39039039996</v>
      </c>
      <c r="X34" s="14"/>
      <c r="Y34" s="15"/>
      <c r="Z34" s="14"/>
      <c r="AA34" s="10"/>
    </row>
    <row r="35" spans="2:27" ht="15" customHeight="1" x14ac:dyDescent="0.25">
      <c r="B35" s="7">
        <f t="shared" si="8"/>
        <v>32</v>
      </c>
      <c r="C35" s="47"/>
      <c r="D35" s="27" t="s">
        <v>146</v>
      </c>
      <c r="E35" s="27" t="s">
        <v>171</v>
      </c>
      <c r="F35" s="7" t="s">
        <v>37</v>
      </c>
      <c r="G35" s="48">
        <v>1485.432</v>
      </c>
      <c r="H35" s="97">
        <f t="shared" si="0"/>
        <v>15989.0415048</v>
      </c>
      <c r="I35" s="131">
        <f t="shared" si="1"/>
        <v>22.967000000000002</v>
      </c>
      <c r="J35" s="130">
        <v>7</v>
      </c>
      <c r="K35" s="24">
        <v>2007</v>
      </c>
      <c r="L35" s="24">
        <v>2022</v>
      </c>
      <c r="M35" s="24">
        <f t="shared" si="2"/>
        <v>15</v>
      </c>
      <c r="N35" s="24">
        <f>VLOOKUP(E35,Sheet1!$E$6:$F$23,2,FALSE)</f>
        <v>45</v>
      </c>
      <c r="O35" s="25">
        <v>0.1</v>
      </c>
      <c r="P35" s="24">
        <f t="shared" si="3"/>
        <v>0.02</v>
      </c>
      <c r="Q35" s="24"/>
      <c r="R35" s="133">
        <v>700</v>
      </c>
      <c r="S35" s="132">
        <f t="shared" si="4"/>
        <v>1039802.4</v>
      </c>
      <c r="T35" s="132">
        <f t="shared" si="5"/>
        <v>311940.72000000003</v>
      </c>
      <c r="U35" s="132">
        <f t="shared" si="6"/>
        <v>727861.67999999993</v>
      </c>
      <c r="V35" s="25">
        <v>0.1</v>
      </c>
      <c r="W35" s="132">
        <f t="shared" si="7"/>
        <v>655075.51199999999</v>
      </c>
      <c r="X35" s="14"/>
      <c r="Y35" s="15"/>
      <c r="Z35" s="14"/>
      <c r="AA35" s="10"/>
    </row>
    <row r="36" spans="2:27" ht="15" customHeight="1" x14ac:dyDescent="0.25">
      <c r="B36" s="7">
        <f t="shared" si="8"/>
        <v>33</v>
      </c>
      <c r="C36" s="47"/>
      <c r="D36" s="27" t="s">
        <v>147</v>
      </c>
      <c r="E36" s="27" t="s">
        <v>169</v>
      </c>
      <c r="F36" s="7" t="s">
        <v>37</v>
      </c>
      <c r="G36" s="48">
        <v>58125.599999999999</v>
      </c>
      <c r="H36" s="97">
        <f t="shared" si="0"/>
        <v>625658.14584000001</v>
      </c>
      <c r="I36" s="131">
        <f t="shared" si="1"/>
        <v>57.417500000000004</v>
      </c>
      <c r="J36" s="130">
        <v>17.5</v>
      </c>
      <c r="K36" s="24">
        <v>2007</v>
      </c>
      <c r="L36" s="24">
        <v>2022</v>
      </c>
      <c r="M36" s="24">
        <f t="shared" si="2"/>
        <v>15</v>
      </c>
      <c r="N36" s="24">
        <v>50</v>
      </c>
      <c r="O36" s="25">
        <v>0.1</v>
      </c>
      <c r="P36" s="24">
        <f t="shared" si="3"/>
        <v>1.8000000000000002E-2</v>
      </c>
      <c r="Q36" s="24"/>
      <c r="R36" s="133">
        <v>1800</v>
      </c>
      <c r="S36" s="132">
        <f t="shared" si="4"/>
        <v>104626080</v>
      </c>
      <c r="T36" s="132">
        <f t="shared" si="5"/>
        <v>28249041.600000001</v>
      </c>
      <c r="U36" s="132">
        <f t="shared" si="6"/>
        <v>76377038.400000006</v>
      </c>
      <c r="V36" s="25">
        <v>0.1</v>
      </c>
      <c r="W36" s="132">
        <f t="shared" si="7"/>
        <v>68739334.560000002</v>
      </c>
      <c r="X36" s="14"/>
      <c r="Y36" s="15"/>
      <c r="Z36" s="14"/>
      <c r="AA36" s="10"/>
    </row>
    <row r="37" spans="2:27" ht="15" customHeight="1" x14ac:dyDescent="0.25">
      <c r="B37" s="7">
        <f t="shared" si="8"/>
        <v>34</v>
      </c>
      <c r="C37" s="47"/>
      <c r="D37" s="27" t="s">
        <v>148</v>
      </c>
      <c r="E37" s="27" t="s">
        <v>169</v>
      </c>
      <c r="F37" s="7" t="s">
        <v>37</v>
      </c>
      <c r="G37" s="48">
        <v>58125.599999999999</v>
      </c>
      <c r="H37" s="97">
        <f t="shared" si="0"/>
        <v>625658.14584000001</v>
      </c>
      <c r="I37" s="131">
        <f t="shared" si="1"/>
        <v>57.417500000000004</v>
      </c>
      <c r="J37" s="130">
        <v>17.5</v>
      </c>
      <c r="K37" s="24">
        <v>2007</v>
      </c>
      <c r="L37" s="24">
        <v>2022</v>
      </c>
      <c r="M37" s="24">
        <f t="shared" si="2"/>
        <v>15</v>
      </c>
      <c r="N37" s="24">
        <v>50</v>
      </c>
      <c r="O37" s="25">
        <v>0.1</v>
      </c>
      <c r="P37" s="24">
        <f t="shared" si="3"/>
        <v>1.8000000000000002E-2</v>
      </c>
      <c r="Q37" s="24"/>
      <c r="R37" s="133">
        <v>1800</v>
      </c>
      <c r="S37" s="132">
        <f t="shared" si="4"/>
        <v>104626080</v>
      </c>
      <c r="T37" s="132">
        <f t="shared" si="5"/>
        <v>28249041.600000001</v>
      </c>
      <c r="U37" s="132">
        <f t="shared" si="6"/>
        <v>76377038.400000006</v>
      </c>
      <c r="V37" s="25">
        <v>0.1</v>
      </c>
      <c r="W37" s="132">
        <f t="shared" si="7"/>
        <v>68739334.560000002</v>
      </c>
      <c r="X37" s="14"/>
      <c r="Y37" s="15"/>
      <c r="Z37" s="14"/>
      <c r="AA37" s="10"/>
    </row>
    <row r="38" spans="2:27" ht="15" customHeight="1" x14ac:dyDescent="0.25">
      <c r="B38" s="7">
        <f t="shared" si="8"/>
        <v>35</v>
      </c>
      <c r="C38" s="47"/>
      <c r="D38" s="27" t="s">
        <v>149</v>
      </c>
      <c r="E38" s="27" t="s">
        <v>181</v>
      </c>
      <c r="F38" s="7" t="s">
        <v>37</v>
      </c>
      <c r="G38" s="48">
        <v>16199.82</v>
      </c>
      <c r="H38" s="97">
        <f t="shared" si="0"/>
        <v>174373.24249799998</v>
      </c>
      <c r="I38" s="131">
        <f t="shared" si="1"/>
        <v>13.124000000000001</v>
      </c>
      <c r="J38" s="130">
        <v>4</v>
      </c>
      <c r="K38" s="24">
        <v>2007</v>
      </c>
      <c r="L38" s="24">
        <v>2022</v>
      </c>
      <c r="M38" s="24">
        <f t="shared" si="2"/>
        <v>15</v>
      </c>
      <c r="N38" s="24">
        <v>45</v>
      </c>
      <c r="O38" s="25">
        <v>0.1</v>
      </c>
      <c r="P38" s="24">
        <f t="shared" si="3"/>
        <v>0.02</v>
      </c>
      <c r="Q38" s="24"/>
      <c r="R38" s="133">
        <v>1200</v>
      </c>
      <c r="S38" s="132">
        <f t="shared" si="4"/>
        <v>19439784</v>
      </c>
      <c r="T38" s="132">
        <f t="shared" si="5"/>
        <v>5831935.2000000002</v>
      </c>
      <c r="U38" s="132">
        <f t="shared" si="6"/>
        <v>13607848.800000001</v>
      </c>
      <c r="V38" s="25">
        <v>0.05</v>
      </c>
      <c r="W38" s="132">
        <f t="shared" si="7"/>
        <v>12927456.359999999</v>
      </c>
      <c r="X38" s="14"/>
      <c r="Y38" s="15"/>
      <c r="Z38" s="14"/>
      <c r="AA38" s="10"/>
    </row>
    <row r="39" spans="2:27" ht="15" customHeight="1" x14ac:dyDescent="0.25">
      <c r="B39" s="7">
        <f t="shared" si="8"/>
        <v>36</v>
      </c>
      <c r="C39" s="47"/>
      <c r="D39" s="27" t="s">
        <v>150</v>
      </c>
      <c r="E39" s="27" t="s">
        <v>171</v>
      </c>
      <c r="F39" s="7" t="s">
        <v>37</v>
      </c>
      <c r="G39" s="48">
        <v>1291.6799999999998</v>
      </c>
      <c r="H39" s="97">
        <f t="shared" si="0"/>
        <v>13903.514351999998</v>
      </c>
      <c r="I39" s="131">
        <f t="shared" si="1"/>
        <v>9.843</v>
      </c>
      <c r="J39" s="130">
        <v>3</v>
      </c>
      <c r="K39" s="24">
        <v>2007</v>
      </c>
      <c r="L39" s="24">
        <v>2022</v>
      </c>
      <c r="M39" s="24">
        <f t="shared" si="2"/>
        <v>15</v>
      </c>
      <c r="N39" s="24">
        <f>VLOOKUP(E39,Sheet1!$E$6:$F$23,2,FALSE)</f>
        <v>45</v>
      </c>
      <c r="O39" s="25">
        <v>0.1</v>
      </c>
      <c r="P39" s="24">
        <f t="shared" si="3"/>
        <v>0.02</v>
      </c>
      <c r="Q39" s="24"/>
      <c r="R39" s="133">
        <v>700</v>
      </c>
      <c r="S39" s="132">
        <f t="shared" si="4"/>
        <v>904175.99999999988</v>
      </c>
      <c r="T39" s="132">
        <f t="shared" si="5"/>
        <v>271252.79999999993</v>
      </c>
      <c r="U39" s="132">
        <f t="shared" si="6"/>
        <v>632923.19999999995</v>
      </c>
      <c r="V39" s="25">
        <v>0.05</v>
      </c>
      <c r="W39" s="132">
        <f t="shared" si="7"/>
        <v>601277.03999999992</v>
      </c>
      <c r="X39" s="14"/>
      <c r="Y39" s="15"/>
      <c r="Z39" s="14"/>
      <c r="AA39" s="10"/>
    </row>
    <row r="40" spans="2:27" ht="15" customHeight="1" x14ac:dyDescent="0.25">
      <c r="B40" s="7">
        <f t="shared" si="8"/>
        <v>37</v>
      </c>
      <c r="C40" s="47"/>
      <c r="D40" s="27" t="s">
        <v>151</v>
      </c>
      <c r="E40" s="27" t="s">
        <v>181</v>
      </c>
      <c r="F40" s="7" t="s">
        <v>37</v>
      </c>
      <c r="G40" s="48">
        <v>258.33600000000001</v>
      </c>
      <c r="H40" s="97">
        <f t="shared" si="0"/>
        <v>2780.7028703999999</v>
      </c>
      <c r="I40" s="131">
        <f t="shared" si="1"/>
        <v>22.967000000000002</v>
      </c>
      <c r="J40" s="130">
        <v>7</v>
      </c>
      <c r="K40" s="24">
        <v>2007</v>
      </c>
      <c r="L40" s="24">
        <v>2022</v>
      </c>
      <c r="M40" s="24">
        <f t="shared" si="2"/>
        <v>15</v>
      </c>
      <c r="N40" s="24">
        <v>45</v>
      </c>
      <c r="O40" s="25">
        <v>0.1</v>
      </c>
      <c r="P40" s="24">
        <f t="shared" si="3"/>
        <v>0.02</v>
      </c>
      <c r="Q40" s="24"/>
      <c r="R40" s="133">
        <v>1000</v>
      </c>
      <c r="S40" s="132">
        <f t="shared" si="4"/>
        <v>258336</v>
      </c>
      <c r="T40" s="132">
        <f t="shared" si="5"/>
        <v>77500.800000000003</v>
      </c>
      <c r="U40" s="132">
        <f t="shared" si="6"/>
        <v>180835.20000000001</v>
      </c>
      <c r="V40" s="25">
        <v>0.1</v>
      </c>
      <c r="W40" s="132">
        <f t="shared" si="7"/>
        <v>162751.68000000002</v>
      </c>
      <c r="X40" s="14"/>
      <c r="Y40" s="15"/>
      <c r="Z40" s="14"/>
      <c r="AA40" s="10"/>
    </row>
    <row r="41" spans="2:27" ht="15" customHeight="1" x14ac:dyDescent="0.25">
      <c r="B41" s="7">
        <f t="shared" si="8"/>
        <v>38</v>
      </c>
      <c r="C41" s="47"/>
      <c r="D41" s="27" t="s">
        <v>152</v>
      </c>
      <c r="E41" s="27" t="s">
        <v>172</v>
      </c>
      <c r="F41" s="7" t="s">
        <v>37</v>
      </c>
      <c r="G41" s="48">
        <v>1076.3999999999999</v>
      </c>
      <c r="H41" s="97">
        <f t="shared" si="0"/>
        <v>11586.261959999998</v>
      </c>
      <c r="I41" s="131">
        <f t="shared" si="1"/>
        <v>9.843</v>
      </c>
      <c r="J41" s="130">
        <v>3</v>
      </c>
      <c r="K41" s="24">
        <v>2007</v>
      </c>
      <c r="L41" s="24">
        <v>2022</v>
      </c>
      <c r="M41" s="24">
        <f t="shared" si="2"/>
        <v>15</v>
      </c>
      <c r="N41" s="24">
        <f>VLOOKUP(E41,Sheet1!$E$6:$F$23,2,FALSE)</f>
        <v>60</v>
      </c>
      <c r="O41" s="25">
        <v>0.1</v>
      </c>
      <c r="P41" s="24">
        <f t="shared" si="3"/>
        <v>1.5000000000000001E-2</v>
      </c>
      <c r="Q41" s="24"/>
      <c r="R41" s="133">
        <v>800</v>
      </c>
      <c r="S41" s="132">
        <f t="shared" si="4"/>
        <v>861119.99999999988</v>
      </c>
      <c r="T41" s="132">
        <f t="shared" si="5"/>
        <v>193752</v>
      </c>
      <c r="U41" s="132">
        <f t="shared" si="6"/>
        <v>667367.99999999988</v>
      </c>
      <c r="V41" s="25">
        <v>0.05</v>
      </c>
      <c r="W41" s="132">
        <f t="shared" si="7"/>
        <v>633999.59999999986</v>
      </c>
      <c r="X41" s="14"/>
      <c r="Y41" s="15"/>
      <c r="Z41" s="14"/>
      <c r="AA41" s="10"/>
    </row>
    <row r="42" spans="2:27" ht="15" customHeight="1" x14ac:dyDescent="0.25">
      <c r="B42" s="7">
        <f t="shared" si="8"/>
        <v>39</v>
      </c>
      <c r="C42" s="47"/>
      <c r="D42" s="27" t="s">
        <v>153</v>
      </c>
      <c r="E42" s="27" t="s">
        <v>171</v>
      </c>
      <c r="F42" s="7" t="s">
        <v>37</v>
      </c>
      <c r="G42" s="48">
        <v>322.91999999999996</v>
      </c>
      <c r="H42" s="97">
        <f t="shared" si="0"/>
        <v>3475.8785879999996</v>
      </c>
      <c r="I42" s="131">
        <f t="shared" si="1"/>
        <v>9.843</v>
      </c>
      <c r="J42" s="130">
        <v>3</v>
      </c>
      <c r="K42" s="24">
        <v>2007</v>
      </c>
      <c r="L42" s="24">
        <v>2022</v>
      </c>
      <c r="M42" s="24">
        <f t="shared" si="2"/>
        <v>15</v>
      </c>
      <c r="N42" s="24">
        <f>VLOOKUP(E42,Sheet1!$E$6:$F$23,2,FALSE)</f>
        <v>45</v>
      </c>
      <c r="O42" s="25">
        <v>0.1</v>
      </c>
      <c r="P42" s="24">
        <f t="shared" si="3"/>
        <v>0.02</v>
      </c>
      <c r="Q42" s="24"/>
      <c r="R42" s="133">
        <v>700</v>
      </c>
      <c r="S42" s="132">
        <f t="shared" si="4"/>
        <v>226043.99999999997</v>
      </c>
      <c r="T42" s="132">
        <f t="shared" si="5"/>
        <v>67813.199999999983</v>
      </c>
      <c r="U42" s="132">
        <f t="shared" si="6"/>
        <v>158230.79999999999</v>
      </c>
      <c r="V42" s="25">
        <v>0.15</v>
      </c>
      <c r="W42" s="132">
        <f t="shared" si="7"/>
        <v>134496.18</v>
      </c>
      <c r="X42" s="14"/>
      <c r="Y42" s="15"/>
      <c r="Z42" s="14"/>
      <c r="AA42" s="10"/>
    </row>
    <row r="43" spans="2:27" ht="15" customHeight="1" x14ac:dyDescent="0.25">
      <c r="B43" s="7">
        <f t="shared" si="8"/>
        <v>40</v>
      </c>
      <c r="C43" s="47"/>
      <c r="D43" s="27" t="s">
        <v>154</v>
      </c>
      <c r="E43" s="27" t="s">
        <v>170</v>
      </c>
      <c r="F43" s="7" t="s">
        <v>37</v>
      </c>
      <c r="G43" s="48">
        <v>3355.6769999999997</v>
      </c>
      <c r="H43" s="97">
        <f t="shared" si="0"/>
        <v>36120.171660299995</v>
      </c>
      <c r="I43" s="131">
        <f t="shared" si="1"/>
        <v>13.124000000000001</v>
      </c>
      <c r="J43" s="130">
        <v>4</v>
      </c>
      <c r="K43" s="24">
        <v>2007</v>
      </c>
      <c r="L43" s="24">
        <v>2022</v>
      </c>
      <c r="M43" s="24">
        <f t="shared" si="2"/>
        <v>15</v>
      </c>
      <c r="N43" s="24">
        <f>VLOOKUP(E43,Sheet1!$E$6:$F$23,2,FALSE)</f>
        <v>60</v>
      </c>
      <c r="O43" s="25">
        <v>0.1</v>
      </c>
      <c r="P43" s="24">
        <f t="shared" si="3"/>
        <v>1.5000000000000001E-2</v>
      </c>
      <c r="Q43" s="24"/>
      <c r="R43" s="133">
        <v>1100</v>
      </c>
      <c r="S43" s="132">
        <f t="shared" si="4"/>
        <v>3691244.6999999997</v>
      </c>
      <c r="T43" s="132">
        <f t="shared" si="5"/>
        <v>830530.0575</v>
      </c>
      <c r="U43" s="132">
        <f t="shared" si="6"/>
        <v>2860714.6424999996</v>
      </c>
      <c r="V43" s="25">
        <v>0.1</v>
      </c>
      <c r="W43" s="132">
        <f t="shared" si="7"/>
        <v>2574643.1782499999</v>
      </c>
      <c r="X43" s="14"/>
      <c r="Y43" s="15"/>
      <c r="Z43" s="14"/>
      <c r="AA43" s="10"/>
    </row>
    <row r="44" spans="2:27" ht="15" customHeight="1" x14ac:dyDescent="0.25">
      <c r="B44" s="7">
        <f t="shared" si="8"/>
        <v>41</v>
      </c>
      <c r="C44" s="47"/>
      <c r="D44" s="27" t="s">
        <v>155</v>
      </c>
      <c r="E44" s="27" t="s">
        <v>170</v>
      </c>
      <c r="F44" s="7" t="s">
        <v>37</v>
      </c>
      <c r="G44" s="48">
        <v>1808.3519999999999</v>
      </c>
      <c r="H44" s="97">
        <f t="shared" si="0"/>
        <v>19464.920092799999</v>
      </c>
      <c r="I44" s="131">
        <f t="shared" si="1"/>
        <v>13.124000000000001</v>
      </c>
      <c r="J44" s="130">
        <v>4</v>
      </c>
      <c r="K44" s="24">
        <v>2007</v>
      </c>
      <c r="L44" s="24">
        <v>2022</v>
      </c>
      <c r="M44" s="24">
        <f t="shared" si="2"/>
        <v>15</v>
      </c>
      <c r="N44" s="24">
        <f>VLOOKUP(E44,Sheet1!$E$6:$F$23,2,FALSE)</f>
        <v>60</v>
      </c>
      <c r="O44" s="25">
        <v>0.1</v>
      </c>
      <c r="P44" s="24">
        <f t="shared" si="3"/>
        <v>1.5000000000000001E-2</v>
      </c>
      <c r="Q44" s="24"/>
      <c r="R44" s="133">
        <v>1100</v>
      </c>
      <c r="S44" s="132">
        <f t="shared" si="4"/>
        <v>1989187.2</v>
      </c>
      <c r="T44" s="132">
        <f t="shared" si="5"/>
        <v>447567.12</v>
      </c>
      <c r="U44" s="132">
        <f t="shared" si="6"/>
        <v>1541620.08</v>
      </c>
      <c r="V44" s="25">
        <v>0.15</v>
      </c>
      <c r="W44" s="132">
        <f t="shared" si="7"/>
        <v>1310377.068</v>
      </c>
      <c r="X44" s="14"/>
      <c r="Y44" s="15"/>
      <c r="Z44" s="14"/>
      <c r="AA44" s="10"/>
    </row>
    <row r="45" spans="2:27" ht="15" customHeight="1" x14ac:dyDescent="0.25">
      <c r="B45" s="7">
        <f t="shared" si="8"/>
        <v>42</v>
      </c>
      <c r="C45" s="47"/>
      <c r="D45" s="27" t="s">
        <v>156</v>
      </c>
      <c r="E45" s="27" t="s">
        <v>170</v>
      </c>
      <c r="F45" s="7" t="s">
        <v>37</v>
      </c>
      <c r="G45" s="48">
        <v>129.16800000000001</v>
      </c>
      <c r="H45" s="97">
        <f t="shared" si="0"/>
        <v>1390.3514352</v>
      </c>
      <c r="I45" s="131">
        <f t="shared" si="1"/>
        <v>13.124000000000001</v>
      </c>
      <c r="J45" s="130">
        <v>4</v>
      </c>
      <c r="K45" s="24">
        <v>2007</v>
      </c>
      <c r="L45" s="24">
        <v>2022</v>
      </c>
      <c r="M45" s="24">
        <f t="shared" si="2"/>
        <v>15</v>
      </c>
      <c r="N45" s="24">
        <f>VLOOKUP(E45,Sheet1!$E$6:$F$23,2,FALSE)</f>
        <v>60</v>
      </c>
      <c r="O45" s="25">
        <v>0.1</v>
      </c>
      <c r="P45" s="24">
        <f t="shared" si="3"/>
        <v>1.5000000000000001E-2</v>
      </c>
      <c r="Q45" s="24"/>
      <c r="R45" s="133">
        <v>1000</v>
      </c>
      <c r="S45" s="132">
        <f t="shared" si="4"/>
        <v>129168</v>
      </c>
      <c r="T45" s="132">
        <f t="shared" si="5"/>
        <v>29062.800000000003</v>
      </c>
      <c r="U45" s="132">
        <f t="shared" si="6"/>
        <v>100105.2</v>
      </c>
      <c r="V45" s="25">
        <v>0.15</v>
      </c>
      <c r="W45" s="132">
        <f t="shared" si="7"/>
        <v>85089.42</v>
      </c>
      <c r="X45" s="14"/>
      <c r="Y45" s="15"/>
      <c r="Z45" s="14"/>
      <c r="AA45" s="10"/>
    </row>
    <row r="46" spans="2:27" ht="15" customHeight="1" x14ac:dyDescent="0.25">
      <c r="B46" s="7">
        <f t="shared" si="8"/>
        <v>43</v>
      </c>
      <c r="C46" s="47"/>
      <c r="D46" s="27" t="s">
        <v>157</v>
      </c>
      <c r="E46" s="27" t="s">
        <v>170</v>
      </c>
      <c r="F46" s="7" t="s">
        <v>80</v>
      </c>
      <c r="G46" s="48">
        <v>129.16800000000001</v>
      </c>
      <c r="H46" s="97">
        <f t="shared" si="0"/>
        <v>1390.3514352</v>
      </c>
      <c r="I46" s="131">
        <f t="shared" si="1"/>
        <v>13.124000000000001</v>
      </c>
      <c r="J46" s="130">
        <v>4</v>
      </c>
      <c r="K46" s="24">
        <v>2007</v>
      </c>
      <c r="L46" s="24">
        <v>2022</v>
      </c>
      <c r="M46" s="24">
        <f t="shared" si="2"/>
        <v>15</v>
      </c>
      <c r="N46" s="24">
        <f>VLOOKUP(E46,Sheet1!$E$6:$F$23,2,FALSE)</f>
        <v>60</v>
      </c>
      <c r="O46" s="25">
        <v>0.1</v>
      </c>
      <c r="P46" s="24">
        <f t="shared" si="3"/>
        <v>1.5000000000000001E-2</v>
      </c>
      <c r="Q46" s="24"/>
      <c r="R46" s="133">
        <v>1000</v>
      </c>
      <c r="S46" s="132">
        <f t="shared" si="4"/>
        <v>129168</v>
      </c>
      <c r="T46" s="132">
        <f t="shared" si="5"/>
        <v>29062.800000000003</v>
      </c>
      <c r="U46" s="132">
        <f t="shared" si="6"/>
        <v>100105.2</v>
      </c>
      <c r="V46" s="25">
        <v>0.2</v>
      </c>
      <c r="W46" s="132">
        <f t="shared" si="7"/>
        <v>80084.160000000003</v>
      </c>
      <c r="X46" s="14"/>
      <c r="Y46" s="15"/>
      <c r="Z46" s="14"/>
      <c r="AA46" s="10"/>
    </row>
    <row r="47" spans="2:27" ht="15" customHeight="1" x14ac:dyDescent="0.25">
      <c r="B47" s="7">
        <f t="shared" si="8"/>
        <v>44</v>
      </c>
      <c r="C47" s="47"/>
      <c r="D47" s="27" t="s">
        <v>158</v>
      </c>
      <c r="E47" s="27" t="s">
        <v>173</v>
      </c>
      <c r="F47" s="7" t="s">
        <v>37</v>
      </c>
      <c r="G47" s="48">
        <v>215.27999999999997</v>
      </c>
      <c r="H47" s="97">
        <f t="shared" si="0"/>
        <v>2317.2523919999994</v>
      </c>
      <c r="I47" s="131">
        <f t="shared" si="1"/>
        <v>9.843</v>
      </c>
      <c r="J47" s="130">
        <v>3</v>
      </c>
      <c r="K47" s="24">
        <v>2007</v>
      </c>
      <c r="L47" s="24">
        <v>2022</v>
      </c>
      <c r="M47" s="24">
        <f t="shared" si="2"/>
        <v>15</v>
      </c>
      <c r="N47" s="24">
        <f>VLOOKUP(E47,Sheet1!$E$6:$F$23,2,FALSE)</f>
        <v>45</v>
      </c>
      <c r="O47" s="25">
        <v>0.1</v>
      </c>
      <c r="P47" s="24">
        <f t="shared" si="3"/>
        <v>0.02</v>
      </c>
      <c r="Q47" s="24"/>
      <c r="R47" s="133">
        <v>700</v>
      </c>
      <c r="S47" s="132">
        <f t="shared" si="4"/>
        <v>150695.99999999997</v>
      </c>
      <c r="T47" s="132">
        <f t="shared" si="5"/>
        <v>45208.799999999996</v>
      </c>
      <c r="U47" s="132">
        <f t="shared" si="6"/>
        <v>105487.19999999998</v>
      </c>
      <c r="V47" s="25">
        <v>0.2</v>
      </c>
      <c r="W47" s="132">
        <f t="shared" si="7"/>
        <v>84389.759999999995</v>
      </c>
      <c r="X47" s="14"/>
      <c r="Y47" s="15"/>
      <c r="Z47" s="14"/>
      <c r="AA47" s="10"/>
    </row>
    <row r="48" spans="2:27" ht="15" customHeight="1" x14ac:dyDescent="0.25">
      <c r="B48" s="7">
        <f t="shared" si="8"/>
        <v>45</v>
      </c>
      <c r="C48" s="47"/>
      <c r="D48" s="27" t="s">
        <v>159</v>
      </c>
      <c r="E48" s="27" t="s">
        <v>170</v>
      </c>
      <c r="F48" s="7" t="s">
        <v>37</v>
      </c>
      <c r="G48" s="48">
        <v>251.87759999999997</v>
      </c>
      <c r="H48" s="97">
        <f t="shared" si="0"/>
        <v>2711.1852986399995</v>
      </c>
      <c r="I48" s="131">
        <f t="shared" si="1"/>
        <v>9.843</v>
      </c>
      <c r="J48" s="130">
        <v>3</v>
      </c>
      <c r="K48" s="24">
        <v>2007</v>
      </c>
      <c r="L48" s="24">
        <v>2022</v>
      </c>
      <c r="M48" s="24">
        <f t="shared" si="2"/>
        <v>15</v>
      </c>
      <c r="N48" s="24">
        <f>VLOOKUP(E48,Sheet1!$E$6:$F$23,2,FALSE)</f>
        <v>60</v>
      </c>
      <c r="O48" s="25">
        <v>0.1</v>
      </c>
      <c r="P48" s="24">
        <f t="shared" si="3"/>
        <v>1.5000000000000001E-2</v>
      </c>
      <c r="Q48" s="24"/>
      <c r="R48" s="133">
        <v>900</v>
      </c>
      <c r="S48" s="132">
        <f t="shared" si="4"/>
        <v>226689.83999999997</v>
      </c>
      <c r="T48" s="132">
        <f t="shared" si="5"/>
        <v>51005.213999999993</v>
      </c>
      <c r="U48" s="132">
        <f t="shared" si="6"/>
        <v>175684.62599999999</v>
      </c>
      <c r="V48" s="25">
        <v>0.2</v>
      </c>
      <c r="W48" s="132">
        <f t="shared" si="7"/>
        <v>140547.70079999999</v>
      </c>
      <c r="X48" s="14"/>
      <c r="Y48" s="15"/>
      <c r="Z48" s="14"/>
      <c r="AA48" s="10"/>
    </row>
    <row r="49" spans="2:27" ht="15" customHeight="1" x14ac:dyDescent="0.25">
      <c r="B49" s="7">
        <f t="shared" si="8"/>
        <v>46</v>
      </c>
      <c r="C49" s="47"/>
      <c r="D49" s="27" t="s">
        <v>160</v>
      </c>
      <c r="E49" s="27" t="s">
        <v>174</v>
      </c>
      <c r="F49" s="7" t="s">
        <v>37</v>
      </c>
      <c r="G49" s="48">
        <v>193.75199999999998</v>
      </c>
      <c r="H49" s="97">
        <f t="shared" si="0"/>
        <v>2085.5271527999998</v>
      </c>
      <c r="I49" s="131">
        <f t="shared" si="1"/>
        <v>6.5620000000000003</v>
      </c>
      <c r="J49" s="130">
        <v>2</v>
      </c>
      <c r="K49" s="24">
        <v>2007</v>
      </c>
      <c r="L49" s="24">
        <v>2022</v>
      </c>
      <c r="M49" s="24">
        <f t="shared" si="2"/>
        <v>15</v>
      </c>
      <c r="N49" s="24">
        <v>45</v>
      </c>
      <c r="O49" s="25">
        <v>0.1</v>
      </c>
      <c r="P49" s="24">
        <f t="shared" si="3"/>
        <v>0.02</v>
      </c>
      <c r="Q49" s="24"/>
      <c r="R49" s="133">
        <v>600</v>
      </c>
      <c r="S49" s="132">
        <f t="shared" si="4"/>
        <v>116251.19999999998</v>
      </c>
      <c r="T49" s="132">
        <f t="shared" si="5"/>
        <v>34875.360000000001</v>
      </c>
      <c r="U49" s="132">
        <f t="shared" si="6"/>
        <v>81375.839999999982</v>
      </c>
      <c r="V49" s="25">
        <v>0.15</v>
      </c>
      <c r="W49" s="132">
        <f t="shared" si="7"/>
        <v>69169.463999999978</v>
      </c>
      <c r="X49" s="14"/>
      <c r="Y49" s="15"/>
      <c r="Z49" s="14"/>
      <c r="AA49" s="10"/>
    </row>
    <row r="50" spans="2:27" ht="15" customHeight="1" x14ac:dyDescent="0.25">
      <c r="B50" s="7">
        <f t="shared" si="8"/>
        <v>47</v>
      </c>
      <c r="C50" s="47"/>
      <c r="D50" s="27" t="s">
        <v>161</v>
      </c>
      <c r="E50" s="27" t="s">
        <v>171</v>
      </c>
      <c r="F50" s="7" t="s">
        <v>37</v>
      </c>
      <c r="G50" s="48">
        <v>440.78579999999994</v>
      </c>
      <c r="H50" s="97">
        <f t="shared" si="0"/>
        <v>4744.5742726199987</v>
      </c>
      <c r="I50" s="131">
        <f t="shared" si="1"/>
        <v>9.843</v>
      </c>
      <c r="J50" s="130">
        <v>3</v>
      </c>
      <c r="K50" s="24">
        <v>2007</v>
      </c>
      <c r="L50" s="24">
        <v>2022</v>
      </c>
      <c r="M50" s="24">
        <f t="shared" si="2"/>
        <v>15</v>
      </c>
      <c r="N50" s="24">
        <f>VLOOKUP(E50,Sheet1!$E$6:$F$23,2,FALSE)</f>
        <v>45</v>
      </c>
      <c r="O50" s="25">
        <v>0.1</v>
      </c>
      <c r="P50" s="24">
        <f t="shared" si="3"/>
        <v>0.02</v>
      </c>
      <c r="Q50" s="24"/>
      <c r="R50" s="133">
        <v>700</v>
      </c>
      <c r="S50" s="132">
        <f t="shared" si="4"/>
        <v>308550.05999999994</v>
      </c>
      <c r="T50" s="132">
        <f t="shared" si="5"/>
        <v>92565.017999999982</v>
      </c>
      <c r="U50" s="132">
        <f t="shared" si="6"/>
        <v>215985.04199999996</v>
      </c>
      <c r="V50" s="25">
        <v>0.15</v>
      </c>
      <c r="W50" s="132">
        <f t="shared" si="7"/>
        <v>183587.28569999995</v>
      </c>
      <c r="X50" s="14"/>
      <c r="Y50" s="15"/>
      <c r="Z50" s="14"/>
      <c r="AA50" s="10"/>
    </row>
    <row r="51" spans="2:27" ht="15" customHeight="1" x14ac:dyDescent="0.25">
      <c r="B51" s="7">
        <f>INT(B50)+1</f>
        <v>48</v>
      </c>
      <c r="C51" s="47"/>
      <c r="D51" s="27" t="s">
        <v>162</v>
      </c>
      <c r="E51" s="27" t="s">
        <v>175</v>
      </c>
      <c r="F51" s="7" t="s">
        <v>80</v>
      </c>
      <c r="G51" s="46">
        <v>20004.894</v>
      </c>
      <c r="H51" s="97">
        <f t="shared" si="0"/>
        <v>215330.67852660001</v>
      </c>
      <c r="I51" s="131">
        <f t="shared" si="1"/>
        <v>13.124000000000001</v>
      </c>
      <c r="J51" s="130">
        <v>4</v>
      </c>
      <c r="K51" s="24">
        <v>2007</v>
      </c>
      <c r="L51" s="24">
        <v>2022</v>
      </c>
      <c r="M51" s="24">
        <f t="shared" si="2"/>
        <v>15</v>
      </c>
      <c r="N51" s="24">
        <v>45</v>
      </c>
      <c r="O51" s="25">
        <v>0.1</v>
      </c>
      <c r="P51" s="24">
        <f t="shared" si="3"/>
        <v>0.02</v>
      </c>
      <c r="Q51" s="24"/>
      <c r="R51" s="133">
        <v>1100</v>
      </c>
      <c r="S51" s="132">
        <f t="shared" si="4"/>
        <v>22005383.399999999</v>
      </c>
      <c r="T51" s="132">
        <f t="shared" ref="T51:T56" si="9">S51*P51*M51</f>
        <v>6601615.0200000005</v>
      </c>
      <c r="U51" s="132">
        <f t="shared" si="6"/>
        <v>15403768.379999999</v>
      </c>
      <c r="V51" s="25">
        <v>0.2</v>
      </c>
      <c r="W51" s="132">
        <f t="shared" si="7"/>
        <v>12323014.704</v>
      </c>
      <c r="X51" s="14"/>
      <c r="Y51" s="15"/>
      <c r="Z51" s="14"/>
      <c r="AA51" s="10"/>
    </row>
    <row r="52" spans="2:27" ht="15" customHeight="1" x14ac:dyDescent="0.25">
      <c r="B52" s="7">
        <f>INT(B51)+1</f>
        <v>49</v>
      </c>
      <c r="C52" s="47"/>
      <c r="D52" s="27" t="s">
        <v>163</v>
      </c>
      <c r="E52" s="27" t="s">
        <v>173</v>
      </c>
      <c r="F52" s="7" t="s">
        <v>80</v>
      </c>
      <c r="G52" s="46">
        <v>4650.0479999999998</v>
      </c>
      <c r="H52" s="97">
        <f t="shared" si="0"/>
        <v>50052.651667199993</v>
      </c>
      <c r="I52" s="131">
        <f t="shared" si="1"/>
        <v>9.843</v>
      </c>
      <c r="J52" s="130">
        <v>3</v>
      </c>
      <c r="K52" s="24">
        <v>2007</v>
      </c>
      <c r="L52" s="24">
        <v>2022</v>
      </c>
      <c r="M52" s="24">
        <f t="shared" si="2"/>
        <v>15</v>
      </c>
      <c r="N52" s="24">
        <f>VLOOKUP(E52,Sheet1!$E$6:$F$23,2,FALSE)</f>
        <v>45</v>
      </c>
      <c r="O52" s="25">
        <v>0.1</v>
      </c>
      <c r="P52" s="24">
        <f t="shared" si="3"/>
        <v>0.02</v>
      </c>
      <c r="Q52" s="24"/>
      <c r="R52" s="133">
        <v>700</v>
      </c>
      <c r="S52" s="132">
        <f t="shared" si="4"/>
        <v>3255033.5999999996</v>
      </c>
      <c r="T52" s="132">
        <f t="shared" si="9"/>
        <v>976510.07999999984</v>
      </c>
      <c r="U52" s="132">
        <f t="shared" si="6"/>
        <v>2278523.5199999996</v>
      </c>
      <c r="V52" s="25">
        <v>0.2</v>
      </c>
      <c r="W52" s="132">
        <f t="shared" si="7"/>
        <v>1822818.8159999996</v>
      </c>
      <c r="X52" s="14"/>
      <c r="Y52" s="15"/>
      <c r="Z52" s="14"/>
      <c r="AA52" s="10"/>
    </row>
    <row r="53" spans="2:27" ht="15" customHeight="1" x14ac:dyDescent="0.25">
      <c r="B53" s="7">
        <f t="shared" ref="B53:B56" si="10">INT(B52)+1</f>
        <v>50</v>
      </c>
      <c r="C53" s="47"/>
      <c r="D53" s="27" t="s">
        <v>164</v>
      </c>
      <c r="E53" s="27" t="s">
        <v>175</v>
      </c>
      <c r="F53" s="7" t="s">
        <v>37</v>
      </c>
      <c r="G53" s="46">
        <v>3431.0249999999996</v>
      </c>
      <c r="H53" s="97">
        <f t="shared" si="0"/>
        <v>36931.209997499995</v>
      </c>
      <c r="I53" s="131">
        <f t="shared" si="1"/>
        <v>16.405000000000001</v>
      </c>
      <c r="J53" s="130">
        <v>5</v>
      </c>
      <c r="K53" s="24">
        <v>2007</v>
      </c>
      <c r="L53" s="24">
        <v>2022</v>
      </c>
      <c r="M53" s="24">
        <f t="shared" si="2"/>
        <v>15</v>
      </c>
      <c r="N53" s="24">
        <v>45</v>
      </c>
      <c r="O53" s="25">
        <v>0.1</v>
      </c>
      <c r="P53" s="24">
        <f t="shared" si="3"/>
        <v>0.02</v>
      </c>
      <c r="Q53" s="24"/>
      <c r="R53" s="133">
        <v>1000</v>
      </c>
      <c r="S53" s="132">
        <f t="shared" si="4"/>
        <v>3431024.9999999995</v>
      </c>
      <c r="T53" s="132">
        <f t="shared" si="9"/>
        <v>1029307.4999999998</v>
      </c>
      <c r="U53" s="132">
        <f t="shared" si="6"/>
        <v>2401717.5</v>
      </c>
      <c r="V53" s="25">
        <v>0.15</v>
      </c>
      <c r="W53" s="132">
        <f t="shared" si="7"/>
        <v>2041459.875</v>
      </c>
      <c r="X53" s="14"/>
      <c r="Y53" s="15"/>
      <c r="Z53" s="14"/>
      <c r="AA53" s="10"/>
    </row>
    <row r="54" spans="2:27" ht="15" customHeight="1" x14ac:dyDescent="0.25">
      <c r="B54" s="7">
        <f t="shared" si="10"/>
        <v>51</v>
      </c>
      <c r="C54" s="47"/>
      <c r="D54" s="27" t="s">
        <v>165</v>
      </c>
      <c r="E54" s="27" t="s">
        <v>174</v>
      </c>
      <c r="F54" s="7" t="s">
        <v>80</v>
      </c>
      <c r="G54" s="46">
        <v>21528</v>
      </c>
      <c r="H54" s="97">
        <f t="shared" si="0"/>
        <v>231725.23919999998</v>
      </c>
      <c r="I54" s="131">
        <f t="shared" si="1"/>
        <v>0</v>
      </c>
      <c r="J54" s="130"/>
      <c r="K54" s="24">
        <v>2007</v>
      </c>
      <c r="L54" s="24">
        <v>2022</v>
      </c>
      <c r="M54" s="24">
        <f t="shared" si="2"/>
        <v>15</v>
      </c>
      <c r="N54" s="24">
        <f>VLOOKUP(E54,Sheet1!$E$6:$F$23,2,FALSE)</f>
        <v>40</v>
      </c>
      <c r="O54" s="25">
        <v>0.1</v>
      </c>
      <c r="P54" s="24">
        <f t="shared" si="3"/>
        <v>2.2499999999999999E-2</v>
      </c>
      <c r="Q54" s="24"/>
      <c r="R54" s="133">
        <v>50</v>
      </c>
      <c r="S54" s="132">
        <f t="shared" si="4"/>
        <v>1076400</v>
      </c>
      <c r="T54" s="132">
        <f t="shared" si="9"/>
        <v>363285</v>
      </c>
      <c r="U54" s="132">
        <f t="shared" si="6"/>
        <v>713115</v>
      </c>
      <c r="V54" s="25">
        <v>0.2</v>
      </c>
      <c r="W54" s="132">
        <f t="shared" si="7"/>
        <v>570492</v>
      </c>
      <c r="X54" s="14"/>
      <c r="Y54" s="15"/>
      <c r="Z54" s="14"/>
      <c r="AA54" s="10"/>
    </row>
    <row r="55" spans="2:27" ht="15" customHeight="1" x14ac:dyDescent="0.25">
      <c r="B55" s="7">
        <f t="shared" si="10"/>
        <v>52</v>
      </c>
      <c r="C55" s="47"/>
      <c r="D55" s="27" t="s">
        <v>166</v>
      </c>
      <c r="E55" s="27" t="s">
        <v>174</v>
      </c>
      <c r="F55" s="7" t="s">
        <v>37</v>
      </c>
      <c r="G55" s="46">
        <v>150.696</v>
      </c>
      <c r="H55" s="97">
        <f t="shared" si="0"/>
        <v>1622.0766744</v>
      </c>
      <c r="I55" s="131">
        <f t="shared" si="1"/>
        <v>9.843</v>
      </c>
      <c r="J55" s="130">
        <v>3</v>
      </c>
      <c r="K55" s="24">
        <v>2007</v>
      </c>
      <c r="L55" s="24">
        <v>2022</v>
      </c>
      <c r="M55" s="24">
        <f t="shared" si="2"/>
        <v>15</v>
      </c>
      <c r="N55" s="24">
        <v>45</v>
      </c>
      <c r="O55" s="25">
        <v>0.1</v>
      </c>
      <c r="P55" s="24">
        <f t="shared" si="3"/>
        <v>0.02</v>
      </c>
      <c r="Q55" s="24"/>
      <c r="R55" s="133">
        <v>800</v>
      </c>
      <c r="S55" s="132">
        <f t="shared" si="4"/>
        <v>120556.8</v>
      </c>
      <c r="T55" s="132">
        <f t="shared" si="9"/>
        <v>36167.040000000001</v>
      </c>
      <c r="U55" s="132">
        <f t="shared" si="6"/>
        <v>84389.760000000009</v>
      </c>
      <c r="V55" s="25">
        <v>0.15</v>
      </c>
      <c r="W55" s="132">
        <f t="shared" si="7"/>
        <v>71731.296000000002</v>
      </c>
      <c r="X55" s="14"/>
      <c r="Y55" s="15"/>
      <c r="Z55" s="14"/>
      <c r="AA55" s="10"/>
    </row>
    <row r="56" spans="2:27" ht="15" customHeight="1" x14ac:dyDescent="0.25">
      <c r="B56" s="7">
        <f t="shared" si="10"/>
        <v>53</v>
      </c>
      <c r="C56" s="47"/>
      <c r="D56" s="27" t="s">
        <v>167</v>
      </c>
      <c r="E56" s="27" t="s">
        <v>175</v>
      </c>
      <c r="F56" s="7" t="s">
        <v>37</v>
      </c>
      <c r="G56" s="46">
        <v>80.72999999999999</v>
      </c>
      <c r="H56" s="97">
        <f t="shared" si="0"/>
        <v>868.9696469999999</v>
      </c>
      <c r="I56" s="131">
        <f t="shared" si="1"/>
        <v>9.843</v>
      </c>
      <c r="J56" s="130">
        <v>3</v>
      </c>
      <c r="K56" s="24">
        <v>2007</v>
      </c>
      <c r="L56" s="24">
        <v>2022</v>
      </c>
      <c r="M56" s="24">
        <f t="shared" si="2"/>
        <v>15</v>
      </c>
      <c r="N56" s="24">
        <v>45</v>
      </c>
      <c r="O56" s="25">
        <v>0.1</v>
      </c>
      <c r="P56" s="24">
        <f t="shared" si="3"/>
        <v>0.02</v>
      </c>
      <c r="Q56" s="24"/>
      <c r="R56" s="133">
        <v>700</v>
      </c>
      <c r="S56" s="132">
        <f t="shared" si="4"/>
        <v>56510.999999999993</v>
      </c>
      <c r="T56" s="132">
        <f t="shared" si="9"/>
        <v>16953.299999999996</v>
      </c>
      <c r="U56" s="132">
        <f t="shared" si="6"/>
        <v>39557.699999999997</v>
      </c>
      <c r="V56" s="25">
        <v>0.15</v>
      </c>
      <c r="W56" s="132">
        <f t="shared" si="7"/>
        <v>33624.044999999998</v>
      </c>
      <c r="X56" s="14"/>
      <c r="Y56" s="15"/>
      <c r="Z56" s="14"/>
      <c r="AA56" s="10"/>
    </row>
    <row r="57" spans="2:27" ht="15" customHeight="1" x14ac:dyDescent="0.25">
      <c r="B57" s="30"/>
      <c r="C57" s="121" t="s">
        <v>28</v>
      </c>
      <c r="D57" s="122"/>
      <c r="E57" s="122"/>
      <c r="F57" s="31"/>
      <c r="G57" s="32">
        <f>SUM(G51:G56)</f>
        <v>49845.393000000004</v>
      </c>
      <c r="H57" s="32">
        <f>SUM(H51:H56)</f>
        <v>536530.82571269991</v>
      </c>
      <c r="I57" s="32"/>
      <c r="J57" s="20"/>
      <c r="K57" s="21"/>
      <c r="L57" s="21"/>
      <c r="M57" s="21"/>
      <c r="N57" s="21"/>
      <c r="O57" s="33"/>
      <c r="P57" s="34"/>
      <c r="Q57" s="34"/>
      <c r="R57" s="35"/>
      <c r="S57" s="22">
        <f>SUM(S4:S56)</f>
        <v>476770879.3161599</v>
      </c>
      <c r="T57" s="22">
        <f>SUM(T4:T56)</f>
        <v>142577976.95434803</v>
      </c>
      <c r="U57" s="22">
        <f>SUM(U4:U56)</f>
        <v>334192902.36181182</v>
      </c>
      <c r="V57" s="22"/>
      <c r="W57" s="22">
        <f>SUM(W4:W56)</f>
        <v>292555256.24936533</v>
      </c>
      <c r="X57" s="14">
        <f>SUM(U57)</f>
        <v>334192902.36181182</v>
      </c>
      <c r="Y57" s="15"/>
      <c r="Z57" s="14"/>
      <c r="AA57" s="10"/>
    </row>
    <row r="58" spans="2:27" ht="15" customHeight="1" x14ac:dyDescent="0.25">
      <c r="B58" s="7">
        <f>INT(B56)+1</f>
        <v>54</v>
      </c>
      <c r="C58" s="79"/>
      <c r="D58" s="113" t="s">
        <v>108</v>
      </c>
      <c r="E58" s="114"/>
      <c r="F58" s="7" t="s">
        <v>37</v>
      </c>
      <c r="G58" s="115" t="s">
        <v>177</v>
      </c>
      <c r="H58" s="116"/>
      <c r="I58" s="116"/>
      <c r="J58" s="116"/>
      <c r="K58" s="116"/>
      <c r="L58" s="116"/>
      <c r="M58" s="116"/>
      <c r="N58" s="117"/>
      <c r="O58" s="80"/>
      <c r="P58" s="81"/>
      <c r="Q58" s="81"/>
      <c r="R58" s="105" t="s">
        <v>110</v>
      </c>
      <c r="S58" s="106"/>
      <c r="T58" s="106"/>
      <c r="U58" s="107"/>
      <c r="V58" s="82"/>
      <c r="W58" s="83">
        <f>12*256000</f>
        <v>3072000</v>
      </c>
      <c r="X58" s="14"/>
      <c r="Y58" s="15"/>
      <c r="Z58" s="14"/>
      <c r="AA58" s="10"/>
    </row>
    <row r="59" spans="2:27" ht="15" customHeight="1" x14ac:dyDescent="0.25">
      <c r="B59" s="7">
        <f>INT(B58)+1</f>
        <v>55</v>
      </c>
      <c r="C59" s="79"/>
      <c r="D59" s="113" t="s">
        <v>109</v>
      </c>
      <c r="E59" s="114"/>
      <c r="F59" s="7" t="s">
        <v>37</v>
      </c>
      <c r="G59" s="115" t="s">
        <v>178</v>
      </c>
      <c r="H59" s="116"/>
      <c r="I59" s="116"/>
      <c r="J59" s="116"/>
      <c r="K59" s="116"/>
      <c r="L59" s="116"/>
      <c r="M59" s="116"/>
      <c r="N59" s="117"/>
      <c r="O59" s="80"/>
      <c r="P59" s="81"/>
      <c r="Q59" s="81"/>
      <c r="R59" s="105" t="s">
        <v>110</v>
      </c>
      <c r="S59" s="106"/>
      <c r="T59" s="106"/>
      <c r="U59" s="107"/>
      <c r="V59" s="82"/>
      <c r="W59" s="83">
        <f>12*726000</f>
        <v>8712000</v>
      </c>
      <c r="X59" s="14"/>
      <c r="Y59" s="15"/>
      <c r="Z59" s="14"/>
      <c r="AA59" s="10"/>
    </row>
    <row r="60" spans="2:27" ht="15" customHeight="1" x14ac:dyDescent="0.25">
      <c r="B60" s="7">
        <f t="shared" ref="B60:B62" si="11">INT(B59)+1</f>
        <v>56</v>
      </c>
      <c r="C60" s="23"/>
      <c r="D60" s="108" t="s">
        <v>27</v>
      </c>
      <c r="E60" s="108"/>
      <c r="F60" s="7" t="s">
        <v>37</v>
      </c>
      <c r="G60" s="109" t="str">
        <f>1817*8 &amp;" R.mtr."</f>
        <v>14536 R.mtr.</v>
      </c>
      <c r="H60" s="109"/>
      <c r="I60" s="109"/>
      <c r="J60" s="109"/>
      <c r="K60" s="109"/>
      <c r="L60" s="109"/>
      <c r="M60" s="109"/>
      <c r="N60" s="109"/>
      <c r="O60" s="12"/>
      <c r="P60" s="13"/>
      <c r="Q60" s="13"/>
      <c r="R60" s="104" t="s">
        <v>39</v>
      </c>
      <c r="S60" s="104"/>
      <c r="T60" s="104"/>
      <c r="U60" s="104"/>
      <c r="V60" s="36"/>
      <c r="W60" s="36">
        <f>14536*1500</f>
        <v>21804000</v>
      </c>
      <c r="X60" s="14"/>
      <c r="Y60" s="15"/>
      <c r="Z60" s="14"/>
      <c r="AA60" s="10"/>
    </row>
    <row r="61" spans="2:27" ht="15" customHeight="1" x14ac:dyDescent="0.25">
      <c r="B61" s="7">
        <f t="shared" si="11"/>
        <v>57</v>
      </c>
      <c r="C61" s="23"/>
      <c r="D61" s="108" t="s">
        <v>168</v>
      </c>
      <c r="E61" s="108"/>
      <c r="F61" s="7" t="s">
        <v>37</v>
      </c>
      <c r="G61" s="134" t="s">
        <v>182</v>
      </c>
      <c r="H61" s="135"/>
      <c r="I61" s="135"/>
      <c r="J61" s="135"/>
      <c r="K61" s="135"/>
      <c r="L61" s="135"/>
      <c r="M61" s="135"/>
      <c r="N61" s="136"/>
      <c r="O61" s="12"/>
      <c r="P61" s="13"/>
      <c r="Q61" s="13"/>
      <c r="R61" s="105" t="s">
        <v>184</v>
      </c>
      <c r="S61" s="106"/>
      <c r="T61" s="106"/>
      <c r="U61" s="107"/>
      <c r="V61" s="137"/>
      <c r="W61" s="36">
        <f>3500*350</f>
        <v>1225000</v>
      </c>
      <c r="X61" s="14"/>
      <c r="Y61" s="15"/>
      <c r="Z61" s="14"/>
      <c r="AA61" s="10"/>
    </row>
    <row r="62" spans="2:27" ht="15" customHeight="1" x14ac:dyDescent="0.25">
      <c r="B62" s="7">
        <f t="shared" si="11"/>
        <v>58</v>
      </c>
      <c r="C62" s="23"/>
      <c r="D62" s="108" t="s">
        <v>22</v>
      </c>
      <c r="E62" s="108"/>
      <c r="F62" s="7" t="s">
        <v>37</v>
      </c>
      <c r="G62" s="109" t="str">
        <f>26400 &amp;" R.mtr."</f>
        <v>26400 R.mtr.</v>
      </c>
      <c r="H62" s="109"/>
      <c r="I62" s="109"/>
      <c r="J62" s="109"/>
      <c r="K62" s="109"/>
      <c r="L62" s="109"/>
      <c r="M62" s="109"/>
      <c r="N62" s="109"/>
      <c r="O62" s="12"/>
      <c r="P62" s="13"/>
      <c r="Q62" s="13"/>
      <c r="R62" s="104" t="s">
        <v>40</v>
      </c>
      <c r="S62" s="104"/>
      <c r="T62" s="104"/>
      <c r="U62" s="104"/>
      <c r="V62" s="36"/>
      <c r="W62" s="36">
        <f>26400*4000</f>
        <v>105600000</v>
      </c>
      <c r="X62" s="14"/>
      <c r="Y62" s="15"/>
      <c r="Z62" s="14"/>
      <c r="AA62" s="10"/>
    </row>
    <row r="63" spans="2:27" ht="15" customHeight="1" x14ac:dyDescent="0.25">
      <c r="B63" s="121" t="s">
        <v>28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3"/>
      <c r="T63" s="121"/>
      <c r="U63" s="122"/>
      <c r="V63" s="138"/>
      <c r="W63" s="139">
        <f>SUM(W58:W62)</f>
        <v>140413000</v>
      </c>
      <c r="Y63" s="138"/>
      <c r="Z63" s="14"/>
      <c r="AA63" s="10"/>
    </row>
    <row r="64" spans="2:27" ht="15" customHeight="1" x14ac:dyDescent="0.25">
      <c r="B64" s="118" t="s">
        <v>41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20"/>
      <c r="V64" s="8"/>
      <c r="W64" s="82">
        <f>SUM(W63,W57)</f>
        <v>432968256.24936533</v>
      </c>
      <c r="X64" s="14"/>
      <c r="Y64" s="15"/>
      <c r="Z64" s="14"/>
      <c r="AA64" s="10"/>
    </row>
    <row r="65" spans="2:27" ht="15" customHeight="1" x14ac:dyDescent="0.25">
      <c r="B65" s="110" t="s">
        <v>23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4"/>
      <c r="Y65" s="15"/>
      <c r="Z65" s="14"/>
      <c r="AA65" s="10"/>
    </row>
    <row r="66" spans="2:27" ht="33" customHeight="1" x14ac:dyDescent="0.25">
      <c r="B66" s="111" t="s">
        <v>114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4"/>
      <c r="Y66" s="15"/>
      <c r="Z66" s="14"/>
      <c r="AA66" s="10"/>
    </row>
    <row r="67" spans="2:27" ht="15" customHeight="1" x14ac:dyDescent="0.25">
      <c r="B67" s="112" t="s">
        <v>42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4"/>
      <c r="Y67" s="15"/>
      <c r="Z67" s="14"/>
      <c r="AA67" s="10"/>
    </row>
    <row r="68" spans="2:27" ht="15" customHeight="1" x14ac:dyDescent="0.25">
      <c r="B68" s="112" t="s">
        <v>24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4"/>
      <c r="Y68" s="15"/>
      <c r="Z68" s="14"/>
      <c r="AA68" s="10"/>
    </row>
    <row r="69" spans="2:27" x14ac:dyDescent="0.25">
      <c r="K69" s="29"/>
      <c r="L69" s="29"/>
      <c r="M69" s="29"/>
      <c r="N69" s="29"/>
      <c r="O69" s="38"/>
      <c r="P69" s="39"/>
      <c r="Q69" s="39"/>
      <c r="R69" s="37"/>
      <c r="S69" s="37" t="e">
        <f>R69*#REF!</f>
        <v>#REF!</v>
      </c>
      <c r="T69" s="37" t="e">
        <f t="shared" ref="T69" si="12">S69*P69*M69</f>
        <v>#REF!</v>
      </c>
      <c r="U69" s="37" t="e">
        <f t="shared" ref="U69" si="13">MAX(S69-T69,0)</f>
        <v>#REF!</v>
      </c>
      <c r="V69" s="37"/>
      <c r="W69" s="37" t="e">
        <f t="shared" ref="W69" si="14">U69</f>
        <v>#REF!</v>
      </c>
      <c r="X69" s="14"/>
      <c r="Y69" s="15"/>
      <c r="Z69" s="14"/>
      <c r="AA69" s="10"/>
    </row>
  </sheetData>
  <autoFilter ref="B2:AA69" xr:uid="{00000000-0001-0000-02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24">
    <mergeCell ref="B65:W65"/>
    <mergeCell ref="B66:W66"/>
    <mergeCell ref="B67:W67"/>
    <mergeCell ref="B68:W68"/>
    <mergeCell ref="D58:E58"/>
    <mergeCell ref="D59:E59"/>
    <mergeCell ref="G58:N58"/>
    <mergeCell ref="G59:N59"/>
    <mergeCell ref="B64:U64"/>
    <mergeCell ref="T63:U63"/>
    <mergeCell ref="B63:S63"/>
    <mergeCell ref="D60:E60"/>
    <mergeCell ref="D62:E62"/>
    <mergeCell ref="G60:N60"/>
    <mergeCell ref="G62:N62"/>
    <mergeCell ref="B2:Z2"/>
    <mergeCell ref="R60:U60"/>
    <mergeCell ref="R62:U62"/>
    <mergeCell ref="R58:U58"/>
    <mergeCell ref="R59:U59"/>
    <mergeCell ref="D61:E61"/>
    <mergeCell ref="C57:E57"/>
    <mergeCell ref="G61:N61"/>
    <mergeCell ref="R61:U61"/>
  </mergeCells>
  <dataValidations count="1">
    <dataValidation type="list" allowBlank="1" showInputMessage="1" showErrorMessage="1" promptTitle="Condition of Structure" prompt="Condition of Structure" sqref="F4:F62" xr:uid="{00000000-0002-0000-02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6:X33"/>
  <sheetViews>
    <sheetView workbookViewId="0">
      <selection activeCell="M6" sqref="M6"/>
    </sheetView>
  </sheetViews>
  <sheetFormatPr defaultRowHeight="15" x14ac:dyDescent="0.25"/>
  <cols>
    <col min="5" max="5" width="50.7109375" bestFit="1" customWidth="1"/>
    <col min="14" max="14" width="7" customWidth="1"/>
    <col min="15" max="15" width="9.28515625" bestFit="1" customWidth="1"/>
    <col min="16" max="16" width="14.85546875" bestFit="1" customWidth="1"/>
    <col min="17" max="17" width="16" customWidth="1"/>
  </cols>
  <sheetData>
    <row r="6" spans="5:24" x14ac:dyDescent="0.25">
      <c r="E6" s="27" t="s">
        <v>26</v>
      </c>
      <c r="F6" s="27" t="s">
        <v>79</v>
      </c>
      <c r="G6" s="23" t="s">
        <v>75</v>
      </c>
      <c r="H6" s="23" t="s">
        <v>77</v>
      </c>
      <c r="I6" s="23" t="s">
        <v>74</v>
      </c>
      <c r="J6" s="45" t="s">
        <v>73</v>
      </c>
      <c r="K6" s="23" t="s">
        <v>64</v>
      </c>
      <c r="L6" s="23" t="s">
        <v>72</v>
      </c>
      <c r="M6" s="23" t="s">
        <v>70</v>
      </c>
      <c r="N6" s="45" t="s">
        <v>78</v>
      </c>
      <c r="O6" s="23" t="s">
        <v>65</v>
      </c>
      <c r="P6" s="23" t="s">
        <v>68</v>
      </c>
      <c r="Q6" s="45" t="s">
        <v>76</v>
      </c>
      <c r="R6" s="45" t="s">
        <v>69</v>
      </c>
      <c r="S6" s="23" t="s">
        <v>66</v>
      </c>
      <c r="T6" s="45" t="s">
        <v>63</v>
      </c>
      <c r="U6" s="23" t="s">
        <v>61</v>
      </c>
      <c r="V6" s="45" t="s">
        <v>71</v>
      </c>
      <c r="W6" s="23" t="s">
        <v>62</v>
      </c>
      <c r="X6" s="23" t="s">
        <v>67</v>
      </c>
    </row>
    <row r="7" spans="5:24" x14ac:dyDescent="0.25">
      <c r="E7" s="27" t="s">
        <v>169</v>
      </c>
      <c r="F7" s="27">
        <v>40</v>
      </c>
      <c r="G7" s="23">
        <v>700</v>
      </c>
      <c r="H7" s="27">
        <f>G7</f>
        <v>700</v>
      </c>
      <c r="I7" s="23">
        <f>H7</f>
        <v>700</v>
      </c>
      <c r="J7" s="27">
        <f>I7+100</f>
        <v>800</v>
      </c>
      <c r="K7" s="27">
        <f>J7</f>
        <v>800</v>
      </c>
      <c r="L7" s="27">
        <f>K7+100</f>
        <v>900</v>
      </c>
      <c r="M7" s="27">
        <f>L7</f>
        <v>900</v>
      </c>
      <c r="N7" s="27">
        <f>M7+100</f>
        <v>1000</v>
      </c>
      <c r="O7" s="27">
        <f>N7</f>
        <v>1000</v>
      </c>
      <c r="P7" s="27">
        <f>O7</f>
        <v>1000</v>
      </c>
      <c r="Q7" s="27">
        <f>P7</f>
        <v>1000</v>
      </c>
      <c r="R7" s="27">
        <f>Q7+100</f>
        <v>1100</v>
      </c>
      <c r="S7" s="27">
        <f>R7+100</f>
        <v>1200</v>
      </c>
      <c r="T7" s="27">
        <f>S7+100</f>
        <v>1300</v>
      </c>
      <c r="U7" s="27">
        <f>T7+100</f>
        <v>1400</v>
      </c>
      <c r="V7" s="27">
        <f>U7+200</f>
        <v>1600</v>
      </c>
      <c r="W7" s="27">
        <f>V7+100</f>
        <v>1700</v>
      </c>
      <c r="X7" s="27">
        <f>W7+200</f>
        <v>1900</v>
      </c>
    </row>
    <row r="8" spans="5:24" x14ac:dyDescent="0.25">
      <c r="E8" s="98" t="s">
        <v>170</v>
      </c>
      <c r="F8" s="27">
        <v>60</v>
      </c>
      <c r="G8" s="23">
        <v>900</v>
      </c>
      <c r="H8" s="27">
        <f t="shared" ref="H8:I8" si="0">G8</f>
        <v>900</v>
      </c>
      <c r="I8" s="23">
        <f t="shared" si="0"/>
        <v>900</v>
      </c>
      <c r="J8" s="27">
        <f t="shared" ref="J8:J23" si="1">I8+100</f>
        <v>1000</v>
      </c>
      <c r="K8" s="27">
        <f t="shared" ref="K8:K23" si="2">J8</f>
        <v>1000</v>
      </c>
      <c r="L8" s="27">
        <f t="shared" ref="L8:L23" si="3">K8+100</f>
        <v>1100</v>
      </c>
      <c r="M8" s="27">
        <f t="shared" ref="M8:M23" si="4">L8</f>
        <v>1100</v>
      </c>
      <c r="N8" s="27">
        <f t="shared" ref="N8:N23" si="5">M8+100</f>
        <v>1200</v>
      </c>
      <c r="O8" s="27">
        <f t="shared" ref="O8:Q8" si="6">N8</f>
        <v>1200</v>
      </c>
      <c r="P8" s="27">
        <f t="shared" si="6"/>
        <v>1200</v>
      </c>
      <c r="Q8" s="27">
        <f t="shared" si="6"/>
        <v>1200</v>
      </c>
      <c r="R8" s="27">
        <f t="shared" ref="R8:U8" si="7">Q8+100</f>
        <v>1300</v>
      </c>
      <c r="S8" s="27">
        <f t="shared" si="7"/>
        <v>1400</v>
      </c>
      <c r="T8" s="27">
        <f t="shared" si="7"/>
        <v>1500</v>
      </c>
      <c r="U8" s="27">
        <f t="shared" si="7"/>
        <v>1600</v>
      </c>
      <c r="V8" s="27">
        <f t="shared" ref="V8:V23" si="8">U8+200</f>
        <v>1800</v>
      </c>
      <c r="W8" s="27">
        <f t="shared" ref="W8:W23" si="9">V8+100</f>
        <v>1900</v>
      </c>
      <c r="X8" s="27">
        <f t="shared" ref="X8:X23" si="10">W8+200</f>
        <v>2100</v>
      </c>
    </row>
    <row r="9" spans="5:24" x14ac:dyDescent="0.25">
      <c r="E9" s="27" t="s">
        <v>171</v>
      </c>
      <c r="F9" s="27">
        <v>45</v>
      </c>
      <c r="G9" s="23">
        <v>800</v>
      </c>
      <c r="H9" s="27">
        <f t="shared" ref="H9:I9" si="11">G9</f>
        <v>800</v>
      </c>
      <c r="I9" s="23">
        <f t="shared" si="11"/>
        <v>800</v>
      </c>
      <c r="J9" s="27">
        <f t="shared" si="1"/>
        <v>900</v>
      </c>
      <c r="K9" s="27">
        <f t="shared" si="2"/>
        <v>900</v>
      </c>
      <c r="L9" s="27">
        <f t="shared" si="3"/>
        <v>1000</v>
      </c>
      <c r="M9" s="27">
        <f t="shared" si="4"/>
        <v>1000</v>
      </c>
      <c r="N9" s="27">
        <f t="shared" si="5"/>
        <v>1100</v>
      </c>
      <c r="O9" s="27">
        <f t="shared" ref="O9:Q9" si="12">N9</f>
        <v>1100</v>
      </c>
      <c r="P9" s="27">
        <f t="shared" si="12"/>
        <v>1100</v>
      </c>
      <c r="Q9" s="27">
        <f t="shared" si="12"/>
        <v>1100</v>
      </c>
      <c r="R9" s="27">
        <f t="shared" ref="R9:U9" si="13">Q9+100</f>
        <v>1200</v>
      </c>
      <c r="S9" s="27">
        <f t="shared" si="13"/>
        <v>1300</v>
      </c>
      <c r="T9" s="27">
        <f t="shared" si="13"/>
        <v>1400</v>
      </c>
      <c r="U9" s="27">
        <f t="shared" si="13"/>
        <v>1500</v>
      </c>
      <c r="V9" s="27">
        <f t="shared" si="8"/>
        <v>1700</v>
      </c>
      <c r="W9" s="27">
        <f t="shared" si="9"/>
        <v>1800</v>
      </c>
      <c r="X9" s="27">
        <f t="shared" si="10"/>
        <v>2000</v>
      </c>
    </row>
    <row r="10" spans="5:24" x14ac:dyDescent="0.25">
      <c r="E10" s="27" t="s">
        <v>172</v>
      </c>
      <c r="F10" s="27">
        <v>60</v>
      </c>
      <c r="G10" s="45">
        <v>1000</v>
      </c>
      <c r="H10" s="27">
        <f t="shared" ref="H10:I10" si="14">G10</f>
        <v>1000</v>
      </c>
      <c r="I10" s="23">
        <f t="shared" si="14"/>
        <v>1000</v>
      </c>
      <c r="J10" s="27">
        <f t="shared" si="1"/>
        <v>1100</v>
      </c>
      <c r="K10" s="27">
        <f t="shared" si="2"/>
        <v>1100</v>
      </c>
      <c r="L10" s="27">
        <f t="shared" si="3"/>
        <v>1200</v>
      </c>
      <c r="M10" s="27">
        <f t="shared" si="4"/>
        <v>1200</v>
      </c>
      <c r="N10" s="27">
        <f t="shared" si="5"/>
        <v>1300</v>
      </c>
      <c r="O10" s="27">
        <f t="shared" ref="O10:Q10" si="15">N10</f>
        <v>1300</v>
      </c>
      <c r="P10" s="27">
        <f t="shared" si="15"/>
        <v>1300</v>
      </c>
      <c r="Q10" s="27">
        <f t="shared" si="15"/>
        <v>1300</v>
      </c>
      <c r="R10" s="27">
        <f t="shared" ref="R10:U10" si="16">Q10+100</f>
        <v>1400</v>
      </c>
      <c r="S10" s="27">
        <f t="shared" si="16"/>
        <v>1500</v>
      </c>
      <c r="T10" s="27">
        <f t="shared" si="16"/>
        <v>1600</v>
      </c>
      <c r="U10" s="27">
        <f t="shared" si="16"/>
        <v>1700</v>
      </c>
      <c r="V10" s="27">
        <f t="shared" si="8"/>
        <v>1900</v>
      </c>
      <c r="W10" s="27">
        <f t="shared" si="9"/>
        <v>2000</v>
      </c>
      <c r="X10" s="27">
        <f t="shared" si="10"/>
        <v>2200</v>
      </c>
    </row>
    <row r="11" spans="5:24" x14ac:dyDescent="0.25">
      <c r="E11" s="27" t="s">
        <v>173</v>
      </c>
      <c r="F11" s="27">
        <v>45</v>
      </c>
      <c r="G11" s="23">
        <v>600</v>
      </c>
      <c r="H11" s="27">
        <f t="shared" ref="H11:I11" si="17">G11</f>
        <v>600</v>
      </c>
      <c r="I11" s="23">
        <f t="shared" si="17"/>
        <v>600</v>
      </c>
      <c r="J11" s="27">
        <f t="shared" si="1"/>
        <v>700</v>
      </c>
      <c r="K11" s="27">
        <f t="shared" si="2"/>
        <v>700</v>
      </c>
      <c r="L11" s="27">
        <f t="shared" si="3"/>
        <v>800</v>
      </c>
      <c r="M11" s="27">
        <f t="shared" si="4"/>
        <v>800</v>
      </c>
      <c r="N11" s="27">
        <f t="shared" si="5"/>
        <v>900</v>
      </c>
      <c r="O11" s="27">
        <f t="shared" ref="O11:Q11" si="18">N11</f>
        <v>900</v>
      </c>
      <c r="P11" s="27">
        <f t="shared" si="18"/>
        <v>900</v>
      </c>
      <c r="Q11" s="27">
        <f t="shared" si="18"/>
        <v>900</v>
      </c>
      <c r="R11" s="27">
        <f t="shared" ref="R11:U11" si="19">Q11+100</f>
        <v>1000</v>
      </c>
      <c r="S11" s="27">
        <f t="shared" si="19"/>
        <v>1100</v>
      </c>
      <c r="T11" s="27">
        <f t="shared" si="19"/>
        <v>1200</v>
      </c>
      <c r="U11" s="27">
        <f t="shared" si="19"/>
        <v>1300</v>
      </c>
      <c r="V11" s="27">
        <f t="shared" si="8"/>
        <v>1500</v>
      </c>
      <c r="W11" s="27">
        <f t="shared" si="9"/>
        <v>1600</v>
      </c>
      <c r="X11" s="27">
        <f t="shared" si="10"/>
        <v>1800</v>
      </c>
    </row>
    <row r="12" spans="5:24" x14ac:dyDescent="0.25">
      <c r="E12" s="27" t="s">
        <v>174</v>
      </c>
      <c r="F12" s="27">
        <v>40</v>
      </c>
      <c r="G12" s="23">
        <v>600</v>
      </c>
      <c r="H12" s="27">
        <f t="shared" ref="H12:I12" si="20">G12</f>
        <v>600</v>
      </c>
      <c r="I12" s="23">
        <f t="shared" si="20"/>
        <v>600</v>
      </c>
      <c r="J12" s="27">
        <f t="shared" si="1"/>
        <v>700</v>
      </c>
      <c r="K12" s="27">
        <f t="shared" si="2"/>
        <v>700</v>
      </c>
      <c r="L12" s="27">
        <f t="shared" si="3"/>
        <v>800</v>
      </c>
      <c r="M12" s="27">
        <f t="shared" si="4"/>
        <v>800</v>
      </c>
      <c r="N12" s="27">
        <f t="shared" si="5"/>
        <v>900</v>
      </c>
      <c r="O12" s="27">
        <f t="shared" ref="O12:Q12" si="21">N12</f>
        <v>900</v>
      </c>
      <c r="P12" s="27">
        <f t="shared" si="21"/>
        <v>900</v>
      </c>
      <c r="Q12" s="27">
        <f t="shared" si="21"/>
        <v>900</v>
      </c>
      <c r="R12" s="27">
        <f t="shared" ref="R12:U12" si="22">Q12+100</f>
        <v>1000</v>
      </c>
      <c r="S12" s="27">
        <f t="shared" si="22"/>
        <v>1100</v>
      </c>
      <c r="T12" s="27">
        <f t="shared" si="22"/>
        <v>1200</v>
      </c>
      <c r="U12" s="27">
        <f t="shared" si="22"/>
        <v>1300</v>
      </c>
      <c r="V12" s="27">
        <f t="shared" si="8"/>
        <v>1500</v>
      </c>
      <c r="W12" s="27">
        <f t="shared" si="9"/>
        <v>1600</v>
      </c>
      <c r="X12" s="27">
        <f t="shared" si="10"/>
        <v>1800</v>
      </c>
    </row>
    <row r="13" spans="5:24" x14ac:dyDescent="0.25">
      <c r="E13" s="27" t="s">
        <v>175</v>
      </c>
      <c r="F13" s="27">
        <v>60</v>
      </c>
      <c r="G13" s="23">
        <v>900</v>
      </c>
      <c r="H13" s="27">
        <f t="shared" ref="H13:I13" si="23">G13</f>
        <v>900</v>
      </c>
      <c r="I13" s="23">
        <f t="shared" si="23"/>
        <v>900</v>
      </c>
      <c r="J13" s="27">
        <f t="shared" si="1"/>
        <v>1000</v>
      </c>
      <c r="K13" s="27">
        <f t="shared" si="2"/>
        <v>1000</v>
      </c>
      <c r="L13" s="27">
        <f t="shared" si="3"/>
        <v>1100</v>
      </c>
      <c r="M13" s="27">
        <f t="shared" si="4"/>
        <v>1100</v>
      </c>
      <c r="N13" s="27">
        <f t="shared" si="5"/>
        <v>1200</v>
      </c>
      <c r="O13" s="27">
        <f t="shared" ref="O13:Q13" si="24">N13</f>
        <v>1200</v>
      </c>
      <c r="P13" s="27">
        <f t="shared" si="24"/>
        <v>1200</v>
      </c>
      <c r="Q13" s="27">
        <f t="shared" si="24"/>
        <v>1200</v>
      </c>
      <c r="R13" s="27">
        <f t="shared" ref="R13:U13" si="25">Q13+100</f>
        <v>1300</v>
      </c>
      <c r="S13" s="27">
        <f t="shared" si="25"/>
        <v>1400</v>
      </c>
      <c r="T13" s="27">
        <f t="shared" si="25"/>
        <v>1500</v>
      </c>
      <c r="U13" s="27">
        <f t="shared" si="25"/>
        <v>1600</v>
      </c>
      <c r="V13" s="27">
        <f t="shared" si="8"/>
        <v>1800</v>
      </c>
      <c r="W13" s="27">
        <f t="shared" si="9"/>
        <v>1900</v>
      </c>
      <c r="X13" s="27">
        <f t="shared" si="10"/>
        <v>2100</v>
      </c>
    </row>
    <row r="14" spans="5:24" x14ac:dyDescent="0.25">
      <c r="E14" s="27" t="s">
        <v>176</v>
      </c>
      <c r="F14" s="27">
        <v>60</v>
      </c>
      <c r="G14" s="45">
        <v>1000</v>
      </c>
      <c r="H14" s="27">
        <f t="shared" ref="H14:I14" si="26">G14</f>
        <v>1000</v>
      </c>
      <c r="I14" s="23">
        <f t="shared" si="26"/>
        <v>1000</v>
      </c>
      <c r="J14" s="27">
        <f t="shared" si="1"/>
        <v>1100</v>
      </c>
      <c r="K14" s="27">
        <f t="shared" si="2"/>
        <v>1100</v>
      </c>
      <c r="L14" s="27">
        <f t="shared" si="3"/>
        <v>1200</v>
      </c>
      <c r="M14" s="27">
        <f t="shared" si="4"/>
        <v>1200</v>
      </c>
      <c r="N14" s="27">
        <f t="shared" si="5"/>
        <v>1300</v>
      </c>
      <c r="O14" s="27">
        <f t="shared" ref="O14:Q14" si="27">N14</f>
        <v>1300</v>
      </c>
      <c r="P14" s="27">
        <f t="shared" si="27"/>
        <v>1300</v>
      </c>
      <c r="Q14" s="27">
        <f t="shared" si="27"/>
        <v>1300</v>
      </c>
      <c r="R14" s="27">
        <f t="shared" ref="R14:U14" si="28">Q14+100</f>
        <v>1400</v>
      </c>
      <c r="S14" s="27">
        <f t="shared" si="28"/>
        <v>1500</v>
      </c>
      <c r="T14" s="27">
        <f t="shared" si="28"/>
        <v>1600</v>
      </c>
      <c r="U14" s="27">
        <f t="shared" si="28"/>
        <v>1700</v>
      </c>
      <c r="V14" s="27">
        <f t="shared" si="8"/>
        <v>1900</v>
      </c>
      <c r="W14" s="27">
        <f t="shared" si="9"/>
        <v>2000</v>
      </c>
      <c r="X14" s="27">
        <f t="shared" si="10"/>
        <v>2200</v>
      </c>
    </row>
    <row r="15" spans="5:24" x14ac:dyDescent="0.25">
      <c r="E15" s="11"/>
      <c r="F15" s="27"/>
      <c r="G15" s="23"/>
      <c r="H15" s="27"/>
      <c r="I15" s="23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5:24" x14ac:dyDescent="0.25">
      <c r="E16" s="11"/>
      <c r="F16" s="27"/>
      <c r="G16" s="23"/>
      <c r="H16" s="27"/>
      <c r="I16" s="23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5:24" x14ac:dyDescent="0.25">
      <c r="E17" s="11"/>
      <c r="F17" s="27"/>
      <c r="G17" s="45"/>
      <c r="H17" s="27"/>
      <c r="I17" s="23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5:24" x14ac:dyDescent="0.25">
      <c r="E18" s="11"/>
      <c r="F18" s="27"/>
      <c r="G18" s="45"/>
      <c r="H18" s="27"/>
      <c r="I18" s="23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5:24" x14ac:dyDescent="0.25">
      <c r="E19" s="11"/>
      <c r="F19" s="27"/>
      <c r="G19" s="23"/>
      <c r="H19" s="27"/>
      <c r="I19" s="23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5:24" x14ac:dyDescent="0.25">
      <c r="E20" s="11"/>
      <c r="F20" s="27"/>
      <c r="G20" s="45"/>
      <c r="H20" s="27"/>
      <c r="I20" s="23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5:24" x14ac:dyDescent="0.25">
      <c r="F21" s="27"/>
      <c r="G21" s="23"/>
      <c r="H21" s="27"/>
      <c r="I21" s="23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5:24" x14ac:dyDescent="0.25">
      <c r="E22" s="11"/>
      <c r="F22" s="27"/>
      <c r="G22" s="45"/>
      <c r="H22" s="27"/>
      <c r="I22" s="23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5:24" x14ac:dyDescent="0.25">
      <c r="E23" s="11"/>
      <c r="F23" s="27"/>
      <c r="G23" s="23"/>
      <c r="H23" s="27"/>
      <c r="I23" s="23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5:24" x14ac:dyDescent="0.25">
      <c r="X24" s="49"/>
    </row>
    <row r="29" spans="5:24" x14ac:dyDescent="0.25">
      <c r="N29" s="124" t="s">
        <v>25</v>
      </c>
      <c r="O29" s="124" t="s">
        <v>102</v>
      </c>
      <c r="P29" s="124" t="s">
        <v>103</v>
      </c>
      <c r="Q29" s="124"/>
    </row>
    <row r="30" spans="5:24" x14ac:dyDescent="0.25">
      <c r="N30" s="124"/>
      <c r="O30" s="124"/>
      <c r="P30" s="72" t="s">
        <v>104</v>
      </c>
      <c r="Q30" s="73" t="s">
        <v>105</v>
      </c>
    </row>
    <row r="31" spans="5:24" x14ac:dyDescent="0.25">
      <c r="N31" s="74">
        <v>1</v>
      </c>
      <c r="O31" s="75" t="s">
        <v>106</v>
      </c>
      <c r="P31" s="76" t="e">
        <f>Building!#REF!</f>
        <v>#REF!</v>
      </c>
      <c r="Q31" s="77" t="e">
        <f>P31*10.7639</f>
        <v>#REF!</v>
      </c>
    </row>
    <row r="32" spans="5:24" x14ac:dyDescent="0.25">
      <c r="N32" s="74">
        <v>2</v>
      </c>
      <c r="O32" s="75" t="s">
        <v>107</v>
      </c>
      <c r="P32" s="76">
        <f>Building!G57</f>
        <v>49845.393000000004</v>
      </c>
      <c r="Q32" s="77">
        <f>P32*10.7639</f>
        <v>536530.82571270003</v>
      </c>
    </row>
    <row r="33" spans="14:17" x14ac:dyDescent="0.25">
      <c r="N33" s="125" t="s">
        <v>28</v>
      </c>
      <c r="O33" s="125"/>
      <c r="P33" s="78" t="e">
        <f>SUM(P31:P32)</f>
        <v>#REF!</v>
      </c>
      <c r="Q33" s="78" t="e">
        <f>SUM(Q31:Q32)</f>
        <v>#REF!</v>
      </c>
    </row>
  </sheetData>
  <autoFilter ref="E6:X23" xr:uid="{00000000-0009-0000-0000-000003000000}"/>
  <sortState xmlns:xlrd2="http://schemas.microsoft.com/office/spreadsheetml/2017/richdata2" ref="E7:G27">
    <sortCondition ref="G7"/>
  </sortState>
  <mergeCells count="4">
    <mergeCell ref="N29:N30"/>
    <mergeCell ref="O29:O30"/>
    <mergeCell ref="P29:Q29"/>
    <mergeCell ref="N33:O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topLeftCell="A25" workbookViewId="0">
      <selection activeCell="F35" sqref="F35"/>
    </sheetView>
  </sheetViews>
  <sheetFormatPr defaultRowHeight="15" x14ac:dyDescent="0.25"/>
  <cols>
    <col min="2" max="2" width="26.5703125" customWidth="1"/>
    <col min="3" max="3" width="16.140625" style="85" customWidth="1"/>
    <col min="4" max="4" width="15.85546875" style="85" customWidth="1"/>
    <col min="5" max="5" width="9.28515625" customWidth="1"/>
  </cols>
  <sheetData>
    <row r="1" spans="1:4" x14ac:dyDescent="0.25">
      <c r="C1" s="84"/>
    </row>
    <row r="2" spans="1:4" ht="15.75" x14ac:dyDescent="0.25">
      <c r="A2" s="126" t="str">
        <f>UPPER("Uttam Sugar Mills Limited")</f>
        <v>UTTAM SUGAR MILLS LIMITED</v>
      </c>
      <c r="B2" s="126"/>
      <c r="C2" s="126"/>
      <c r="D2" s="126"/>
    </row>
    <row r="3" spans="1:4" ht="15.75" x14ac:dyDescent="0.25">
      <c r="A3" s="126" t="str">
        <f>UPPER(("Sugar Section"))</f>
        <v>SUGAR SECTION</v>
      </c>
      <c r="B3" s="126"/>
      <c r="C3" s="126"/>
      <c r="D3" s="126"/>
    </row>
    <row r="4" spans="1:4" ht="12.75" customHeight="1" x14ac:dyDescent="0.25">
      <c r="A4" s="127" t="s">
        <v>36</v>
      </c>
      <c r="B4" s="127" t="s">
        <v>81</v>
      </c>
      <c r="C4" s="86" t="s">
        <v>33</v>
      </c>
      <c r="D4" s="86" t="s">
        <v>34</v>
      </c>
    </row>
    <row r="5" spans="1:4" x14ac:dyDescent="0.25">
      <c r="A5" s="127" t="s">
        <v>36</v>
      </c>
      <c r="B5" s="127"/>
      <c r="C5" s="87" t="s">
        <v>82</v>
      </c>
      <c r="D5" s="87" t="s">
        <v>82</v>
      </c>
    </row>
    <row r="6" spans="1:4" x14ac:dyDescent="0.25">
      <c r="A6" s="26">
        <v>1</v>
      </c>
      <c r="B6" s="27" t="s">
        <v>83</v>
      </c>
      <c r="C6" s="88">
        <v>200665762</v>
      </c>
      <c r="D6" s="88">
        <v>200665762</v>
      </c>
    </row>
    <row r="7" spans="1:4" x14ac:dyDescent="0.25">
      <c r="A7" s="26">
        <f>INT(INT(A6)+1)</f>
        <v>2</v>
      </c>
      <c r="B7" s="27" t="s">
        <v>32</v>
      </c>
      <c r="C7" s="88"/>
      <c r="D7" s="88"/>
    </row>
    <row r="8" spans="1:4" x14ac:dyDescent="0.25">
      <c r="A8" s="26" t="s">
        <v>112</v>
      </c>
      <c r="B8" s="52" t="s">
        <v>84</v>
      </c>
      <c r="C8" s="89">
        <v>159746521.59</v>
      </c>
      <c r="D8" s="88">
        <v>92057408.277254775</v>
      </c>
    </row>
    <row r="9" spans="1:4" x14ac:dyDescent="0.25">
      <c r="A9" s="26" t="s">
        <v>113</v>
      </c>
      <c r="B9" s="52" t="s">
        <v>85</v>
      </c>
      <c r="C9" s="88">
        <v>29388612.539999999</v>
      </c>
      <c r="D9" s="88">
        <v>23316072.006582696</v>
      </c>
    </row>
    <row r="10" spans="1:4" x14ac:dyDescent="0.25">
      <c r="A10" s="26">
        <v>3</v>
      </c>
      <c r="B10" s="27" t="s">
        <v>86</v>
      </c>
      <c r="C10" s="88">
        <v>1640423869.5894156</v>
      </c>
      <c r="D10" s="88">
        <v>848851153.61024642</v>
      </c>
    </row>
    <row r="11" spans="1:4" x14ac:dyDescent="0.25">
      <c r="A11" s="26">
        <v>4</v>
      </c>
      <c r="B11" s="27" t="s">
        <v>87</v>
      </c>
      <c r="C11" s="88">
        <v>8021003</v>
      </c>
      <c r="D11" s="88">
        <v>470667.15896954853</v>
      </c>
    </row>
    <row r="12" spans="1:4" x14ac:dyDescent="0.25">
      <c r="A12" s="26">
        <v>5</v>
      </c>
      <c r="B12" s="27" t="s">
        <v>88</v>
      </c>
      <c r="C12" s="88">
        <v>1363132</v>
      </c>
      <c r="D12" s="88">
        <v>121636.4790602799</v>
      </c>
    </row>
    <row r="13" spans="1:4" x14ac:dyDescent="0.25">
      <c r="A13" s="26">
        <v>6</v>
      </c>
      <c r="B13" s="27" t="s">
        <v>89</v>
      </c>
      <c r="C13" s="88">
        <v>12286288.26</v>
      </c>
      <c r="D13" s="88">
        <v>1516724.9468698092</v>
      </c>
    </row>
    <row r="14" spans="1:4" x14ac:dyDescent="0.25">
      <c r="A14" s="26">
        <v>7</v>
      </c>
      <c r="B14" s="27" t="s">
        <v>90</v>
      </c>
      <c r="C14" s="88">
        <v>18911438</v>
      </c>
      <c r="D14" s="88">
        <v>9538998.1060398333</v>
      </c>
    </row>
    <row r="15" spans="1:4" x14ac:dyDescent="0.25">
      <c r="A15" s="26">
        <f t="shared" ref="A15:A17" si="0">INT(INT(A14)+1)</f>
        <v>8</v>
      </c>
      <c r="B15" s="27" t="s">
        <v>91</v>
      </c>
      <c r="C15" s="88">
        <v>6971351.3300000019</v>
      </c>
      <c r="D15" s="88">
        <v>1876699.2385610659</v>
      </c>
    </row>
    <row r="16" spans="1:4" x14ac:dyDescent="0.25">
      <c r="A16" s="26">
        <f t="shared" si="0"/>
        <v>9</v>
      </c>
      <c r="B16" s="27" t="s">
        <v>92</v>
      </c>
      <c r="C16" s="88">
        <v>3536011.48</v>
      </c>
      <c r="D16" s="88">
        <v>839923.46998608951</v>
      </c>
    </row>
    <row r="17" spans="1:5" x14ac:dyDescent="0.25">
      <c r="A17" s="26">
        <f t="shared" si="0"/>
        <v>10</v>
      </c>
      <c r="B17" s="27" t="s">
        <v>93</v>
      </c>
      <c r="C17" s="88">
        <v>16568384.259999998</v>
      </c>
      <c r="D17" s="88">
        <v>5230262.0365904383</v>
      </c>
    </row>
    <row r="18" spans="1:5" x14ac:dyDescent="0.25">
      <c r="A18" s="27"/>
      <c r="B18" s="53" t="s">
        <v>28</v>
      </c>
      <c r="C18" s="90">
        <v>2097882374.0494156</v>
      </c>
      <c r="D18" s="90">
        <v>1184485307.3301611</v>
      </c>
      <c r="E18" s="54"/>
    </row>
    <row r="21" spans="1:5" ht="15.75" x14ac:dyDescent="0.25">
      <c r="A21" s="126" t="str">
        <f>UPPER(("Distellery Section"))</f>
        <v>DISTELLERY SECTION</v>
      </c>
      <c r="B21" s="126"/>
      <c r="C21" s="126"/>
      <c r="D21" s="126"/>
    </row>
    <row r="22" spans="1:5" x14ac:dyDescent="0.25">
      <c r="A22" s="127" t="s">
        <v>36</v>
      </c>
      <c r="B22" s="127" t="s">
        <v>81</v>
      </c>
      <c r="C22" s="86" t="s">
        <v>31</v>
      </c>
      <c r="D22" s="86" t="s">
        <v>34</v>
      </c>
    </row>
    <row r="23" spans="1:5" x14ac:dyDescent="0.25">
      <c r="A23" s="127" t="s">
        <v>36</v>
      </c>
      <c r="B23" s="127"/>
      <c r="C23" s="86" t="s">
        <v>82</v>
      </c>
      <c r="D23" s="86" t="s">
        <v>94</v>
      </c>
    </row>
    <row r="24" spans="1:5" x14ac:dyDescent="0.25">
      <c r="A24" s="26">
        <v>1</v>
      </c>
      <c r="B24" s="27" t="s">
        <v>83</v>
      </c>
      <c r="C24" s="89">
        <v>7150585</v>
      </c>
      <c r="D24" s="89">
        <v>7150585</v>
      </c>
    </row>
    <row r="25" spans="1:5" x14ac:dyDescent="0.25">
      <c r="A25" s="26">
        <f>INT(INT(A24)+1)</f>
        <v>2</v>
      </c>
      <c r="B25" s="27" t="s">
        <v>32</v>
      </c>
      <c r="C25" s="89"/>
      <c r="D25" s="89"/>
    </row>
    <row r="26" spans="1:5" x14ac:dyDescent="0.25">
      <c r="A26" s="26" t="s">
        <v>112</v>
      </c>
      <c r="B26" s="52" t="s">
        <v>84</v>
      </c>
      <c r="C26" s="89">
        <v>20617993.013109162</v>
      </c>
      <c r="D26" s="89">
        <v>14560848.028049987</v>
      </c>
    </row>
    <row r="27" spans="1:5" x14ac:dyDescent="0.25">
      <c r="A27" s="26" t="s">
        <v>113</v>
      </c>
      <c r="B27" s="52" t="s">
        <v>85</v>
      </c>
      <c r="C27" s="89">
        <v>3361980.0421549291</v>
      </c>
      <c r="D27" s="89">
        <v>2840900.8177591362</v>
      </c>
    </row>
    <row r="28" spans="1:5" x14ac:dyDescent="0.25">
      <c r="A28" s="26">
        <v>3</v>
      </c>
      <c r="B28" s="27" t="s">
        <v>86</v>
      </c>
      <c r="C28" s="89">
        <v>1964498545.1660151</v>
      </c>
      <c r="D28" s="89">
        <v>1567906182.943656</v>
      </c>
    </row>
    <row r="29" spans="1:5" x14ac:dyDescent="0.25">
      <c r="A29" s="26">
        <v>4</v>
      </c>
      <c r="B29" s="27" t="s">
        <v>88</v>
      </c>
      <c r="C29" s="89">
        <v>934838.24433309771</v>
      </c>
      <c r="D29" s="89">
        <v>79781.524681886425</v>
      </c>
    </row>
    <row r="30" spans="1:5" x14ac:dyDescent="0.25">
      <c r="A30" s="26">
        <v>5</v>
      </c>
      <c r="B30" s="27" t="s">
        <v>89</v>
      </c>
      <c r="C30" s="89">
        <v>1570197.0699999998</v>
      </c>
      <c r="D30" s="89">
        <v>576260.26267283445</v>
      </c>
    </row>
    <row r="31" spans="1:5" x14ac:dyDescent="0.25">
      <c r="A31" s="26">
        <f t="shared" ref="A31:A34" si="1">INT(INT(A30)+1)</f>
        <v>6</v>
      </c>
      <c r="B31" s="27" t="s">
        <v>90</v>
      </c>
      <c r="C31" s="89">
        <v>4940751.7534404481</v>
      </c>
      <c r="D31" s="89">
        <v>3253099.8241045591</v>
      </c>
    </row>
    <row r="32" spans="1:5" x14ac:dyDescent="0.25">
      <c r="A32" s="26">
        <f t="shared" si="1"/>
        <v>7</v>
      </c>
      <c r="B32" s="27" t="s">
        <v>91</v>
      </c>
      <c r="C32" s="89">
        <v>1472472.16</v>
      </c>
      <c r="D32" s="89">
        <v>273311.3987030962</v>
      </c>
    </row>
    <row r="33" spans="1:4" x14ac:dyDescent="0.25">
      <c r="A33" s="26">
        <f t="shared" si="1"/>
        <v>8</v>
      </c>
      <c r="B33" s="27" t="s">
        <v>92</v>
      </c>
      <c r="C33" s="89">
        <v>755403.5</v>
      </c>
      <c r="D33" s="89">
        <v>257349.84877821279</v>
      </c>
    </row>
    <row r="34" spans="1:4" x14ac:dyDescent="0.25">
      <c r="A34" s="26">
        <f t="shared" si="1"/>
        <v>9</v>
      </c>
      <c r="B34" s="27" t="s">
        <v>93</v>
      </c>
      <c r="C34" s="89">
        <v>1345226</v>
      </c>
      <c r="D34" s="89">
        <v>738285.10747965414</v>
      </c>
    </row>
    <row r="35" spans="1:4" x14ac:dyDescent="0.25">
      <c r="A35" s="27"/>
      <c r="B35" s="53" t="s">
        <v>28</v>
      </c>
      <c r="C35" s="91">
        <v>2006647991.9490526</v>
      </c>
      <c r="D35" s="91">
        <v>1597636604.7558854</v>
      </c>
    </row>
    <row r="38" spans="1:4" ht="15.75" x14ac:dyDescent="0.25">
      <c r="A38" s="126" t="str">
        <f>UPPER("Barkatpur - Cogeneration")</f>
        <v>BARKATPUR - COGENERATION</v>
      </c>
      <c r="B38" s="126"/>
      <c r="C38" s="126"/>
      <c r="D38" s="126"/>
    </row>
    <row r="39" spans="1:4" x14ac:dyDescent="0.25">
      <c r="A39" s="127" t="s">
        <v>36</v>
      </c>
      <c r="B39" s="127" t="s">
        <v>81</v>
      </c>
      <c r="C39" s="86" t="s">
        <v>31</v>
      </c>
      <c r="D39" s="86" t="s">
        <v>34</v>
      </c>
    </row>
    <row r="40" spans="1:4" x14ac:dyDescent="0.25">
      <c r="A40" s="127" t="s">
        <v>36</v>
      </c>
      <c r="B40" s="127"/>
      <c r="C40" s="86" t="s">
        <v>82</v>
      </c>
      <c r="D40" s="86" t="s">
        <v>94</v>
      </c>
    </row>
    <row r="41" spans="1:4" x14ac:dyDescent="0.25">
      <c r="A41" s="26">
        <v>1</v>
      </c>
      <c r="B41" s="56" t="s">
        <v>95</v>
      </c>
      <c r="C41" s="92">
        <v>3440726.0540961511</v>
      </c>
      <c r="D41" s="93">
        <v>2341425.3798137875</v>
      </c>
    </row>
    <row r="42" spans="1:4" x14ac:dyDescent="0.25">
      <c r="A42" s="26">
        <v>2</v>
      </c>
      <c r="B42" s="56" t="s">
        <v>35</v>
      </c>
      <c r="C42" s="92">
        <v>532059480.58154899</v>
      </c>
      <c r="D42" s="93">
        <v>307591811.8264178</v>
      </c>
    </row>
    <row r="43" spans="1:4" x14ac:dyDescent="0.25">
      <c r="A43" s="26">
        <v>3</v>
      </c>
      <c r="B43" s="56" t="s">
        <v>91</v>
      </c>
      <c r="C43" s="92">
        <v>259420</v>
      </c>
      <c r="D43" s="93">
        <v>12970.996027397254</v>
      </c>
    </row>
    <row r="44" spans="1:4" x14ac:dyDescent="0.25">
      <c r="A44" s="26">
        <v>4</v>
      </c>
      <c r="B44" s="56" t="s">
        <v>89</v>
      </c>
      <c r="C44" s="92">
        <v>193000</v>
      </c>
      <c r="D44" s="93">
        <v>9649.5032876712503</v>
      </c>
    </row>
    <row r="45" spans="1:4" x14ac:dyDescent="0.25">
      <c r="A45" s="26"/>
      <c r="B45" s="57" t="s">
        <v>96</v>
      </c>
      <c r="C45" s="94">
        <v>535952626.63564515</v>
      </c>
      <c r="D45" s="94">
        <v>309955857.70554668</v>
      </c>
    </row>
    <row r="47" spans="1:4" x14ac:dyDescent="0.25">
      <c r="A47" s="51" t="s">
        <v>29</v>
      </c>
      <c r="B47" s="51" t="s">
        <v>26</v>
      </c>
      <c r="C47" s="86" t="s">
        <v>33</v>
      </c>
      <c r="D47" s="86" t="s">
        <v>97</v>
      </c>
    </row>
    <row r="48" spans="1:4" x14ac:dyDescent="0.25">
      <c r="A48" s="26">
        <v>1</v>
      </c>
      <c r="B48" s="58" t="s">
        <v>98</v>
      </c>
      <c r="C48" s="95">
        <f>$C$18</f>
        <v>2097882374.0494156</v>
      </c>
      <c r="D48" s="95">
        <f>$D$18</f>
        <v>1184485307.3301611</v>
      </c>
    </row>
    <row r="49" spans="1:4" x14ac:dyDescent="0.25">
      <c r="A49" s="26">
        <v>2</v>
      </c>
      <c r="B49" s="58" t="s">
        <v>99</v>
      </c>
      <c r="C49" s="92">
        <v>535952626.63564515</v>
      </c>
      <c r="D49" s="96">
        <f>D45</f>
        <v>309955857.70554668</v>
      </c>
    </row>
    <row r="50" spans="1:4" x14ac:dyDescent="0.25">
      <c r="A50" s="26">
        <v>3</v>
      </c>
      <c r="B50" s="58" t="s">
        <v>100</v>
      </c>
      <c r="C50" s="95">
        <f>$C$35</f>
        <v>2006647991.9490526</v>
      </c>
      <c r="D50" s="95">
        <f>D35</f>
        <v>1597636604.7558854</v>
      </c>
    </row>
    <row r="51" spans="1:4" x14ac:dyDescent="0.25">
      <c r="A51" s="26">
        <v>4</v>
      </c>
      <c r="B51" s="58" t="s">
        <v>41</v>
      </c>
      <c r="C51" s="95">
        <f>SUM(C48:C50)</f>
        <v>4640482992.6341133</v>
      </c>
      <c r="D51" s="95">
        <f>SUM(D48:D50)</f>
        <v>3092077769.7915931</v>
      </c>
    </row>
  </sheetData>
  <mergeCells count="10">
    <mergeCell ref="A38:D38"/>
    <mergeCell ref="A39:A40"/>
    <mergeCell ref="B39:B40"/>
    <mergeCell ref="A2:D2"/>
    <mergeCell ref="A3:D3"/>
    <mergeCell ref="A4:A5"/>
    <mergeCell ref="B4:B5"/>
    <mergeCell ref="A21:D21"/>
    <mergeCell ref="A22:A23"/>
    <mergeCell ref="B22:B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53"/>
  <sheetViews>
    <sheetView topLeftCell="A28" workbookViewId="0">
      <selection activeCell="B3" sqref="B3:E3"/>
    </sheetView>
  </sheetViews>
  <sheetFormatPr defaultRowHeight="15" x14ac:dyDescent="0.25"/>
  <cols>
    <col min="3" max="3" width="22.85546875" customWidth="1"/>
    <col min="4" max="4" width="14.85546875" customWidth="1"/>
    <col min="5" max="5" width="15.85546875" customWidth="1"/>
    <col min="6" max="6" width="9.28515625" customWidth="1"/>
  </cols>
  <sheetData>
    <row r="1" spans="2:7" x14ac:dyDescent="0.25">
      <c r="D1" s="50"/>
    </row>
    <row r="2" spans="2:7" ht="15.75" x14ac:dyDescent="0.25">
      <c r="B2" s="126" t="str">
        <f>UPPER("M/s Uttam Sugar Mills Limited")</f>
        <v>M/S UTTAM SUGAR MILLS LIMITED</v>
      </c>
      <c r="C2" s="126"/>
      <c r="D2" s="126"/>
      <c r="E2" s="126"/>
    </row>
    <row r="3" spans="2:7" ht="15.75" x14ac:dyDescent="0.25">
      <c r="B3" s="126" t="str">
        <f>UPPER(("Sugar Section"))</f>
        <v>SUGAR SECTION</v>
      </c>
      <c r="C3" s="126"/>
      <c r="D3" s="126"/>
      <c r="E3" s="126"/>
    </row>
    <row r="4" spans="2:7" ht="12.75" customHeight="1" x14ac:dyDescent="0.25">
      <c r="B4" s="127" t="s">
        <v>36</v>
      </c>
      <c r="C4" s="127" t="s">
        <v>81</v>
      </c>
      <c r="D4" s="128" t="s">
        <v>33</v>
      </c>
      <c r="E4" s="128" t="s">
        <v>34</v>
      </c>
    </row>
    <row r="5" spans="2:7" x14ac:dyDescent="0.25">
      <c r="B5" s="127" t="s">
        <v>36</v>
      </c>
      <c r="C5" s="127"/>
      <c r="D5" s="129"/>
      <c r="E5" s="129"/>
    </row>
    <row r="6" spans="2:7" x14ac:dyDescent="0.25">
      <c r="B6" s="26">
        <v>1</v>
      </c>
      <c r="C6" s="27" t="s">
        <v>83</v>
      </c>
      <c r="D6" s="59">
        <v>20.0665762</v>
      </c>
      <c r="E6" s="59">
        <v>20.0665762</v>
      </c>
      <c r="G6">
        <v>10000000</v>
      </c>
    </row>
    <row r="7" spans="2:7" x14ac:dyDescent="0.25">
      <c r="B7" s="26">
        <f>INT(INT(B6)+1)</f>
        <v>2</v>
      </c>
      <c r="C7" s="27" t="s">
        <v>32</v>
      </c>
      <c r="D7" s="59">
        <v>0</v>
      </c>
      <c r="E7" s="59">
        <v>0</v>
      </c>
    </row>
    <row r="8" spans="2:7" x14ac:dyDescent="0.25">
      <c r="B8" s="26">
        <f t="shared" ref="B8:B17" si="0">INT(INT(B7)+1)</f>
        <v>3</v>
      </c>
      <c r="C8" s="52" t="s">
        <v>84</v>
      </c>
      <c r="D8" s="60">
        <v>15.974652159</v>
      </c>
      <c r="E8" s="59">
        <v>9.205740827725478</v>
      </c>
    </row>
    <row r="9" spans="2:7" x14ac:dyDescent="0.25">
      <c r="B9" s="26">
        <f t="shared" si="0"/>
        <v>4</v>
      </c>
      <c r="C9" s="52" t="s">
        <v>85</v>
      </c>
      <c r="D9" s="59">
        <v>2.9388612539999999</v>
      </c>
      <c r="E9" s="59">
        <v>2.3316072006582695</v>
      </c>
    </row>
    <row r="10" spans="2:7" x14ac:dyDescent="0.25">
      <c r="B10" s="26">
        <f t="shared" si="0"/>
        <v>5</v>
      </c>
      <c r="C10" s="27" t="s">
        <v>86</v>
      </c>
      <c r="D10" s="59">
        <v>164.04238695894156</v>
      </c>
      <c r="E10" s="59">
        <v>84.885115361024646</v>
      </c>
    </row>
    <row r="11" spans="2:7" x14ac:dyDescent="0.25">
      <c r="B11" s="26">
        <f t="shared" si="0"/>
        <v>6</v>
      </c>
      <c r="C11" s="27" t="s">
        <v>87</v>
      </c>
      <c r="D11" s="59">
        <v>0.80210029999999999</v>
      </c>
      <c r="E11" s="59">
        <v>4.7066715896954853E-2</v>
      </c>
    </row>
    <row r="12" spans="2:7" x14ac:dyDescent="0.25">
      <c r="B12" s="26">
        <f t="shared" si="0"/>
        <v>7</v>
      </c>
      <c r="C12" s="27" t="s">
        <v>88</v>
      </c>
      <c r="D12" s="59">
        <v>0.1363132</v>
      </c>
      <c r="E12" s="59">
        <v>1.216364790602799E-2</v>
      </c>
    </row>
    <row r="13" spans="2:7" x14ac:dyDescent="0.25">
      <c r="B13" s="26">
        <f t="shared" si="0"/>
        <v>8</v>
      </c>
      <c r="C13" s="27" t="s">
        <v>89</v>
      </c>
      <c r="D13" s="59">
        <v>1.228628826</v>
      </c>
      <c r="E13" s="59">
        <v>0.15167249468698091</v>
      </c>
    </row>
    <row r="14" spans="2:7" x14ac:dyDescent="0.25">
      <c r="B14" s="26">
        <f t="shared" si="0"/>
        <v>9</v>
      </c>
      <c r="C14" s="27" t="s">
        <v>90</v>
      </c>
      <c r="D14" s="59">
        <v>1.8911438</v>
      </c>
      <c r="E14" s="59">
        <v>0.95389981060398332</v>
      </c>
    </row>
    <row r="15" spans="2:7" x14ac:dyDescent="0.25">
      <c r="B15" s="26">
        <f t="shared" si="0"/>
        <v>10</v>
      </c>
      <c r="C15" s="27" t="s">
        <v>91</v>
      </c>
      <c r="D15" s="59">
        <v>0.69713513300000018</v>
      </c>
      <c r="E15" s="59">
        <v>0.18766992385610659</v>
      </c>
    </row>
    <row r="16" spans="2:7" x14ac:dyDescent="0.25">
      <c r="B16" s="26">
        <f t="shared" si="0"/>
        <v>11</v>
      </c>
      <c r="C16" s="27" t="s">
        <v>92</v>
      </c>
      <c r="D16" s="59">
        <v>0.35360114799999998</v>
      </c>
      <c r="E16" s="59">
        <v>8.3992346998608955E-2</v>
      </c>
    </row>
    <row r="17" spans="2:6" x14ac:dyDescent="0.25">
      <c r="B17" s="26">
        <f t="shared" si="0"/>
        <v>12</v>
      </c>
      <c r="C17" s="27" t="s">
        <v>93</v>
      </c>
      <c r="D17" s="59">
        <v>1.6568384259999998</v>
      </c>
      <c r="E17" s="59">
        <v>0.52302620365904384</v>
      </c>
    </row>
    <row r="18" spans="2:6" x14ac:dyDescent="0.25">
      <c r="B18" s="27"/>
      <c r="C18" s="53" t="s">
        <v>28</v>
      </c>
      <c r="D18" s="61">
        <v>209.78823740494155</v>
      </c>
      <c r="E18" s="61">
        <v>118.44853073301611</v>
      </c>
      <c r="F18" s="54"/>
    </row>
    <row r="20" spans="2:6" x14ac:dyDescent="0.25">
      <c r="E20" s="55"/>
    </row>
    <row r="21" spans="2:6" ht="15.75" x14ac:dyDescent="0.25">
      <c r="B21" s="126" t="str">
        <f>UPPER(("Distellery Section"))</f>
        <v>DISTELLERY SECTION</v>
      </c>
      <c r="C21" s="126"/>
      <c r="D21" s="126"/>
      <c r="E21" s="126"/>
    </row>
    <row r="22" spans="2:6" x14ac:dyDescent="0.25">
      <c r="B22" s="127" t="s">
        <v>36</v>
      </c>
      <c r="C22" s="127" t="s">
        <v>81</v>
      </c>
      <c r="D22" s="128" t="s">
        <v>33</v>
      </c>
      <c r="E22" s="128" t="s">
        <v>34</v>
      </c>
    </row>
    <row r="23" spans="2:6" x14ac:dyDescent="0.25">
      <c r="B23" s="127" t="s">
        <v>36</v>
      </c>
      <c r="C23" s="127"/>
      <c r="D23" s="129"/>
      <c r="E23" s="129"/>
    </row>
    <row r="24" spans="2:6" x14ac:dyDescent="0.25">
      <c r="B24" s="26">
        <v>1</v>
      </c>
      <c r="C24" s="27" t="s">
        <v>83</v>
      </c>
      <c r="D24" s="60">
        <v>0.71505850000000004</v>
      </c>
      <c r="E24" s="60">
        <v>0.71505850000000004</v>
      </c>
    </row>
    <row r="25" spans="2:6" x14ac:dyDescent="0.25">
      <c r="B25" s="26">
        <f>INT(INT(B24)+1)</f>
        <v>2</v>
      </c>
      <c r="C25" s="27" t="s">
        <v>32</v>
      </c>
      <c r="D25" s="60">
        <v>0</v>
      </c>
      <c r="E25" s="60">
        <v>0</v>
      </c>
    </row>
    <row r="26" spans="2:6" x14ac:dyDescent="0.25">
      <c r="B26" s="26">
        <f t="shared" ref="B26:B35" si="1">INT(INT(B25)+1)</f>
        <v>3</v>
      </c>
      <c r="C26" s="52" t="s">
        <v>84</v>
      </c>
      <c r="D26" s="60">
        <v>2.0617993013109164</v>
      </c>
      <c r="E26" s="60">
        <v>1.4560848028049986</v>
      </c>
    </row>
    <row r="27" spans="2:6" x14ac:dyDescent="0.25">
      <c r="B27" s="26">
        <f t="shared" si="1"/>
        <v>4</v>
      </c>
      <c r="C27" s="52" t="s">
        <v>85</v>
      </c>
      <c r="D27" s="60">
        <v>0.3361980042154929</v>
      </c>
      <c r="E27" s="60">
        <v>0.28409008177591361</v>
      </c>
    </row>
    <row r="28" spans="2:6" x14ac:dyDescent="0.25">
      <c r="B28" s="26">
        <f t="shared" si="1"/>
        <v>5</v>
      </c>
      <c r="C28" s="27" t="s">
        <v>86</v>
      </c>
      <c r="D28" s="60">
        <v>196.4498545166015</v>
      </c>
      <c r="E28" s="60">
        <v>156.7906182943656</v>
      </c>
    </row>
    <row r="29" spans="2:6" x14ac:dyDescent="0.25">
      <c r="B29" s="26">
        <f t="shared" si="1"/>
        <v>6</v>
      </c>
      <c r="C29" s="27" t="s">
        <v>87</v>
      </c>
      <c r="D29" s="60">
        <v>0</v>
      </c>
      <c r="E29" s="60">
        <v>0</v>
      </c>
    </row>
    <row r="30" spans="2:6" x14ac:dyDescent="0.25">
      <c r="B30" s="26">
        <f t="shared" si="1"/>
        <v>7</v>
      </c>
      <c r="C30" s="27" t="s">
        <v>88</v>
      </c>
      <c r="D30" s="60">
        <v>9.348382443330977E-2</v>
      </c>
      <c r="E30" s="60">
        <v>7.9781524681886429E-3</v>
      </c>
    </row>
    <row r="31" spans="2:6" x14ac:dyDescent="0.25">
      <c r="B31" s="26">
        <f t="shared" si="1"/>
        <v>8</v>
      </c>
      <c r="C31" s="27" t="s">
        <v>89</v>
      </c>
      <c r="D31" s="60">
        <v>0.15701970699999998</v>
      </c>
      <c r="E31" s="60">
        <v>5.7626026267283442E-2</v>
      </c>
    </row>
    <row r="32" spans="2:6" x14ac:dyDescent="0.25">
      <c r="B32" s="26">
        <f t="shared" si="1"/>
        <v>9</v>
      </c>
      <c r="C32" s="27" t="s">
        <v>90</v>
      </c>
      <c r="D32" s="60">
        <v>0.49407517534404483</v>
      </c>
      <c r="E32" s="60">
        <v>0.32530998241045589</v>
      </c>
    </row>
    <row r="33" spans="2:5" x14ac:dyDescent="0.25">
      <c r="B33" s="26">
        <f t="shared" si="1"/>
        <v>10</v>
      </c>
      <c r="C33" s="27" t="s">
        <v>91</v>
      </c>
      <c r="D33" s="60">
        <v>0.14724721599999999</v>
      </c>
      <c r="E33" s="60">
        <v>2.733113987030962E-2</v>
      </c>
    </row>
    <row r="34" spans="2:5" x14ac:dyDescent="0.25">
      <c r="B34" s="26">
        <f t="shared" si="1"/>
        <v>11</v>
      </c>
      <c r="C34" s="27" t="s">
        <v>92</v>
      </c>
      <c r="D34" s="60">
        <v>7.5540350000000006E-2</v>
      </c>
      <c r="E34" s="60">
        <v>2.573498487782128E-2</v>
      </c>
    </row>
    <row r="35" spans="2:5" x14ac:dyDescent="0.25">
      <c r="B35" s="26">
        <f t="shared" si="1"/>
        <v>12</v>
      </c>
      <c r="C35" s="27" t="s">
        <v>93</v>
      </c>
      <c r="D35" s="60">
        <v>0.13452259999999999</v>
      </c>
      <c r="E35" s="60">
        <v>7.3828510747965412E-2</v>
      </c>
    </row>
    <row r="36" spans="2:5" x14ac:dyDescent="0.25">
      <c r="B36" s="27"/>
      <c r="C36" s="53" t="s">
        <v>28</v>
      </c>
      <c r="D36" s="62">
        <v>200.66479919490527</v>
      </c>
      <c r="E36" s="62">
        <v>159.76366047558852</v>
      </c>
    </row>
    <row r="39" spans="2:5" ht="15.75" x14ac:dyDescent="0.25">
      <c r="B39" s="126" t="str">
        <f>UPPER("Barkatpur - Cogeneration")</f>
        <v>BARKATPUR - COGENERATION</v>
      </c>
      <c r="C39" s="126"/>
      <c r="D39" s="126"/>
      <c r="E39" s="126"/>
    </row>
    <row r="40" spans="2:5" x14ac:dyDescent="0.25">
      <c r="B40" s="127" t="s">
        <v>36</v>
      </c>
      <c r="C40" s="127" t="s">
        <v>81</v>
      </c>
      <c r="D40" s="128" t="s">
        <v>33</v>
      </c>
      <c r="E40" s="128" t="s">
        <v>34</v>
      </c>
    </row>
    <row r="41" spans="2:5" x14ac:dyDescent="0.25">
      <c r="B41" s="127" t="s">
        <v>36</v>
      </c>
      <c r="C41" s="127"/>
      <c r="D41" s="129"/>
      <c r="E41" s="129"/>
    </row>
    <row r="42" spans="2:5" x14ac:dyDescent="0.25">
      <c r="B42" s="26">
        <v>1</v>
      </c>
      <c r="C42" s="56" t="s">
        <v>95</v>
      </c>
      <c r="D42" s="63">
        <v>0.3440726054096151</v>
      </c>
      <c r="E42" s="64">
        <v>0.23414253798137874</v>
      </c>
    </row>
    <row r="43" spans="2:5" x14ac:dyDescent="0.25">
      <c r="B43" s="26">
        <v>2</v>
      </c>
      <c r="C43" s="56" t="s">
        <v>35</v>
      </c>
      <c r="D43" s="63">
        <v>53.205948058154895</v>
      </c>
      <c r="E43" s="64">
        <v>30.759181182641779</v>
      </c>
    </row>
    <row r="44" spans="2:5" x14ac:dyDescent="0.25">
      <c r="B44" s="26">
        <v>3</v>
      </c>
      <c r="C44" s="56" t="s">
        <v>91</v>
      </c>
      <c r="D44" s="63">
        <v>2.5942E-2</v>
      </c>
      <c r="E44" s="64">
        <v>1.2970996027397254E-3</v>
      </c>
    </row>
    <row r="45" spans="2:5" x14ac:dyDescent="0.25">
      <c r="B45" s="26">
        <v>4</v>
      </c>
      <c r="C45" s="56" t="s">
        <v>89</v>
      </c>
      <c r="D45" s="63">
        <v>1.9300000000000001E-2</v>
      </c>
      <c r="E45" s="64">
        <v>9.6495032876712508E-4</v>
      </c>
    </row>
    <row r="46" spans="2:5" x14ac:dyDescent="0.25">
      <c r="B46" s="26"/>
      <c r="C46" s="57" t="s">
        <v>96</v>
      </c>
      <c r="D46" s="65">
        <v>53.595262663564512</v>
      </c>
      <c r="E46" s="65">
        <v>30.995585770554669</v>
      </c>
    </row>
    <row r="47" spans="2:5" x14ac:dyDescent="0.25">
      <c r="B47" s="69"/>
      <c r="C47" s="70"/>
      <c r="D47" s="71"/>
      <c r="E47" s="71"/>
    </row>
    <row r="48" spans="2:5" ht="15.75" x14ac:dyDescent="0.25">
      <c r="B48" s="126" t="s">
        <v>101</v>
      </c>
      <c r="C48" s="126"/>
      <c r="D48" s="126"/>
      <c r="E48" s="126"/>
    </row>
    <row r="49" spans="2:5" x14ac:dyDescent="0.25">
      <c r="B49" s="51" t="str">
        <f>'FAR summary'!A47</f>
        <v>S.No.</v>
      </c>
      <c r="C49" s="51" t="str">
        <f>'FAR summary'!B47</f>
        <v>Particular</v>
      </c>
      <c r="D49" s="51" t="str">
        <f>'FAR summary'!C47</f>
        <v>Gross Block</v>
      </c>
      <c r="E49" s="51" t="str">
        <f>'FAR summary'!D47</f>
        <v>Net Bock</v>
      </c>
    </row>
    <row r="50" spans="2:5" x14ac:dyDescent="0.25">
      <c r="B50" s="26">
        <f>'FAR summary'!A48</f>
        <v>1</v>
      </c>
      <c r="C50" s="58" t="str">
        <f>'FAR summary'!B48</f>
        <v>Sugar Section</v>
      </c>
      <c r="D50" s="66">
        <f>('FAR summary'!C48)/10000000</f>
        <v>209.78823740494155</v>
      </c>
      <c r="E50" s="66">
        <f>('FAR summary'!D48)/10000000</f>
        <v>118.44853073301611</v>
      </c>
    </row>
    <row r="51" spans="2:5" x14ac:dyDescent="0.25">
      <c r="B51" s="26">
        <f>'FAR summary'!A49</f>
        <v>2</v>
      </c>
      <c r="C51" s="58" t="str">
        <f>'FAR summary'!B49</f>
        <v>Cogeneration Section</v>
      </c>
      <c r="D51" s="67">
        <f>('FAR summary'!C49)/10000000</f>
        <v>53.595262663564512</v>
      </c>
      <c r="E51" s="68">
        <f>('FAR summary'!D49)/10000000</f>
        <v>30.995585770554669</v>
      </c>
    </row>
    <row r="52" spans="2:5" x14ac:dyDescent="0.25">
      <c r="B52" s="26">
        <f>'FAR summary'!A50</f>
        <v>3</v>
      </c>
      <c r="C52" s="58" t="str">
        <f>'FAR summary'!B50</f>
        <v>Distillery Section</v>
      </c>
      <c r="D52" s="66">
        <f>('FAR summary'!C50)/10000000</f>
        <v>200.66479919490527</v>
      </c>
      <c r="E52" s="66">
        <f>('FAR summary'!D50)/10000000</f>
        <v>159.76366047558852</v>
      </c>
    </row>
    <row r="53" spans="2:5" x14ac:dyDescent="0.25">
      <c r="B53" s="26">
        <f>'FAR summary'!A51</f>
        <v>4</v>
      </c>
      <c r="C53" s="58" t="str">
        <f>'FAR summary'!B51</f>
        <v>Grand Total</v>
      </c>
      <c r="D53" s="66">
        <f>('FAR summary'!C51)/10000000</f>
        <v>464.04829926341131</v>
      </c>
      <c r="E53" s="66">
        <f>('FAR summary'!D51)/10000000</f>
        <v>309.20777697915929</v>
      </c>
    </row>
  </sheetData>
  <mergeCells count="17">
    <mergeCell ref="B48:E48"/>
    <mergeCell ref="B39:E39"/>
    <mergeCell ref="B40:B41"/>
    <mergeCell ref="C40:C41"/>
    <mergeCell ref="D4:D5"/>
    <mergeCell ref="E4:E5"/>
    <mergeCell ref="D22:D23"/>
    <mergeCell ref="E22:E23"/>
    <mergeCell ref="D40:D41"/>
    <mergeCell ref="E40:E41"/>
    <mergeCell ref="B22:B23"/>
    <mergeCell ref="C22:C23"/>
    <mergeCell ref="B2:E2"/>
    <mergeCell ref="B3:E3"/>
    <mergeCell ref="B4:B5"/>
    <mergeCell ref="C4:C5"/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Land</vt:lpstr>
      <vt:lpstr>Sheet2</vt:lpstr>
      <vt:lpstr>Building</vt:lpstr>
      <vt:lpstr>Sheet1</vt:lpstr>
      <vt:lpstr>FAR summary</vt:lpstr>
      <vt:lpstr>Co-generation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Manas Upmanyu</cp:lastModifiedBy>
  <dcterms:created xsi:type="dcterms:W3CDTF">2022-09-07T09:00:38Z</dcterms:created>
  <dcterms:modified xsi:type="dcterms:W3CDTF">2022-09-16T12:31:05Z</dcterms:modified>
</cp:coreProperties>
</file>