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dil Afaque\uploads\Uttam Sugar Ltd\Libberheri Haridwar\"/>
    </mc:Choice>
  </mc:AlternateContent>
  <bookViews>
    <workbookView xWindow="1035" yWindow="1035" windowWidth="2955" windowHeight="1485" firstSheet="1" activeTab="3"/>
  </bookViews>
  <sheets>
    <sheet name="Pumps" sheetId="2" state="hidden" r:id="rId1"/>
    <sheet name="Barkatpur" sheetId="7" r:id="rId2"/>
    <sheet name="Libberheri Land" sheetId="11" r:id="rId3"/>
    <sheet name="Libberheri Sugar Building" sheetId="8" r:id="rId4"/>
    <sheet name="Libberhedi Dist.- Building" sheetId="12" r:id="rId5"/>
    <sheet name="Sheet2" sheetId="13" r:id="rId6"/>
    <sheet name="PLF Libberhedi" sheetId="15" r:id="rId7"/>
    <sheet name="Sheet1" sheetId="14" r:id="rId8"/>
    <sheet name="Khaikheri" sheetId="9" r:id="rId9"/>
    <sheet name="Shermau" sheetId="10" r:id="rId10"/>
  </sheets>
  <externalReferences>
    <externalReference r:id="rId11"/>
  </externalReferences>
  <definedNames>
    <definedName name="_xlnm._FilterDatabase" localSheetId="1" hidden="1">Barkatpur!$A$3:$P$75</definedName>
    <definedName name="_xlnm._FilterDatabase" localSheetId="8" hidden="1">Khaikheri!$A$3:$W$58</definedName>
    <definedName name="_xlnm._FilterDatabase" localSheetId="4" hidden="1">'Libberhedi Dist.- Building'!$B$3:$U$25</definedName>
    <definedName name="_xlnm._FilterDatabase" localSheetId="3" hidden="1">'Libberheri Sugar Building'!$A$4:$W$65</definedName>
    <definedName name="_xlnm._FilterDatabase" localSheetId="5" hidden="1">Sheet2!$B$5:$E$5</definedName>
    <definedName name="_xlnm.Print_Area" localSheetId="0">Pumps!$A$2:$C$294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1" i="8" l="1"/>
  <c r="T80" i="8"/>
  <c r="V79" i="8"/>
  <c r="V78" i="8"/>
  <c r="V77" i="8"/>
  <c r="V76" i="8"/>
  <c r="T78" i="8" l="1"/>
  <c r="J78" i="8"/>
  <c r="F79" i="8"/>
  <c r="D79" i="8"/>
  <c r="D78" i="8"/>
  <c r="D77" i="8"/>
  <c r="F78" i="8"/>
  <c r="F77" i="8"/>
  <c r="S5" i="8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Y50" i="11" l="1"/>
  <c r="AA49" i="11"/>
  <c r="Y48" i="11"/>
  <c r="Y47" i="11"/>
  <c r="X23" i="11"/>
  <c r="O36" i="11"/>
  <c r="Q42" i="11" s="1"/>
  <c r="N39" i="11"/>
  <c r="P26" i="11"/>
  <c r="P32" i="11" s="1"/>
  <c r="Q32" i="11" s="1"/>
  <c r="P25" i="11"/>
  <c r="P31" i="11" s="1"/>
  <c r="Q31" i="11" s="1"/>
  <c r="P24" i="11"/>
  <c r="P30" i="11" s="1"/>
  <c r="Q30" i="11" s="1"/>
  <c r="P23" i="11"/>
  <c r="P29" i="11" s="1"/>
  <c r="Q29" i="11" s="1"/>
  <c r="U40" i="11"/>
  <c r="V40" i="11" s="1"/>
  <c r="V41" i="11" s="1"/>
  <c r="Q49" i="11"/>
  <c r="Q48" i="11"/>
  <c r="U32" i="11"/>
  <c r="Q44" i="11" s="1"/>
  <c r="U31" i="11"/>
  <c r="U30" i="11"/>
  <c r="U29" i="11"/>
  <c r="Q45" i="11"/>
  <c r="E20" i="15" l="1"/>
  <c r="K44" i="12"/>
  <c r="K42" i="12"/>
  <c r="K43" i="12" s="1"/>
  <c r="G40" i="12" l="1"/>
  <c r="F40" i="12"/>
  <c r="E33" i="12" l="1"/>
  <c r="E32" i="12"/>
  <c r="Z34" i="12"/>
  <c r="Z33" i="12"/>
  <c r="AA16" i="8"/>
  <c r="Y20" i="8"/>
  <c r="AA15" i="8"/>
  <c r="Y14" i="8"/>
  <c r="AA14" i="8" s="1"/>
  <c r="AA17" i="8" s="1"/>
  <c r="Y13" i="8"/>
  <c r="E87" i="8" l="1"/>
  <c r="D87" i="8"/>
  <c r="P24" i="12" l="1"/>
  <c r="R24" i="12" s="1"/>
  <c r="P23" i="12"/>
  <c r="R23" i="12" s="1"/>
  <c r="P22" i="12"/>
  <c r="R22" i="12" s="1"/>
  <c r="P21" i="12"/>
  <c r="R21" i="12" s="1"/>
  <c r="P20" i="12"/>
  <c r="R20" i="12" s="1"/>
  <c r="P19" i="12"/>
  <c r="R19" i="12" s="1"/>
  <c r="P18" i="12"/>
  <c r="R18" i="12" s="1"/>
  <c r="P17" i="12"/>
  <c r="R17" i="12" s="1"/>
  <c r="P16" i="12"/>
  <c r="R16" i="12" s="1"/>
  <c r="P15" i="12"/>
  <c r="R15" i="12" s="1"/>
  <c r="P14" i="12"/>
  <c r="R14" i="12" s="1"/>
  <c r="P13" i="12"/>
  <c r="R13" i="12" s="1"/>
  <c r="P12" i="12"/>
  <c r="R12" i="12" s="1"/>
  <c r="P11" i="12"/>
  <c r="R11" i="12" s="1"/>
  <c r="P10" i="12"/>
  <c r="R10" i="12" s="1"/>
  <c r="P9" i="12"/>
  <c r="R9" i="12" s="1"/>
  <c r="P8" i="12"/>
  <c r="R8" i="12" s="1"/>
  <c r="P7" i="12"/>
  <c r="R7" i="12" s="1"/>
  <c r="P6" i="12"/>
  <c r="R6" i="12" s="1"/>
  <c r="P5" i="12"/>
  <c r="R5" i="12" s="1"/>
  <c r="P4" i="12"/>
  <c r="R4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4" i="12"/>
  <c r="L32" i="11" l="1"/>
  <c r="N32" i="11" s="1"/>
  <c r="T27" i="11" l="1"/>
  <c r="S23" i="11"/>
  <c r="I26" i="11"/>
  <c r="K26" i="11" s="1"/>
  <c r="I25" i="11"/>
  <c r="H25" i="11"/>
  <c r="H24" i="11"/>
  <c r="H23" i="11"/>
  <c r="Q26" i="11" l="1"/>
  <c r="L26" i="11"/>
  <c r="N26" i="11" s="1"/>
  <c r="G22" i="12"/>
  <c r="H22" i="12" s="1"/>
  <c r="S22" i="12" s="1"/>
  <c r="T22" i="12" s="1"/>
  <c r="U22" i="12" s="1"/>
  <c r="G11" i="12"/>
  <c r="H11" i="12" s="1"/>
  <c r="G6" i="12"/>
  <c r="H6" i="12" s="1"/>
  <c r="S6" i="12" s="1"/>
  <c r="G19" i="12"/>
  <c r="H19" i="12" s="1"/>
  <c r="S19" i="12" s="1"/>
  <c r="T19" i="12" s="1"/>
  <c r="U19" i="12" s="1"/>
  <c r="G9" i="12"/>
  <c r="H9" i="12" s="1"/>
  <c r="S9" i="12" s="1"/>
  <c r="T9" i="12" s="1"/>
  <c r="U9" i="12" s="1"/>
  <c r="G18" i="12"/>
  <c r="H18" i="12" s="1"/>
  <c r="S18" i="12" s="1"/>
  <c r="T18" i="12" s="1"/>
  <c r="U18" i="12" s="1"/>
  <c r="G4" i="12"/>
  <c r="H4" i="12" s="1"/>
  <c r="G10" i="12"/>
  <c r="H10" i="12" s="1"/>
  <c r="S10" i="12" s="1"/>
  <c r="T10" i="12" s="1"/>
  <c r="U10" i="12" s="1"/>
  <c r="G5" i="12"/>
  <c r="H5" i="12" s="1"/>
  <c r="S5" i="12" s="1"/>
  <c r="G17" i="12"/>
  <c r="H17" i="12" s="1"/>
  <c r="S17" i="12" s="1"/>
  <c r="T17" i="12" s="1"/>
  <c r="U17" i="12" s="1"/>
  <c r="G15" i="12"/>
  <c r="H15" i="12" s="1"/>
  <c r="S15" i="12" s="1"/>
  <c r="T15" i="12" s="1"/>
  <c r="U15" i="12" s="1"/>
  <c r="G8" i="12"/>
  <c r="H8" i="12" s="1"/>
  <c r="S8" i="12" s="1"/>
  <c r="T8" i="12" s="1"/>
  <c r="U8" i="12" s="1"/>
  <c r="G16" i="12"/>
  <c r="H16" i="12" s="1"/>
  <c r="S16" i="12" s="1"/>
  <c r="T16" i="12" s="1"/>
  <c r="U16" i="12" s="1"/>
  <c r="G7" i="12"/>
  <c r="H7" i="12" s="1"/>
  <c r="S7" i="12" s="1"/>
  <c r="T7" i="12" s="1"/>
  <c r="U7" i="12" s="1"/>
  <c r="G14" i="12"/>
  <c r="H14" i="12" s="1"/>
  <c r="S14" i="12" s="1"/>
  <c r="T14" i="12" s="1"/>
  <c r="U14" i="12" s="1"/>
  <c r="G13" i="12"/>
  <c r="H13" i="12" s="1"/>
  <c r="S13" i="12" s="1"/>
  <c r="T13" i="12" s="1"/>
  <c r="U13" i="12" s="1"/>
  <c r="G21" i="12"/>
  <c r="H21" i="12" s="1"/>
  <c r="S21" i="12" s="1"/>
  <c r="T21" i="12" s="1"/>
  <c r="U21" i="12" s="1"/>
  <c r="G12" i="12"/>
  <c r="G20" i="12"/>
  <c r="H20" i="12" s="1"/>
  <c r="S20" i="12" s="1"/>
  <c r="T20" i="12" s="1"/>
  <c r="U20" i="12" s="1"/>
  <c r="G23" i="12"/>
  <c r="H23" i="12" s="1"/>
  <c r="S23" i="12" s="1"/>
  <c r="T23" i="12" s="1"/>
  <c r="U23" i="12" s="1"/>
  <c r="G24" i="12"/>
  <c r="H24" i="12" s="1"/>
  <c r="S24" i="12" s="1"/>
  <c r="T24" i="12" s="1"/>
  <c r="U24" i="12" s="1"/>
  <c r="I5" i="11"/>
  <c r="H12" i="12" l="1"/>
  <c r="S12" i="12" s="1"/>
  <c r="T12" i="12" s="1"/>
  <c r="U12" i="12" s="1"/>
  <c r="G26" i="12"/>
  <c r="G33" i="12" s="1"/>
  <c r="T6" i="12"/>
  <c r="U6" i="12" s="1"/>
  <c r="H26" i="12"/>
  <c r="H33" i="12" s="1"/>
  <c r="S11" i="12"/>
  <c r="S26" i="12"/>
  <c r="S30" i="12" s="1"/>
  <c r="T5" i="12"/>
  <c r="U5" i="12" s="1"/>
  <c r="S4" i="12"/>
  <c r="E78" i="8"/>
  <c r="E78" i="11"/>
  <c r="I24" i="11" s="1"/>
  <c r="K24" i="11" s="1"/>
  <c r="E64" i="11"/>
  <c r="I23" i="11" s="1"/>
  <c r="E18" i="11"/>
  <c r="E17" i="11"/>
  <c r="E12" i="11"/>
  <c r="F12" i="11" s="1"/>
  <c r="E5" i="11"/>
  <c r="Q16" i="11"/>
  <c r="D5" i="11"/>
  <c r="I27" i="11" l="1"/>
  <c r="K23" i="11"/>
  <c r="Q24" i="11"/>
  <c r="L24" i="11"/>
  <c r="N24" i="11" s="1"/>
  <c r="E20" i="11"/>
  <c r="J25" i="11"/>
  <c r="K25" i="11" s="1"/>
  <c r="F80" i="11"/>
  <c r="G80" i="11" s="1"/>
  <c r="H80" i="11" s="1"/>
  <c r="I80" i="11" s="1"/>
  <c r="T11" i="12"/>
  <c r="U11" i="12" s="1"/>
  <c r="T4" i="12"/>
  <c r="U38" i="9"/>
  <c r="U8" i="9"/>
  <c r="V8" i="9" s="1"/>
  <c r="W8" i="9" s="1"/>
  <c r="X8" i="9" s="1"/>
  <c r="N52" i="9"/>
  <c r="N20" i="9"/>
  <c r="N4" i="9"/>
  <c r="M58" i="9"/>
  <c r="J58" i="9"/>
  <c r="M57" i="9"/>
  <c r="J57" i="9"/>
  <c r="M56" i="9"/>
  <c r="J56" i="9"/>
  <c r="M55" i="9"/>
  <c r="J55" i="9"/>
  <c r="M54" i="9"/>
  <c r="J54" i="9"/>
  <c r="M53" i="9"/>
  <c r="J53" i="9"/>
  <c r="M52" i="9"/>
  <c r="J52" i="9"/>
  <c r="M51" i="9"/>
  <c r="J51" i="9"/>
  <c r="M50" i="9"/>
  <c r="J50" i="9"/>
  <c r="M49" i="9"/>
  <c r="J49" i="9"/>
  <c r="M48" i="9"/>
  <c r="J48" i="9"/>
  <c r="M47" i="9"/>
  <c r="J47" i="9"/>
  <c r="M46" i="9"/>
  <c r="J46" i="9"/>
  <c r="M45" i="9"/>
  <c r="J45" i="9"/>
  <c r="M44" i="9"/>
  <c r="J44" i="9"/>
  <c r="M43" i="9"/>
  <c r="J43" i="9"/>
  <c r="M42" i="9"/>
  <c r="J42" i="9"/>
  <c r="M41" i="9"/>
  <c r="J41" i="9"/>
  <c r="M40" i="9"/>
  <c r="J40" i="9"/>
  <c r="M39" i="9"/>
  <c r="J39" i="9"/>
  <c r="M38" i="9"/>
  <c r="J38" i="9"/>
  <c r="M37" i="9"/>
  <c r="J37" i="9"/>
  <c r="M36" i="9"/>
  <c r="J36" i="9"/>
  <c r="M35" i="9"/>
  <c r="J35" i="9"/>
  <c r="M34" i="9"/>
  <c r="J34" i="9"/>
  <c r="M33" i="9"/>
  <c r="J33" i="9"/>
  <c r="M32" i="9"/>
  <c r="J32" i="9"/>
  <c r="M31" i="9"/>
  <c r="J31" i="9"/>
  <c r="M30" i="9"/>
  <c r="J30" i="9"/>
  <c r="M29" i="9"/>
  <c r="J29" i="9"/>
  <c r="M28" i="9"/>
  <c r="J28" i="9"/>
  <c r="M27" i="9"/>
  <c r="J27" i="9"/>
  <c r="M26" i="9"/>
  <c r="J26" i="9"/>
  <c r="M25" i="9"/>
  <c r="J25" i="9"/>
  <c r="M24" i="9"/>
  <c r="J24" i="9"/>
  <c r="M23" i="9"/>
  <c r="J23" i="9"/>
  <c r="M22" i="9"/>
  <c r="J22" i="9"/>
  <c r="M21" i="9"/>
  <c r="J21" i="9"/>
  <c r="M20" i="9"/>
  <c r="J20" i="9"/>
  <c r="M19" i="9"/>
  <c r="J19" i="9"/>
  <c r="M18" i="9"/>
  <c r="J18" i="9"/>
  <c r="M17" i="9"/>
  <c r="J17" i="9"/>
  <c r="M16" i="9"/>
  <c r="J16" i="9"/>
  <c r="M15" i="9"/>
  <c r="J15" i="9"/>
  <c r="M14" i="9"/>
  <c r="J14" i="9"/>
  <c r="M13" i="9"/>
  <c r="J13" i="9"/>
  <c r="M12" i="9"/>
  <c r="J12" i="9"/>
  <c r="M11" i="9"/>
  <c r="J11" i="9"/>
  <c r="M10" i="9"/>
  <c r="J10" i="9"/>
  <c r="M9" i="9"/>
  <c r="J9" i="9"/>
  <c r="M8" i="9"/>
  <c r="J8" i="9"/>
  <c r="M7" i="9"/>
  <c r="J7" i="9"/>
  <c r="M6" i="9"/>
  <c r="J6" i="9"/>
  <c r="M5" i="9"/>
  <c r="J5" i="9"/>
  <c r="M4" i="9"/>
  <c r="J4" i="9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U75" i="7"/>
  <c r="N75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Q58" i="9"/>
  <c r="R58" i="9" s="1"/>
  <c r="T58" i="9" s="1"/>
  <c r="Q55" i="9"/>
  <c r="R55" i="9" s="1"/>
  <c r="T55" i="9" s="1"/>
  <c r="Q54" i="9"/>
  <c r="R54" i="9" s="1"/>
  <c r="T54" i="9" s="1"/>
  <c r="N54" i="9" s="1"/>
  <c r="Q53" i="9"/>
  <c r="R53" i="9" s="1"/>
  <c r="T53" i="9" s="1"/>
  <c r="Q52" i="9"/>
  <c r="R52" i="9" s="1"/>
  <c r="T52" i="9" s="1"/>
  <c r="Q51" i="9"/>
  <c r="R51" i="9" s="1"/>
  <c r="T51" i="9" s="1"/>
  <c r="N51" i="9" s="1"/>
  <c r="Q49" i="9"/>
  <c r="R49" i="9" s="1"/>
  <c r="T49" i="9" s="1"/>
  <c r="Q48" i="9"/>
  <c r="R48" i="9" s="1"/>
  <c r="T48" i="9" s="1"/>
  <c r="U48" i="9" s="1"/>
  <c r="V48" i="9" s="1"/>
  <c r="W48" i="9" s="1"/>
  <c r="X48" i="9" s="1"/>
  <c r="Q46" i="9"/>
  <c r="R46" i="9" s="1"/>
  <c r="T46" i="9" s="1"/>
  <c r="Q45" i="9"/>
  <c r="R45" i="9" s="1"/>
  <c r="T45" i="9" s="1"/>
  <c r="Q44" i="9"/>
  <c r="R44" i="9" s="1"/>
  <c r="T44" i="9" s="1"/>
  <c r="N44" i="9" s="1"/>
  <c r="Q43" i="9"/>
  <c r="R43" i="9" s="1"/>
  <c r="T43" i="9" s="1"/>
  <c r="Q41" i="9"/>
  <c r="R41" i="9" s="1"/>
  <c r="T41" i="9" s="1"/>
  <c r="N41" i="9" s="1"/>
  <c r="Q40" i="9"/>
  <c r="R40" i="9" s="1"/>
  <c r="T40" i="9" s="1"/>
  <c r="U40" i="9" s="1"/>
  <c r="V40" i="9" s="1"/>
  <c r="W40" i="9" s="1"/>
  <c r="X40" i="9" s="1"/>
  <c r="Q38" i="9"/>
  <c r="R38" i="9" s="1"/>
  <c r="T38" i="9" s="1"/>
  <c r="N38" i="9" s="1"/>
  <c r="Q29" i="9"/>
  <c r="R29" i="9" s="1"/>
  <c r="T29" i="9" s="1"/>
  <c r="Q25" i="9"/>
  <c r="R25" i="9" s="1"/>
  <c r="T25" i="9" s="1"/>
  <c r="Q21" i="9"/>
  <c r="R21" i="9" s="1"/>
  <c r="T21" i="9" s="1"/>
  <c r="Q20" i="9"/>
  <c r="R20" i="9" s="1"/>
  <c r="T20" i="9" s="1"/>
  <c r="Q19" i="9"/>
  <c r="R19" i="9" s="1"/>
  <c r="T19" i="9" s="1"/>
  <c r="N19" i="9" s="1"/>
  <c r="Q18" i="9"/>
  <c r="R18" i="9" s="1"/>
  <c r="T18" i="9" s="1"/>
  <c r="Q17" i="9"/>
  <c r="R17" i="9" s="1"/>
  <c r="T17" i="9" s="1"/>
  <c r="N17" i="9" s="1"/>
  <c r="Q57" i="9"/>
  <c r="R57" i="9" s="1"/>
  <c r="T57" i="9" s="1"/>
  <c r="N57" i="9" s="1"/>
  <c r="Q56" i="9"/>
  <c r="R56" i="9" s="1"/>
  <c r="T56" i="9" s="1"/>
  <c r="N56" i="9" s="1"/>
  <c r="Q50" i="9"/>
  <c r="R50" i="9" s="1"/>
  <c r="T50" i="9" s="1"/>
  <c r="Q47" i="9"/>
  <c r="R47" i="9" s="1"/>
  <c r="T47" i="9" s="1"/>
  <c r="Q42" i="9"/>
  <c r="R42" i="9" s="1"/>
  <c r="T42" i="9" s="1"/>
  <c r="Q39" i="9"/>
  <c r="R39" i="9" s="1"/>
  <c r="T39" i="9" s="1"/>
  <c r="Q37" i="9"/>
  <c r="R37" i="9" s="1"/>
  <c r="T37" i="9" s="1"/>
  <c r="Q36" i="9"/>
  <c r="R36" i="9" s="1"/>
  <c r="T36" i="9" s="1"/>
  <c r="U36" i="9" s="1"/>
  <c r="V36" i="9" s="1"/>
  <c r="W36" i="9" s="1"/>
  <c r="X36" i="9" s="1"/>
  <c r="Q35" i="9"/>
  <c r="R35" i="9" s="1"/>
  <c r="T35" i="9" s="1"/>
  <c r="N35" i="9" s="1"/>
  <c r="Q34" i="9"/>
  <c r="R34" i="9" s="1"/>
  <c r="T34" i="9" s="1"/>
  <c r="Q33" i="9"/>
  <c r="R33" i="9" s="1"/>
  <c r="T33" i="9" s="1"/>
  <c r="Q32" i="9"/>
  <c r="R32" i="9" s="1"/>
  <c r="T32" i="9" s="1"/>
  <c r="N32" i="9" s="1"/>
  <c r="Q31" i="9"/>
  <c r="R31" i="9" s="1"/>
  <c r="T31" i="9" s="1"/>
  <c r="Q30" i="9"/>
  <c r="R30" i="9" s="1"/>
  <c r="T30" i="9" s="1"/>
  <c r="Q28" i="9"/>
  <c r="R28" i="9" s="1"/>
  <c r="T28" i="9" s="1"/>
  <c r="Q27" i="9"/>
  <c r="R27" i="9" s="1"/>
  <c r="T27" i="9" s="1"/>
  <c r="Q26" i="9"/>
  <c r="R26" i="9" s="1"/>
  <c r="T26" i="9" s="1"/>
  <c r="Q24" i="9"/>
  <c r="R24" i="9" s="1"/>
  <c r="T24" i="9" s="1"/>
  <c r="U24" i="9" s="1"/>
  <c r="V24" i="9" s="1"/>
  <c r="W24" i="9" s="1"/>
  <c r="X24" i="9" s="1"/>
  <c r="Q23" i="9"/>
  <c r="R23" i="9" s="1"/>
  <c r="T23" i="9" s="1"/>
  <c r="Q22" i="9"/>
  <c r="R22" i="9" s="1"/>
  <c r="T22" i="9" s="1"/>
  <c r="Q16" i="9"/>
  <c r="R16" i="9" s="1"/>
  <c r="T16" i="9" s="1"/>
  <c r="Q15" i="9"/>
  <c r="R15" i="9" s="1"/>
  <c r="T15" i="9" s="1"/>
  <c r="Q14" i="9"/>
  <c r="R14" i="9" s="1"/>
  <c r="T14" i="9" s="1"/>
  <c r="N14" i="9" s="1"/>
  <c r="Q13" i="9"/>
  <c r="R13" i="9" s="1"/>
  <c r="T13" i="9" s="1"/>
  <c r="Q12" i="9"/>
  <c r="R12" i="9" s="1"/>
  <c r="T12" i="9" s="1"/>
  <c r="N12" i="9" s="1"/>
  <c r="Q11" i="9"/>
  <c r="R11" i="9" s="1"/>
  <c r="T11" i="9" s="1"/>
  <c r="Q10" i="9"/>
  <c r="R10" i="9" s="1"/>
  <c r="T10" i="9" s="1"/>
  <c r="Q9" i="9"/>
  <c r="R9" i="9" s="1"/>
  <c r="T9" i="9" s="1"/>
  <c r="Q8" i="9"/>
  <c r="R8" i="9" s="1"/>
  <c r="T8" i="9" s="1"/>
  <c r="N8" i="9" s="1"/>
  <c r="Q7" i="9"/>
  <c r="R7" i="9" s="1"/>
  <c r="T7" i="9" s="1"/>
  <c r="Q6" i="9"/>
  <c r="R6" i="9" s="1"/>
  <c r="T6" i="9" s="1"/>
  <c r="Q5" i="9"/>
  <c r="R5" i="9" s="1"/>
  <c r="T5" i="9" s="1"/>
  <c r="Q4" i="9"/>
  <c r="R4" i="9" s="1"/>
  <c r="T4" i="9" s="1"/>
  <c r="P65" i="8"/>
  <c r="Q65" i="8" s="1"/>
  <c r="S65" i="8" s="1"/>
  <c r="P64" i="8"/>
  <c r="Q64" i="8" s="1"/>
  <c r="S64" i="8" s="1"/>
  <c r="P63" i="8"/>
  <c r="Q63" i="8" s="1"/>
  <c r="S63" i="8" s="1"/>
  <c r="P62" i="8"/>
  <c r="Q62" i="8" s="1"/>
  <c r="S62" i="8" s="1"/>
  <c r="P61" i="8"/>
  <c r="Q61" i="8" s="1"/>
  <c r="S61" i="8" s="1"/>
  <c r="P60" i="8"/>
  <c r="Q60" i="8" s="1"/>
  <c r="S60" i="8" s="1"/>
  <c r="P59" i="8"/>
  <c r="Q59" i="8" s="1"/>
  <c r="S59" i="8" s="1"/>
  <c r="P58" i="8"/>
  <c r="Q58" i="8" s="1"/>
  <c r="S58" i="8" s="1"/>
  <c r="P57" i="8"/>
  <c r="Q57" i="8" s="1"/>
  <c r="S57" i="8" s="1"/>
  <c r="P56" i="8"/>
  <c r="Q56" i="8" s="1"/>
  <c r="S56" i="8" s="1"/>
  <c r="P55" i="8"/>
  <c r="Q55" i="8" s="1"/>
  <c r="S55" i="8" s="1"/>
  <c r="P54" i="8"/>
  <c r="Q54" i="8" s="1"/>
  <c r="S54" i="8" s="1"/>
  <c r="P53" i="8"/>
  <c r="Q53" i="8" s="1"/>
  <c r="S53" i="8" s="1"/>
  <c r="P52" i="8"/>
  <c r="Q52" i="8" s="1"/>
  <c r="S52" i="8" s="1"/>
  <c r="P51" i="8"/>
  <c r="Q51" i="8" s="1"/>
  <c r="S51" i="8" s="1"/>
  <c r="P50" i="8"/>
  <c r="Q50" i="8" s="1"/>
  <c r="S50" i="8" s="1"/>
  <c r="P49" i="8"/>
  <c r="Q49" i="8" s="1"/>
  <c r="S49" i="8" s="1"/>
  <c r="P48" i="8"/>
  <c r="Q48" i="8" s="1"/>
  <c r="S48" i="8" s="1"/>
  <c r="P47" i="8"/>
  <c r="Q47" i="8" s="1"/>
  <c r="S47" i="8" s="1"/>
  <c r="P46" i="8"/>
  <c r="Q46" i="8" s="1"/>
  <c r="S46" i="8" s="1"/>
  <c r="P45" i="8"/>
  <c r="Q45" i="8" s="1"/>
  <c r="S45" i="8" s="1"/>
  <c r="P44" i="8"/>
  <c r="Q44" i="8" s="1"/>
  <c r="S44" i="8" s="1"/>
  <c r="P43" i="8"/>
  <c r="Q43" i="8" s="1"/>
  <c r="S43" i="8" s="1"/>
  <c r="P42" i="8"/>
  <c r="Q42" i="8" s="1"/>
  <c r="S42" i="8" s="1"/>
  <c r="P41" i="8"/>
  <c r="Q41" i="8" s="1"/>
  <c r="S41" i="8" s="1"/>
  <c r="P40" i="8"/>
  <c r="Q40" i="8" s="1"/>
  <c r="S40" i="8" s="1"/>
  <c r="P39" i="8"/>
  <c r="Q39" i="8" s="1"/>
  <c r="S39" i="8" s="1"/>
  <c r="P38" i="8"/>
  <c r="Q38" i="8" s="1"/>
  <c r="S38" i="8" s="1"/>
  <c r="P37" i="8"/>
  <c r="Q37" i="8" s="1"/>
  <c r="S37" i="8" s="1"/>
  <c r="P36" i="8"/>
  <c r="Q36" i="8" s="1"/>
  <c r="S36" i="8" s="1"/>
  <c r="P35" i="8"/>
  <c r="Q35" i="8" s="1"/>
  <c r="S35" i="8" s="1"/>
  <c r="P34" i="8"/>
  <c r="Q34" i="8" s="1"/>
  <c r="S34" i="8" s="1"/>
  <c r="P33" i="8"/>
  <c r="Q33" i="8" s="1"/>
  <c r="S33" i="8" s="1"/>
  <c r="P32" i="8"/>
  <c r="Q32" i="8" s="1"/>
  <c r="S32" i="8" s="1"/>
  <c r="P31" i="8"/>
  <c r="Q31" i="8" s="1"/>
  <c r="S31" i="8" s="1"/>
  <c r="P30" i="8"/>
  <c r="Q30" i="8" s="1"/>
  <c r="S30" i="8" s="1"/>
  <c r="P29" i="8"/>
  <c r="Q29" i="8" s="1"/>
  <c r="S29" i="8" s="1"/>
  <c r="P28" i="8"/>
  <c r="Q28" i="8" s="1"/>
  <c r="S28" i="8" s="1"/>
  <c r="P27" i="8"/>
  <c r="Q27" i="8" s="1"/>
  <c r="S27" i="8" s="1"/>
  <c r="P26" i="8"/>
  <c r="Q26" i="8" s="1"/>
  <c r="S26" i="8" s="1"/>
  <c r="P25" i="8"/>
  <c r="Q25" i="8" s="1"/>
  <c r="S25" i="8" s="1"/>
  <c r="P24" i="8"/>
  <c r="Q24" i="8" s="1"/>
  <c r="S24" i="8" s="1"/>
  <c r="P23" i="8"/>
  <c r="Q23" i="8" s="1"/>
  <c r="S23" i="8" s="1"/>
  <c r="P22" i="8"/>
  <c r="Q22" i="8" s="1"/>
  <c r="S22" i="8" s="1"/>
  <c r="P21" i="8"/>
  <c r="Q21" i="8" s="1"/>
  <c r="S21" i="8" s="1"/>
  <c r="P20" i="8"/>
  <c r="Q20" i="8" s="1"/>
  <c r="S20" i="8" s="1"/>
  <c r="P19" i="8"/>
  <c r="Q19" i="8" s="1"/>
  <c r="S19" i="8" s="1"/>
  <c r="P18" i="8"/>
  <c r="Q18" i="8" s="1"/>
  <c r="S18" i="8" s="1"/>
  <c r="P17" i="8"/>
  <c r="Q17" i="8" s="1"/>
  <c r="S17" i="8" s="1"/>
  <c r="P16" i="8"/>
  <c r="Q16" i="8" s="1"/>
  <c r="S16" i="8" s="1"/>
  <c r="P15" i="8"/>
  <c r="Q15" i="8" s="1"/>
  <c r="S15" i="8" s="1"/>
  <c r="P14" i="8"/>
  <c r="Q14" i="8" s="1"/>
  <c r="S14" i="8" s="1"/>
  <c r="P13" i="8"/>
  <c r="Q13" i="8" s="1"/>
  <c r="S13" i="8" s="1"/>
  <c r="P12" i="8"/>
  <c r="Q12" i="8" s="1"/>
  <c r="S12" i="8" s="1"/>
  <c r="P11" i="8"/>
  <c r="Q11" i="8" s="1"/>
  <c r="S11" i="8" s="1"/>
  <c r="P10" i="8"/>
  <c r="Q10" i="8" s="1"/>
  <c r="S10" i="8" s="1"/>
  <c r="P9" i="8"/>
  <c r="Q9" i="8" s="1"/>
  <c r="S9" i="8" s="1"/>
  <c r="P8" i="8"/>
  <c r="Q8" i="8" s="1"/>
  <c r="S8" i="8" s="1"/>
  <c r="P7" i="8"/>
  <c r="Q7" i="8" s="1"/>
  <c r="S7" i="8" s="1"/>
  <c r="P6" i="8"/>
  <c r="Q6" i="8" s="1"/>
  <c r="S6" i="8" s="1"/>
  <c r="P5" i="8"/>
  <c r="Q5" i="8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 s="1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G5" i="9"/>
  <c r="F5" i="9" s="1"/>
  <c r="G4" i="9"/>
  <c r="F4" i="9" s="1"/>
  <c r="G65" i="8"/>
  <c r="F65" i="8" s="1"/>
  <c r="G64" i="8"/>
  <c r="F64" i="8" s="1"/>
  <c r="G63" i="8"/>
  <c r="F63" i="8" s="1"/>
  <c r="G62" i="8"/>
  <c r="F62" i="8" s="1"/>
  <c r="G61" i="8"/>
  <c r="F61" i="8" s="1"/>
  <c r="G60" i="8"/>
  <c r="F60" i="8" s="1"/>
  <c r="G59" i="8"/>
  <c r="F59" i="8" s="1"/>
  <c r="G58" i="8"/>
  <c r="F58" i="8" s="1"/>
  <c r="G57" i="8"/>
  <c r="F57" i="8" s="1"/>
  <c r="G56" i="8"/>
  <c r="F56" i="8" s="1"/>
  <c r="G54" i="8"/>
  <c r="F54" i="8" s="1"/>
  <c r="G53" i="8"/>
  <c r="F53" i="8" s="1"/>
  <c r="G52" i="8"/>
  <c r="F52" i="8" s="1"/>
  <c r="G51" i="8"/>
  <c r="F51" i="8" s="1"/>
  <c r="G55" i="8"/>
  <c r="F55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38" i="8"/>
  <c r="F38" i="8" s="1"/>
  <c r="G39" i="8"/>
  <c r="F39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G27" i="8"/>
  <c r="F27" i="8" s="1"/>
  <c r="G26" i="8"/>
  <c r="F26" i="8" s="1"/>
  <c r="G25" i="8"/>
  <c r="F25" i="8" s="1"/>
  <c r="G17" i="8"/>
  <c r="F17" i="8" s="1"/>
  <c r="G24" i="8"/>
  <c r="F24" i="8" s="1"/>
  <c r="G23" i="8"/>
  <c r="F23" i="8" s="1"/>
  <c r="G22" i="8"/>
  <c r="F22" i="8" s="1"/>
  <c r="G21" i="8"/>
  <c r="F21" i="8" s="1"/>
  <c r="G20" i="8"/>
  <c r="F20" i="8" s="1"/>
  <c r="G19" i="8"/>
  <c r="F19" i="8" s="1"/>
  <c r="G18" i="8"/>
  <c r="F18" i="8" s="1"/>
  <c r="G16" i="8"/>
  <c r="F16" i="8" s="1"/>
  <c r="G15" i="8"/>
  <c r="F15" i="8" s="1"/>
  <c r="G14" i="8"/>
  <c r="F14" i="8" s="1"/>
  <c r="G13" i="8"/>
  <c r="F13" i="8" s="1"/>
  <c r="G12" i="8"/>
  <c r="F12" i="8" s="1"/>
  <c r="G11" i="8"/>
  <c r="F11" i="8" s="1"/>
  <c r="G10" i="8"/>
  <c r="F10" i="8" s="1"/>
  <c r="G9" i="8"/>
  <c r="F9" i="8" s="1"/>
  <c r="G8" i="8"/>
  <c r="F8" i="8" s="1"/>
  <c r="G7" i="8"/>
  <c r="F7" i="8" s="1"/>
  <c r="G6" i="8"/>
  <c r="F6" i="8" s="1"/>
  <c r="G5" i="8"/>
  <c r="U5" i="9" l="1"/>
  <c r="N5" i="9"/>
  <c r="U22" i="9"/>
  <c r="N22" i="9"/>
  <c r="U47" i="9"/>
  <c r="N47" i="9"/>
  <c r="U21" i="9"/>
  <c r="N21" i="9"/>
  <c r="N55" i="9"/>
  <c r="U55" i="9"/>
  <c r="U51" i="9"/>
  <c r="U6" i="9"/>
  <c r="V6" i="9" s="1"/>
  <c r="W6" i="9" s="1"/>
  <c r="X6" i="9" s="1"/>
  <c r="N6" i="9"/>
  <c r="N10" i="9"/>
  <c r="U10" i="9"/>
  <c r="U23" i="9"/>
  <c r="V23" i="9" s="1"/>
  <c r="W23" i="9" s="1"/>
  <c r="X23" i="9" s="1"/>
  <c r="N23" i="9"/>
  <c r="U28" i="9"/>
  <c r="V28" i="9" s="1"/>
  <c r="W28" i="9" s="1"/>
  <c r="X28" i="9" s="1"/>
  <c r="U33" i="9"/>
  <c r="V33" i="9" s="1"/>
  <c r="W33" i="9" s="1"/>
  <c r="X33" i="9" s="1"/>
  <c r="N33" i="9"/>
  <c r="U37" i="9"/>
  <c r="V37" i="9" s="1"/>
  <c r="W37" i="9" s="1"/>
  <c r="X37" i="9" s="1"/>
  <c r="N37" i="9"/>
  <c r="U50" i="9"/>
  <c r="N50" i="9"/>
  <c r="U18" i="9"/>
  <c r="N18" i="9"/>
  <c r="U25" i="9"/>
  <c r="N25" i="9"/>
  <c r="U46" i="9"/>
  <c r="N46" i="9"/>
  <c r="U52" i="9"/>
  <c r="V52" i="9" s="1"/>
  <c r="W52" i="9" s="1"/>
  <c r="X52" i="9" s="1"/>
  <c r="N58" i="9"/>
  <c r="U58" i="9"/>
  <c r="N24" i="9"/>
  <c r="N40" i="9"/>
  <c r="U19" i="9"/>
  <c r="V19" i="9" s="1"/>
  <c r="W19" i="9" s="1"/>
  <c r="X19" i="9" s="1"/>
  <c r="U41" i="9"/>
  <c r="V41" i="9" s="1"/>
  <c r="W41" i="9" s="1"/>
  <c r="X41" i="9" s="1"/>
  <c r="U54" i="9"/>
  <c r="U9" i="9"/>
  <c r="N9" i="9"/>
  <c r="N36" i="9"/>
  <c r="U17" i="9"/>
  <c r="U7" i="9"/>
  <c r="N7" i="9"/>
  <c r="N11" i="9"/>
  <c r="U11" i="9"/>
  <c r="N15" i="9"/>
  <c r="U15" i="9"/>
  <c r="U30" i="9"/>
  <c r="N30" i="9"/>
  <c r="U34" i="9"/>
  <c r="N34" i="9"/>
  <c r="N39" i="9"/>
  <c r="U39" i="9"/>
  <c r="U56" i="9"/>
  <c r="V56" i="9" s="1"/>
  <c r="W56" i="9" s="1"/>
  <c r="X56" i="9" s="1"/>
  <c r="U29" i="9"/>
  <c r="V29" i="9" s="1"/>
  <c r="W29" i="9" s="1"/>
  <c r="X29" i="9" s="1"/>
  <c r="N29" i="9"/>
  <c r="N43" i="9"/>
  <c r="U43" i="9"/>
  <c r="U53" i="9"/>
  <c r="V53" i="9" s="1"/>
  <c r="W53" i="9" s="1"/>
  <c r="X53" i="9" s="1"/>
  <c r="N53" i="9"/>
  <c r="V75" i="7"/>
  <c r="W75" i="7" s="1"/>
  <c r="X75" i="7" s="1"/>
  <c r="N28" i="9"/>
  <c r="U32" i="9"/>
  <c r="V32" i="9" s="1"/>
  <c r="W32" i="9" s="1"/>
  <c r="X32" i="9" s="1"/>
  <c r="U57" i="9"/>
  <c r="V57" i="9" s="1"/>
  <c r="W57" i="9" s="1"/>
  <c r="X57" i="9" s="1"/>
  <c r="U13" i="9"/>
  <c r="N13" i="9"/>
  <c r="N27" i="9"/>
  <c r="U27" i="9"/>
  <c r="U45" i="9"/>
  <c r="V45" i="9" s="1"/>
  <c r="W45" i="9" s="1"/>
  <c r="X45" i="9" s="1"/>
  <c r="N45" i="9"/>
  <c r="U4" i="9"/>
  <c r="V4" i="9" s="1"/>
  <c r="W4" i="9" s="1"/>
  <c r="X4" i="9" s="1"/>
  <c r="U12" i="9"/>
  <c r="V12" i="9" s="1"/>
  <c r="W12" i="9" s="1"/>
  <c r="X12" i="9" s="1"/>
  <c r="U16" i="9"/>
  <c r="V16" i="9" s="1"/>
  <c r="W16" i="9" s="1"/>
  <c r="X16" i="9" s="1"/>
  <c r="N26" i="9"/>
  <c r="U26" i="9"/>
  <c r="U31" i="9"/>
  <c r="N31" i="9"/>
  <c r="N42" i="9"/>
  <c r="U42" i="9"/>
  <c r="U20" i="9"/>
  <c r="V20" i="9" s="1"/>
  <c r="W20" i="9" s="1"/>
  <c r="X20" i="9" s="1"/>
  <c r="U44" i="9"/>
  <c r="V44" i="9" s="1"/>
  <c r="W44" i="9" s="1"/>
  <c r="X44" i="9" s="1"/>
  <c r="U49" i="9"/>
  <c r="V49" i="9" s="1"/>
  <c r="W49" i="9" s="1"/>
  <c r="X49" i="9" s="1"/>
  <c r="N49" i="9"/>
  <c r="N16" i="9"/>
  <c r="N48" i="9"/>
  <c r="U14" i="9"/>
  <c r="U35" i="9"/>
  <c r="V35" i="9" s="1"/>
  <c r="W35" i="9" s="1"/>
  <c r="X35" i="9" s="1"/>
  <c r="Q25" i="11"/>
  <c r="L25" i="11"/>
  <c r="N25" i="11" s="1"/>
  <c r="Q23" i="11"/>
  <c r="Q27" i="11" s="1"/>
  <c r="K27" i="11"/>
  <c r="L23" i="11"/>
  <c r="T26" i="12"/>
  <c r="U4" i="12"/>
  <c r="U26" i="12" s="1"/>
  <c r="U30" i="12" s="1"/>
  <c r="T8" i="8"/>
  <c r="U8" i="8" s="1"/>
  <c r="T16" i="8"/>
  <c r="U16" i="8" s="1"/>
  <c r="T24" i="8"/>
  <c r="T32" i="8"/>
  <c r="U32" i="8" s="1"/>
  <c r="V32" i="8" s="1"/>
  <c r="W32" i="8" s="1"/>
  <c r="T40" i="8"/>
  <c r="U40" i="8" s="1"/>
  <c r="V40" i="8" s="1"/>
  <c r="W40" i="8" s="1"/>
  <c r="T48" i="8"/>
  <c r="U48" i="8" s="1"/>
  <c r="V48" i="8" s="1"/>
  <c r="W48" i="8" s="1"/>
  <c r="T56" i="8"/>
  <c r="U56" i="8" s="1"/>
  <c r="V56" i="8" s="1"/>
  <c r="W56" i="8" s="1"/>
  <c r="T64" i="8"/>
  <c r="U64" i="8" s="1"/>
  <c r="V64" i="8" s="1"/>
  <c r="W64" i="8" s="1"/>
  <c r="T9" i="8"/>
  <c r="U9" i="8" s="1"/>
  <c r="V9" i="8" s="1"/>
  <c r="W9" i="8" s="1"/>
  <c r="T17" i="8"/>
  <c r="U17" i="8" s="1"/>
  <c r="T25" i="8"/>
  <c r="U25" i="8" s="1"/>
  <c r="V25" i="8" s="1"/>
  <c r="W25" i="8" s="1"/>
  <c r="T33" i="8"/>
  <c r="U33" i="8" s="1"/>
  <c r="V33" i="8" s="1"/>
  <c r="W33" i="8" s="1"/>
  <c r="T41" i="8"/>
  <c r="U41" i="8" s="1"/>
  <c r="V41" i="8" s="1"/>
  <c r="W41" i="8" s="1"/>
  <c r="T49" i="8"/>
  <c r="U49" i="8" s="1"/>
  <c r="V49" i="8" s="1"/>
  <c r="W49" i="8" s="1"/>
  <c r="T57" i="8"/>
  <c r="U57" i="8" s="1"/>
  <c r="V57" i="8" s="1"/>
  <c r="W57" i="8" s="1"/>
  <c r="T65" i="8"/>
  <c r="U65" i="8" s="1"/>
  <c r="V65" i="8" s="1"/>
  <c r="W65" i="8" s="1"/>
  <c r="T10" i="8"/>
  <c r="U10" i="8" s="1"/>
  <c r="V10" i="8" s="1"/>
  <c r="W10" i="8" s="1"/>
  <c r="T18" i="8"/>
  <c r="U18" i="8" s="1"/>
  <c r="V18" i="8" s="1"/>
  <c r="W18" i="8" s="1"/>
  <c r="T26" i="8"/>
  <c r="T34" i="8"/>
  <c r="T42" i="8"/>
  <c r="U42" i="8" s="1"/>
  <c r="V42" i="8" s="1"/>
  <c r="W42" i="8" s="1"/>
  <c r="T50" i="8"/>
  <c r="U50" i="8" s="1"/>
  <c r="V50" i="8" s="1"/>
  <c r="W50" i="8" s="1"/>
  <c r="T58" i="8"/>
  <c r="T11" i="8"/>
  <c r="U11" i="8" s="1"/>
  <c r="V11" i="8" s="1"/>
  <c r="W11" i="8" s="1"/>
  <c r="T19" i="8"/>
  <c r="U19" i="8" s="1"/>
  <c r="V19" i="8" s="1"/>
  <c r="W19" i="8" s="1"/>
  <c r="T27" i="8"/>
  <c r="U27" i="8" s="1"/>
  <c r="V27" i="8" s="1"/>
  <c r="W27" i="8" s="1"/>
  <c r="T35" i="8"/>
  <c r="U35" i="8" s="1"/>
  <c r="V35" i="8" s="1"/>
  <c r="W35" i="8" s="1"/>
  <c r="T43" i="8"/>
  <c r="U43" i="8" s="1"/>
  <c r="V43" i="8" s="1"/>
  <c r="W43" i="8" s="1"/>
  <c r="T51" i="8"/>
  <c r="U51" i="8" s="1"/>
  <c r="V51" i="8" s="1"/>
  <c r="W51" i="8" s="1"/>
  <c r="T59" i="8"/>
  <c r="U59" i="8" s="1"/>
  <c r="V59" i="8" s="1"/>
  <c r="W59" i="8" s="1"/>
  <c r="T12" i="8"/>
  <c r="U12" i="8" s="1"/>
  <c r="T20" i="8"/>
  <c r="U20" i="8" s="1"/>
  <c r="V20" i="8" s="1"/>
  <c r="W20" i="8" s="1"/>
  <c r="T28" i="8"/>
  <c r="U28" i="8" s="1"/>
  <c r="V28" i="8" s="1"/>
  <c r="W28" i="8" s="1"/>
  <c r="T36" i="8"/>
  <c r="U36" i="8" s="1"/>
  <c r="V36" i="8" s="1"/>
  <c r="W36" i="8" s="1"/>
  <c r="T44" i="8"/>
  <c r="U44" i="8" s="1"/>
  <c r="V44" i="8" s="1"/>
  <c r="W44" i="8" s="1"/>
  <c r="T52" i="8"/>
  <c r="T60" i="8"/>
  <c r="U60" i="8" s="1"/>
  <c r="V60" i="8" s="1"/>
  <c r="W60" i="8" s="1"/>
  <c r="T13" i="8"/>
  <c r="U13" i="8" s="1"/>
  <c r="V13" i="8" s="1"/>
  <c r="W13" i="8" s="1"/>
  <c r="T21" i="8"/>
  <c r="T29" i="8"/>
  <c r="U29" i="8" s="1"/>
  <c r="V29" i="8" s="1"/>
  <c r="W29" i="8" s="1"/>
  <c r="T37" i="8"/>
  <c r="U37" i="8" s="1"/>
  <c r="V37" i="8" s="1"/>
  <c r="W37" i="8" s="1"/>
  <c r="T45" i="8"/>
  <c r="U45" i="8" s="1"/>
  <c r="V45" i="8" s="1"/>
  <c r="W45" i="8" s="1"/>
  <c r="T53" i="8"/>
  <c r="T61" i="8"/>
  <c r="U61" i="8" s="1"/>
  <c r="V61" i="8" s="1"/>
  <c r="W61" i="8" s="1"/>
  <c r="T6" i="8"/>
  <c r="U6" i="8" s="1"/>
  <c r="V6" i="8" s="1"/>
  <c r="W6" i="8" s="1"/>
  <c r="T14" i="8"/>
  <c r="U14" i="8" s="1"/>
  <c r="V14" i="8" s="1"/>
  <c r="W14" i="8" s="1"/>
  <c r="T22" i="8"/>
  <c r="T30" i="8"/>
  <c r="U30" i="8" s="1"/>
  <c r="V30" i="8" s="1"/>
  <c r="W30" i="8" s="1"/>
  <c r="T38" i="8"/>
  <c r="U38" i="8" s="1"/>
  <c r="V38" i="8" s="1"/>
  <c r="W38" i="8" s="1"/>
  <c r="T46" i="8"/>
  <c r="U46" i="8" s="1"/>
  <c r="V46" i="8" s="1"/>
  <c r="W46" i="8" s="1"/>
  <c r="T54" i="8"/>
  <c r="U54" i="8" s="1"/>
  <c r="V54" i="8" s="1"/>
  <c r="W54" i="8" s="1"/>
  <c r="T62" i="8"/>
  <c r="U62" i="8" s="1"/>
  <c r="V62" i="8" s="1"/>
  <c r="W62" i="8" s="1"/>
  <c r="T7" i="8"/>
  <c r="U7" i="8" s="1"/>
  <c r="V7" i="8" s="1"/>
  <c r="W7" i="8" s="1"/>
  <c r="T15" i="8"/>
  <c r="U15" i="8" s="1"/>
  <c r="V15" i="8" s="1"/>
  <c r="W15" i="8" s="1"/>
  <c r="T23" i="8"/>
  <c r="U23" i="8" s="1"/>
  <c r="T31" i="8"/>
  <c r="U31" i="8" s="1"/>
  <c r="V31" i="8" s="1"/>
  <c r="W31" i="8" s="1"/>
  <c r="T39" i="8"/>
  <c r="U39" i="8" s="1"/>
  <c r="V39" i="8" s="1"/>
  <c r="W39" i="8" s="1"/>
  <c r="T47" i="8"/>
  <c r="U47" i="8" s="1"/>
  <c r="V47" i="8" s="1"/>
  <c r="W47" i="8" s="1"/>
  <c r="T55" i="8"/>
  <c r="T63" i="8"/>
  <c r="U63" i="8" s="1"/>
  <c r="V63" i="8" s="1"/>
  <c r="W63" i="8" s="1"/>
  <c r="F5" i="8"/>
  <c r="F67" i="8" s="1"/>
  <c r="H32" i="12" s="1"/>
  <c r="H34" i="12" s="1"/>
  <c r="G67" i="8"/>
  <c r="W38" i="9"/>
  <c r="X38" i="9" s="1"/>
  <c r="V7" i="9"/>
  <c r="W7" i="9" s="1"/>
  <c r="X7" i="9" s="1"/>
  <c r="V11" i="9"/>
  <c r="W11" i="9" s="1"/>
  <c r="X11" i="9" s="1"/>
  <c r="V15" i="9"/>
  <c r="W15" i="9" s="1"/>
  <c r="X15" i="9" s="1"/>
  <c r="V27" i="9"/>
  <c r="W27" i="9" s="1"/>
  <c r="X27" i="9" s="1"/>
  <c r="V31" i="9"/>
  <c r="W31" i="9" s="1"/>
  <c r="X31" i="9" s="1"/>
  <c r="V39" i="9"/>
  <c r="W39" i="9" s="1"/>
  <c r="X39" i="9" s="1"/>
  <c r="V43" i="9"/>
  <c r="W43" i="9" s="1"/>
  <c r="X43" i="9" s="1"/>
  <c r="V47" i="9"/>
  <c r="W47" i="9" s="1"/>
  <c r="X47" i="9" s="1"/>
  <c r="V51" i="9"/>
  <c r="W51" i="9" s="1"/>
  <c r="X51" i="9" s="1"/>
  <c r="V55" i="9"/>
  <c r="W55" i="9" s="1"/>
  <c r="X55" i="9" s="1"/>
  <c r="V10" i="9"/>
  <c r="W10" i="9" s="1"/>
  <c r="X10" i="9" s="1"/>
  <c r="V14" i="9"/>
  <c r="W14" i="9" s="1"/>
  <c r="X14" i="9" s="1"/>
  <c r="V18" i="9"/>
  <c r="W18" i="9" s="1"/>
  <c r="X18" i="9" s="1"/>
  <c r="V22" i="9"/>
  <c r="W22" i="9" s="1"/>
  <c r="X22" i="9" s="1"/>
  <c r="V26" i="9"/>
  <c r="W26" i="9" s="1"/>
  <c r="X26" i="9" s="1"/>
  <c r="V30" i="9"/>
  <c r="W30" i="9" s="1"/>
  <c r="X30" i="9" s="1"/>
  <c r="V34" i="9"/>
  <c r="W34" i="9" s="1"/>
  <c r="X34" i="9" s="1"/>
  <c r="V38" i="9"/>
  <c r="V42" i="9"/>
  <c r="W42" i="9" s="1"/>
  <c r="X42" i="9" s="1"/>
  <c r="V46" i="9"/>
  <c r="W46" i="9" s="1"/>
  <c r="X46" i="9" s="1"/>
  <c r="V50" i="9"/>
  <c r="W50" i="9" s="1"/>
  <c r="X50" i="9" s="1"/>
  <c r="V54" i="9"/>
  <c r="W54" i="9" s="1"/>
  <c r="X54" i="9" s="1"/>
  <c r="V58" i="9"/>
  <c r="W58" i="9" s="1"/>
  <c r="X58" i="9" s="1"/>
  <c r="U22" i="8"/>
  <c r="V22" i="8" s="1"/>
  <c r="W22" i="8" s="1"/>
  <c r="U55" i="8"/>
  <c r="V55" i="8" s="1"/>
  <c r="W55" i="8" s="1"/>
  <c r="U26" i="8"/>
  <c r="V26" i="8" s="1"/>
  <c r="W26" i="8" s="1"/>
  <c r="U34" i="8"/>
  <c r="V34" i="8" s="1"/>
  <c r="W34" i="8" s="1"/>
  <c r="U58" i="8"/>
  <c r="V58" i="8" s="1"/>
  <c r="W58" i="8" s="1"/>
  <c r="U24" i="8"/>
  <c r="V24" i="8" s="1"/>
  <c r="W24" i="8" s="1"/>
  <c r="U52" i="8"/>
  <c r="V52" i="8" s="1"/>
  <c r="W52" i="8" s="1"/>
  <c r="U21" i="8"/>
  <c r="V21" i="8" s="1"/>
  <c r="W21" i="8" s="1"/>
  <c r="U53" i="8"/>
  <c r="V53" i="8" s="1"/>
  <c r="W53" i="8" s="1"/>
  <c r="Q74" i="7"/>
  <c r="R74" i="7" s="1"/>
  <c r="T74" i="7" s="1"/>
  <c r="Q73" i="7"/>
  <c r="R73" i="7" s="1"/>
  <c r="T73" i="7" s="1"/>
  <c r="Q72" i="7"/>
  <c r="R72" i="7" s="1"/>
  <c r="T72" i="7" s="1"/>
  <c r="Q71" i="7"/>
  <c r="R71" i="7" s="1"/>
  <c r="T71" i="7" s="1"/>
  <c r="Q70" i="7"/>
  <c r="R70" i="7" s="1"/>
  <c r="T70" i="7" s="1"/>
  <c r="Q69" i="7"/>
  <c r="R69" i="7" s="1"/>
  <c r="T69" i="7" s="1"/>
  <c r="Q68" i="7"/>
  <c r="R68" i="7" s="1"/>
  <c r="T68" i="7" s="1"/>
  <c r="Q67" i="7"/>
  <c r="R67" i="7" s="1"/>
  <c r="T67" i="7" s="1"/>
  <c r="Q66" i="7"/>
  <c r="R66" i="7" s="1"/>
  <c r="T66" i="7" s="1"/>
  <c r="Q65" i="7"/>
  <c r="R65" i="7" s="1"/>
  <c r="T65" i="7" s="1"/>
  <c r="Q64" i="7"/>
  <c r="R64" i="7" s="1"/>
  <c r="T64" i="7" s="1"/>
  <c r="Q63" i="7"/>
  <c r="R63" i="7" s="1"/>
  <c r="T63" i="7" s="1"/>
  <c r="Q62" i="7"/>
  <c r="R62" i="7" s="1"/>
  <c r="T62" i="7" s="1"/>
  <c r="Q61" i="7"/>
  <c r="R61" i="7" s="1"/>
  <c r="T61" i="7" s="1"/>
  <c r="Q60" i="7"/>
  <c r="R60" i="7" s="1"/>
  <c r="T60" i="7" s="1"/>
  <c r="Q59" i="7"/>
  <c r="R59" i="7" s="1"/>
  <c r="T59" i="7" s="1"/>
  <c r="Q58" i="7"/>
  <c r="R58" i="7" s="1"/>
  <c r="T58" i="7" s="1"/>
  <c r="Q57" i="7"/>
  <c r="R57" i="7" s="1"/>
  <c r="T57" i="7" s="1"/>
  <c r="Q56" i="7"/>
  <c r="R56" i="7" s="1"/>
  <c r="T56" i="7" s="1"/>
  <c r="Q55" i="7"/>
  <c r="R55" i="7" s="1"/>
  <c r="T55" i="7" s="1"/>
  <c r="Q54" i="7"/>
  <c r="R54" i="7" s="1"/>
  <c r="T54" i="7" s="1"/>
  <c r="Q53" i="7"/>
  <c r="R53" i="7" s="1"/>
  <c r="T53" i="7" s="1"/>
  <c r="Q52" i="7"/>
  <c r="R52" i="7" s="1"/>
  <c r="T52" i="7" s="1"/>
  <c r="Q51" i="7"/>
  <c r="R51" i="7" s="1"/>
  <c r="T51" i="7" s="1"/>
  <c r="Q50" i="7"/>
  <c r="R50" i="7" s="1"/>
  <c r="T50" i="7" s="1"/>
  <c r="Q49" i="7"/>
  <c r="R49" i="7" s="1"/>
  <c r="T49" i="7" s="1"/>
  <c r="Q48" i="7"/>
  <c r="R48" i="7" s="1"/>
  <c r="T48" i="7" s="1"/>
  <c r="Q47" i="7"/>
  <c r="R47" i="7" s="1"/>
  <c r="T47" i="7" s="1"/>
  <c r="Q46" i="7"/>
  <c r="R46" i="7" s="1"/>
  <c r="T46" i="7" s="1"/>
  <c r="Q45" i="7"/>
  <c r="R45" i="7" s="1"/>
  <c r="T45" i="7" s="1"/>
  <c r="Q44" i="7"/>
  <c r="R44" i="7" s="1"/>
  <c r="T44" i="7" s="1"/>
  <c r="Q43" i="7"/>
  <c r="R43" i="7" s="1"/>
  <c r="T43" i="7" s="1"/>
  <c r="Q42" i="7"/>
  <c r="R42" i="7" s="1"/>
  <c r="T42" i="7" s="1"/>
  <c r="Q41" i="7"/>
  <c r="R41" i="7" s="1"/>
  <c r="T41" i="7" s="1"/>
  <c r="Q40" i="7"/>
  <c r="R40" i="7" s="1"/>
  <c r="T40" i="7" s="1"/>
  <c r="Q39" i="7"/>
  <c r="R39" i="7" s="1"/>
  <c r="T39" i="7" s="1"/>
  <c r="Q38" i="7"/>
  <c r="R38" i="7" s="1"/>
  <c r="T38" i="7" s="1"/>
  <c r="Q37" i="7"/>
  <c r="R37" i="7" s="1"/>
  <c r="T37" i="7" s="1"/>
  <c r="Q36" i="7"/>
  <c r="R36" i="7" s="1"/>
  <c r="T36" i="7" s="1"/>
  <c r="Q35" i="7"/>
  <c r="R35" i="7" s="1"/>
  <c r="T35" i="7" s="1"/>
  <c r="Q34" i="7"/>
  <c r="R34" i="7" s="1"/>
  <c r="T34" i="7" s="1"/>
  <c r="Q33" i="7"/>
  <c r="R33" i="7" s="1"/>
  <c r="T33" i="7" s="1"/>
  <c r="Q32" i="7"/>
  <c r="R32" i="7" s="1"/>
  <c r="T32" i="7" s="1"/>
  <c r="Q31" i="7"/>
  <c r="R31" i="7" s="1"/>
  <c r="T31" i="7" s="1"/>
  <c r="Q30" i="7"/>
  <c r="R30" i="7" s="1"/>
  <c r="T30" i="7" s="1"/>
  <c r="Q29" i="7"/>
  <c r="R29" i="7" s="1"/>
  <c r="T29" i="7" s="1"/>
  <c r="Q28" i="7"/>
  <c r="R28" i="7" s="1"/>
  <c r="T28" i="7" s="1"/>
  <c r="Q27" i="7"/>
  <c r="R27" i="7" s="1"/>
  <c r="T27" i="7" s="1"/>
  <c r="Q26" i="7"/>
  <c r="R26" i="7" s="1"/>
  <c r="T26" i="7" s="1"/>
  <c r="Q25" i="7"/>
  <c r="R25" i="7" s="1"/>
  <c r="T25" i="7" s="1"/>
  <c r="Q24" i="7"/>
  <c r="R24" i="7" s="1"/>
  <c r="T24" i="7" s="1"/>
  <c r="Q23" i="7"/>
  <c r="R23" i="7" s="1"/>
  <c r="T23" i="7" s="1"/>
  <c r="Q22" i="7"/>
  <c r="R22" i="7" s="1"/>
  <c r="T22" i="7" s="1"/>
  <c r="Q21" i="7"/>
  <c r="R21" i="7" s="1"/>
  <c r="T21" i="7" s="1"/>
  <c r="Q20" i="7"/>
  <c r="R20" i="7" s="1"/>
  <c r="T20" i="7" s="1"/>
  <c r="Q19" i="7"/>
  <c r="R19" i="7" s="1"/>
  <c r="T19" i="7" s="1"/>
  <c r="Q18" i="7"/>
  <c r="R18" i="7" s="1"/>
  <c r="T18" i="7" s="1"/>
  <c r="Q17" i="7"/>
  <c r="R17" i="7" s="1"/>
  <c r="T17" i="7" s="1"/>
  <c r="Q16" i="7"/>
  <c r="R16" i="7" s="1"/>
  <c r="T16" i="7" s="1"/>
  <c r="Q15" i="7"/>
  <c r="R15" i="7" s="1"/>
  <c r="T15" i="7" s="1"/>
  <c r="Q14" i="7"/>
  <c r="R14" i="7" s="1"/>
  <c r="T14" i="7" s="1"/>
  <c r="Q13" i="7"/>
  <c r="R13" i="7" s="1"/>
  <c r="T13" i="7" s="1"/>
  <c r="Q12" i="7"/>
  <c r="R12" i="7" s="1"/>
  <c r="T12" i="7" s="1"/>
  <c r="Q11" i="7"/>
  <c r="R11" i="7" s="1"/>
  <c r="T11" i="7" s="1"/>
  <c r="Q10" i="7"/>
  <c r="R10" i="7" s="1"/>
  <c r="T10" i="7" s="1"/>
  <c r="Q9" i="7"/>
  <c r="R9" i="7" s="1"/>
  <c r="T9" i="7" s="1"/>
  <c r="Q8" i="7"/>
  <c r="R8" i="7" s="1"/>
  <c r="T8" i="7" s="1"/>
  <c r="Q7" i="7"/>
  <c r="R7" i="7" s="1"/>
  <c r="T7" i="7" s="1"/>
  <c r="Q6" i="7"/>
  <c r="R6" i="7" s="1"/>
  <c r="T6" i="7" s="1"/>
  <c r="Q5" i="7"/>
  <c r="R5" i="7" s="1"/>
  <c r="T5" i="7" s="1"/>
  <c r="Q4" i="7"/>
  <c r="R4" i="7" s="1"/>
  <c r="T4" i="7" s="1"/>
  <c r="G75" i="7"/>
  <c r="G50" i="7"/>
  <c r="G28" i="7"/>
  <c r="G37" i="7"/>
  <c r="G62" i="7"/>
  <c r="G26" i="7"/>
  <c r="G44" i="7"/>
  <c r="G34" i="7"/>
  <c r="G7" i="7"/>
  <c r="G45" i="7"/>
  <c r="G48" i="7"/>
  <c r="G16" i="7"/>
  <c r="G51" i="7"/>
  <c r="G30" i="7"/>
  <c r="G47" i="7"/>
  <c r="G65" i="7"/>
  <c r="G24" i="7"/>
  <c r="G23" i="7"/>
  <c r="G41" i="7"/>
  <c r="G53" i="7"/>
  <c r="G60" i="7"/>
  <c r="G15" i="7"/>
  <c r="G32" i="7"/>
  <c r="G46" i="7"/>
  <c r="G57" i="7"/>
  <c r="G8" i="7"/>
  <c r="G22" i="7"/>
  <c r="G29" i="7"/>
  <c r="G18" i="7"/>
  <c r="G13" i="7"/>
  <c r="G17" i="7"/>
  <c r="G4" i="7"/>
  <c r="G5" i="7"/>
  <c r="G33" i="7"/>
  <c r="G61" i="7"/>
  <c r="G21" i="7"/>
  <c r="G39" i="7"/>
  <c r="G38" i="7"/>
  <c r="G12" i="7"/>
  <c r="G11" i="7"/>
  <c r="G10" i="7"/>
  <c r="G9" i="7"/>
  <c r="G20" i="7"/>
  <c r="G19" i="7"/>
  <c r="G42" i="7"/>
  <c r="G35" i="7"/>
  <c r="G6" i="7"/>
  <c r="G43" i="7"/>
  <c r="G66" i="7"/>
  <c r="G40" i="7"/>
  <c r="G14" i="7"/>
  <c r="G54" i="7"/>
  <c r="G52" i="7"/>
  <c r="G71" i="7"/>
  <c r="G55" i="7"/>
  <c r="G63" i="7"/>
  <c r="G25" i="7"/>
  <c r="G58" i="7"/>
  <c r="G31" i="7"/>
  <c r="G64" i="7"/>
  <c r="G36" i="7"/>
  <c r="G56" i="7"/>
  <c r="G67" i="7"/>
  <c r="G59" i="7"/>
  <c r="G73" i="7"/>
  <c r="G74" i="7"/>
  <c r="G72" i="7"/>
  <c r="G70" i="7"/>
  <c r="G68" i="7"/>
  <c r="G69" i="7"/>
  <c r="G27" i="7"/>
  <c r="G49" i="7"/>
  <c r="U4" i="7" l="1"/>
  <c r="N4" i="7"/>
  <c r="U16" i="7"/>
  <c r="V16" i="7" s="1"/>
  <c r="W16" i="7" s="1"/>
  <c r="X16" i="7" s="1"/>
  <c r="N16" i="7"/>
  <c r="U24" i="7"/>
  <c r="V24" i="7" s="1"/>
  <c r="W24" i="7" s="1"/>
  <c r="X24" i="7" s="1"/>
  <c r="N24" i="7"/>
  <c r="U36" i="7"/>
  <c r="V36" i="7" s="1"/>
  <c r="W36" i="7" s="1"/>
  <c r="X36" i="7" s="1"/>
  <c r="N36" i="7"/>
  <c r="U44" i="7"/>
  <c r="V44" i="7" s="1"/>
  <c r="W44" i="7" s="1"/>
  <c r="X44" i="7" s="1"/>
  <c r="N44" i="7"/>
  <c r="U56" i="7"/>
  <c r="V56" i="7" s="1"/>
  <c r="W56" i="7" s="1"/>
  <c r="X56" i="7" s="1"/>
  <c r="N56" i="7"/>
  <c r="U64" i="7"/>
  <c r="V64" i="7" s="1"/>
  <c r="W64" i="7" s="1"/>
  <c r="X64" i="7" s="1"/>
  <c r="N64" i="7"/>
  <c r="U72" i="7"/>
  <c r="V72" i="7" s="1"/>
  <c r="W72" i="7" s="1"/>
  <c r="X72" i="7" s="1"/>
  <c r="N72" i="7"/>
  <c r="U5" i="7"/>
  <c r="N5" i="7"/>
  <c r="U9" i="7"/>
  <c r="N9" i="7"/>
  <c r="U13" i="7"/>
  <c r="N13" i="7"/>
  <c r="U17" i="7"/>
  <c r="N17" i="7"/>
  <c r="U21" i="7"/>
  <c r="N21" i="7"/>
  <c r="U25" i="7"/>
  <c r="N25" i="7"/>
  <c r="U29" i="7"/>
  <c r="N29" i="7"/>
  <c r="U33" i="7"/>
  <c r="N33" i="7"/>
  <c r="U37" i="7"/>
  <c r="N37" i="7"/>
  <c r="U41" i="7"/>
  <c r="N41" i="7"/>
  <c r="U45" i="7"/>
  <c r="N45" i="7"/>
  <c r="U49" i="7"/>
  <c r="N49" i="7"/>
  <c r="U53" i="7"/>
  <c r="N53" i="7"/>
  <c r="U57" i="7"/>
  <c r="N57" i="7"/>
  <c r="U61" i="7"/>
  <c r="N61" i="7"/>
  <c r="U65" i="7"/>
  <c r="N65" i="7"/>
  <c r="U69" i="7"/>
  <c r="N69" i="7"/>
  <c r="U73" i="7"/>
  <c r="N73" i="7"/>
  <c r="V9" i="9"/>
  <c r="W9" i="9" s="1"/>
  <c r="X9" i="9" s="1"/>
  <c r="V25" i="9"/>
  <c r="W25" i="9"/>
  <c r="X25" i="9" s="1"/>
  <c r="W21" i="9"/>
  <c r="X21" i="9" s="1"/>
  <c r="V21" i="9"/>
  <c r="U12" i="7"/>
  <c r="V12" i="7" s="1"/>
  <c r="W12" i="7" s="1"/>
  <c r="X12" i="7" s="1"/>
  <c r="N12" i="7"/>
  <c r="U20" i="7"/>
  <c r="V20" i="7" s="1"/>
  <c r="W20" i="7" s="1"/>
  <c r="X20" i="7" s="1"/>
  <c r="N20" i="7"/>
  <c r="U32" i="7"/>
  <c r="V32" i="7" s="1"/>
  <c r="W32" i="7" s="1"/>
  <c r="X32" i="7" s="1"/>
  <c r="N32" i="7"/>
  <c r="U40" i="7"/>
  <c r="V40" i="7" s="1"/>
  <c r="W40" i="7" s="1"/>
  <c r="X40" i="7" s="1"/>
  <c r="N40" i="7"/>
  <c r="U52" i="7"/>
  <c r="V52" i="7" s="1"/>
  <c r="W52" i="7" s="1"/>
  <c r="X52" i="7" s="1"/>
  <c r="N52" i="7"/>
  <c r="U60" i="7"/>
  <c r="V60" i="7" s="1"/>
  <c r="W60" i="7" s="1"/>
  <c r="X60" i="7" s="1"/>
  <c r="N60" i="7"/>
  <c r="U68" i="7"/>
  <c r="V68" i="7" s="1"/>
  <c r="W68" i="7" s="1"/>
  <c r="X68" i="7" s="1"/>
  <c r="N68" i="7"/>
  <c r="U6" i="7"/>
  <c r="N6" i="7"/>
  <c r="N10" i="7"/>
  <c r="U10" i="7"/>
  <c r="U14" i="7"/>
  <c r="N14" i="7"/>
  <c r="N18" i="7"/>
  <c r="U18" i="7"/>
  <c r="U22" i="7"/>
  <c r="N22" i="7"/>
  <c r="U26" i="7"/>
  <c r="N26" i="7"/>
  <c r="N30" i="7"/>
  <c r="U30" i="7"/>
  <c r="U34" i="7"/>
  <c r="N34" i="7"/>
  <c r="U38" i="7"/>
  <c r="N38" i="7"/>
  <c r="N42" i="7"/>
  <c r="U42" i="7"/>
  <c r="N46" i="7"/>
  <c r="U46" i="7"/>
  <c r="N50" i="7"/>
  <c r="U50" i="7"/>
  <c r="U54" i="7"/>
  <c r="N54" i="7"/>
  <c r="U58" i="7"/>
  <c r="N58" i="7"/>
  <c r="U62" i="7"/>
  <c r="N62" i="7"/>
  <c r="U66" i="7"/>
  <c r="N66" i="7"/>
  <c r="U70" i="7"/>
  <c r="N70" i="7"/>
  <c r="U74" i="7"/>
  <c r="N74" i="7"/>
  <c r="W13" i="9"/>
  <c r="X13" i="9" s="1"/>
  <c r="V13" i="9"/>
  <c r="V17" i="9"/>
  <c r="W17" i="9" s="1"/>
  <c r="X17" i="9" s="1"/>
  <c r="U8" i="7"/>
  <c r="V8" i="7" s="1"/>
  <c r="W8" i="7" s="1"/>
  <c r="X8" i="7" s="1"/>
  <c r="N8" i="7"/>
  <c r="U28" i="7"/>
  <c r="V28" i="7" s="1"/>
  <c r="W28" i="7" s="1"/>
  <c r="X28" i="7" s="1"/>
  <c r="N28" i="7"/>
  <c r="U48" i="7"/>
  <c r="V48" i="7" s="1"/>
  <c r="W48" i="7" s="1"/>
  <c r="X48" i="7" s="1"/>
  <c r="N48" i="7"/>
  <c r="U7" i="7"/>
  <c r="V7" i="7" s="1"/>
  <c r="W7" i="7" s="1"/>
  <c r="X7" i="7" s="1"/>
  <c r="N7" i="7"/>
  <c r="U11" i="7"/>
  <c r="V11" i="7" s="1"/>
  <c r="W11" i="7" s="1"/>
  <c r="X11" i="7" s="1"/>
  <c r="N11" i="7"/>
  <c r="U15" i="7"/>
  <c r="N15" i="7"/>
  <c r="U19" i="7"/>
  <c r="V19" i="7" s="1"/>
  <c r="W19" i="7" s="1"/>
  <c r="X19" i="7" s="1"/>
  <c r="N19" i="7"/>
  <c r="U23" i="7"/>
  <c r="V23" i="7" s="1"/>
  <c r="W23" i="7" s="1"/>
  <c r="X23" i="7" s="1"/>
  <c r="N23" i="7"/>
  <c r="U27" i="7"/>
  <c r="V27" i="7" s="1"/>
  <c r="W27" i="7" s="1"/>
  <c r="X27" i="7" s="1"/>
  <c r="N27" i="7"/>
  <c r="U31" i="7"/>
  <c r="N31" i="7"/>
  <c r="U35" i="7"/>
  <c r="V35" i="7" s="1"/>
  <c r="W35" i="7" s="1"/>
  <c r="X35" i="7" s="1"/>
  <c r="N35" i="7"/>
  <c r="U39" i="7"/>
  <c r="V39" i="7" s="1"/>
  <c r="W39" i="7" s="1"/>
  <c r="X39" i="7" s="1"/>
  <c r="N39" i="7"/>
  <c r="U43" i="7"/>
  <c r="V43" i="7" s="1"/>
  <c r="W43" i="7" s="1"/>
  <c r="X43" i="7" s="1"/>
  <c r="N43" i="7"/>
  <c r="U47" i="7"/>
  <c r="N47" i="7"/>
  <c r="U51" i="7"/>
  <c r="V51" i="7" s="1"/>
  <c r="W51" i="7" s="1"/>
  <c r="X51" i="7" s="1"/>
  <c r="N51" i="7"/>
  <c r="U55" i="7"/>
  <c r="V55" i="7" s="1"/>
  <c r="W55" i="7" s="1"/>
  <c r="X55" i="7" s="1"/>
  <c r="N55" i="7"/>
  <c r="U59" i="7"/>
  <c r="V59" i="7" s="1"/>
  <c r="W59" i="7" s="1"/>
  <c r="X59" i="7" s="1"/>
  <c r="N59" i="7"/>
  <c r="U63" i="7"/>
  <c r="N63" i="7"/>
  <c r="N67" i="7"/>
  <c r="U67" i="7"/>
  <c r="V67" i="7" s="1"/>
  <c r="W67" i="7" s="1"/>
  <c r="X67" i="7" s="1"/>
  <c r="U71" i="7"/>
  <c r="V71" i="7" s="1"/>
  <c r="W71" i="7" s="1"/>
  <c r="X71" i="7" s="1"/>
  <c r="N71" i="7"/>
  <c r="V8" i="8"/>
  <c r="W8" i="8" s="1"/>
  <c r="G32" i="12"/>
  <c r="G34" i="12" s="1"/>
  <c r="N23" i="11"/>
  <c r="N27" i="11" s="1"/>
  <c r="L27" i="11"/>
  <c r="K36" i="11" s="1"/>
  <c r="L36" i="11" s="1"/>
  <c r="V5" i="9"/>
  <c r="W5" i="9" s="1"/>
  <c r="X5" i="9" s="1"/>
  <c r="T5" i="8"/>
  <c r="V17" i="8"/>
  <c r="W17" i="8" s="1"/>
  <c r="V16" i="8"/>
  <c r="W16" i="8" s="1"/>
  <c r="V12" i="8"/>
  <c r="W12" i="8" s="1"/>
  <c r="V23" i="8"/>
  <c r="W23" i="8" s="1"/>
  <c r="E77" i="8"/>
  <c r="E79" i="8" s="1"/>
  <c r="U2" i="9"/>
  <c r="V2" i="9"/>
  <c r="U1" i="7"/>
  <c r="C176" i="2"/>
  <c r="C168" i="2"/>
  <c r="C160" i="2"/>
  <c r="C152" i="2"/>
  <c r="C144" i="2"/>
  <c r="C136" i="2"/>
  <c r="C128" i="2"/>
  <c r="C105" i="2"/>
  <c r="C97" i="2"/>
  <c r="C65" i="2"/>
  <c r="C57" i="2"/>
  <c r="A51" i="2"/>
  <c r="A59" i="2" s="1"/>
  <c r="A67" i="2" s="1"/>
  <c r="A75" i="2" s="1"/>
  <c r="A83" i="2" s="1"/>
  <c r="A91" i="2" s="1"/>
  <c r="A99" i="2" s="1"/>
  <c r="A107" i="2" s="1"/>
  <c r="A115" i="2" s="1"/>
  <c r="A122" i="2" s="1"/>
  <c r="A130" i="2" s="1"/>
  <c r="A138" i="2" s="1"/>
  <c r="A146" i="2" s="1"/>
  <c r="A154" i="2" s="1"/>
  <c r="A162" i="2" s="1"/>
  <c r="A170" i="2" s="1"/>
  <c r="A178" i="2" s="1"/>
  <c r="A186" i="2" s="1"/>
  <c r="C200" i="2"/>
  <c r="C192" i="2"/>
  <c r="C121" i="2"/>
  <c r="C113" i="2"/>
  <c r="C89" i="2"/>
  <c r="C81" i="2"/>
  <c r="C73" i="2"/>
  <c r="C49" i="2"/>
  <c r="C38" i="2"/>
  <c r="C29" i="2"/>
  <c r="C20" i="2"/>
  <c r="C11" i="2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V50" i="7" l="1"/>
  <c r="W50" i="7"/>
  <c r="X50" i="7" s="1"/>
  <c r="V10" i="7"/>
  <c r="W10" i="7"/>
  <c r="X10" i="7" s="1"/>
  <c r="V63" i="7"/>
  <c r="W63" i="7"/>
  <c r="X63" i="7" s="1"/>
  <c r="V47" i="7"/>
  <c r="W47" i="7" s="1"/>
  <c r="X47" i="7" s="1"/>
  <c r="V31" i="7"/>
  <c r="W31" i="7"/>
  <c r="X31" i="7" s="1"/>
  <c r="V15" i="7"/>
  <c r="W15" i="7"/>
  <c r="X15" i="7" s="1"/>
  <c r="V74" i="7"/>
  <c r="W74" i="7"/>
  <c r="X74" i="7" s="1"/>
  <c r="V66" i="7"/>
  <c r="W66" i="7"/>
  <c r="X66" i="7" s="1"/>
  <c r="V58" i="7"/>
  <c r="W58" i="7"/>
  <c r="X58" i="7" s="1"/>
  <c r="V34" i="7"/>
  <c r="W34" i="7"/>
  <c r="X34" i="7" s="1"/>
  <c r="V26" i="7"/>
  <c r="W26" i="7" s="1"/>
  <c r="X26" i="7" s="1"/>
  <c r="V73" i="7"/>
  <c r="W73" i="7" s="1"/>
  <c r="X73" i="7" s="1"/>
  <c r="V65" i="7"/>
  <c r="W65" i="7"/>
  <c r="X65" i="7" s="1"/>
  <c r="V57" i="7"/>
  <c r="W57" i="7"/>
  <c r="X57" i="7" s="1"/>
  <c r="V49" i="7"/>
  <c r="W49" i="7"/>
  <c r="X49" i="7" s="1"/>
  <c r="V41" i="7"/>
  <c r="W41" i="7" s="1"/>
  <c r="X41" i="7" s="1"/>
  <c r="V33" i="7"/>
  <c r="W33" i="7"/>
  <c r="X33" i="7" s="1"/>
  <c r="V25" i="7"/>
  <c r="W25" i="7"/>
  <c r="X25" i="7" s="1"/>
  <c r="V17" i="7"/>
  <c r="W17" i="7"/>
  <c r="X17" i="7" s="1"/>
  <c r="V9" i="7"/>
  <c r="W9" i="7"/>
  <c r="X9" i="7" s="1"/>
  <c r="V42" i="7"/>
  <c r="W42" i="7"/>
  <c r="X42" i="7" s="1"/>
  <c r="V18" i="7"/>
  <c r="W18" i="7"/>
  <c r="X18" i="7" s="1"/>
  <c r="V46" i="7"/>
  <c r="W46" i="7"/>
  <c r="X46" i="7" s="1"/>
  <c r="V30" i="7"/>
  <c r="W30" i="7"/>
  <c r="X30" i="7" s="1"/>
  <c r="V70" i="7"/>
  <c r="W70" i="7"/>
  <c r="X70" i="7" s="1"/>
  <c r="V62" i="7"/>
  <c r="W62" i="7" s="1"/>
  <c r="X62" i="7" s="1"/>
  <c r="V54" i="7"/>
  <c r="W54" i="7"/>
  <c r="X54" i="7" s="1"/>
  <c r="V38" i="7"/>
  <c r="W38" i="7"/>
  <c r="X38" i="7" s="1"/>
  <c r="V22" i="7"/>
  <c r="W22" i="7"/>
  <c r="X22" i="7" s="1"/>
  <c r="V14" i="7"/>
  <c r="W14" i="7"/>
  <c r="X14" i="7" s="1"/>
  <c r="V6" i="7"/>
  <c r="W6" i="7"/>
  <c r="X6" i="7" s="1"/>
  <c r="V69" i="7"/>
  <c r="W69" i="7" s="1"/>
  <c r="X69" i="7" s="1"/>
  <c r="V61" i="7"/>
  <c r="W61" i="7"/>
  <c r="X61" i="7" s="1"/>
  <c r="V53" i="7"/>
  <c r="W53" i="7"/>
  <c r="X53" i="7" s="1"/>
  <c r="V45" i="7"/>
  <c r="W45" i="7"/>
  <c r="X45" i="7" s="1"/>
  <c r="V37" i="7"/>
  <c r="W37" i="7"/>
  <c r="X37" i="7" s="1"/>
  <c r="V29" i="7"/>
  <c r="W29" i="7"/>
  <c r="X29" i="7" s="1"/>
  <c r="V21" i="7"/>
  <c r="W21" i="7"/>
  <c r="X21" i="7" s="1"/>
  <c r="V13" i="7"/>
  <c r="W13" i="7"/>
  <c r="X13" i="7" s="1"/>
  <c r="V5" i="7"/>
  <c r="W5" i="7" s="1"/>
  <c r="V4" i="7"/>
  <c r="W4" i="7" s="1"/>
  <c r="X4" i="7" s="1"/>
  <c r="T3" i="8"/>
  <c r="T67" i="8"/>
  <c r="U5" i="8"/>
  <c r="W2" i="9"/>
  <c r="S29" i="12" l="1"/>
  <c r="S31" i="12" s="1"/>
  <c r="J77" i="8"/>
  <c r="J79" i="8" s="1"/>
  <c r="X5" i="7"/>
  <c r="W1" i="7"/>
  <c r="V1" i="7"/>
  <c r="U3" i="8"/>
  <c r="U67" i="8"/>
  <c r="V5" i="8"/>
  <c r="V3" i="8" l="1"/>
  <c r="V67" i="8"/>
  <c r="U29" i="12" s="1"/>
  <c r="U31" i="12" s="1"/>
  <c r="U34" i="12" s="1"/>
  <c r="W5" i="8"/>
  <c r="W67" i="8" s="1"/>
  <c r="T77" i="8" s="1"/>
  <c r="T79" i="8" s="1"/>
  <c r="Z28" i="12" l="1"/>
  <c r="Z31" i="12" s="1"/>
  <c r="T84" i="8"/>
  <c r="Q43" i="11"/>
  <c r="Q46" i="11" s="1"/>
  <c r="Q39" i="11"/>
  <c r="W3" i="8"/>
</calcChain>
</file>

<file path=xl/sharedStrings.xml><?xml version="1.0" encoding="utf-8"?>
<sst xmlns="http://schemas.openxmlformats.org/spreadsheetml/2006/main" count="1751" uniqueCount="486">
  <si>
    <t>Type</t>
  </si>
  <si>
    <t>Duty</t>
  </si>
  <si>
    <t>RPM</t>
  </si>
  <si>
    <t>UTTAM SUGAR MILL BARKATPUR BIJNOR</t>
  </si>
  <si>
    <t>Magma/masscuite Pump Detail</t>
  </si>
  <si>
    <t>Gearbox Type</t>
  </si>
  <si>
    <t>Gear Ratio</t>
  </si>
  <si>
    <t>Motor HP</t>
  </si>
  <si>
    <t>Motor Rpm</t>
  </si>
  <si>
    <t>Final Rpm</t>
  </si>
  <si>
    <t>Magma duty</t>
  </si>
  <si>
    <t>Masscuite Duty</t>
  </si>
  <si>
    <t>ROTO Pump 300X300</t>
  </si>
  <si>
    <t>Redicon     U-1000</t>
  </si>
  <si>
    <t>B vert, Cvert, B m/cn.1, n.2 ,A1m/c ,          A  m/c n.4</t>
  </si>
  <si>
    <t>ROTO Pump 350X350</t>
  </si>
  <si>
    <t>Redicon     U-1200</t>
  </si>
  <si>
    <t>A1mag,n.2</t>
  </si>
  <si>
    <t>A1M/c n.1</t>
  </si>
  <si>
    <t>ROTO Pump 400X400</t>
  </si>
  <si>
    <t>A M/C n.1,n.2, n.3, C m/c n2</t>
  </si>
  <si>
    <t xml:space="preserve">CFWn.1,n.2,A1FW n.1, CAW n.1,n.2,BFW n.1, n.2 </t>
  </si>
  <si>
    <t>C M/C n.1</t>
  </si>
  <si>
    <t>PUMP DUTY</t>
  </si>
  <si>
    <t>TYPE</t>
  </si>
  <si>
    <t>A M/C pump n.1</t>
  </si>
  <si>
    <t>Redicon        U-1200</t>
  </si>
  <si>
    <t>A M/C pump n.2</t>
  </si>
  <si>
    <t>A M/C pump n.3</t>
  </si>
  <si>
    <t>A M/C pump n.4</t>
  </si>
  <si>
    <t>Redicon        U-1000</t>
  </si>
  <si>
    <t>A1 M/C pump n.5</t>
  </si>
  <si>
    <t>B M/C pump n.6</t>
  </si>
  <si>
    <t>B M/C pump n.7</t>
  </si>
  <si>
    <t>A1 M/C pump n.8</t>
  </si>
  <si>
    <t>C M/C pump n.9</t>
  </si>
  <si>
    <t>C M/C pump n.10</t>
  </si>
  <si>
    <t>Redicon         U-1000</t>
  </si>
  <si>
    <t>CFW magma pump n.11</t>
  </si>
  <si>
    <t>CFW magma pump n.12</t>
  </si>
  <si>
    <t>A1FW magma pump n.13</t>
  </si>
  <si>
    <t>CAW magma pump n.14</t>
  </si>
  <si>
    <t>CAW magma pump n.15</t>
  </si>
  <si>
    <t>BFW magma pump n.16</t>
  </si>
  <si>
    <t>BFW magma pump n.17</t>
  </si>
  <si>
    <t>A1FW magma pump n.18</t>
  </si>
  <si>
    <t>B vert. Liquidation pump n.19</t>
  </si>
  <si>
    <t>Redicon            U-1000</t>
  </si>
  <si>
    <t>C vert. Liquidation pump n.20</t>
  </si>
  <si>
    <t>Injection Pump</t>
  </si>
  <si>
    <t>No</t>
  </si>
  <si>
    <t xml:space="preserve">Make </t>
  </si>
  <si>
    <t>Sintech</t>
  </si>
  <si>
    <t>type</t>
  </si>
  <si>
    <t>Centrifugal</t>
  </si>
  <si>
    <t>Vertical</t>
  </si>
  <si>
    <r>
      <t>Capacity(M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>/Hr)</t>
    </r>
  </si>
  <si>
    <t>head (Mtr)</t>
  </si>
  <si>
    <t>Installed power (Kw)</t>
  </si>
  <si>
    <t>Motor Type</t>
  </si>
  <si>
    <t>Slipring</t>
  </si>
  <si>
    <t>VFD</t>
  </si>
  <si>
    <t>Remark</t>
  </si>
  <si>
    <t>OK</t>
  </si>
  <si>
    <t>Pump should be replaced</t>
  </si>
  <si>
    <t>Hot water Pump</t>
  </si>
  <si>
    <t>head (mtr)</t>
  </si>
  <si>
    <t>Change in to induction</t>
  </si>
  <si>
    <t>Always trouble want to change in to VFD</t>
  </si>
  <si>
    <t xml:space="preserve"> CENTRIFUGAL TYPE PUMP FOR MCS</t>
  </si>
  <si>
    <t>DUTY</t>
  </si>
  <si>
    <t>CAPACITY M3/HR</t>
  </si>
  <si>
    <t>HEAD MTR</t>
  </si>
  <si>
    <t>MOTOR HP</t>
  </si>
  <si>
    <t>T.MCS TANK</t>
  </si>
  <si>
    <t>UN T.MCS TANK</t>
  </si>
  <si>
    <t>SCUM TANK</t>
  </si>
  <si>
    <t>High Flow Pump Detail  progressive cavity pump make Roto flow</t>
  </si>
  <si>
    <t>Sr no.</t>
  </si>
  <si>
    <t>Pump sr no.</t>
  </si>
  <si>
    <t>Code no</t>
  </si>
  <si>
    <t>capacity m3/hr</t>
  </si>
  <si>
    <t>pressure in Bar</t>
  </si>
  <si>
    <t>Motor Kw</t>
  </si>
  <si>
    <t>Rpm</t>
  </si>
  <si>
    <t>Pully Grooves</t>
  </si>
  <si>
    <t>Housing Bearing</t>
  </si>
  <si>
    <t>Rubber Belt Size</t>
  </si>
  <si>
    <t>Total pump</t>
  </si>
  <si>
    <t>Oil Seal</t>
  </si>
  <si>
    <t>HE-246,247,248,250</t>
  </si>
  <si>
    <t>A1H,CL</t>
  </si>
  <si>
    <t>RMAB-561-R2CD1A</t>
  </si>
  <si>
    <t>V type2no</t>
  </si>
  <si>
    <t>T.R 32208</t>
  </si>
  <si>
    <t>A-44</t>
  </si>
  <si>
    <t>48x80x10, 38x55X7</t>
  </si>
  <si>
    <t>HE-619,252</t>
  </si>
  <si>
    <t>FM</t>
  </si>
  <si>
    <t>RMAB-581-R2CD3A</t>
  </si>
  <si>
    <t>A-53</t>
  </si>
  <si>
    <t>HE-550</t>
  </si>
  <si>
    <t>mingler</t>
  </si>
  <si>
    <t>RMAB-601R2CD1A</t>
  </si>
  <si>
    <t>B-66</t>
  </si>
  <si>
    <t>NH112034</t>
  </si>
  <si>
    <t>MELTER</t>
  </si>
  <si>
    <t>RLAB-671-R2CD3D</t>
  </si>
  <si>
    <t>Ctype 3no</t>
  </si>
  <si>
    <t>T.R30211,32211</t>
  </si>
  <si>
    <t>C-96</t>
  </si>
  <si>
    <t>72x150x8,265x90x10</t>
  </si>
  <si>
    <t>HG-0991,0992</t>
  </si>
  <si>
    <t>A1 H</t>
  </si>
  <si>
    <t>RMAS-602-R2CD3A</t>
  </si>
  <si>
    <t>B-85</t>
  </si>
  <si>
    <t>HF-528,1028</t>
  </si>
  <si>
    <t>AH</t>
  </si>
  <si>
    <t>RMAB-641R1CD3A</t>
  </si>
  <si>
    <t>T.R32211</t>
  </si>
  <si>
    <t>C-100</t>
  </si>
  <si>
    <t>HE-253,254</t>
  </si>
  <si>
    <t>AL</t>
  </si>
  <si>
    <t>RMAB-601R2CD3A</t>
  </si>
  <si>
    <t>HE-255,256</t>
  </si>
  <si>
    <t>BH</t>
  </si>
  <si>
    <t>RLAB-631-R2CD3A</t>
  </si>
  <si>
    <t>B-73</t>
  </si>
  <si>
    <t>HH-0893</t>
  </si>
  <si>
    <t>T.MELT</t>
  </si>
  <si>
    <t>RLAB-631R2CD3A</t>
  </si>
  <si>
    <t>Ctype2no</t>
  </si>
  <si>
    <t>HH-0894</t>
  </si>
  <si>
    <t>NH141093,141094</t>
  </si>
  <si>
    <t>SCS PUMP</t>
  </si>
  <si>
    <t>RLAB671R2CD3D</t>
  </si>
  <si>
    <t>Vtype3no</t>
  </si>
  <si>
    <t>GH150518</t>
  </si>
  <si>
    <t>NEW MELTER PUMP</t>
  </si>
  <si>
    <t>Description</t>
  </si>
  <si>
    <t>KARAN PADUKA</t>
  </si>
  <si>
    <t>Specification</t>
  </si>
  <si>
    <t>Weigh Bridge Room</t>
  </si>
  <si>
    <t>G.I. Shed Brick work Plaster &amp; IPS Flooring</t>
  </si>
  <si>
    <t>9'</t>
  </si>
  <si>
    <t>Cane yard</t>
  </si>
  <si>
    <t>G.I. Shed with M.S. Structures</t>
  </si>
  <si>
    <t>10'</t>
  </si>
  <si>
    <t>Pressure Room</t>
  </si>
  <si>
    <t>Juice Pump House</t>
  </si>
  <si>
    <t>RCC Roof Brick work Plaster &amp; IPS Flooring</t>
  </si>
  <si>
    <t>Yard Office</t>
  </si>
  <si>
    <t>Red Stone Roof, Brick work &amp; IPS Flooring</t>
  </si>
  <si>
    <t>Shed</t>
  </si>
  <si>
    <t>Store</t>
  </si>
  <si>
    <t>Security Room</t>
  </si>
  <si>
    <t>RCC Roof with M.S. Structures</t>
  </si>
  <si>
    <t>Rest Room</t>
  </si>
  <si>
    <t>Power House Room</t>
  </si>
  <si>
    <t>Toilets</t>
  </si>
  <si>
    <t>Electrical Store</t>
  </si>
  <si>
    <t>12'</t>
  </si>
  <si>
    <t>Office</t>
  </si>
  <si>
    <t>Toilets &amp; Kitchen</t>
  </si>
  <si>
    <t>8'</t>
  </si>
  <si>
    <t>Sulphure Store</t>
  </si>
  <si>
    <t>14'</t>
  </si>
  <si>
    <t>Gate Office</t>
  </si>
  <si>
    <t>Parchi Section</t>
  </si>
  <si>
    <t>Weight Bridge Room</t>
  </si>
  <si>
    <t>Medical Excise Office</t>
  </si>
  <si>
    <t>Store Office</t>
  </si>
  <si>
    <t>18'</t>
  </si>
  <si>
    <t>Store office</t>
  </si>
  <si>
    <t>Store Room</t>
  </si>
  <si>
    <t>Carpenter Work Shed</t>
  </si>
  <si>
    <t>G.I. Shed with M.S. Structures &amp; Brick Soiling</t>
  </si>
  <si>
    <t>Mill, Boiler Sugar, Pan &amp; Power House etc.</t>
  </si>
  <si>
    <t>G.I. Shed with M.S. Structure, brick work upto 18"-0")</t>
  </si>
  <si>
    <t>60'</t>
  </si>
  <si>
    <t>Pannel Room</t>
  </si>
  <si>
    <t>85'</t>
  </si>
  <si>
    <t>Under Shed</t>
  </si>
  <si>
    <t>17'</t>
  </si>
  <si>
    <t>Hall</t>
  </si>
  <si>
    <t>G.I. Shed &amp; IPS Flooring)</t>
  </si>
  <si>
    <t>30'</t>
  </si>
  <si>
    <t>Boiler Shed</t>
  </si>
  <si>
    <t xml:space="preserve">Boiler Pannel Room </t>
  </si>
  <si>
    <t>Boiler Pannel Room (First Floor)</t>
  </si>
  <si>
    <t>Boiler Distillery</t>
  </si>
  <si>
    <t>15'</t>
  </si>
  <si>
    <t>Boiler Pannel Room</t>
  </si>
  <si>
    <t>Lime &amp; Sulphure Store &amp; Panel Room</t>
  </si>
  <si>
    <t>Godown-I</t>
  </si>
  <si>
    <t>Without Roof, Brick work Plaster)</t>
  </si>
  <si>
    <t>40'</t>
  </si>
  <si>
    <t>Godown-II</t>
  </si>
  <si>
    <t>G.I. Shed with M.S. structure Brick work &amp; Plaster</t>
  </si>
  <si>
    <t>Colony Tower-I Ground floor, First floor &amp; Second floor</t>
  </si>
  <si>
    <t>RCC Roof brick work Plaster &amp; Marble Stone Flooring)</t>
  </si>
  <si>
    <t>Colony Tower-II Ground floor, First floor &amp; Second floor</t>
  </si>
  <si>
    <t>Colony Tower-III Ground floor, First floor &amp; Second floor</t>
  </si>
  <si>
    <t>Verandah Ground floor, First floor &amp; Second floor</t>
  </si>
  <si>
    <t>RCC Roof brick work Plaster &amp; Kota Stone Flooring)</t>
  </si>
  <si>
    <t>Colony (Ground &amp; First floor)</t>
  </si>
  <si>
    <t xml:space="preserve">Guest House </t>
  </si>
  <si>
    <t>Distillery</t>
  </si>
  <si>
    <t>Security Office</t>
  </si>
  <si>
    <t>RCC Roof, Brick work, Plaster &amp; IPS Flooring</t>
  </si>
  <si>
    <t>Excise Office</t>
  </si>
  <si>
    <t>Pump House</t>
  </si>
  <si>
    <t>20'</t>
  </si>
  <si>
    <t>Reciver House Shed</t>
  </si>
  <si>
    <t>22'</t>
  </si>
  <si>
    <t>Cement Store</t>
  </si>
  <si>
    <t>Shed Store</t>
  </si>
  <si>
    <t>16'</t>
  </si>
  <si>
    <t>Shed Stgore</t>
  </si>
  <si>
    <t>G.I. Shed Brick work with M.S. Structures &amp; IPS Flooring</t>
  </si>
  <si>
    <t>Turbine Shed</t>
  </si>
  <si>
    <t>50'</t>
  </si>
  <si>
    <t>11'</t>
  </si>
  <si>
    <t>MCC Room</t>
  </si>
  <si>
    <t>Machine Hall</t>
  </si>
  <si>
    <t>G.I. Shed with M.S. Structure &amp; M.S. Column</t>
  </si>
  <si>
    <t>Air Compressor Room</t>
  </si>
  <si>
    <t>PCC &amp; MCC Room</t>
  </si>
  <si>
    <t>35'</t>
  </si>
  <si>
    <t>Admin Block</t>
  </si>
  <si>
    <t>Labour Room</t>
  </si>
  <si>
    <t xml:space="preserve">Gaushala </t>
  </si>
  <si>
    <t>Rooms</t>
  </si>
  <si>
    <t>Colony G-02 &amp; Staff Room</t>
  </si>
  <si>
    <t xml:space="preserve">Colony G-02 &amp; G-03 </t>
  </si>
  <si>
    <t>ACC Roof, Brick work Plaster &amp; IPS Flooring</t>
  </si>
  <si>
    <t>Rooms G-03</t>
  </si>
  <si>
    <t>URG Tank</t>
  </si>
  <si>
    <t>Sugar Mill</t>
  </si>
  <si>
    <t>Sqft</t>
  </si>
  <si>
    <t>sqm</t>
  </si>
  <si>
    <t>Area</t>
  </si>
  <si>
    <t>Unit</t>
  </si>
  <si>
    <t>YOC</t>
  </si>
  <si>
    <t>RCC</t>
  </si>
  <si>
    <t>CPWD Rate 2021 in Rs./sqm</t>
  </si>
  <si>
    <t>CPWD Rate 2022 in Rs./sqm</t>
  </si>
  <si>
    <t>Rate in Rs./sqft</t>
  </si>
  <si>
    <t>Rate Adopted</t>
  </si>
  <si>
    <t>GCRC</t>
  </si>
  <si>
    <t>Depre</t>
  </si>
  <si>
    <t>DRC/FV</t>
  </si>
  <si>
    <t>Mill House</t>
  </si>
  <si>
    <t>Boiler</t>
  </si>
  <si>
    <t>Power House</t>
  </si>
  <si>
    <t>Evaporation House</t>
  </si>
  <si>
    <t>Clarification House</t>
  </si>
  <si>
    <t>Raw Pan House</t>
  </si>
  <si>
    <t>Sugar House</t>
  </si>
  <si>
    <t>Refinery</t>
  </si>
  <si>
    <t>Mill House D.C.  Panel Room</t>
  </si>
  <si>
    <t>Fibrizor Panel Room</t>
  </si>
  <si>
    <t>Invert Syrup Store</t>
  </si>
  <si>
    <t>Chemist Office</t>
  </si>
  <si>
    <t>Engineering  Office</t>
  </si>
  <si>
    <t>HOD Engineering  Office</t>
  </si>
  <si>
    <t>Instrument Office</t>
  </si>
  <si>
    <t>Boiler Control / VFD Room</t>
  </si>
  <si>
    <t>Boiling House Panel Room</t>
  </si>
  <si>
    <t>Branded Unit Scrap</t>
  </si>
  <si>
    <t>Branded Dmerera Room</t>
  </si>
  <si>
    <t>Bagasse Yard</t>
  </si>
  <si>
    <t>Kisan Shed</t>
  </si>
  <si>
    <t>Steel Structure with RCC &amp; Bricks Work</t>
  </si>
  <si>
    <t>Brick Wall &amp; RCC</t>
  </si>
  <si>
    <t>Bricks Wall with  RCC</t>
  </si>
  <si>
    <t>Steel Structure with RCC</t>
  </si>
  <si>
    <t>Brick Wall with G.I. Sheet Roof.</t>
  </si>
  <si>
    <t>H (Mtr)</t>
  </si>
  <si>
    <t>Main Building</t>
  </si>
  <si>
    <t>Factory Building</t>
  </si>
  <si>
    <t>Token Room No. 1</t>
  </si>
  <si>
    <t>Cane Enquire Office</t>
  </si>
  <si>
    <t>Cane Weighing Bridge Room Trolley</t>
  </si>
  <si>
    <t>Cane Weighing Bridge Room Center</t>
  </si>
  <si>
    <t>Cane Weighing Bridge Room Cart</t>
  </si>
  <si>
    <t>Cane Supervisor Office</t>
  </si>
  <si>
    <t>Lime Store</t>
  </si>
  <si>
    <t>Brick Wall with RCC Roof Slab</t>
  </si>
  <si>
    <t>Sugar Godown</t>
  </si>
  <si>
    <t>Sugar Godown No.-1</t>
  </si>
  <si>
    <t>Sugar Godown No.-2</t>
  </si>
  <si>
    <t>Sugar Godown No.-3</t>
  </si>
  <si>
    <t>Sugar Godown No.-4</t>
  </si>
  <si>
    <t>Office Block</t>
  </si>
  <si>
    <t>Techanical Block</t>
  </si>
  <si>
    <t>Lab.</t>
  </si>
  <si>
    <t>Micro Lab.</t>
  </si>
  <si>
    <t>Toilet Tech. Block</t>
  </si>
  <si>
    <t>Ttime Office</t>
  </si>
  <si>
    <t>Toilet Time Office</t>
  </si>
  <si>
    <t>Account Office</t>
  </si>
  <si>
    <t>Dispensary</t>
  </si>
  <si>
    <t>Cane Office</t>
  </si>
  <si>
    <t>Toilet Cane Office</t>
  </si>
  <si>
    <t>Toilet Branded Unit</t>
  </si>
  <si>
    <t>Bricks Wall with Cement Sheet</t>
  </si>
  <si>
    <t>Bricks Wall with RCC</t>
  </si>
  <si>
    <t>Sales Office</t>
  </si>
  <si>
    <t>Secuirty Office</t>
  </si>
  <si>
    <t>Toilet Kisan</t>
  </si>
  <si>
    <t>Canteen</t>
  </si>
  <si>
    <t>Bricks Wall with  Cement Sheet</t>
  </si>
  <si>
    <t>Guest House (VIP)</t>
  </si>
  <si>
    <t>Guest House Officer</t>
  </si>
  <si>
    <t>Officer Colony</t>
  </si>
  <si>
    <t>Guest House No.-2</t>
  </si>
  <si>
    <t>Cow Sheed</t>
  </si>
  <si>
    <t>Labour Colony ( 35 Room)</t>
  </si>
  <si>
    <t>Bricks Wall with RCC &amp; G.I. sheet</t>
  </si>
  <si>
    <t>Bricks Wall with Cement sheet</t>
  </si>
  <si>
    <t>Bricks Wall with GI Sheet</t>
  </si>
  <si>
    <t>Guest House</t>
  </si>
  <si>
    <t>Panel Room</t>
  </si>
  <si>
    <t>Lagoon</t>
  </si>
  <si>
    <t>ETP Building</t>
  </si>
  <si>
    <t>Brick Work</t>
  </si>
  <si>
    <t>Sub. Station Building</t>
  </si>
  <si>
    <t>Switch Yard</t>
  </si>
  <si>
    <t>HT. Cable Trenches</t>
  </si>
  <si>
    <t>Steel Structure Bracading with Brick Work</t>
  </si>
  <si>
    <t>S. No.</t>
  </si>
  <si>
    <t>Brown Sugar Packaging</t>
  </si>
  <si>
    <t>1 Kg Branded Packaging</t>
  </si>
  <si>
    <t>1 Kg Branded Store</t>
  </si>
  <si>
    <t>Workshop</t>
  </si>
  <si>
    <t>Power House Panel Room</t>
  </si>
  <si>
    <t>Mill House Panel Room</t>
  </si>
  <si>
    <t>Clarification Panel Room</t>
  </si>
  <si>
    <t>Centrifugal Panel Room</t>
  </si>
  <si>
    <t>Refinery &amp; Drier house panel room</t>
  </si>
  <si>
    <t>VFD Room</t>
  </si>
  <si>
    <t>Instrumentation Work Shop</t>
  </si>
  <si>
    <t>Production Office &amp; Lab</t>
  </si>
  <si>
    <t>Engg. Office Block</t>
  </si>
  <si>
    <t>Sales Weighing Bridge</t>
  </si>
  <si>
    <t>Supervisor Room in Yard</t>
  </si>
  <si>
    <t>Token Room No.1</t>
  </si>
  <si>
    <t>Token Room No.2</t>
  </si>
  <si>
    <t>Brown Sugar Store</t>
  </si>
  <si>
    <t>Kissan Shed</t>
  </si>
  <si>
    <t>Steel Structure with RCC &amp; Brick Work</t>
  </si>
  <si>
    <t>RCC &amp; Brick Work</t>
  </si>
  <si>
    <t>Brick Work with Steel Structure</t>
  </si>
  <si>
    <t>Godown No. 1</t>
  </si>
  <si>
    <t>Godown No. 2</t>
  </si>
  <si>
    <t>Godown</t>
  </si>
  <si>
    <t>V.P. Office</t>
  </si>
  <si>
    <t>Time Office</t>
  </si>
  <si>
    <t>Cane Account</t>
  </si>
  <si>
    <t>Security Check Post (Main Gate)</t>
  </si>
  <si>
    <t>Security Check Post (Plant Gate)</t>
  </si>
  <si>
    <t>Toilet Block</t>
  </si>
  <si>
    <t>Brick Work with Stone</t>
  </si>
  <si>
    <t>Steel Structure with Brick Work &amp; Stone</t>
  </si>
  <si>
    <t>Guest House (VIP) 4 Blocks</t>
  </si>
  <si>
    <t>Guest House General(Officers) 16 Room</t>
  </si>
  <si>
    <t>Cow Shed</t>
  </si>
  <si>
    <t>Steel Structure with Brick Work</t>
  </si>
  <si>
    <t>Meter Room</t>
  </si>
  <si>
    <t>HT Cable Trenches</t>
  </si>
  <si>
    <t>Steel Structure Barcading with Brick Work</t>
  </si>
  <si>
    <t>Sub Station Building</t>
  </si>
  <si>
    <t>Mill House + Boiling house</t>
  </si>
  <si>
    <t>Sugar godown</t>
  </si>
  <si>
    <t>Boiler + Power house</t>
  </si>
  <si>
    <t>150DC</t>
  </si>
  <si>
    <t>Work shop</t>
  </si>
  <si>
    <t>Gaust house</t>
  </si>
  <si>
    <t>Hut ment</t>
  </si>
  <si>
    <t>Cow sha,de + new rooms</t>
  </si>
  <si>
    <t>Time office + secur.</t>
  </si>
  <si>
    <t>Canteen + cycle stand</t>
  </si>
  <si>
    <t>Cane office</t>
  </si>
  <si>
    <t>Sugar lab + soil lab</t>
  </si>
  <si>
    <t>Engg. Office + cane account</t>
  </si>
  <si>
    <t>Elec. Panels</t>
  </si>
  <si>
    <t>Roof top area of building</t>
  </si>
  <si>
    <t>HOC</t>
  </si>
  <si>
    <t>Donga</t>
  </si>
  <si>
    <t>Out cane yard</t>
  </si>
  <si>
    <t>Inside cane yard</t>
  </si>
  <si>
    <t>ETP</t>
  </si>
  <si>
    <t>Molasses tank</t>
  </si>
  <si>
    <t>Switch yard</t>
  </si>
  <si>
    <t>Press mud + temp. godown</t>
  </si>
  <si>
    <t>lagoon</t>
  </si>
  <si>
    <t>kaccha lagoon</t>
  </si>
  <si>
    <t>Cooling tower</t>
  </si>
  <si>
    <t>.ime + clearification</t>
  </si>
  <si>
    <t>Bagasse yard</t>
  </si>
  <si>
    <t>Back side of sugar godown</t>
  </si>
  <si>
    <t>Open Area</t>
  </si>
  <si>
    <t>Road</t>
  </si>
  <si>
    <t>main road to cow shade</t>
  </si>
  <si>
    <t>Factory farm</t>
  </si>
  <si>
    <t>Garden &amp; green belt</t>
  </si>
  <si>
    <t>Sr. No.</t>
  </si>
  <si>
    <t>Type of Structure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</si>
  <si>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</si>
  <si>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</si>
  <si>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</si>
  <si>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</si>
  <si>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</si>
  <si>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</si>
  <si>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</si>
  <si>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</si>
  <si>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</si>
  <si>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</si>
  <si>
    <t>Gross Replacement Value
(INR)</t>
  </si>
  <si>
    <t xml:space="preserve">Depreciation Factor
(INR) </t>
  </si>
  <si>
    <t>Depreciated Value
(INR)</t>
  </si>
  <si>
    <t>Depreciated Replacement Market Value
(INR)</t>
  </si>
  <si>
    <t>MARKET VALUE OF STRUCTURES | M/S. Uttam Sugar Mills LIMITED | SITUATED AT VILLAGE- Barkatpur, Uttar Pradesh</t>
  </si>
  <si>
    <t>Height
(in mtr)</t>
  </si>
  <si>
    <t>Sugar</t>
  </si>
  <si>
    <t>Total</t>
  </si>
  <si>
    <t>Khundi</t>
  </si>
  <si>
    <t>Kulchandi</t>
  </si>
  <si>
    <t>Dahiyaki</t>
  </si>
  <si>
    <t>Car Parking</t>
  </si>
  <si>
    <t>Main Admin Building</t>
  </si>
  <si>
    <t>Weighment Bridge Room</t>
  </si>
  <si>
    <t>Ethanol Loading Area</t>
  </si>
  <si>
    <t>Receiver Room</t>
  </si>
  <si>
    <t>CO2 Plant Area</t>
  </si>
  <si>
    <t>Fermentation Section</t>
  </si>
  <si>
    <t>Water Reservior</t>
  </si>
  <si>
    <t>LT PCC Room</t>
  </si>
  <si>
    <t>DM plant</t>
  </si>
  <si>
    <t>CPU</t>
  </si>
  <si>
    <t>Boiler Control Room</t>
  </si>
  <si>
    <t>Potash Plant</t>
  </si>
  <si>
    <t>Potash Storage</t>
  </si>
  <si>
    <t>RCC &amp; Brickwork</t>
  </si>
  <si>
    <t>Steel Structure</t>
  </si>
  <si>
    <t>RCC &amp; Steel Structure</t>
  </si>
  <si>
    <t>Turbine</t>
  </si>
  <si>
    <t>Turbine Control Room</t>
  </si>
  <si>
    <t>Distillation Sectiom</t>
  </si>
  <si>
    <t>Area 
(in sq ft)</t>
  </si>
  <si>
    <t xml:space="preserve">Summary </t>
  </si>
  <si>
    <t>as</t>
  </si>
  <si>
    <t>df</t>
  </si>
  <si>
    <t>gh</t>
  </si>
  <si>
    <t>jg</t>
  </si>
  <si>
    <t>Mundiyaki</t>
  </si>
  <si>
    <t>Land Rate 
(in Rs. per sq. mtr.)</t>
  </si>
  <si>
    <r>
      <t xml:space="preserve">Plinth Area  Rate Adopted 
</t>
    </r>
    <r>
      <rPr>
        <b/>
        <i/>
        <sz val="11"/>
        <rFont val="Calibri"/>
        <family val="2"/>
        <scheme val="minor"/>
      </rPr>
      <t>(in per sq.ft.)</t>
    </r>
  </si>
  <si>
    <t>Adjustment</t>
  </si>
  <si>
    <t>MARKET VALUE OF STRUCTURES | M/S. JSW ENERGY LIMITED | SITUATED AT VILLAGE- VILLAGE TORANAGALLU, TALUK-SANDURU, DISTRICT-BELLARY, KARNATAKA</t>
  </si>
  <si>
    <t xml:space="preserve"> Built-up Area</t>
  </si>
  <si>
    <t>Type of structure roofing and flooring</t>
  </si>
  <si>
    <t>Total Life Consumed</t>
  </si>
  <si>
    <t>Plinth Area  Rate</t>
  </si>
  <si>
    <t>Gross Replacement Value</t>
  </si>
  <si>
    <t>Depreciation Factor</t>
  </si>
  <si>
    <t>Depreciated Replacement Market Value</t>
  </si>
  <si>
    <t>=</t>
  </si>
  <si>
    <t>MARKET VALUE OF STRUCTURES | M/S. USML | SITUATED AT VILLAGE-LIBBERHERI, TEHSIL-ROORKEE, DISTRICT-HARIDWAR, UTTARAKHAND</t>
  </si>
  <si>
    <t>Date</t>
  </si>
  <si>
    <t>Total Gen</t>
  </si>
  <si>
    <t>Cap Gen (MW)</t>
  </si>
  <si>
    <t>PLF</t>
  </si>
  <si>
    <t>Average</t>
  </si>
  <si>
    <t>acre</t>
  </si>
  <si>
    <t>Bigha</t>
  </si>
  <si>
    <t>Basic Rate</t>
  </si>
  <si>
    <t xml:space="preserve">Appreciation'Rate Adopted </t>
  </si>
  <si>
    <t>Rs. per Bigha</t>
  </si>
  <si>
    <t>(1 x (1+2))</t>
  </si>
  <si>
    <t>Land Valuation</t>
  </si>
  <si>
    <t>P&amp;M</t>
  </si>
  <si>
    <t>Land</t>
  </si>
  <si>
    <t>Building</t>
  </si>
  <si>
    <t>Asthetic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</si>
</sst>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0.000"/>
    <numFmt numFmtId="168" formatCode="_ &quot;₹&quot;\ * #,##0_ ;_ &quot;₹&quot;\ * \-#,##0_ ;_ &quot;₹&quot;\ * &quot;-&quot;??_ ;_ @_ "/>
    <numFmt numFmtId="169" formatCode="_(* #,##0.000_);_(* \(#,##0.000\);_(* &quot;-&quot;??_);_(@_)"/>
    <numFmt numFmtId="170" formatCode="_ * #,##0.000_ ;_ * \-#,##0.000_ ;_ * &quot;-&quot;??_ ;_ @_ "/>
    <numFmt numFmtId="171" formatCode="_(* #,##0.0_);_(* \(#,##0.0\);_(* &quot;-&quot;??_);_(@_)"/>
    <numFmt numFmtId="172" formatCode="_ * #,##0_ ;_ * \-#,##0_ ;_ * &quot;-&quot;?_ ;_ @_ "/>
    <numFmt numFmtId="173" formatCode="_ [$₹-4009]\ * #,##0.00_ ;_ [$₹-4009]\ * \-#,##0.00_ ;_ [$₹-4009]\ * &quot;-&quot;??_ ;_ @_ "/>
    <numFmt numFmtId="174" formatCode="_ [$₹-4009]\ * #,##0_ ;_ [$₹-4009]\ * \-#,##0_ ;_ [$₹-4009]\ * &quot;-&quot;??_ ;_ @_ "/>
    <numFmt numFmtId="175" formatCode="_ * #,##0_ ;_ * \-#,##0_ ;_ * &quot;-&quot;?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6"/>
      <color rgb="FF7030A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165" fontId="0" fillId="0" borderId="1" xfId="1" applyNumberFormat="1" applyFont="1" applyBorder="1" applyAlignment="1">
      <alignment horizontal="justify" vertical="top"/>
    </xf>
    <xf numFmtId="165" fontId="0" fillId="0" borderId="0" xfId="1" applyNumberFormat="1" applyFont="1" applyAlignment="1">
      <alignment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15" fillId="4" borderId="1" xfId="0" applyFont="1" applyFill="1" applyBorder="1" applyAlignment="1">
      <alignment horizontal="center" vertical="center"/>
    </xf>
    <xf numFmtId="165" fontId="15" fillId="4" borderId="0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164" fontId="15" fillId="4" borderId="1" xfId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3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166" fontId="18" fillId="5" borderId="1" xfId="1" applyNumberFormat="1" applyFont="1" applyFill="1" applyBorder="1" applyAlignment="1">
      <alignment horizontal="center" vertical="center" wrapText="1"/>
    </xf>
    <xf numFmtId="164" fontId="18" fillId="5" borderId="1" xfId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5" fontId="18" fillId="5" borderId="1" xfId="1" applyNumberFormat="1" applyFont="1" applyFill="1" applyBorder="1" applyAlignment="1">
      <alignment horizontal="center" vertical="center" wrapText="1"/>
    </xf>
    <xf numFmtId="168" fontId="0" fillId="0" borderId="1" xfId="2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5" fontId="3" fillId="0" borderId="0" xfId="1" applyNumberFormat="1" applyFont="1"/>
    <xf numFmtId="164" fontId="0" fillId="0" borderId="0" xfId="1" applyFont="1"/>
    <xf numFmtId="165" fontId="0" fillId="0" borderId="0" xfId="1" applyNumberFormat="1" applyFont="1"/>
    <xf numFmtId="0" fontId="2" fillId="0" borderId="0" xfId="0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43" fontId="0" fillId="0" borderId="0" xfId="0" applyNumberFormat="1"/>
    <xf numFmtId="169" fontId="0" fillId="0" borderId="0" xfId="1" applyNumberFormat="1" applyFont="1"/>
    <xf numFmtId="170" fontId="0" fillId="0" borderId="0" xfId="0" applyNumberFormat="1"/>
    <xf numFmtId="166" fontId="0" fillId="0" borderId="0" xfId="0" applyNumberFormat="1"/>
    <xf numFmtId="0" fontId="2" fillId="0" borderId="0" xfId="0" applyFont="1"/>
    <xf numFmtId="0" fontId="3" fillId="0" borderId="1" xfId="0" applyFont="1" applyBorder="1"/>
    <xf numFmtId="165" fontId="2" fillId="0" borderId="1" xfId="1" applyNumberFormat="1" applyFont="1" applyBorder="1"/>
    <xf numFmtId="165" fontId="3" fillId="0" borderId="1" xfId="1" applyNumberFormat="1" applyFont="1" applyBorder="1"/>
    <xf numFmtId="0" fontId="2" fillId="0" borderId="1" xfId="0" applyFont="1" applyBorder="1"/>
    <xf numFmtId="0" fontId="3" fillId="0" borderId="4" xfId="0" applyFont="1" applyBorder="1"/>
    <xf numFmtId="0" fontId="3" fillId="0" borderId="0" xfId="0" applyFont="1" applyAlignment="1">
      <alignment horizontal="left" vertical="top"/>
    </xf>
    <xf numFmtId="169" fontId="0" fillId="0" borderId="0" xfId="0" applyNumberFormat="1"/>
    <xf numFmtId="171" fontId="0" fillId="0" borderId="0" xfId="1" applyNumberFormat="1" applyFont="1"/>
    <xf numFmtId="165" fontId="0" fillId="0" borderId="0" xfId="1" applyNumberFormat="1" applyFont="1" applyAlignment="1">
      <alignment wrapText="1"/>
    </xf>
    <xf numFmtId="0" fontId="18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9" fontId="0" fillId="0" borderId="1" xfId="0" applyNumberFormat="1" applyBorder="1" applyAlignment="1">
      <alignment vertical="top"/>
    </xf>
    <xf numFmtId="0" fontId="3" fillId="0" borderId="1" xfId="0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43" fontId="0" fillId="0" borderId="1" xfId="0" applyNumberFormat="1" applyBorder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1" fillId="9" borderId="1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4" fontId="0" fillId="0" borderId="0" xfId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165" fontId="15" fillId="4" borderId="1" xfId="1" applyNumberFormat="1" applyFont="1" applyFill="1" applyBorder="1" applyAlignment="1">
      <alignment horizontal="center" vertical="center" wrapText="1"/>
    </xf>
    <xf numFmtId="172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2" fillId="0" borderId="0" xfId="0" applyNumberFormat="1" applyFont="1"/>
    <xf numFmtId="165" fontId="15" fillId="4" borderId="1" xfId="1" applyNumberFormat="1" applyFont="1" applyFill="1" applyBorder="1" applyAlignment="1">
      <alignment horizontal="center" vertical="top" wrapText="1"/>
    </xf>
    <xf numFmtId="0" fontId="3" fillId="10" borderId="1" xfId="0" applyFont="1" applyFill="1" applyBorder="1"/>
    <xf numFmtId="165" fontId="2" fillId="10" borderId="1" xfId="1" applyNumberFormat="1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top"/>
    </xf>
    <xf numFmtId="165" fontId="3" fillId="7" borderId="1" xfId="1" applyNumberFormat="1" applyFont="1" applyFill="1" applyBorder="1"/>
    <xf numFmtId="0" fontId="0" fillId="7" borderId="1" xfId="0" applyFill="1" applyBorder="1" applyAlignment="1">
      <alignment vertical="top"/>
    </xf>
    <xf numFmtId="9" fontId="0" fillId="7" borderId="1" xfId="0" applyNumberFormat="1" applyFill="1" applyBorder="1" applyAlignment="1">
      <alignment vertical="top"/>
    </xf>
    <xf numFmtId="167" fontId="0" fillId="7" borderId="1" xfId="0" applyNumberFormat="1" applyFill="1" applyBorder="1" applyAlignment="1">
      <alignment horizontal="center" vertical="center"/>
    </xf>
    <xf numFmtId="0" fontId="3" fillId="7" borderId="1" xfId="0" applyFont="1" applyFill="1" applyBorder="1" applyAlignment="1">
      <alignment vertical="top"/>
    </xf>
    <xf numFmtId="165" fontId="0" fillId="7" borderId="1" xfId="1" applyNumberFormat="1" applyFont="1" applyFill="1" applyBorder="1" applyAlignment="1">
      <alignment vertical="top"/>
    </xf>
    <xf numFmtId="43" fontId="0" fillId="7" borderId="1" xfId="0" applyNumberFormat="1" applyFill="1" applyBorder="1" applyAlignment="1">
      <alignment vertical="top"/>
    </xf>
    <xf numFmtId="168" fontId="0" fillId="7" borderId="1" xfId="2" applyNumberFormat="1" applyFont="1" applyFill="1" applyBorder="1" applyAlignment="1">
      <alignment horizontal="center" vertical="center"/>
    </xf>
    <xf numFmtId="0" fontId="3" fillId="7" borderId="0" xfId="0" applyFont="1" applyFill="1"/>
    <xf numFmtId="174" fontId="3" fillId="0" borderId="0" xfId="0" applyNumberFormat="1" applyFont="1"/>
    <xf numFmtId="174" fontId="2" fillId="10" borderId="1" xfId="1" applyNumberFormat="1" applyFont="1" applyFill="1" applyBorder="1"/>
    <xf numFmtId="173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3" fontId="0" fillId="0" borderId="0" xfId="0" applyNumberFormat="1"/>
    <xf numFmtId="3" fontId="22" fillId="0" borderId="7" xfId="0" applyNumberFormat="1" applyFont="1" applyBorder="1" applyAlignment="1">
      <alignment horizontal="right" vertical="center" wrapText="1"/>
    </xf>
    <xf numFmtId="3" fontId="22" fillId="0" borderId="8" xfId="0" applyNumberFormat="1" applyFont="1" applyBorder="1" applyAlignment="1">
      <alignment horizontal="right" vertical="center" wrapText="1"/>
    </xf>
    <xf numFmtId="9" fontId="22" fillId="0" borderId="8" xfId="0" applyNumberFormat="1" applyFont="1" applyBorder="1" applyAlignment="1">
      <alignment horizontal="right" vertical="center" wrapText="1"/>
    </xf>
    <xf numFmtId="165" fontId="0" fillId="0" borderId="0" xfId="0" applyNumberFormat="1"/>
    <xf numFmtId="3" fontId="21" fillId="0" borderId="0" xfId="0" applyNumberFormat="1" applyFont="1"/>
    <xf numFmtId="175" fontId="0" fillId="0" borderId="0" xfId="0" applyNumberFormat="1"/>
    <xf numFmtId="165" fontId="4" fillId="4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165" fontId="0" fillId="0" borderId="1" xfId="1" applyNumberFormat="1" applyFont="1" applyBorder="1"/>
    <xf numFmtId="166" fontId="3" fillId="0" borderId="1" xfId="1" applyNumberFormat="1" applyFont="1" applyBorder="1"/>
    <xf numFmtId="174" fontId="2" fillId="0" borderId="0" xfId="0" applyNumberFormat="1" applyFont="1"/>
    <xf numFmtId="165" fontId="4" fillId="4" borderId="2" xfId="1" applyNumberFormat="1" applyFont="1" applyFill="1" applyBorder="1" applyAlignment="1">
      <alignment horizontal="center" vertical="top"/>
    </xf>
    <xf numFmtId="165" fontId="4" fillId="4" borderId="3" xfId="1" applyNumberFormat="1" applyFont="1" applyFill="1" applyBorder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165" fontId="4" fillId="4" borderId="6" xfId="1" applyNumberFormat="1" applyFont="1" applyFill="1" applyBorder="1" applyAlignment="1">
      <alignment horizontal="center" vertical="top"/>
    </xf>
    <xf numFmtId="165" fontId="4" fillId="4" borderId="0" xfId="1" applyNumberFormat="1" applyFont="1" applyFill="1" applyBorder="1" applyAlignment="1">
      <alignment horizontal="center" vertical="top"/>
    </xf>
    <xf numFmtId="0" fontId="20" fillId="8" borderId="6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horizontal="center" vertical="top"/>
    </xf>
    <xf numFmtId="164" fontId="4" fillId="4" borderId="0" xfId="1" applyFont="1" applyFill="1" applyBorder="1" applyAlignment="1">
      <alignment horizontal="center" vertical="top"/>
    </xf>
    <xf numFmtId="164" fontId="4" fillId="4" borderId="2" xfId="1" applyFont="1" applyFill="1" applyBorder="1" applyAlignment="1">
      <alignment horizontal="center" vertical="top"/>
    </xf>
    <xf numFmtId="164" fontId="4" fillId="4" borderId="3" xfId="1" applyFont="1" applyFill="1" applyBorder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gineer9\Downloads\USML%20FAR%20Workin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mary"/>
      <sheetName val="Pivot"/>
      <sheetName val="Working"/>
      <sheetName val="ELSV"/>
      <sheetName val="Cat-4"/>
      <sheetName val="CAT-3"/>
      <sheetName val="CAT-2"/>
      <sheetName val="Sheet1"/>
    </sheetNames>
    <sheetDataSet>
      <sheetData sheetId="0"/>
      <sheetData sheetId="1"/>
      <sheetData sheetId="2">
        <row r="4">
          <cell r="A4" t="str">
            <v>Row Labels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9"/>
  <sheetViews>
    <sheetView topLeftCell="A13" workbookViewId="0">
      <selection activeCell="A2" sqref="A2:C294"/>
    </sheetView>
  </sheetViews>
  <sheetFormatPr defaultRowHeight="12.75" x14ac:dyDescent="0.2"/>
  <cols>
    <col min="1" max="1" width="9.140625" style="27"/>
    <col min="2" max="2" width="27.42578125" style="32" customWidth="1"/>
    <col min="3" max="3" width="25.7109375" style="32" customWidth="1"/>
    <col min="4" max="4" width="18.7109375" customWidth="1"/>
    <col min="5" max="5" width="10.28515625" bestFit="1" customWidth="1"/>
    <col min="6" max="6" width="31" customWidth="1"/>
    <col min="7" max="7" width="19.42578125" customWidth="1"/>
    <col min="8" max="8" width="24.42578125" customWidth="1"/>
    <col min="9" max="9" width="17.42578125" customWidth="1"/>
    <col min="10" max="10" width="15.5703125" customWidth="1"/>
    <col min="15" max="15" width="11.5703125" customWidth="1"/>
  </cols>
  <sheetData>
    <row r="2" spans="1:11" ht="21" x14ac:dyDescent="0.35">
      <c r="B2" s="30" t="s">
        <v>3</v>
      </c>
      <c r="C2" s="30"/>
      <c r="D2" s="15"/>
      <c r="E2" s="15"/>
      <c r="F2" s="15"/>
      <c r="G2" s="15"/>
      <c r="H2" s="15"/>
      <c r="I2" s="15"/>
    </row>
    <row r="4" spans="1:11" ht="18.75" x14ac:dyDescent="0.3">
      <c r="B4" s="31" t="s">
        <v>4</v>
      </c>
      <c r="C4" s="39"/>
      <c r="D4" s="3"/>
      <c r="E4" s="3"/>
      <c r="H4" s="4"/>
      <c r="I4" s="4"/>
    </row>
    <row r="6" spans="1:11" ht="15" x14ac:dyDescent="0.2">
      <c r="A6" s="27">
        <v>1</v>
      </c>
      <c r="B6" s="23" t="s">
        <v>0</v>
      </c>
      <c r="C6" s="24" t="s">
        <v>12</v>
      </c>
      <c r="I6" s="6"/>
      <c r="K6" s="7"/>
    </row>
    <row r="7" spans="1:11" ht="15" x14ac:dyDescent="0.2">
      <c r="B7" s="22" t="s">
        <v>5</v>
      </c>
      <c r="C7" s="24" t="s">
        <v>13</v>
      </c>
      <c r="D7" s="6"/>
      <c r="E7" s="8"/>
      <c r="F7" s="8"/>
      <c r="G7" s="8"/>
      <c r="H7" s="8"/>
      <c r="I7" s="6"/>
      <c r="J7" s="6"/>
      <c r="K7" s="7"/>
    </row>
    <row r="8" spans="1:11" ht="15" x14ac:dyDescent="0.2">
      <c r="B8" s="23" t="s">
        <v>6</v>
      </c>
      <c r="C8" s="25">
        <v>40</v>
      </c>
      <c r="D8" s="6"/>
      <c r="E8" s="8"/>
      <c r="F8" s="8"/>
      <c r="G8" s="8"/>
      <c r="H8" s="8"/>
      <c r="I8" s="6"/>
      <c r="J8" s="6"/>
      <c r="K8" s="7"/>
    </row>
    <row r="9" spans="1:11" ht="15" x14ac:dyDescent="0.2">
      <c r="B9" s="23" t="s">
        <v>7</v>
      </c>
      <c r="C9" s="25">
        <v>30</v>
      </c>
      <c r="D9" s="6"/>
      <c r="E9" s="8"/>
      <c r="F9" s="8"/>
      <c r="G9" s="8"/>
      <c r="H9" s="8"/>
      <c r="I9" s="6"/>
      <c r="J9" s="6"/>
      <c r="K9" s="7"/>
    </row>
    <row r="10" spans="1:11" ht="15" x14ac:dyDescent="0.2">
      <c r="B10" s="23" t="s">
        <v>8</v>
      </c>
      <c r="C10" s="25">
        <v>1460</v>
      </c>
      <c r="D10" s="6"/>
      <c r="E10" s="8"/>
      <c r="F10" s="8"/>
      <c r="G10" s="8"/>
      <c r="H10" s="8"/>
      <c r="I10" s="6"/>
      <c r="J10" s="6"/>
      <c r="K10" s="7"/>
    </row>
    <row r="11" spans="1:11" ht="15" x14ac:dyDescent="0.2">
      <c r="B11" s="23" t="s">
        <v>9</v>
      </c>
      <c r="C11" s="25">
        <f>C10/C8</f>
        <v>36.5</v>
      </c>
      <c r="D11" s="6"/>
      <c r="E11" s="8"/>
      <c r="F11" s="8"/>
      <c r="G11" s="8"/>
      <c r="H11" s="8"/>
      <c r="I11" s="6"/>
      <c r="J11" s="6"/>
      <c r="K11" s="7"/>
    </row>
    <row r="12" spans="1:11" ht="15" x14ac:dyDescent="0.2">
      <c r="B12" s="22" t="s">
        <v>10</v>
      </c>
      <c r="C12" s="24"/>
      <c r="D12" s="6"/>
      <c r="E12" s="8"/>
      <c r="F12" s="8"/>
      <c r="G12" s="8"/>
      <c r="H12" s="8"/>
      <c r="I12" s="6"/>
      <c r="J12" s="6"/>
      <c r="K12" s="7"/>
    </row>
    <row r="13" spans="1:11" ht="25.5" x14ac:dyDescent="0.2">
      <c r="B13" s="22" t="s">
        <v>11</v>
      </c>
      <c r="C13" s="24" t="s">
        <v>14</v>
      </c>
      <c r="D13" s="6"/>
      <c r="E13" s="8"/>
      <c r="F13" s="8"/>
      <c r="G13" s="8"/>
      <c r="H13" s="8"/>
      <c r="I13" s="6"/>
      <c r="J13" s="6"/>
      <c r="K13" s="7"/>
    </row>
    <row r="14" spans="1:11" x14ac:dyDescent="0.2">
      <c r="B14" s="33"/>
      <c r="C14" s="24"/>
      <c r="D14" s="6"/>
      <c r="E14" s="8"/>
      <c r="F14" s="8"/>
      <c r="G14" s="8"/>
      <c r="H14" s="8"/>
      <c r="I14" s="6"/>
      <c r="J14" s="6"/>
      <c r="K14" s="7"/>
    </row>
    <row r="15" spans="1:11" ht="15" x14ac:dyDescent="0.2">
      <c r="A15" s="27">
        <v>2</v>
      </c>
      <c r="B15" s="23" t="s">
        <v>0</v>
      </c>
      <c r="C15" s="24" t="s">
        <v>15</v>
      </c>
    </row>
    <row r="16" spans="1:11" ht="15" x14ac:dyDescent="0.2">
      <c r="B16" s="22" t="s">
        <v>5</v>
      </c>
      <c r="C16" s="24" t="s">
        <v>16</v>
      </c>
      <c r="D16" s="6"/>
      <c r="E16" s="8"/>
      <c r="F16" s="8">
        <v>9810155006</v>
      </c>
      <c r="G16" s="8"/>
      <c r="H16" s="8"/>
      <c r="I16" s="8"/>
      <c r="J16" s="8"/>
    </row>
    <row r="17" spans="1:10" ht="15" x14ac:dyDescent="0.2">
      <c r="B17" s="23" t="s">
        <v>6</v>
      </c>
      <c r="C17" s="25">
        <v>40</v>
      </c>
      <c r="D17" s="6"/>
      <c r="E17" s="8"/>
      <c r="F17" s="8" t="s">
        <v>140</v>
      </c>
      <c r="G17" s="8"/>
      <c r="H17" s="8"/>
      <c r="I17" s="8"/>
      <c r="J17" s="8"/>
    </row>
    <row r="18" spans="1:10" ht="15" x14ac:dyDescent="0.2">
      <c r="B18" s="23" t="s">
        <v>7</v>
      </c>
      <c r="C18" s="25">
        <v>30</v>
      </c>
      <c r="D18" s="6"/>
      <c r="E18" s="8"/>
      <c r="F18" s="8"/>
      <c r="G18" s="8"/>
      <c r="H18" s="8"/>
      <c r="I18" s="8"/>
      <c r="J18" s="8"/>
    </row>
    <row r="19" spans="1:10" ht="15" x14ac:dyDescent="0.2">
      <c r="B19" s="23" t="s">
        <v>8</v>
      </c>
      <c r="C19" s="25">
        <v>1460</v>
      </c>
      <c r="D19" s="6"/>
      <c r="E19" s="8"/>
      <c r="F19" s="8"/>
      <c r="G19" s="8"/>
      <c r="H19" s="8"/>
      <c r="I19" s="8"/>
      <c r="J19" s="8"/>
    </row>
    <row r="20" spans="1:10" ht="15" x14ac:dyDescent="0.2">
      <c r="B20" s="23" t="s">
        <v>9</v>
      </c>
      <c r="C20" s="25">
        <f>C19/C17</f>
        <v>36.5</v>
      </c>
      <c r="D20" s="6"/>
      <c r="E20" s="8"/>
      <c r="F20" s="8"/>
      <c r="G20" s="8"/>
      <c r="H20" s="8"/>
      <c r="I20" s="8"/>
      <c r="J20" s="8"/>
    </row>
    <row r="21" spans="1:10" ht="15" x14ac:dyDescent="0.2">
      <c r="B21" s="22" t="s">
        <v>10</v>
      </c>
      <c r="C21" s="25" t="s">
        <v>17</v>
      </c>
      <c r="D21" s="6"/>
      <c r="E21" s="8"/>
      <c r="F21" s="8"/>
      <c r="G21" s="8"/>
      <c r="H21" s="8"/>
      <c r="I21" s="8"/>
      <c r="J21" s="8"/>
    </row>
    <row r="22" spans="1:10" ht="15" x14ac:dyDescent="0.2">
      <c r="B22" s="22" t="s">
        <v>11</v>
      </c>
      <c r="C22" s="25" t="s">
        <v>18</v>
      </c>
      <c r="D22" s="6"/>
      <c r="E22" s="8"/>
      <c r="F22" s="8"/>
      <c r="G22" s="8"/>
      <c r="H22" s="8"/>
      <c r="I22" s="8"/>
      <c r="J22" s="8"/>
    </row>
    <row r="23" spans="1:10" x14ac:dyDescent="0.2">
      <c r="B23" s="33"/>
      <c r="C23" s="24"/>
      <c r="D23" s="6"/>
      <c r="E23" s="8"/>
      <c r="F23" s="8"/>
      <c r="G23" s="8"/>
      <c r="H23" s="8"/>
      <c r="I23" s="8"/>
      <c r="J23" s="8"/>
    </row>
    <row r="24" spans="1:10" ht="15" x14ac:dyDescent="0.2">
      <c r="A24" s="27">
        <v>3</v>
      </c>
      <c r="B24" s="23" t="s">
        <v>0</v>
      </c>
      <c r="C24" s="24" t="s">
        <v>19</v>
      </c>
      <c r="I24" s="6"/>
    </row>
    <row r="25" spans="1:10" ht="15" x14ac:dyDescent="0.2">
      <c r="B25" s="22" t="s">
        <v>5</v>
      </c>
      <c r="C25" s="24" t="s">
        <v>16</v>
      </c>
      <c r="D25" s="6"/>
      <c r="E25" s="8"/>
      <c r="F25" s="8"/>
      <c r="G25" s="8"/>
      <c r="H25" s="8"/>
      <c r="I25" s="6"/>
      <c r="J25" s="6"/>
    </row>
    <row r="26" spans="1:10" ht="15" x14ac:dyDescent="0.2">
      <c r="B26" s="23" t="s">
        <v>6</v>
      </c>
      <c r="C26" s="25">
        <v>40</v>
      </c>
      <c r="D26" s="6"/>
      <c r="E26" s="8"/>
      <c r="F26" s="8"/>
      <c r="G26" s="8"/>
      <c r="H26" s="8"/>
      <c r="I26" s="6"/>
      <c r="J26" s="6"/>
    </row>
    <row r="27" spans="1:10" ht="15" x14ac:dyDescent="0.2">
      <c r="B27" s="23" t="s">
        <v>7</v>
      </c>
      <c r="C27" s="25">
        <v>40</v>
      </c>
      <c r="D27" s="6"/>
      <c r="E27" s="8"/>
      <c r="F27" s="8"/>
      <c r="G27" s="8"/>
      <c r="H27" s="8"/>
      <c r="I27" s="6"/>
      <c r="J27" s="6"/>
    </row>
    <row r="28" spans="1:10" ht="15" x14ac:dyDescent="0.2">
      <c r="B28" s="23" t="s">
        <v>8</v>
      </c>
      <c r="C28" s="25">
        <v>1470</v>
      </c>
      <c r="D28" s="6"/>
      <c r="E28" s="8"/>
      <c r="F28" s="8"/>
      <c r="G28" s="8"/>
      <c r="H28" s="8"/>
      <c r="I28" s="6"/>
      <c r="J28" s="6"/>
    </row>
    <row r="29" spans="1:10" ht="15" x14ac:dyDescent="0.2">
      <c r="B29" s="23" t="s">
        <v>9</v>
      </c>
      <c r="C29" s="25">
        <f>C28/C26</f>
        <v>36.75</v>
      </c>
      <c r="D29" s="6"/>
      <c r="E29" s="8"/>
      <c r="F29" s="8"/>
      <c r="G29" s="8"/>
      <c r="H29" s="8"/>
      <c r="I29" s="6"/>
      <c r="J29" s="6"/>
    </row>
    <row r="30" spans="1:10" ht="15" x14ac:dyDescent="0.2">
      <c r="B30" s="22" t="s">
        <v>10</v>
      </c>
      <c r="C30" s="24"/>
      <c r="D30" s="6"/>
      <c r="E30" s="8"/>
      <c r="F30" s="8"/>
      <c r="G30" s="8"/>
      <c r="H30" s="8"/>
      <c r="I30" s="6"/>
      <c r="J30" s="6"/>
    </row>
    <row r="31" spans="1:10" ht="15" x14ac:dyDescent="0.2">
      <c r="B31" s="22" t="s">
        <v>11</v>
      </c>
      <c r="C31" s="24" t="s">
        <v>20</v>
      </c>
      <c r="D31" s="6"/>
      <c r="E31" s="8"/>
      <c r="F31" s="8"/>
      <c r="G31" s="8"/>
      <c r="H31" s="8"/>
      <c r="I31" s="6"/>
      <c r="J31" s="6"/>
    </row>
    <row r="32" spans="1:10" x14ac:dyDescent="0.2">
      <c r="B32" s="33"/>
      <c r="C32" s="24"/>
      <c r="D32" s="6"/>
      <c r="E32" s="8"/>
      <c r="F32" s="8"/>
      <c r="G32" s="8"/>
      <c r="H32" s="8"/>
      <c r="I32" s="6"/>
      <c r="J32" s="6"/>
    </row>
    <row r="33" spans="1:11" ht="15" x14ac:dyDescent="0.2">
      <c r="A33" s="27">
        <v>4</v>
      </c>
      <c r="B33" s="23" t="s">
        <v>0</v>
      </c>
      <c r="C33" s="24" t="s">
        <v>12</v>
      </c>
    </row>
    <row r="34" spans="1:11" ht="15" x14ac:dyDescent="0.2">
      <c r="B34" s="22" t="s">
        <v>5</v>
      </c>
      <c r="C34" s="24" t="s">
        <v>13</v>
      </c>
    </row>
    <row r="35" spans="1:11" ht="15" x14ac:dyDescent="0.2">
      <c r="B35" s="23" t="s">
        <v>6</v>
      </c>
      <c r="C35" s="25">
        <v>40</v>
      </c>
    </row>
    <row r="36" spans="1:11" ht="15" x14ac:dyDescent="0.2">
      <c r="B36" s="23" t="s">
        <v>7</v>
      </c>
      <c r="C36" s="25">
        <v>20</v>
      </c>
    </row>
    <row r="37" spans="1:11" ht="15" x14ac:dyDescent="0.2">
      <c r="B37" s="23" t="s">
        <v>8</v>
      </c>
      <c r="C37" s="25">
        <v>1460</v>
      </c>
    </row>
    <row r="38" spans="1:11" ht="15" x14ac:dyDescent="0.2">
      <c r="B38" s="23" t="s">
        <v>9</v>
      </c>
      <c r="C38" s="25">
        <f>C37/C35</f>
        <v>36.5</v>
      </c>
    </row>
    <row r="39" spans="1:11" ht="25.5" x14ac:dyDescent="0.2">
      <c r="B39" s="22" t="s">
        <v>10</v>
      </c>
      <c r="C39" s="24" t="s">
        <v>21</v>
      </c>
    </row>
    <row r="40" spans="1:11" ht="15" x14ac:dyDescent="0.2">
      <c r="B40" s="22" t="s">
        <v>11</v>
      </c>
      <c r="C40" s="25" t="s">
        <v>22</v>
      </c>
    </row>
    <row r="42" spans="1:11" ht="15" x14ac:dyDescent="0.25">
      <c r="B42" s="18" t="s">
        <v>23</v>
      </c>
      <c r="D42" s="16"/>
      <c r="E42" s="16"/>
    </row>
    <row r="43" spans="1:11" ht="15" x14ac:dyDescent="0.2">
      <c r="A43" s="27">
        <v>1</v>
      </c>
      <c r="B43" s="20" t="s">
        <v>25</v>
      </c>
      <c r="D43" s="17"/>
      <c r="E43" s="17"/>
      <c r="I43" s="8"/>
    </row>
    <row r="44" spans="1:11" ht="15" x14ac:dyDescent="0.25">
      <c r="B44" s="21" t="s">
        <v>24</v>
      </c>
      <c r="C44" s="24" t="s">
        <v>19</v>
      </c>
      <c r="D44" s="17"/>
      <c r="E44" s="17"/>
      <c r="F44" s="6"/>
      <c r="G44" s="6"/>
      <c r="H44" s="8"/>
      <c r="I44" s="8"/>
      <c r="J44" s="8"/>
      <c r="K44" s="9"/>
    </row>
    <row r="45" spans="1:11" ht="15" x14ac:dyDescent="0.2">
      <c r="B45" s="22" t="s">
        <v>5</v>
      </c>
      <c r="C45" s="24" t="s">
        <v>26</v>
      </c>
      <c r="D45" s="17"/>
      <c r="E45" s="17"/>
      <c r="F45" s="6"/>
      <c r="G45" s="6"/>
      <c r="H45" s="8"/>
      <c r="I45" s="8"/>
      <c r="J45" s="8"/>
      <c r="K45" s="9"/>
    </row>
    <row r="46" spans="1:11" ht="15" x14ac:dyDescent="0.2">
      <c r="B46" s="23" t="s">
        <v>6</v>
      </c>
      <c r="C46" s="25">
        <v>40</v>
      </c>
      <c r="D46" s="17"/>
      <c r="E46" s="17"/>
      <c r="F46" s="6"/>
      <c r="G46" s="6"/>
      <c r="H46" s="8"/>
      <c r="I46" s="8"/>
      <c r="J46" s="8"/>
      <c r="K46" s="9"/>
    </row>
    <row r="47" spans="1:11" ht="15" x14ac:dyDescent="0.2">
      <c r="B47" s="23" t="s">
        <v>7</v>
      </c>
      <c r="C47" s="25">
        <v>40</v>
      </c>
      <c r="D47" s="17"/>
      <c r="E47" s="17"/>
      <c r="F47" s="6"/>
      <c r="G47" s="6"/>
      <c r="H47" s="8"/>
      <c r="I47" s="8"/>
      <c r="J47" s="8"/>
      <c r="K47" s="9"/>
    </row>
    <row r="48" spans="1:11" ht="15" x14ac:dyDescent="0.2">
      <c r="B48" s="23" t="s">
        <v>8</v>
      </c>
      <c r="C48" s="25">
        <v>1470</v>
      </c>
      <c r="D48" s="17"/>
      <c r="E48" s="17"/>
      <c r="F48" s="6"/>
      <c r="G48" s="6"/>
      <c r="H48" s="8"/>
      <c r="I48" s="8"/>
      <c r="J48" s="8"/>
      <c r="K48" s="9"/>
    </row>
    <row r="49" spans="1:11" ht="15" x14ac:dyDescent="0.2">
      <c r="B49" s="23" t="s">
        <v>9</v>
      </c>
      <c r="C49" s="26">
        <f>C48/C46</f>
        <v>36.75</v>
      </c>
      <c r="D49" s="17"/>
      <c r="E49" s="17"/>
      <c r="F49" s="6"/>
      <c r="G49" s="6"/>
      <c r="H49" s="8"/>
      <c r="I49" s="8"/>
      <c r="J49" s="8"/>
      <c r="K49" s="9"/>
    </row>
    <row r="50" spans="1:11" ht="15" x14ac:dyDescent="0.2">
      <c r="B50" s="20"/>
      <c r="D50" s="17"/>
      <c r="E50" s="17"/>
      <c r="F50" s="6"/>
      <c r="G50" s="6"/>
      <c r="H50" s="8"/>
      <c r="I50" s="8"/>
      <c r="J50" s="8"/>
      <c r="K50" s="9"/>
    </row>
    <row r="51" spans="1:11" ht="15" x14ac:dyDescent="0.2">
      <c r="A51" s="27">
        <f>1+A43</f>
        <v>2</v>
      </c>
      <c r="B51" s="20" t="s">
        <v>27</v>
      </c>
      <c r="D51" s="17"/>
      <c r="E51" s="17"/>
      <c r="H51" s="8"/>
      <c r="I51" s="8"/>
      <c r="J51" s="8"/>
      <c r="K51" s="9"/>
    </row>
    <row r="52" spans="1:11" ht="15" x14ac:dyDescent="0.25">
      <c r="B52" s="21" t="s">
        <v>24</v>
      </c>
      <c r="C52" s="24" t="s">
        <v>19</v>
      </c>
      <c r="D52" s="17"/>
      <c r="E52" s="17"/>
      <c r="F52" s="6"/>
      <c r="G52" s="6"/>
      <c r="H52" s="8"/>
      <c r="I52" s="8"/>
      <c r="J52" s="8"/>
      <c r="K52" s="9"/>
    </row>
    <row r="53" spans="1:11" ht="15" x14ac:dyDescent="0.2">
      <c r="B53" s="22" t="s">
        <v>5</v>
      </c>
      <c r="C53" s="24" t="s">
        <v>26</v>
      </c>
      <c r="D53" s="17"/>
      <c r="E53" s="17"/>
      <c r="F53" s="6"/>
      <c r="G53" s="6"/>
      <c r="H53" s="8"/>
      <c r="I53" s="8"/>
      <c r="J53" s="8"/>
      <c r="K53" s="9"/>
    </row>
    <row r="54" spans="1:11" ht="15" x14ac:dyDescent="0.2">
      <c r="B54" s="23" t="s">
        <v>6</v>
      </c>
      <c r="C54" s="25">
        <v>40</v>
      </c>
      <c r="D54" s="17"/>
      <c r="E54" s="17"/>
      <c r="F54" s="6"/>
      <c r="G54" s="6"/>
      <c r="H54" s="8"/>
      <c r="I54" s="8"/>
      <c r="J54" s="8"/>
      <c r="K54" s="9"/>
    </row>
    <row r="55" spans="1:11" ht="15" x14ac:dyDescent="0.2">
      <c r="B55" s="23" t="s">
        <v>7</v>
      </c>
      <c r="C55" s="25">
        <v>40</v>
      </c>
      <c r="D55" s="17"/>
      <c r="E55" s="17"/>
      <c r="F55" s="6"/>
      <c r="G55" s="6"/>
      <c r="H55" s="8"/>
      <c r="I55" s="8"/>
      <c r="J55" s="8"/>
      <c r="K55" s="9"/>
    </row>
    <row r="56" spans="1:11" ht="15" x14ac:dyDescent="0.2">
      <c r="B56" s="23" t="s">
        <v>8</v>
      </c>
      <c r="C56" s="25">
        <v>1470</v>
      </c>
      <c r="D56" s="17"/>
      <c r="E56" s="17"/>
      <c r="F56" s="6"/>
      <c r="G56" s="6"/>
      <c r="H56" s="8"/>
      <c r="I56" s="8"/>
      <c r="J56" s="8"/>
      <c r="K56" s="9"/>
    </row>
    <row r="57" spans="1:11" ht="15" x14ac:dyDescent="0.2">
      <c r="B57" s="23" t="s">
        <v>9</v>
      </c>
      <c r="C57" s="26">
        <f>C56/C54</f>
        <v>36.75</v>
      </c>
      <c r="D57" s="17"/>
      <c r="E57" s="17"/>
      <c r="F57" s="6"/>
      <c r="G57" s="6"/>
      <c r="H57" s="8"/>
      <c r="I57" s="8"/>
      <c r="J57" s="8"/>
      <c r="K57" s="9"/>
    </row>
    <row r="58" spans="1:11" ht="15" x14ac:dyDescent="0.2">
      <c r="B58" s="20"/>
      <c r="D58" s="17"/>
      <c r="E58" s="17"/>
      <c r="F58" s="6"/>
      <c r="G58" s="6"/>
      <c r="H58" s="8"/>
      <c r="I58" s="8"/>
      <c r="J58" s="8"/>
      <c r="K58" s="9"/>
    </row>
    <row r="59" spans="1:11" ht="15" x14ac:dyDescent="0.2">
      <c r="A59" s="27">
        <f>1+A51</f>
        <v>3</v>
      </c>
      <c r="B59" s="20" t="s">
        <v>28</v>
      </c>
      <c r="D59" s="17"/>
      <c r="E59" s="17"/>
      <c r="J59" s="8"/>
      <c r="K59" s="8"/>
    </row>
    <row r="60" spans="1:11" ht="15" x14ac:dyDescent="0.25">
      <c r="B60" s="21" t="s">
        <v>24</v>
      </c>
      <c r="C60" s="24" t="s">
        <v>19</v>
      </c>
      <c r="D60" s="17"/>
      <c r="E60" s="17"/>
      <c r="F60" s="6"/>
      <c r="G60" s="6"/>
      <c r="H60" s="8"/>
      <c r="I60" s="8"/>
      <c r="J60" s="8"/>
      <c r="K60" s="8"/>
    </row>
    <row r="61" spans="1:11" ht="15" x14ac:dyDescent="0.2">
      <c r="B61" s="22" t="s">
        <v>5</v>
      </c>
      <c r="C61" s="24" t="s">
        <v>26</v>
      </c>
      <c r="D61" s="17"/>
      <c r="E61" s="17"/>
      <c r="F61" s="6"/>
      <c r="G61" s="6"/>
      <c r="H61" s="8"/>
      <c r="I61" s="8"/>
      <c r="J61" s="8"/>
      <c r="K61" s="8"/>
    </row>
    <row r="62" spans="1:11" ht="15" x14ac:dyDescent="0.2">
      <c r="B62" s="23" t="s">
        <v>6</v>
      </c>
      <c r="C62" s="25">
        <v>40</v>
      </c>
      <c r="D62" s="17"/>
      <c r="E62" s="17"/>
      <c r="F62" s="6"/>
      <c r="G62" s="6"/>
      <c r="H62" s="8"/>
      <c r="I62" s="8"/>
      <c r="J62" s="8"/>
      <c r="K62" s="8"/>
    </row>
    <row r="63" spans="1:11" ht="15" x14ac:dyDescent="0.2">
      <c r="B63" s="23" t="s">
        <v>7</v>
      </c>
      <c r="C63" s="25">
        <v>40</v>
      </c>
      <c r="D63" s="17"/>
      <c r="E63" s="17"/>
      <c r="F63" s="6"/>
      <c r="G63" s="6"/>
      <c r="H63" s="8"/>
      <c r="I63" s="8"/>
      <c r="J63" s="8"/>
      <c r="K63" s="8"/>
    </row>
    <row r="64" spans="1:11" ht="15" x14ac:dyDescent="0.2">
      <c r="B64" s="23" t="s">
        <v>8</v>
      </c>
      <c r="C64" s="25">
        <v>1470</v>
      </c>
      <c r="D64" s="17"/>
      <c r="E64" s="17"/>
      <c r="F64" s="6"/>
      <c r="G64" s="6"/>
      <c r="H64" s="8"/>
      <c r="I64" s="8"/>
      <c r="J64" s="8"/>
      <c r="K64" s="8"/>
    </row>
    <row r="65" spans="1:11" ht="15" x14ac:dyDescent="0.2">
      <c r="B65" s="23" t="s">
        <v>9</v>
      </c>
      <c r="C65" s="26">
        <f>C64/C62</f>
        <v>36.75</v>
      </c>
      <c r="D65" s="17"/>
      <c r="E65" s="17"/>
      <c r="F65" s="6"/>
      <c r="G65" s="6"/>
      <c r="H65" s="8"/>
      <c r="I65" s="8"/>
      <c r="J65" s="8"/>
      <c r="K65" s="8"/>
    </row>
    <row r="66" spans="1:11" ht="15" x14ac:dyDescent="0.2">
      <c r="B66" s="20"/>
      <c r="D66" s="17"/>
      <c r="E66" s="17"/>
      <c r="F66" s="6"/>
      <c r="G66" s="6"/>
      <c r="H66" s="8"/>
      <c r="I66" s="8"/>
      <c r="J66" s="8"/>
      <c r="K66" s="8"/>
    </row>
    <row r="67" spans="1:11" ht="15" x14ac:dyDescent="0.2">
      <c r="A67" s="27">
        <f>1+A59</f>
        <v>4</v>
      </c>
      <c r="B67" s="20" t="s">
        <v>29</v>
      </c>
      <c r="D67" s="17"/>
      <c r="E67" s="17"/>
    </row>
    <row r="68" spans="1:11" ht="15" x14ac:dyDescent="0.25">
      <c r="B68" s="21" t="s">
        <v>24</v>
      </c>
      <c r="C68" s="24" t="s">
        <v>12</v>
      </c>
      <c r="D68" s="17"/>
      <c r="E68" s="17"/>
      <c r="F68" s="6"/>
      <c r="G68" s="6"/>
      <c r="H68" s="8"/>
      <c r="I68" s="8"/>
      <c r="J68" s="8"/>
      <c r="K68" s="8"/>
    </row>
    <row r="69" spans="1:11" ht="15" x14ac:dyDescent="0.2">
      <c r="B69" s="22" t="s">
        <v>5</v>
      </c>
      <c r="C69" s="24" t="s">
        <v>30</v>
      </c>
      <c r="D69" s="17"/>
      <c r="E69" s="17"/>
      <c r="F69" s="6"/>
      <c r="G69" s="6"/>
      <c r="H69" s="8"/>
      <c r="I69" s="8"/>
      <c r="J69" s="8"/>
      <c r="K69" s="8"/>
    </row>
    <row r="70" spans="1:11" ht="15" x14ac:dyDescent="0.2">
      <c r="B70" s="23" t="s">
        <v>6</v>
      </c>
      <c r="C70" s="25">
        <v>40</v>
      </c>
      <c r="D70" s="17"/>
      <c r="E70" s="17"/>
      <c r="F70" s="6"/>
      <c r="G70" s="6"/>
      <c r="H70" s="8"/>
      <c r="I70" s="8"/>
      <c r="J70" s="8"/>
      <c r="K70" s="8"/>
    </row>
    <row r="71" spans="1:11" ht="15" x14ac:dyDescent="0.2">
      <c r="B71" s="23" t="s">
        <v>7</v>
      </c>
      <c r="C71" s="25">
        <v>30</v>
      </c>
      <c r="D71" s="17"/>
      <c r="E71" s="17"/>
      <c r="F71" s="6"/>
      <c r="G71" s="6"/>
      <c r="H71" s="8"/>
      <c r="I71" s="8"/>
      <c r="J71" s="8"/>
      <c r="K71" s="8"/>
    </row>
    <row r="72" spans="1:11" ht="15" x14ac:dyDescent="0.2">
      <c r="B72" s="23" t="s">
        <v>8</v>
      </c>
      <c r="C72" s="25">
        <v>1460</v>
      </c>
      <c r="D72" s="17"/>
      <c r="E72" s="17"/>
      <c r="F72" s="6"/>
      <c r="G72" s="6"/>
      <c r="H72" s="8"/>
      <c r="I72" s="8"/>
      <c r="J72" s="8"/>
      <c r="K72" s="8"/>
    </row>
    <row r="73" spans="1:11" ht="15" x14ac:dyDescent="0.2">
      <c r="B73" s="23" t="s">
        <v>9</v>
      </c>
      <c r="C73" s="25">
        <f>C72/C70</f>
        <v>36.5</v>
      </c>
      <c r="D73" s="17"/>
      <c r="E73" s="17"/>
      <c r="F73" s="6"/>
      <c r="G73" s="6"/>
      <c r="H73" s="8"/>
      <c r="I73" s="8"/>
      <c r="J73" s="8"/>
      <c r="K73" s="8"/>
    </row>
    <row r="74" spans="1:11" ht="15" x14ac:dyDescent="0.2">
      <c r="B74" s="20"/>
      <c r="D74" s="17"/>
      <c r="E74" s="17"/>
      <c r="F74" s="6"/>
      <c r="G74" s="6"/>
      <c r="H74" s="8"/>
      <c r="I74" s="8"/>
      <c r="J74" s="8"/>
      <c r="K74" s="8"/>
    </row>
    <row r="75" spans="1:11" ht="15" x14ac:dyDescent="0.2">
      <c r="A75" s="27">
        <f>1+A67</f>
        <v>5</v>
      </c>
      <c r="B75" s="20" t="s">
        <v>31</v>
      </c>
      <c r="D75" s="17"/>
      <c r="E75" s="17"/>
    </row>
    <row r="76" spans="1:11" ht="15" x14ac:dyDescent="0.25">
      <c r="B76" s="21" t="s">
        <v>24</v>
      </c>
      <c r="C76" s="24" t="s">
        <v>15</v>
      </c>
      <c r="D76" s="17"/>
      <c r="E76" s="17"/>
      <c r="F76" s="6"/>
      <c r="G76" s="6"/>
      <c r="H76" s="8"/>
      <c r="I76" s="8"/>
      <c r="J76" s="8"/>
      <c r="K76" s="8"/>
    </row>
    <row r="77" spans="1:11" ht="15" x14ac:dyDescent="0.2">
      <c r="B77" s="22" t="s">
        <v>5</v>
      </c>
      <c r="C77" s="24" t="s">
        <v>30</v>
      </c>
      <c r="D77" s="17"/>
      <c r="E77" s="17"/>
      <c r="F77" s="6"/>
      <c r="G77" s="6"/>
      <c r="H77" s="8"/>
      <c r="I77" s="8"/>
      <c r="J77" s="8"/>
      <c r="K77" s="8"/>
    </row>
    <row r="78" spans="1:11" ht="15" x14ac:dyDescent="0.2">
      <c r="B78" s="23" t="s">
        <v>6</v>
      </c>
      <c r="C78" s="25">
        <v>40</v>
      </c>
      <c r="D78" s="17"/>
      <c r="E78" s="17"/>
      <c r="F78" s="6"/>
      <c r="G78" s="6"/>
      <c r="H78" s="8"/>
      <c r="I78" s="8"/>
      <c r="J78" s="8"/>
      <c r="K78" s="8"/>
    </row>
    <row r="79" spans="1:11" ht="15" x14ac:dyDescent="0.2">
      <c r="B79" s="23" t="s">
        <v>7</v>
      </c>
      <c r="C79" s="25">
        <v>30</v>
      </c>
      <c r="D79" s="17"/>
      <c r="E79" s="17"/>
      <c r="F79" s="6"/>
      <c r="G79" s="6"/>
      <c r="H79" s="8"/>
      <c r="I79" s="8"/>
      <c r="J79" s="8"/>
      <c r="K79" s="8"/>
    </row>
    <row r="80" spans="1:11" ht="15" x14ac:dyDescent="0.2">
      <c r="B80" s="23" t="s">
        <v>8</v>
      </c>
      <c r="C80" s="25">
        <v>1460</v>
      </c>
      <c r="D80" s="17"/>
      <c r="E80" s="17"/>
      <c r="F80" s="6"/>
      <c r="G80" s="6"/>
      <c r="H80" s="8"/>
      <c r="I80" s="8"/>
      <c r="J80" s="8"/>
      <c r="K80" s="8"/>
    </row>
    <row r="81" spans="1:11" ht="15" x14ac:dyDescent="0.2">
      <c r="B81" s="23" t="s">
        <v>9</v>
      </c>
      <c r="C81" s="25">
        <f>C80/C78</f>
        <v>36.5</v>
      </c>
      <c r="D81" s="17"/>
      <c r="E81" s="17"/>
      <c r="F81" s="6"/>
      <c r="G81" s="6"/>
      <c r="H81" s="8"/>
      <c r="I81" s="8"/>
      <c r="J81" s="8"/>
      <c r="K81" s="8"/>
    </row>
    <row r="82" spans="1:11" ht="15" x14ac:dyDescent="0.2">
      <c r="B82" s="20"/>
      <c r="D82" s="17"/>
      <c r="E82" s="17"/>
      <c r="F82" s="6"/>
      <c r="G82" s="6"/>
      <c r="H82" s="8"/>
      <c r="I82" s="8"/>
      <c r="J82" s="8"/>
      <c r="K82" s="8"/>
    </row>
    <row r="83" spans="1:11" ht="15" x14ac:dyDescent="0.2">
      <c r="A83" s="27">
        <f>1+A75</f>
        <v>6</v>
      </c>
      <c r="B83" s="20" t="s">
        <v>32</v>
      </c>
      <c r="D83" s="17"/>
      <c r="E83" s="17"/>
    </row>
    <row r="84" spans="1:11" ht="15" x14ac:dyDescent="0.25">
      <c r="B84" s="21" t="s">
        <v>24</v>
      </c>
      <c r="C84" s="24" t="s">
        <v>12</v>
      </c>
      <c r="D84" s="17"/>
      <c r="E84" s="17"/>
      <c r="F84" s="6"/>
      <c r="G84" s="6"/>
      <c r="H84" s="8"/>
      <c r="I84" s="8"/>
      <c r="J84" s="8"/>
      <c r="K84" s="8"/>
    </row>
    <row r="85" spans="1:11" ht="15" x14ac:dyDescent="0.2">
      <c r="B85" s="22" t="s">
        <v>5</v>
      </c>
      <c r="C85" s="24" t="s">
        <v>30</v>
      </c>
      <c r="D85" s="17"/>
      <c r="E85" s="17"/>
      <c r="F85" s="6"/>
      <c r="G85" s="6"/>
      <c r="H85" s="8"/>
      <c r="I85" s="8"/>
      <c r="J85" s="8"/>
      <c r="K85" s="8"/>
    </row>
    <row r="86" spans="1:11" ht="15" x14ac:dyDescent="0.2">
      <c r="B86" s="23" t="s">
        <v>6</v>
      </c>
      <c r="C86" s="25">
        <v>40</v>
      </c>
      <c r="D86" s="17"/>
      <c r="E86" s="17"/>
      <c r="F86" s="6"/>
      <c r="G86" s="6"/>
      <c r="H86" s="8"/>
      <c r="I86" s="8"/>
      <c r="J86" s="8"/>
      <c r="K86" s="8"/>
    </row>
    <row r="87" spans="1:11" ht="15" x14ac:dyDescent="0.2">
      <c r="B87" s="23" t="s">
        <v>7</v>
      </c>
      <c r="C87" s="25">
        <v>30</v>
      </c>
      <c r="D87" s="17"/>
      <c r="E87" s="17"/>
      <c r="F87" s="6"/>
      <c r="G87" s="6"/>
      <c r="H87" s="8"/>
      <c r="I87" s="8"/>
      <c r="J87" s="8"/>
      <c r="K87" s="8"/>
    </row>
    <row r="88" spans="1:11" ht="15" x14ac:dyDescent="0.2">
      <c r="B88" s="23" t="s">
        <v>8</v>
      </c>
      <c r="C88" s="25">
        <v>1460</v>
      </c>
      <c r="D88" s="17"/>
      <c r="E88" s="17"/>
      <c r="F88" s="6"/>
      <c r="G88" s="6"/>
      <c r="H88" s="8"/>
      <c r="I88" s="8"/>
      <c r="J88" s="8"/>
      <c r="K88" s="8"/>
    </row>
    <row r="89" spans="1:11" ht="15" x14ac:dyDescent="0.2">
      <c r="B89" s="23" t="s">
        <v>9</v>
      </c>
      <c r="C89" s="25">
        <f>C88/C86</f>
        <v>36.5</v>
      </c>
      <c r="D89" s="17"/>
      <c r="E89" s="17"/>
      <c r="F89" s="6"/>
      <c r="G89" s="6"/>
      <c r="H89" s="8"/>
      <c r="I89" s="8"/>
      <c r="J89" s="8"/>
      <c r="K89" s="8"/>
    </row>
    <row r="90" spans="1:11" ht="15" x14ac:dyDescent="0.2">
      <c r="B90" s="20"/>
      <c r="D90" s="17"/>
      <c r="E90" s="17"/>
      <c r="F90" s="6"/>
      <c r="G90" s="6"/>
      <c r="H90" s="8"/>
      <c r="I90" s="8"/>
      <c r="J90" s="8"/>
      <c r="K90" s="8"/>
    </row>
    <row r="91" spans="1:11" ht="15" x14ac:dyDescent="0.2">
      <c r="A91" s="27">
        <f>1+A83</f>
        <v>7</v>
      </c>
      <c r="B91" s="20" t="s">
        <v>33</v>
      </c>
      <c r="D91" s="17"/>
      <c r="E91" s="17"/>
      <c r="F91" s="6"/>
      <c r="G91" s="6"/>
      <c r="H91" s="8"/>
      <c r="I91" s="8"/>
      <c r="J91" s="8"/>
      <c r="K91" s="8"/>
    </row>
    <row r="92" spans="1:11" ht="15" x14ac:dyDescent="0.25">
      <c r="B92" s="21" t="s">
        <v>24</v>
      </c>
      <c r="C92" s="24" t="s">
        <v>12</v>
      </c>
      <c r="D92" s="17"/>
      <c r="E92" s="17"/>
      <c r="F92" s="6"/>
      <c r="G92" s="6"/>
      <c r="H92" s="8"/>
      <c r="I92" s="8"/>
      <c r="J92" s="8"/>
      <c r="K92" s="8"/>
    </row>
    <row r="93" spans="1:11" ht="15" x14ac:dyDescent="0.2">
      <c r="B93" s="22" t="s">
        <v>5</v>
      </c>
      <c r="C93" s="24" t="s">
        <v>30</v>
      </c>
      <c r="D93" s="17"/>
      <c r="E93" s="17"/>
      <c r="F93" s="6"/>
      <c r="G93" s="6"/>
      <c r="H93" s="8"/>
      <c r="I93" s="8"/>
      <c r="J93" s="8"/>
      <c r="K93" s="8"/>
    </row>
    <row r="94" spans="1:11" ht="15" x14ac:dyDescent="0.2">
      <c r="B94" s="23" t="s">
        <v>6</v>
      </c>
      <c r="C94" s="25">
        <v>40</v>
      </c>
      <c r="D94" s="17"/>
      <c r="E94" s="17"/>
      <c r="F94" s="6"/>
      <c r="G94" s="6"/>
      <c r="H94" s="8"/>
      <c r="I94" s="8"/>
      <c r="J94" s="8"/>
      <c r="K94" s="8"/>
    </row>
    <row r="95" spans="1:11" ht="15" x14ac:dyDescent="0.2">
      <c r="B95" s="23" t="s">
        <v>7</v>
      </c>
      <c r="C95" s="25">
        <v>30</v>
      </c>
      <c r="D95" s="17"/>
      <c r="E95" s="17"/>
      <c r="F95" s="6"/>
      <c r="G95" s="6"/>
      <c r="H95" s="8"/>
      <c r="I95" s="8"/>
      <c r="J95" s="8"/>
      <c r="K95" s="8"/>
    </row>
    <row r="96" spans="1:11" ht="15" x14ac:dyDescent="0.2">
      <c r="B96" s="23" t="s">
        <v>8</v>
      </c>
      <c r="C96" s="25">
        <v>1460</v>
      </c>
      <c r="D96" s="17"/>
      <c r="E96" s="17"/>
      <c r="F96" s="6"/>
      <c r="G96" s="6"/>
      <c r="H96" s="8"/>
      <c r="I96" s="8"/>
      <c r="J96" s="8"/>
      <c r="K96" s="8"/>
    </row>
    <row r="97" spans="1:11" ht="15" x14ac:dyDescent="0.2">
      <c r="B97" s="23" t="s">
        <v>9</v>
      </c>
      <c r="C97" s="25">
        <f>C96/C94</f>
        <v>36.5</v>
      </c>
      <c r="D97" s="17"/>
      <c r="E97" s="17"/>
      <c r="F97" s="6"/>
      <c r="G97" s="6"/>
      <c r="H97" s="8"/>
      <c r="I97" s="8"/>
      <c r="J97" s="8"/>
      <c r="K97" s="8"/>
    </row>
    <row r="98" spans="1:11" ht="15" x14ac:dyDescent="0.2">
      <c r="B98" s="20"/>
      <c r="D98" s="17"/>
      <c r="E98" s="17"/>
      <c r="F98" s="6"/>
      <c r="G98" s="6"/>
      <c r="H98" s="8"/>
      <c r="I98" s="8"/>
      <c r="J98" s="8"/>
      <c r="K98" s="8"/>
    </row>
    <row r="99" spans="1:11" ht="15" x14ac:dyDescent="0.2">
      <c r="A99" s="27">
        <f>1+A91</f>
        <v>8</v>
      </c>
      <c r="B99" s="20" t="s">
        <v>34</v>
      </c>
      <c r="D99" s="17"/>
      <c r="E99" s="17"/>
      <c r="F99" s="6"/>
      <c r="G99" s="6"/>
      <c r="H99" s="8"/>
      <c r="I99" s="8"/>
      <c r="J99" s="8"/>
      <c r="K99" s="8"/>
    </row>
    <row r="100" spans="1:11" ht="15" x14ac:dyDescent="0.25">
      <c r="B100" s="21" t="s">
        <v>24</v>
      </c>
      <c r="C100" s="24" t="s">
        <v>12</v>
      </c>
      <c r="D100" s="17"/>
      <c r="E100" s="17"/>
      <c r="F100" s="6"/>
      <c r="G100" s="6"/>
      <c r="H100" s="8"/>
      <c r="I100" s="8"/>
      <c r="J100" s="8"/>
      <c r="K100" s="8"/>
    </row>
    <row r="101" spans="1:11" ht="15" x14ac:dyDescent="0.2">
      <c r="B101" s="22" t="s">
        <v>5</v>
      </c>
      <c r="C101" s="24" t="s">
        <v>30</v>
      </c>
      <c r="D101" s="17"/>
      <c r="E101" s="17"/>
      <c r="F101" s="6"/>
      <c r="G101" s="6"/>
      <c r="H101" s="8"/>
      <c r="I101" s="8"/>
      <c r="J101" s="8"/>
      <c r="K101" s="8"/>
    </row>
    <row r="102" spans="1:11" ht="15" x14ac:dyDescent="0.2">
      <c r="B102" s="23" t="s">
        <v>6</v>
      </c>
      <c r="C102" s="25">
        <v>40</v>
      </c>
      <c r="D102" s="17"/>
      <c r="E102" s="17"/>
      <c r="F102" s="6"/>
      <c r="G102" s="6"/>
      <c r="H102" s="8"/>
      <c r="I102" s="8"/>
      <c r="J102" s="8"/>
      <c r="K102" s="8"/>
    </row>
    <row r="103" spans="1:11" ht="15" x14ac:dyDescent="0.2">
      <c r="B103" s="23" t="s">
        <v>7</v>
      </c>
      <c r="C103" s="25">
        <v>30</v>
      </c>
      <c r="D103" s="17"/>
      <c r="E103" s="17"/>
      <c r="F103" s="6"/>
      <c r="G103" s="6"/>
      <c r="H103" s="8"/>
      <c r="I103" s="8"/>
      <c r="J103" s="8"/>
      <c r="K103" s="8"/>
    </row>
    <row r="104" spans="1:11" ht="15" x14ac:dyDescent="0.2">
      <c r="B104" s="23" t="s">
        <v>8</v>
      </c>
      <c r="C104" s="25">
        <v>1460</v>
      </c>
      <c r="D104" s="17"/>
      <c r="E104" s="17"/>
      <c r="F104" s="6"/>
      <c r="G104" s="6"/>
      <c r="H104" s="8"/>
      <c r="I104" s="8"/>
      <c r="J104" s="8"/>
      <c r="K104" s="8"/>
    </row>
    <row r="105" spans="1:11" ht="15" x14ac:dyDescent="0.2">
      <c r="B105" s="23" t="s">
        <v>9</v>
      </c>
      <c r="C105" s="25">
        <f>C104/C102</f>
        <v>36.5</v>
      </c>
      <c r="D105" s="17"/>
      <c r="E105" s="17"/>
      <c r="F105" s="6"/>
      <c r="G105" s="6"/>
      <c r="H105" s="8"/>
      <c r="I105" s="8"/>
      <c r="J105" s="8"/>
      <c r="K105" s="8"/>
    </row>
    <row r="106" spans="1:11" ht="15" x14ac:dyDescent="0.2">
      <c r="B106" s="20"/>
      <c r="D106" s="17"/>
      <c r="E106" s="17"/>
      <c r="F106" s="6"/>
      <c r="G106" s="6"/>
      <c r="H106" s="8"/>
      <c r="I106" s="8"/>
      <c r="J106" s="8"/>
      <c r="K106" s="8"/>
    </row>
    <row r="107" spans="1:11" ht="15" x14ac:dyDescent="0.2">
      <c r="A107" s="27">
        <f>1+A99</f>
        <v>9</v>
      </c>
      <c r="B107" s="20" t="s">
        <v>35</v>
      </c>
      <c r="D107" s="17"/>
      <c r="E107" s="17"/>
    </row>
    <row r="108" spans="1:11" ht="15" x14ac:dyDescent="0.25">
      <c r="B108" s="21" t="s">
        <v>24</v>
      </c>
      <c r="C108" s="24" t="s">
        <v>19</v>
      </c>
      <c r="D108" s="17"/>
      <c r="E108" s="17"/>
      <c r="F108" s="6"/>
      <c r="G108" s="6"/>
      <c r="H108" s="8"/>
      <c r="I108" s="8"/>
      <c r="J108" s="8"/>
      <c r="K108" s="9"/>
    </row>
    <row r="109" spans="1:11" ht="15" x14ac:dyDescent="0.2">
      <c r="B109" s="22" t="s">
        <v>5</v>
      </c>
      <c r="C109" s="24" t="s">
        <v>26</v>
      </c>
      <c r="D109" s="17"/>
      <c r="E109" s="17"/>
      <c r="F109" s="6"/>
      <c r="G109" s="6"/>
      <c r="H109" s="8"/>
      <c r="I109" s="8"/>
      <c r="J109" s="8"/>
      <c r="K109" s="9"/>
    </row>
    <row r="110" spans="1:11" ht="15" x14ac:dyDescent="0.2">
      <c r="B110" s="23" t="s">
        <v>6</v>
      </c>
      <c r="C110" s="25">
        <v>40</v>
      </c>
      <c r="D110" s="17"/>
      <c r="E110" s="17"/>
      <c r="F110" s="6"/>
      <c r="G110" s="6"/>
      <c r="H110" s="8"/>
      <c r="I110" s="8"/>
      <c r="J110" s="8"/>
      <c r="K110" s="9"/>
    </row>
    <row r="111" spans="1:11" ht="15" x14ac:dyDescent="0.2">
      <c r="B111" s="23" t="s">
        <v>7</v>
      </c>
      <c r="C111" s="25">
        <v>40</v>
      </c>
      <c r="D111" s="17"/>
      <c r="E111" s="17"/>
      <c r="F111" s="6"/>
      <c r="G111" s="6"/>
      <c r="H111" s="8"/>
      <c r="I111" s="8"/>
      <c r="J111" s="8"/>
      <c r="K111" s="9"/>
    </row>
    <row r="112" spans="1:11" ht="15" x14ac:dyDescent="0.2">
      <c r="B112" s="23" t="s">
        <v>8</v>
      </c>
      <c r="C112" s="25">
        <v>1470</v>
      </c>
      <c r="E112" s="17"/>
      <c r="F112" s="6"/>
      <c r="G112" s="6"/>
      <c r="H112" s="8"/>
      <c r="I112" s="8"/>
      <c r="J112" s="8"/>
      <c r="K112" s="9"/>
    </row>
    <row r="113" spans="1:11" ht="15" x14ac:dyDescent="0.2">
      <c r="B113" s="23" t="s">
        <v>9</v>
      </c>
      <c r="C113" s="26">
        <f>C112/C110</f>
        <v>36.75</v>
      </c>
      <c r="D113" s="17"/>
      <c r="E113" s="17"/>
      <c r="F113" s="6"/>
      <c r="G113" s="6"/>
      <c r="H113" s="8"/>
      <c r="I113" s="8"/>
      <c r="J113" s="8"/>
      <c r="K113" s="9"/>
    </row>
    <row r="114" spans="1:11" ht="15" x14ac:dyDescent="0.2">
      <c r="B114" s="20"/>
      <c r="D114" s="17"/>
      <c r="E114" s="17"/>
      <c r="F114" s="6"/>
      <c r="G114" s="6"/>
      <c r="H114" s="8"/>
      <c r="I114" s="8"/>
      <c r="J114" s="8"/>
      <c r="K114" s="9"/>
    </row>
    <row r="115" spans="1:11" ht="15" x14ac:dyDescent="0.2">
      <c r="A115" s="27">
        <f>1+A107</f>
        <v>10</v>
      </c>
      <c r="B115" s="20" t="s">
        <v>36</v>
      </c>
      <c r="D115" s="17"/>
      <c r="E115" s="17"/>
    </row>
    <row r="116" spans="1:11" ht="15" x14ac:dyDescent="0.25">
      <c r="B116" s="21" t="s">
        <v>24</v>
      </c>
      <c r="C116" s="24" t="s">
        <v>12</v>
      </c>
      <c r="D116" s="17"/>
      <c r="E116" s="17"/>
      <c r="F116" s="6"/>
      <c r="G116" s="6"/>
      <c r="H116" s="8"/>
      <c r="I116" s="8"/>
      <c r="J116" s="8"/>
      <c r="K116" s="9"/>
    </row>
    <row r="117" spans="1:11" ht="15" x14ac:dyDescent="0.2">
      <c r="B117" s="22" t="s">
        <v>5</v>
      </c>
      <c r="C117" s="24" t="s">
        <v>37</v>
      </c>
      <c r="D117" s="17"/>
      <c r="E117" s="17"/>
      <c r="F117" s="6"/>
      <c r="G117" s="6"/>
      <c r="H117" s="8"/>
      <c r="I117" s="8"/>
      <c r="J117" s="8"/>
      <c r="K117" s="9"/>
    </row>
    <row r="118" spans="1:11" ht="15" x14ac:dyDescent="0.2">
      <c r="B118" s="23" t="s">
        <v>6</v>
      </c>
      <c r="C118" s="25">
        <v>40</v>
      </c>
      <c r="D118" s="17"/>
      <c r="E118" s="17"/>
      <c r="F118" s="6"/>
      <c r="G118" s="6"/>
      <c r="H118" s="8"/>
      <c r="I118" s="8"/>
      <c r="J118" s="8"/>
      <c r="K118" s="9"/>
    </row>
    <row r="119" spans="1:11" ht="15" x14ac:dyDescent="0.2">
      <c r="B119" s="23" t="s">
        <v>7</v>
      </c>
      <c r="C119" s="25">
        <v>20</v>
      </c>
      <c r="F119" s="6"/>
      <c r="G119" s="6"/>
      <c r="H119" s="8"/>
      <c r="I119" s="8"/>
      <c r="J119" s="8"/>
      <c r="K119" s="9"/>
    </row>
    <row r="120" spans="1:11" ht="15" x14ac:dyDescent="0.2">
      <c r="B120" s="23" t="s">
        <v>8</v>
      </c>
      <c r="C120" s="25">
        <v>1460</v>
      </c>
      <c r="D120" s="17"/>
      <c r="E120" s="17"/>
      <c r="F120" s="6"/>
      <c r="G120" s="6"/>
      <c r="H120" s="8"/>
      <c r="I120" s="8"/>
      <c r="J120" s="8"/>
      <c r="K120" s="9"/>
    </row>
    <row r="121" spans="1:11" ht="15" x14ac:dyDescent="0.2">
      <c r="B121" s="23" t="s">
        <v>9</v>
      </c>
      <c r="C121" s="26">
        <f>C120/C118</f>
        <v>36.5</v>
      </c>
      <c r="D121" s="17"/>
      <c r="E121" s="17"/>
      <c r="F121" s="6"/>
      <c r="G121" s="6"/>
      <c r="H121" s="8"/>
      <c r="I121" s="8"/>
      <c r="J121" s="8"/>
      <c r="K121" s="9"/>
    </row>
    <row r="122" spans="1:11" ht="15" x14ac:dyDescent="0.2">
      <c r="A122" s="27">
        <f>1+A115</f>
        <v>11</v>
      </c>
      <c r="B122" s="20" t="s">
        <v>38</v>
      </c>
      <c r="D122" s="17"/>
      <c r="E122" s="17"/>
      <c r="F122" s="6"/>
      <c r="G122" s="6"/>
      <c r="H122" s="8"/>
      <c r="I122" s="8"/>
      <c r="J122" s="8"/>
      <c r="K122" s="8"/>
    </row>
    <row r="123" spans="1:11" ht="15" x14ac:dyDescent="0.25">
      <c r="B123" s="21" t="s">
        <v>24</v>
      </c>
      <c r="C123" s="24" t="s">
        <v>12</v>
      </c>
      <c r="D123" s="17"/>
      <c r="E123" s="17"/>
      <c r="F123" s="6"/>
      <c r="G123" s="6"/>
      <c r="H123" s="8"/>
      <c r="I123" s="8"/>
      <c r="J123" s="8"/>
      <c r="K123" s="8"/>
    </row>
    <row r="124" spans="1:11" ht="15" x14ac:dyDescent="0.2">
      <c r="B124" s="22" t="s">
        <v>5</v>
      </c>
      <c r="C124" s="24" t="s">
        <v>37</v>
      </c>
      <c r="D124" s="17"/>
      <c r="E124" s="17"/>
      <c r="F124" s="6"/>
      <c r="G124" s="6"/>
      <c r="H124" s="8"/>
      <c r="I124" s="8"/>
      <c r="J124" s="8"/>
      <c r="K124" s="8"/>
    </row>
    <row r="125" spans="1:11" ht="15" x14ac:dyDescent="0.2">
      <c r="B125" s="23" t="s">
        <v>6</v>
      </c>
      <c r="C125" s="25">
        <v>40</v>
      </c>
      <c r="D125" s="17"/>
      <c r="E125" s="17"/>
      <c r="F125" s="6"/>
      <c r="G125" s="6"/>
      <c r="H125" s="8"/>
      <c r="I125" s="8"/>
      <c r="J125" s="8"/>
      <c r="K125" s="8"/>
    </row>
    <row r="126" spans="1:11" ht="15" x14ac:dyDescent="0.2">
      <c r="B126" s="23" t="s">
        <v>7</v>
      </c>
      <c r="C126" s="25">
        <v>20</v>
      </c>
      <c r="D126" s="17"/>
      <c r="E126" s="17"/>
      <c r="F126" s="6"/>
      <c r="G126" s="6"/>
      <c r="H126" s="8"/>
      <c r="I126" s="8"/>
      <c r="J126" s="8"/>
      <c r="K126" s="8"/>
    </row>
    <row r="127" spans="1:11" ht="15" x14ac:dyDescent="0.2">
      <c r="B127" s="23" t="s">
        <v>8</v>
      </c>
      <c r="C127" s="25">
        <v>1460</v>
      </c>
      <c r="D127" s="17"/>
      <c r="E127" s="17"/>
      <c r="F127" s="6"/>
      <c r="G127" s="6"/>
      <c r="H127" s="8"/>
      <c r="I127" s="8"/>
      <c r="J127" s="8"/>
      <c r="K127" s="8"/>
    </row>
    <row r="128" spans="1:11" ht="15" x14ac:dyDescent="0.2">
      <c r="B128" s="23" t="s">
        <v>9</v>
      </c>
      <c r="C128" s="26">
        <f>C127/C125</f>
        <v>36.5</v>
      </c>
      <c r="D128" s="17"/>
      <c r="E128" s="17"/>
      <c r="F128" s="6"/>
      <c r="G128" s="6"/>
      <c r="H128" s="8"/>
      <c r="I128" s="8"/>
      <c r="J128" s="8"/>
      <c r="K128" s="8"/>
    </row>
    <row r="129" spans="1:11" ht="15" x14ac:dyDescent="0.2">
      <c r="B129" s="20"/>
      <c r="D129" s="17"/>
      <c r="E129" s="17"/>
      <c r="F129" s="6"/>
      <c r="G129" s="6"/>
      <c r="H129" s="8"/>
      <c r="I129" s="8"/>
      <c r="J129" s="8"/>
      <c r="K129" s="8"/>
    </row>
    <row r="130" spans="1:11" ht="15" x14ac:dyDescent="0.2">
      <c r="A130" s="27">
        <f>1+A122</f>
        <v>12</v>
      </c>
      <c r="B130" s="20" t="s">
        <v>39</v>
      </c>
      <c r="D130" s="17"/>
      <c r="E130" s="17"/>
      <c r="F130" s="6"/>
      <c r="G130" s="6"/>
      <c r="H130" s="8"/>
      <c r="I130" s="8"/>
      <c r="J130" s="8"/>
      <c r="K130" s="8"/>
    </row>
    <row r="131" spans="1:11" ht="15" x14ac:dyDescent="0.25">
      <c r="B131" s="21" t="s">
        <v>24</v>
      </c>
      <c r="C131" s="24" t="s">
        <v>12</v>
      </c>
      <c r="D131" s="17"/>
      <c r="E131" s="17"/>
      <c r="F131" s="6"/>
      <c r="G131" s="6"/>
      <c r="H131" s="8"/>
      <c r="I131" s="8"/>
      <c r="J131" s="8"/>
      <c r="K131" s="8"/>
    </row>
    <row r="132" spans="1:11" ht="15" x14ac:dyDescent="0.2">
      <c r="B132" s="22" t="s">
        <v>5</v>
      </c>
      <c r="C132" s="24" t="s">
        <v>37</v>
      </c>
      <c r="D132" s="17"/>
      <c r="E132" s="17"/>
      <c r="F132" s="6"/>
      <c r="G132" s="6"/>
      <c r="H132" s="8"/>
      <c r="I132" s="8"/>
      <c r="J132" s="8"/>
      <c r="K132" s="8"/>
    </row>
    <row r="133" spans="1:11" ht="15" x14ac:dyDescent="0.2">
      <c r="B133" s="23" t="s">
        <v>6</v>
      </c>
      <c r="C133" s="25">
        <v>40</v>
      </c>
      <c r="D133" s="17"/>
      <c r="E133" s="17"/>
      <c r="F133" s="6"/>
      <c r="G133" s="6"/>
      <c r="H133" s="8"/>
      <c r="I133" s="8"/>
      <c r="J133" s="8"/>
      <c r="K133" s="8"/>
    </row>
    <row r="134" spans="1:11" ht="15" x14ac:dyDescent="0.2">
      <c r="B134" s="23" t="s">
        <v>7</v>
      </c>
      <c r="C134" s="25">
        <v>20</v>
      </c>
      <c r="D134" s="17"/>
      <c r="E134" s="17"/>
      <c r="F134" s="6"/>
      <c r="G134" s="6"/>
      <c r="H134" s="8"/>
      <c r="I134" s="8"/>
      <c r="J134" s="8"/>
      <c r="K134" s="8"/>
    </row>
    <row r="135" spans="1:11" ht="15" x14ac:dyDescent="0.2">
      <c r="B135" s="23" t="s">
        <v>8</v>
      </c>
      <c r="C135" s="25">
        <v>1460</v>
      </c>
      <c r="D135" s="17"/>
      <c r="E135" s="17"/>
      <c r="F135" s="6"/>
      <c r="G135" s="6"/>
      <c r="H135" s="8"/>
      <c r="I135" s="8"/>
      <c r="J135" s="8"/>
      <c r="K135" s="8"/>
    </row>
    <row r="136" spans="1:11" ht="15" x14ac:dyDescent="0.2">
      <c r="B136" s="23" t="s">
        <v>9</v>
      </c>
      <c r="C136" s="26">
        <f>C135/C133</f>
        <v>36.5</v>
      </c>
      <c r="D136" s="17"/>
      <c r="E136" s="17"/>
      <c r="F136" s="6"/>
      <c r="G136" s="6"/>
      <c r="H136" s="8"/>
      <c r="I136" s="8"/>
      <c r="J136" s="8"/>
      <c r="K136" s="8"/>
    </row>
    <row r="137" spans="1:11" ht="15" x14ac:dyDescent="0.2">
      <c r="B137" s="20"/>
      <c r="D137" s="17"/>
      <c r="E137" s="17"/>
      <c r="F137" s="6"/>
      <c r="G137" s="6"/>
      <c r="H137" s="8"/>
      <c r="I137" s="8"/>
      <c r="J137" s="8"/>
      <c r="K137" s="8"/>
    </row>
    <row r="138" spans="1:11" ht="15" x14ac:dyDescent="0.2">
      <c r="A138" s="27">
        <f>1+A130</f>
        <v>13</v>
      </c>
      <c r="B138" s="20" t="s">
        <v>40</v>
      </c>
      <c r="D138" s="17"/>
      <c r="E138" s="17"/>
      <c r="F138" s="6"/>
      <c r="G138" s="6"/>
      <c r="H138" s="8"/>
      <c r="I138" s="8"/>
      <c r="J138" s="8"/>
      <c r="K138" s="8"/>
    </row>
    <row r="139" spans="1:11" ht="15" x14ac:dyDescent="0.25">
      <c r="B139" s="21" t="s">
        <v>24</v>
      </c>
      <c r="C139" s="24" t="s">
        <v>12</v>
      </c>
      <c r="D139" s="17"/>
      <c r="E139" s="17"/>
      <c r="F139" s="6"/>
      <c r="G139" s="6"/>
      <c r="H139" s="8"/>
      <c r="I139" s="8"/>
      <c r="J139" s="8"/>
      <c r="K139" s="8"/>
    </row>
    <row r="140" spans="1:11" ht="15" x14ac:dyDescent="0.2">
      <c r="B140" s="22" t="s">
        <v>5</v>
      </c>
      <c r="C140" s="24" t="s">
        <v>37</v>
      </c>
      <c r="D140" s="17"/>
      <c r="E140" s="17"/>
      <c r="F140" s="6"/>
      <c r="G140" s="6"/>
      <c r="H140" s="8"/>
      <c r="I140" s="8"/>
      <c r="J140" s="8"/>
      <c r="K140" s="8"/>
    </row>
    <row r="141" spans="1:11" ht="15" x14ac:dyDescent="0.2">
      <c r="B141" s="23" t="s">
        <v>6</v>
      </c>
      <c r="C141" s="25">
        <v>40</v>
      </c>
      <c r="D141" s="17"/>
      <c r="E141" s="17"/>
      <c r="F141" s="6"/>
      <c r="G141" s="6"/>
      <c r="H141" s="8"/>
      <c r="I141" s="8"/>
      <c r="J141" s="8"/>
      <c r="K141" s="8"/>
    </row>
    <row r="142" spans="1:11" ht="15" x14ac:dyDescent="0.2">
      <c r="B142" s="23" t="s">
        <v>7</v>
      </c>
      <c r="C142" s="25">
        <v>20</v>
      </c>
      <c r="D142" s="17"/>
      <c r="E142" s="17"/>
      <c r="F142" s="6"/>
      <c r="G142" s="6"/>
      <c r="H142" s="8"/>
      <c r="I142" s="8"/>
      <c r="J142" s="8"/>
      <c r="K142" s="8"/>
    </row>
    <row r="143" spans="1:11" ht="15" x14ac:dyDescent="0.2">
      <c r="B143" s="23" t="s">
        <v>8</v>
      </c>
      <c r="C143" s="25">
        <v>1460</v>
      </c>
      <c r="D143" s="17"/>
      <c r="E143" s="17"/>
      <c r="F143" s="6"/>
      <c r="G143" s="6"/>
      <c r="H143" s="8"/>
      <c r="I143" s="8"/>
      <c r="J143" s="8"/>
      <c r="K143" s="8"/>
    </row>
    <row r="144" spans="1:11" ht="15" x14ac:dyDescent="0.2">
      <c r="B144" s="23" t="s">
        <v>9</v>
      </c>
      <c r="C144" s="26">
        <f>C143/C141</f>
        <v>36.5</v>
      </c>
      <c r="D144" s="17"/>
      <c r="E144" s="17"/>
      <c r="F144" s="6"/>
      <c r="G144" s="6"/>
      <c r="H144" s="8"/>
      <c r="I144" s="8"/>
      <c r="J144" s="8"/>
      <c r="K144" s="8"/>
    </row>
    <row r="145" spans="1:11" ht="15" x14ac:dyDescent="0.2">
      <c r="B145" s="20"/>
      <c r="D145" s="17"/>
      <c r="E145" s="17"/>
      <c r="F145" s="6"/>
      <c r="G145" s="6"/>
      <c r="H145" s="8"/>
      <c r="I145" s="8"/>
      <c r="J145" s="8"/>
      <c r="K145" s="8"/>
    </row>
    <row r="146" spans="1:11" ht="15" x14ac:dyDescent="0.2">
      <c r="A146" s="27">
        <f>1+A138</f>
        <v>14</v>
      </c>
      <c r="B146" s="20" t="s">
        <v>41</v>
      </c>
      <c r="D146" s="17"/>
      <c r="E146" s="17"/>
      <c r="F146" s="6"/>
      <c r="G146" s="6"/>
      <c r="H146" s="8"/>
      <c r="I146" s="8"/>
      <c r="J146" s="8"/>
      <c r="K146" s="8"/>
    </row>
    <row r="147" spans="1:11" ht="15" x14ac:dyDescent="0.25">
      <c r="B147" s="21" t="s">
        <v>24</v>
      </c>
      <c r="C147" s="24" t="s">
        <v>12</v>
      </c>
      <c r="D147" s="17"/>
      <c r="E147" s="17"/>
      <c r="F147" s="6"/>
      <c r="G147" s="6"/>
      <c r="H147" s="8"/>
      <c r="I147" s="8"/>
      <c r="J147" s="8"/>
      <c r="K147" s="8"/>
    </row>
    <row r="148" spans="1:11" ht="15" x14ac:dyDescent="0.2">
      <c r="B148" s="22" t="s">
        <v>5</v>
      </c>
      <c r="C148" s="24" t="s">
        <v>37</v>
      </c>
      <c r="D148" s="17"/>
      <c r="E148" s="17"/>
      <c r="F148" s="6"/>
      <c r="G148" s="6"/>
      <c r="H148" s="8"/>
      <c r="I148" s="8"/>
      <c r="J148" s="8"/>
      <c r="K148" s="8"/>
    </row>
    <row r="149" spans="1:11" ht="15" x14ac:dyDescent="0.2">
      <c r="B149" s="23" t="s">
        <v>6</v>
      </c>
      <c r="C149" s="25">
        <v>40</v>
      </c>
      <c r="D149" s="17"/>
      <c r="E149" s="17"/>
      <c r="F149" s="6"/>
      <c r="G149" s="6"/>
      <c r="H149" s="8"/>
      <c r="I149" s="8"/>
      <c r="J149" s="8"/>
      <c r="K149" s="8"/>
    </row>
    <row r="150" spans="1:11" ht="15" x14ac:dyDescent="0.2">
      <c r="B150" s="23" t="s">
        <v>7</v>
      </c>
      <c r="C150" s="25">
        <v>20</v>
      </c>
      <c r="D150" s="17"/>
      <c r="E150" s="17"/>
      <c r="F150" s="6"/>
      <c r="G150" s="6"/>
      <c r="H150" s="8"/>
      <c r="I150" s="8"/>
      <c r="J150" s="8"/>
      <c r="K150" s="8"/>
    </row>
    <row r="151" spans="1:11" ht="15" x14ac:dyDescent="0.2">
      <c r="B151" s="23" t="s">
        <v>8</v>
      </c>
      <c r="C151" s="25">
        <v>1460</v>
      </c>
      <c r="D151" s="17"/>
      <c r="E151" s="17"/>
      <c r="F151" s="6"/>
      <c r="G151" s="6"/>
      <c r="H151" s="8"/>
      <c r="I151" s="8"/>
      <c r="J151" s="8"/>
      <c r="K151" s="8"/>
    </row>
    <row r="152" spans="1:11" ht="15" x14ac:dyDescent="0.2">
      <c r="B152" s="23" t="s">
        <v>9</v>
      </c>
      <c r="C152" s="26">
        <f>C151/C149</f>
        <v>36.5</v>
      </c>
      <c r="D152" s="17"/>
      <c r="E152" s="17"/>
      <c r="F152" s="6"/>
      <c r="G152" s="6"/>
      <c r="H152" s="8"/>
      <c r="I152" s="8"/>
      <c r="J152" s="8"/>
      <c r="K152" s="8"/>
    </row>
    <row r="153" spans="1:11" ht="15" x14ac:dyDescent="0.2">
      <c r="B153" s="20"/>
      <c r="D153" s="17"/>
      <c r="E153" s="17"/>
      <c r="F153" s="6"/>
      <c r="G153" s="6"/>
      <c r="H153" s="8"/>
      <c r="I153" s="8"/>
      <c r="J153" s="8"/>
      <c r="K153" s="8"/>
    </row>
    <row r="154" spans="1:11" ht="15" x14ac:dyDescent="0.2">
      <c r="A154" s="27">
        <f>1+A146</f>
        <v>15</v>
      </c>
      <c r="B154" s="20" t="s">
        <v>42</v>
      </c>
      <c r="D154" s="17"/>
      <c r="E154" s="17"/>
      <c r="F154" s="6"/>
      <c r="G154" s="6"/>
      <c r="H154" s="8"/>
      <c r="I154" s="8"/>
      <c r="J154" s="8"/>
      <c r="K154" s="8"/>
    </row>
    <row r="155" spans="1:11" ht="15" x14ac:dyDescent="0.25">
      <c r="B155" s="21" t="s">
        <v>24</v>
      </c>
      <c r="C155" s="24" t="s">
        <v>12</v>
      </c>
      <c r="D155" s="17"/>
      <c r="E155" s="17"/>
      <c r="F155" s="6"/>
      <c r="G155" s="6"/>
      <c r="H155" s="8"/>
      <c r="I155" s="8"/>
      <c r="J155" s="8"/>
      <c r="K155" s="8"/>
    </row>
    <row r="156" spans="1:11" ht="15" x14ac:dyDescent="0.2">
      <c r="B156" s="22" t="s">
        <v>5</v>
      </c>
      <c r="C156" s="24" t="s">
        <v>37</v>
      </c>
      <c r="D156" s="17"/>
      <c r="E156" s="17"/>
      <c r="F156" s="6"/>
      <c r="G156" s="6"/>
      <c r="H156" s="8"/>
      <c r="I156" s="8"/>
      <c r="J156" s="8"/>
      <c r="K156" s="8"/>
    </row>
    <row r="157" spans="1:11" ht="15" x14ac:dyDescent="0.2">
      <c r="B157" s="23" t="s">
        <v>6</v>
      </c>
      <c r="C157" s="25">
        <v>40</v>
      </c>
      <c r="D157" s="17"/>
      <c r="E157" s="17"/>
      <c r="F157" s="6"/>
      <c r="G157" s="6"/>
      <c r="H157" s="8"/>
      <c r="I157" s="8"/>
      <c r="J157" s="8"/>
      <c r="K157" s="8"/>
    </row>
    <row r="158" spans="1:11" ht="15" x14ac:dyDescent="0.2">
      <c r="B158" s="23" t="s">
        <v>7</v>
      </c>
      <c r="C158" s="25">
        <v>20</v>
      </c>
      <c r="D158" s="17"/>
      <c r="E158" s="17"/>
      <c r="F158" s="6"/>
      <c r="G158" s="6"/>
      <c r="H158" s="8"/>
      <c r="I158" s="8"/>
      <c r="J158" s="8"/>
      <c r="K158" s="8"/>
    </row>
    <row r="159" spans="1:11" ht="15" x14ac:dyDescent="0.2">
      <c r="B159" s="23" t="s">
        <v>8</v>
      </c>
      <c r="C159" s="25">
        <v>1460</v>
      </c>
      <c r="D159" s="17"/>
      <c r="E159" s="17"/>
      <c r="F159" s="6"/>
      <c r="G159" s="6"/>
      <c r="H159" s="8"/>
      <c r="I159" s="8"/>
      <c r="J159" s="8"/>
      <c r="K159" s="8"/>
    </row>
    <row r="160" spans="1:11" ht="15" x14ac:dyDescent="0.2">
      <c r="B160" s="23" t="s">
        <v>9</v>
      </c>
      <c r="C160" s="26">
        <f>C159/C157</f>
        <v>36.5</v>
      </c>
      <c r="D160" s="17"/>
      <c r="E160" s="17"/>
      <c r="F160" s="6"/>
      <c r="G160" s="6"/>
      <c r="H160" s="8"/>
      <c r="I160" s="8"/>
      <c r="J160" s="8"/>
      <c r="K160" s="8"/>
    </row>
    <row r="161" spans="1:11" ht="15" x14ac:dyDescent="0.2">
      <c r="B161" s="20"/>
      <c r="D161" s="17"/>
      <c r="E161" s="17"/>
      <c r="F161" s="6"/>
      <c r="G161" s="6"/>
      <c r="H161" s="8"/>
      <c r="I161" s="8"/>
      <c r="J161" s="8"/>
      <c r="K161" s="8"/>
    </row>
    <row r="162" spans="1:11" ht="15" x14ac:dyDescent="0.2">
      <c r="A162" s="27">
        <f>1+A154</f>
        <v>16</v>
      </c>
      <c r="B162" s="20" t="s">
        <v>43</v>
      </c>
      <c r="D162" s="17"/>
      <c r="E162" s="17"/>
      <c r="F162" s="6"/>
      <c r="G162" s="6"/>
      <c r="H162" s="8"/>
      <c r="I162" s="8"/>
      <c r="J162" s="8"/>
      <c r="K162" s="8"/>
    </row>
    <row r="163" spans="1:11" ht="15" x14ac:dyDescent="0.25">
      <c r="B163" s="21" t="s">
        <v>24</v>
      </c>
      <c r="C163" s="24" t="s">
        <v>12</v>
      </c>
      <c r="D163" s="17"/>
      <c r="E163" s="17"/>
      <c r="F163" s="6"/>
      <c r="G163" s="6"/>
      <c r="H163" s="8"/>
      <c r="I163" s="8"/>
      <c r="J163" s="8"/>
      <c r="K163" s="8"/>
    </row>
    <row r="164" spans="1:11" ht="15" x14ac:dyDescent="0.2">
      <c r="B164" s="22" t="s">
        <v>5</v>
      </c>
      <c r="C164" s="24" t="s">
        <v>37</v>
      </c>
      <c r="D164" s="17"/>
      <c r="E164" s="17"/>
      <c r="F164" s="6"/>
      <c r="G164" s="6"/>
      <c r="H164" s="8"/>
      <c r="I164" s="8"/>
      <c r="J164" s="8"/>
      <c r="K164" s="8"/>
    </row>
    <row r="165" spans="1:11" ht="15" x14ac:dyDescent="0.2">
      <c r="B165" s="23" t="s">
        <v>6</v>
      </c>
      <c r="C165" s="25">
        <v>40</v>
      </c>
      <c r="D165" s="17"/>
      <c r="E165" s="17"/>
      <c r="F165" s="6"/>
      <c r="G165" s="6"/>
      <c r="H165" s="8"/>
      <c r="I165" s="8"/>
      <c r="J165" s="8"/>
      <c r="K165" s="8"/>
    </row>
    <row r="166" spans="1:11" ht="15" x14ac:dyDescent="0.2">
      <c r="B166" s="23" t="s">
        <v>7</v>
      </c>
      <c r="C166" s="25">
        <v>20</v>
      </c>
      <c r="D166" s="17"/>
      <c r="E166" s="17"/>
      <c r="F166" s="6"/>
      <c r="G166" s="6"/>
      <c r="H166" s="8"/>
      <c r="I166" s="8"/>
      <c r="J166" s="8"/>
      <c r="K166" s="8"/>
    </row>
    <row r="167" spans="1:11" ht="15" x14ac:dyDescent="0.2">
      <c r="B167" s="23" t="s">
        <v>8</v>
      </c>
      <c r="C167" s="25">
        <v>1460</v>
      </c>
      <c r="D167" s="17"/>
      <c r="E167" s="17"/>
      <c r="F167" s="6"/>
      <c r="G167" s="6"/>
      <c r="H167" s="8"/>
      <c r="I167" s="8"/>
      <c r="J167" s="8"/>
      <c r="K167" s="8"/>
    </row>
    <row r="168" spans="1:11" ht="15" x14ac:dyDescent="0.2">
      <c r="B168" s="23" t="s">
        <v>9</v>
      </c>
      <c r="C168" s="26">
        <f>C167/C165</f>
        <v>36.5</v>
      </c>
      <c r="D168" s="17"/>
      <c r="E168" s="17"/>
      <c r="F168" s="6"/>
      <c r="G168" s="6"/>
      <c r="H168" s="8"/>
      <c r="I168" s="8"/>
      <c r="J168" s="8"/>
      <c r="K168" s="8"/>
    </row>
    <row r="169" spans="1:11" ht="15" x14ac:dyDescent="0.2">
      <c r="B169" s="20"/>
      <c r="D169" s="17"/>
      <c r="E169" s="17"/>
      <c r="F169" s="6"/>
      <c r="G169" s="6"/>
      <c r="H169" s="8"/>
      <c r="I169" s="8"/>
      <c r="J169" s="8"/>
      <c r="K169" s="8"/>
    </row>
    <row r="170" spans="1:11" ht="15" x14ac:dyDescent="0.2">
      <c r="A170" s="27">
        <f>1+A162</f>
        <v>17</v>
      </c>
      <c r="B170" s="20" t="s">
        <v>44</v>
      </c>
      <c r="D170" s="17"/>
      <c r="E170" s="17"/>
      <c r="F170" s="6"/>
      <c r="G170" s="6"/>
      <c r="H170" s="8"/>
      <c r="I170" s="8"/>
      <c r="J170" s="8"/>
      <c r="K170" s="8"/>
    </row>
    <row r="171" spans="1:11" ht="15" x14ac:dyDescent="0.25">
      <c r="B171" s="21" t="s">
        <v>24</v>
      </c>
      <c r="C171" s="24" t="s">
        <v>12</v>
      </c>
      <c r="D171" s="17"/>
      <c r="E171" s="17"/>
      <c r="F171" s="6"/>
      <c r="G171" s="6"/>
      <c r="H171" s="8"/>
      <c r="I171" s="8"/>
      <c r="J171" s="8"/>
      <c r="K171" s="8"/>
    </row>
    <row r="172" spans="1:11" ht="15" x14ac:dyDescent="0.2">
      <c r="B172" s="22" t="s">
        <v>5</v>
      </c>
      <c r="C172" s="24" t="s">
        <v>37</v>
      </c>
      <c r="D172" s="17"/>
      <c r="E172" s="17"/>
      <c r="F172" s="6"/>
      <c r="G172" s="6"/>
      <c r="H172" s="8"/>
      <c r="I172" s="8"/>
      <c r="J172" s="8"/>
      <c r="K172" s="8"/>
    </row>
    <row r="173" spans="1:11" ht="15" x14ac:dyDescent="0.2">
      <c r="B173" s="23" t="s">
        <v>6</v>
      </c>
      <c r="C173" s="25">
        <v>40</v>
      </c>
      <c r="D173" s="17"/>
      <c r="E173" s="17"/>
      <c r="F173" s="6"/>
      <c r="G173" s="6"/>
      <c r="H173" s="8"/>
      <c r="I173" s="8"/>
      <c r="J173" s="8"/>
      <c r="K173" s="8"/>
    </row>
    <row r="174" spans="1:11" ht="15" x14ac:dyDescent="0.2">
      <c r="B174" s="23" t="s">
        <v>7</v>
      </c>
      <c r="C174" s="25">
        <v>20</v>
      </c>
      <c r="D174" s="17"/>
      <c r="E174" s="17"/>
      <c r="F174" s="6"/>
      <c r="G174" s="6"/>
      <c r="H174" s="8"/>
      <c r="I174" s="8"/>
      <c r="J174" s="8"/>
      <c r="K174" s="8"/>
    </row>
    <row r="175" spans="1:11" ht="15" x14ac:dyDescent="0.2">
      <c r="B175" s="23" t="s">
        <v>8</v>
      </c>
      <c r="C175" s="25">
        <v>1460</v>
      </c>
      <c r="D175" s="17"/>
      <c r="E175" s="17"/>
      <c r="F175" s="6"/>
      <c r="G175" s="6"/>
      <c r="H175" s="8"/>
      <c r="I175" s="8"/>
      <c r="J175" s="8"/>
      <c r="K175" s="8"/>
    </row>
    <row r="176" spans="1:11" ht="15" x14ac:dyDescent="0.2">
      <c r="B176" s="23" t="s">
        <v>9</v>
      </c>
      <c r="C176" s="26">
        <f>C175/C173</f>
        <v>36.5</v>
      </c>
      <c r="D176" s="17"/>
      <c r="E176" s="17"/>
      <c r="F176" s="6"/>
      <c r="G176" s="6"/>
      <c r="H176" s="8"/>
      <c r="I176" s="8"/>
      <c r="J176" s="8"/>
      <c r="K176" s="8"/>
    </row>
    <row r="177" spans="1:11" ht="15" x14ac:dyDescent="0.2">
      <c r="B177" s="20"/>
      <c r="D177" s="17"/>
      <c r="E177" s="17"/>
      <c r="F177" s="6"/>
      <c r="G177" s="6"/>
      <c r="H177" s="8"/>
      <c r="I177" s="8"/>
      <c r="J177" s="8"/>
      <c r="K177" s="8"/>
    </row>
    <row r="178" spans="1:11" ht="15" x14ac:dyDescent="0.2">
      <c r="A178" s="27">
        <f>1+A170</f>
        <v>18</v>
      </c>
      <c r="B178" s="20" t="s">
        <v>45</v>
      </c>
      <c r="D178" s="17"/>
      <c r="E178" s="17"/>
      <c r="J178" s="8"/>
      <c r="K178" s="8"/>
    </row>
    <row r="179" spans="1:11" ht="15" x14ac:dyDescent="0.25">
      <c r="B179" s="21" t="s">
        <v>24</v>
      </c>
      <c r="C179" s="24" t="s">
        <v>15</v>
      </c>
      <c r="D179" s="17"/>
      <c r="E179" s="17"/>
      <c r="F179" s="6"/>
      <c r="G179" s="6"/>
      <c r="H179" s="8"/>
      <c r="I179" s="8"/>
      <c r="J179" s="8"/>
      <c r="K179" s="8"/>
    </row>
    <row r="180" spans="1:11" ht="15" x14ac:dyDescent="0.2">
      <c r="B180" s="22" t="s">
        <v>5</v>
      </c>
      <c r="C180" s="24" t="s">
        <v>37</v>
      </c>
      <c r="D180" s="17"/>
      <c r="E180" s="17"/>
      <c r="F180" s="6"/>
      <c r="G180" s="6"/>
      <c r="H180" s="8"/>
      <c r="I180" s="8"/>
      <c r="J180" s="8"/>
      <c r="K180" s="8"/>
    </row>
    <row r="181" spans="1:11" ht="15" x14ac:dyDescent="0.2">
      <c r="B181" s="23" t="s">
        <v>6</v>
      </c>
      <c r="C181" s="25">
        <v>40</v>
      </c>
      <c r="D181" s="17"/>
      <c r="E181" s="17"/>
      <c r="F181" s="6"/>
      <c r="G181" s="6"/>
      <c r="H181" s="8"/>
      <c r="I181" s="8"/>
      <c r="J181" s="8"/>
      <c r="K181" s="8"/>
    </row>
    <row r="182" spans="1:11" ht="15" x14ac:dyDescent="0.2">
      <c r="B182" s="23" t="s">
        <v>7</v>
      </c>
      <c r="C182" s="25">
        <v>30</v>
      </c>
      <c r="D182" s="17"/>
      <c r="E182" s="17"/>
      <c r="F182" s="6"/>
      <c r="G182" s="6"/>
      <c r="H182" s="8"/>
      <c r="I182" s="8"/>
      <c r="J182" s="8"/>
      <c r="K182" s="8"/>
    </row>
    <row r="183" spans="1:11" ht="15" x14ac:dyDescent="0.2">
      <c r="B183" s="23" t="s">
        <v>8</v>
      </c>
      <c r="C183" s="32">
        <v>1460</v>
      </c>
      <c r="D183" s="17"/>
      <c r="E183" s="17"/>
      <c r="F183" s="6"/>
      <c r="G183" s="6"/>
      <c r="H183" s="8"/>
      <c r="I183" s="8"/>
      <c r="J183" s="8"/>
      <c r="K183" s="8"/>
    </row>
    <row r="184" spans="1:11" ht="15" x14ac:dyDescent="0.2">
      <c r="B184" s="23" t="s">
        <v>9</v>
      </c>
      <c r="C184" s="32">
        <v>36.5</v>
      </c>
      <c r="D184" s="17"/>
      <c r="E184" s="17"/>
      <c r="F184" s="6"/>
      <c r="G184" s="6"/>
      <c r="H184" s="8"/>
      <c r="I184" s="8"/>
      <c r="J184" s="8"/>
      <c r="K184" s="8"/>
    </row>
    <row r="185" spans="1:11" ht="15" x14ac:dyDescent="0.2">
      <c r="B185" s="20"/>
      <c r="D185" s="17"/>
      <c r="E185" s="17"/>
      <c r="F185" s="6"/>
      <c r="G185" s="6"/>
      <c r="H185" s="8"/>
      <c r="I185" s="8"/>
      <c r="J185" s="8"/>
      <c r="K185" s="8"/>
    </row>
    <row r="186" spans="1:11" ht="15" x14ac:dyDescent="0.2">
      <c r="A186" s="27">
        <f t="shared" ref="A186" si="0">1+A178</f>
        <v>19</v>
      </c>
      <c r="B186" s="20" t="s">
        <v>46</v>
      </c>
      <c r="D186" s="17"/>
      <c r="E186" s="17"/>
    </row>
    <row r="187" spans="1:11" ht="15" x14ac:dyDescent="0.25">
      <c r="B187" s="21" t="s">
        <v>24</v>
      </c>
      <c r="C187" s="24" t="s">
        <v>12</v>
      </c>
      <c r="D187" s="17"/>
      <c r="E187" s="17"/>
      <c r="F187" s="6"/>
      <c r="G187" s="6"/>
      <c r="H187" s="8"/>
      <c r="I187" s="8"/>
      <c r="J187" s="8"/>
      <c r="K187" s="8"/>
    </row>
    <row r="188" spans="1:11" ht="15" x14ac:dyDescent="0.2">
      <c r="B188" s="22" t="s">
        <v>5</v>
      </c>
      <c r="C188" s="24" t="s">
        <v>47</v>
      </c>
      <c r="D188" s="17"/>
      <c r="E188" s="17"/>
      <c r="F188" s="6"/>
      <c r="G188" s="6"/>
      <c r="H188" s="8"/>
      <c r="I188" s="8"/>
      <c r="J188" s="8"/>
      <c r="K188" s="8"/>
    </row>
    <row r="189" spans="1:11" ht="15" x14ac:dyDescent="0.2">
      <c r="B189" s="23" t="s">
        <v>6</v>
      </c>
      <c r="C189" s="25">
        <v>40</v>
      </c>
      <c r="D189" s="17"/>
      <c r="E189" s="17"/>
      <c r="F189" s="6"/>
      <c r="G189" s="6"/>
      <c r="H189" s="8"/>
      <c r="I189" s="8"/>
      <c r="J189" s="8"/>
      <c r="K189" s="8"/>
    </row>
    <row r="190" spans="1:11" ht="15" x14ac:dyDescent="0.2">
      <c r="B190" s="23" t="s">
        <v>7</v>
      </c>
      <c r="C190" s="25">
        <v>30</v>
      </c>
      <c r="D190" s="17"/>
      <c r="E190" s="17"/>
      <c r="F190" s="6"/>
      <c r="G190" s="6"/>
      <c r="H190" s="8"/>
      <c r="I190" s="8"/>
      <c r="J190" s="8"/>
      <c r="K190" s="8"/>
    </row>
    <row r="191" spans="1:11" ht="15" x14ac:dyDescent="0.2">
      <c r="B191" s="23" t="s">
        <v>8</v>
      </c>
      <c r="C191" s="25">
        <v>1460</v>
      </c>
      <c r="E191" s="17"/>
      <c r="F191" s="6"/>
      <c r="G191" s="6"/>
      <c r="H191" s="8"/>
      <c r="I191" s="8"/>
      <c r="J191" s="8"/>
      <c r="K191" s="8"/>
    </row>
    <row r="192" spans="1:11" ht="15" x14ac:dyDescent="0.2">
      <c r="B192" s="23" t="s">
        <v>9</v>
      </c>
      <c r="C192" s="25">
        <f>C191/C189</f>
        <v>36.5</v>
      </c>
      <c r="D192" s="17"/>
      <c r="E192" s="17"/>
      <c r="F192" s="6"/>
      <c r="G192" s="6"/>
      <c r="H192" s="8"/>
      <c r="I192" s="8"/>
      <c r="J192" s="8"/>
      <c r="K192" s="8"/>
    </row>
    <row r="193" spans="1:12" ht="15" x14ac:dyDescent="0.2">
      <c r="B193" s="20"/>
      <c r="D193" s="17"/>
      <c r="E193" s="17"/>
      <c r="F193" s="6"/>
      <c r="G193" s="6"/>
      <c r="H193" s="8"/>
      <c r="I193" s="8"/>
      <c r="J193" s="8"/>
      <c r="K193" s="8"/>
    </row>
    <row r="194" spans="1:12" ht="15" x14ac:dyDescent="0.2">
      <c r="A194" s="27">
        <v>20</v>
      </c>
      <c r="B194" s="20" t="s">
        <v>48</v>
      </c>
      <c r="D194" s="17"/>
      <c r="E194" s="17"/>
    </row>
    <row r="195" spans="1:12" ht="15" x14ac:dyDescent="0.25">
      <c r="B195" s="21" t="s">
        <v>24</v>
      </c>
      <c r="C195" s="24" t="s">
        <v>12</v>
      </c>
    </row>
    <row r="196" spans="1:12" ht="15" x14ac:dyDescent="0.2">
      <c r="B196" s="22" t="s">
        <v>5</v>
      </c>
      <c r="C196" s="24" t="s">
        <v>47</v>
      </c>
    </row>
    <row r="197" spans="1:12" ht="15" x14ac:dyDescent="0.2">
      <c r="B197" s="23" t="s">
        <v>6</v>
      </c>
      <c r="C197" s="25">
        <v>40</v>
      </c>
    </row>
    <row r="198" spans="1:12" ht="15" x14ac:dyDescent="0.2">
      <c r="B198" s="23" t="s">
        <v>7</v>
      </c>
      <c r="C198" s="25">
        <v>30</v>
      </c>
    </row>
    <row r="199" spans="1:12" ht="15" x14ac:dyDescent="0.2">
      <c r="B199" s="23" t="s">
        <v>8</v>
      </c>
      <c r="C199" s="25">
        <v>1460</v>
      </c>
    </row>
    <row r="200" spans="1:12" ht="15" x14ac:dyDescent="0.2">
      <c r="B200" s="23" t="s">
        <v>9</v>
      </c>
      <c r="C200" s="25">
        <f>C199/C197</f>
        <v>36.5</v>
      </c>
    </row>
    <row r="203" spans="1:12" ht="15" x14ac:dyDescent="0.25">
      <c r="A203" s="27">
        <v>1</v>
      </c>
      <c r="B203" s="18" t="s">
        <v>49</v>
      </c>
      <c r="G203" s="1"/>
      <c r="I203" s="2"/>
      <c r="J203" s="2"/>
      <c r="K203" s="1"/>
      <c r="L203" s="1"/>
    </row>
    <row r="204" spans="1:12" ht="15" x14ac:dyDescent="0.25">
      <c r="B204" s="32" t="s">
        <v>50</v>
      </c>
      <c r="C204" s="32">
        <v>1</v>
      </c>
      <c r="G204" s="1"/>
      <c r="H204" s="1"/>
      <c r="I204" s="1"/>
      <c r="J204" s="1"/>
      <c r="K204" s="1"/>
      <c r="L204" s="1"/>
    </row>
    <row r="205" spans="1:12" x14ac:dyDescent="0.2">
      <c r="B205" s="32" t="s">
        <v>51</v>
      </c>
      <c r="C205" s="32" t="s">
        <v>52</v>
      </c>
    </row>
    <row r="206" spans="1:12" ht="15" x14ac:dyDescent="0.2">
      <c r="B206" s="32" t="s">
        <v>53</v>
      </c>
      <c r="C206" s="32" t="s">
        <v>54</v>
      </c>
      <c r="G206" s="5"/>
    </row>
    <row r="207" spans="1:12" ht="17.25" x14ac:dyDescent="0.25">
      <c r="B207" s="32" t="s">
        <v>56</v>
      </c>
      <c r="C207" s="32">
        <v>1750</v>
      </c>
      <c r="G207" s="5"/>
    </row>
    <row r="208" spans="1:12" ht="15" x14ac:dyDescent="0.2">
      <c r="B208" s="32" t="s">
        <v>57</v>
      </c>
      <c r="C208" s="32">
        <v>17</v>
      </c>
      <c r="G208" s="5"/>
    </row>
    <row r="209" spans="1:12" ht="15" x14ac:dyDescent="0.2">
      <c r="B209" s="32" t="s">
        <v>58</v>
      </c>
      <c r="C209" s="32">
        <v>132</v>
      </c>
      <c r="G209" s="5"/>
    </row>
    <row r="210" spans="1:12" ht="15" x14ac:dyDescent="0.2">
      <c r="B210" s="32" t="s">
        <v>59</v>
      </c>
      <c r="C210" s="32" t="s">
        <v>60</v>
      </c>
      <c r="G210" s="5"/>
    </row>
    <row r="211" spans="1:12" ht="15" x14ac:dyDescent="0.2">
      <c r="B211" s="24" t="s">
        <v>62</v>
      </c>
      <c r="C211" s="24" t="s">
        <v>63</v>
      </c>
      <c r="G211" s="5"/>
    </row>
    <row r="212" spans="1:12" ht="15" x14ac:dyDescent="0.2">
      <c r="B212" s="24"/>
      <c r="C212" s="24"/>
      <c r="D212" s="6"/>
      <c r="E212" s="6"/>
      <c r="G212" s="5"/>
      <c r="H212" s="5"/>
      <c r="I212" s="5"/>
      <c r="J212" s="5"/>
      <c r="K212" s="5"/>
      <c r="L212" s="5"/>
    </row>
    <row r="213" spans="1:12" ht="15" x14ac:dyDescent="0.25">
      <c r="A213" s="27">
        <v>2</v>
      </c>
      <c r="B213" s="18" t="s">
        <v>49</v>
      </c>
      <c r="D213" s="6"/>
      <c r="E213" s="6"/>
      <c r="G213" s="5"/>
      <c r="H213" s="5"/>
      <c r="I213" s="5"/>
      <c r="J213" s="5"/>
      <c r="K213" s="5"/>
      <c r="L213" s="5"/>
    </row>
    <row r="214" spans="1:12" ht="15" x14ac:dyDescent="0.2">
      <c r="B214" s="32" t="s">
        <v>50</v>
      </c>
      <c r="C214" s="32">
        <v>2</v>
      </c>
      <c r="D214" s="6"/>
      <c r="E214" s="6"/>
      <c r="G214" s="5"/>
      <c r="H214" s="5"/>
      <c r="I214" s="5"/>
      <c r="J214" s="5"/>
      <c r="K214" s="5"/>
      <c r="L214" s="5"/>
    </row>
    <row r="215" spans="1:12" ht="15" x14ac:dyDescent="0.2">
      <c r="B215" s="32" t="s">
        <v>51</v>
      </c>
      <c r="C215" s="32" t="s">
        <v>52</v>
      </c>
      <c r="D215" s="6"/>
      <c r="E215" s="6"/>
      <c r="G215" s="5"/>
      <c r="H215" s="5"/>
      <c r="I215" s="5"/>
      <c r="J215" s="5"/>
      <c r="K215" s="5"/>
      <c r="L215" s="5"/>
    </row>
    <row r="216" spans="1:12" ht="15" x14ac:dyDescent="0.2">
      <c r="B216" s="32" t="s">
        <v>53</v>
      </c>
      <c r="C216" s="32" t="s">
        <v>54</v>
      </c>
      <c r="D216" s="6"/>
      <c r="E216" s="6"/>
      <c r="G216" s="5"/>
      <c r="H216" s="5"/>
      <c r="I216" s="5"/>
      <c r="J216" s="5"/>
      <c r="K216" s="5"/>
      <c r="L216" s="5"/>
    </row>
    <row r="217" spans="1:12" ht="17.25" x14ac:dyDescent="0.25">
      <c r="B217" s="32" t="s">
        <v>56</v>
      </c>
      <c r="C217" s="42">
        <v>3000</v>
      </c>
      <c r="D217" s="6"/>
      <c r="E217" s="6"/>
      <c r="G217" s="5"/>
      <c r="H217" s="5"/>
      <c r="I217" s="5"/>
      <c r="J217" s="5"/>
      <c r="K217" s="5"/>
      <c r="L217" s="5"/>
    </row>
    <row r="218" spans="1:12" ht="15" x14ac:dyDescent="0.2">
      <c r="B218" s="32" t="s">
        <v>57</v>
      </c>
      <c r="C218" s="32">
        <v>17</v>
      </c>
      <c r="D218" s="6"/>
      <c r="E218" s="6"/>
      <c r="G218" s="5"/>
      <c r="H218" s="5"/>
      <c r="I218" s="5"/>
      <c r="J218" s="5"/>
      <c r="K218" s="5"/>
      <c r="L218" s="5"/>
    </row>
    <row r="219" spans="1:12" ht="15" x14ac:dyDescent="0.2">
      <c r="B219" s="32" t="s">
        <v>58</v>
      </c>
      <c r="C219" s="32">
        <v>200</v>
      </c>
      <c r="D219" s="6"/>
      <c r="E219" s="6"/>
      <c r="G219" s="5"/>
      <c r="H219" s="5"/>
      <c r="I219" s="5"/>
      <c r="J219" s="5"/>
      <c r="K219" s="5"/>
      <c r="L219" s="5"/>
    </row>
    <row r="220" spans="1:12" ht="15" x14ac:dyDescent="0.2">
      <c r="B220" s="32" t="s">
        <v>59</v>
      </c>
      <c r="C220" s="32" t="s">
        <v>61</v>
      </c>
      <c r="D220" s="6"/>
      <c r="E220" s="6"/>
      <c r="G220" s="5"/>
      <c r="H220" s="5"/>
      <c r="I220" s="5"/>
      <c r="J220" s="5"/>
      <c r="K220" s="5"/>
      <c r="L220" s="5"/>
    </row>
    <row r="221" spans="1:12" ht="15" x14ac:dyDescent="0.2">
      <c r="B221" s="24" t="s">
        <v>62</v>
      </c>
      <c r="C221" s="24" t="s">
        <v>64</v>
      </c>
      <c r="D221" s="6"/>
      <c r="E221" s="6"/>
      <c r="G221" s="5"/>
      <c r="H221" s="5"/>
      <c r="I221" s="5"/>
      <c r="J221" s="5"/>
      <c r="K221" s="5"/>
      <c r="L221" s="5"/>
    </row>
    <row r="222" spans="1:12" ht="15" x14ac:dyDescent="0.2">
      <c r="B222" s="24"/>
      <c r="C222" s="24"/>
      <c r="D222" s="6"/>
      <c r="E222" s="6"/>
      <c r="G222" s="5"/>
      <c r="H222" s="5"/>
      <c r="I222" s="5"/>
      <c r="J222" s="5"/>
      <c r="K222" s="5"/>
      <c r="L222" s="5"/>
    </row>
    <row r="223" spans="1:12" ht="15" x14ac:dyDescent="0.25">
      <c r="A223" s="27">
        <v>3</v>
      </c>
      <c r="B223" s="18" t="s">
        <v>49</v>
      </c>
      <c r="C223" s="32">
        <v>3</v>
      </c>
      <c r="D223" s="6"/>
      <c r="E223" s="6"/>
      <c r="G223" s="5"/>
      <c r="H223" s="5"/>
      <c r="I223" s="5"/>
      <c r="J223" s="5"/>
      <c r="K223" s="5"/>
      <c r="L223" s="5"/>
    </row>
    <row r="224" spans="1:12" ht="15" x14ac:dyDescent="0.2">
      <c r="B224" s="32" t="s">
        <v>50</v>
      </c>
      <c r="C224" s="32" t="s">
        <v>52</v>
      </c>
      <c r="D224" s="6"/>
      <c r="E224" s="6"/>
      <c r="G224" s="5"/>
      <c r="H224" s="5"/>
      <c r="I224" s="5"/>
      <c r="J224" s="5"/>
      <c r="K224" s="5"/>
      <c r="L224" s="5"/>
    </row>
    <row r="225" spans="1:12" ht="15" x14ac:dyDescent="0.2">
      <c r="B225" s="32" t="s">
        <v>51</v>
      </c>
      <c r="C225" s="32" t="s">
        <v>55</v>
      </c>
      <c r="D225" s="6"/>
      <c r="E225" s="6"/>
      <c r="G225" s="5"/>
      <c r="H225" s="5"/>
      <c r="I225" s="5"/>
      <c r="J225" s="5"/>
      <c r="K225" s="5"/>
      <c r="L225" s="5"/>
    </row>
    <row r="226" spans="1:12" ht="15" x14ac:dyDescent="0.2">
      <c r="B226" s="32" t="s">
        <v>53</v>
      </c>
      <c r="C226" s="32">
        <v>3000</v>
      </c>
      <c r="D226" s="6"/>
      <c r="E226" s="6"/>
      <c r="G226" s="5"/>
      <c r="H226" s="5"/>
      <c r="I226" s="5"/>
      <c r="J226" s="5"/>
      <c r="K226" s="5"/>
      <c r="L226" s="5"/>
    </row>
    <row r="227" spans="1:12" ht="17.25" x14ac:dyDescent="0.25">
      <c r="B227" s="32" t="s">
        <v>56</v>
      </c>
      <c r="C227" s="32">
        <v>18</v>
      </c>
      <c r="D227" s="6"/>
      <c r="E227" s="6"/>
      <c r="G227" s="5"/>
      <c r="H227" s="5"/>
      <c r="I227" s="5"/>
      <c r="J227" s="5"/>
      <c r="K227" s="5"/>
      <c r="L227" s="5"/>
    </row>
    <row r="228" spans="1:12" ht="15" x14ac:dyDescent="0.2">
      <c r="B228" s="32" t="s">
        <v>57</v>
      </c>
      <c r="C228" s="32">
        <v>200</v>
      </c>
      <c r="D228" s="6"/>
      <c r="E228" s="6"/>
      <c r="G228" s="5"/>
      <c r="H228" s="5"/>
      <c r="I228" s="5"/>
      <c r="J228" s="5"/>
      <c r="K228" s="5"/>
      <c r="L228" s="5"/>
    </row>
    <row r="229" spans="1:12" ht="15" x14ac:dyDescent="0.2">
      <c r="B229" s="32" t="s">
        <v>58</v>
      </c>
      <c r="C229" s="32" t="s">
        <v>60</v>
      </c>
      <c r="D229" s="6"/>
      <c r="E229" s="6"/>
      <c r="G229" s="5"/>
      <c r="H229" s="5"/>
      <c r="I229" s="5"/>
      <c r="J229" s="5"/>
      <c r="K229" s="5"/>
      <c r="L229" s="5"/>
    </row>
    <row r="230" spans="1:12" ht="15" x14ac:dyDescent="0.2">
      <c r="B230" s="32" t="s">
        <v>59</v>
      </c>
      <c r="C230" s="24" t="s">
        <v>63</v>
      </c>
      <c r="D230" s="6"/>
      <c r="E230" s="6"/>
      <c r="G230" s="5"/>
      <c r="H230" s="5"/>
      <c r="I230" s="5"/>
      <c r="J230" s="5"/>
      <c r="K230" s="5"/>
      <c r="L230" s="5"/>
    </row>
    <row r="231" spans="1:12" ht="15" x14ac:dyDescent="0.2">
      <c r="B231" s="24" t="s">
        <v>62</v>
      </c>
      <c r="C231" s="24"/>
      <c r="D231" s="6"/>
      <c r="E231" s="6"/>
      <c r="G231" s="5"/>
      <c r="H231" s="5"/>
      <c r="I231" s="5"/>
      <c r="J231" s="5"/>
      <c r="K231" s="5"/>
      <c r="L231" s="5"/>
    </row>
    <row r="232" spans="1:12" ht="15" x14ac:dyDescent="0.2">
      <c r="B232" s="24"/>
      <c r="C232" s="24"/>
      <c r="D232" s="6"/>
      <c r="E232" s="6"/>
      <c r="G232" s="5"/>
      <c r="H232" s="5"/>
      <c r="I232" s="5"/>
      <c r="J232" s="5"/>
      <c r="K232" s="5"/>
      <c r="L232" s="5"/>
    </row>
    <row r="233" spans="1:12" ht="15" x14ac:dyDescent="0.25">
      <c r="A233" s="27">
        <v>4</v>
      </c>
      <c r="B233" s="18" t="s">
        <v>65</v>
      </c>
    </row>
    <row r="234" spans="1:12" x14ac:dyDescent="0.2">
      <c r="B234" s="32" t="s">
        <v>50</v>
      </c>
      <c r="C234" s="32">
        <v>1</v>
      </c>
    </row>
    <row r="235" spans="1:12" x14ac:dyDescent="0.2">
      <c r="B235" s="32" t="s">
        <v>51</v>
      </c>
      <c r="C235" s="32" t="s">
        <v>52</v>
      </c>
    </row>
    <row r="236" spans="1:12" x14ac:dyDescent="0.2">
      <c r="B236" s="32" t="s">
        <v>53</v>
      </c>
      <c r="C236" s="32" t="s">
        <v>54</v>
      </c>
    </row>
    <row r="237" spans="1:12" ht="17.25" x14ac:dyDescent="0.25">
      <c r="B237" s="32" t="s">
        <v>56</v>
      </c>
      <c r="C237" s="32">
        <v>1750</v>
      </c>
    </row>
    <row r="238" spans="1:12" x14ac:dyDescent="0.2">
      <c r="B238" s="32" t="s">
        <v>66</v>
      </c>
      <c r="C238" s="32">
        <v>12</v>
      </c>
    </row>
    <row r="239" spans="1:12" x14ac:dyDescent="0.2">
      <c r="B239" s="32" t="s">
        <v>58</v>
      </c>
      <c r="C239" s="32">
        <v>93</v>
      </c>
    </row>
    <row r="240" spans="1:12" x14ac:dyDescent="0.2">
      <c r="B240" s="32" t="s">
        <v>59</v>
      </c>
      <c r="C240" s="32" t="s">
        <v>60</v>
      </c>
    </row>
    <row r="241" spans="1:3" x14ac:dyDescent="0.2">
      <c r="B241" s="24" t="s">
        <v>62</v>
      </c>
      <c r="C241" s="40" t="s">
        <v>67</v>
      </c>
    </row>
    <row r="243" spans="1:3" ht="15" x14ac:dyDescent="0.25">
      <c r="A243" s="27">
        <v>5</v>
      </c>
      <c r="B243" s="18" t="s">
        <v>65</v>
      </c>
    </row>
    <row r="244" spans="1:3" x14ac:dyDescent="0.2">
      <c r="B244" s="32" t="s">
        <v>50</v>
      </c>
      <c r="C244" s="32">
        <v>2</v>
      </c>
    </row>
    <row r="245" spans="1:3" x14ac:dyDescent="0.2">
      <c r="B245" s="32" t="s">
        <v>51</v>
      </c>
      <c r="C245" s="32" t="s">
        <v>52</v>
      </c>
    </row>
    <row r="246" spans="1:3" x14ac:dyDescent="0.2">
      <c r="B246" s="32" t="s">
        <v>53</v>
      </c>
      <c r="C246" s="32" t="s">
        <v>54</v>
      </c>
    </row>
    <row r="247" spans="1:3" ht="17.25" x14ac:dyDescent="0.25">
      <c r="B247" s="32" t="s">
        <v>56</v>
      </c>
      <c r="C247" s="32">
        <v>3000</v>
      </c>
    </row>
    <row r="248" spans="1:3" x14ac:dyDescent="0.2">
      <c r="B248" s="32" t="s">
        <v>66</v>
      </c>
      <c r="C248" s="32">
        <v>12</v>
      </c>
    </row>
    <row r="249" spans="1:3" x14ac:dyDescent="0.2">
      <c r="B249" s="32" t="s">
        <v>58</v>
      </c>
      <c r="C249" s="32">
        <v>132</v>
      </c>
    </row>
    <row r="250" spans="1:3" x14ac:dyDescent="0.2">
      <c r="B250" s="32" t="s">
        <v>59</v>
      </c>
      <c r="C250" s="32" t="s">
        <v>60</v>
      </c>
    </row>
    <row r="251" spans="1:3" ht="25.5" x14ac:dyDescent="0.2">
      <c r="B251" s="24" t="s">
        <v>62</v>
      </c>
      <c r="C251" s="41" t="s">
        <v>68</v>
      </c>
    </row>
    <row r="253" spans="1:3" ht="15" x14ac:dyDescent="0.25">
      <c r="A253" s="27">
        <v>6</v>
      </c>
      <c r="B253" s="18" t="s">
        <v>65</v>
      </c>
      <c r="C253" s="32">
        <v>3</v>
      </c>
    </row>
    <row r="254" spans="1:3" x14ac:dyDescent="0.2">
      <c r="B254" s="32" t="s">
        <v>50</v>
      </c>
      <c r="C254" s="32" t="s">
        <v>52</v>
      </c>
    </row>
    <row r="255" spans="1:3" x14ac:dyDescent="0.2">
      <c r="B255" s="32" t="s">
        <v>51</v>
      </c>
      <c r="C255" s="32" t="s">
        <v>54</v>
      </c>
    </row>
    <row r="256" spans="1:3" x14ac:dyDescent="0.2">
      <c r="B256" s="32" t="s">
        <v>53</v>
      </c>
      <c r="C256" s="32">
        <v>3000</v>
      </c>
    </row>
    <row r="257" spans="1:6" ht="17.25" x14ac:dyDescent="0.25">
      <c r="B257" s="32" t="s">
        <v>56</v>
      </c>
      <c r="C257" s="32">
        <v>12</v>
      </c>
    </row>
    <row r="258" spans="1:6" x14ac:dyDescent="0.2">
      <c r="B258" s="32" t="s">
        <v>66</v>
      </c>
      <c r="C258" s="32">
        <v>132</v>
      </c>
    </row>
    <row r="259" spans="1:6" x14ac:dyDescent="0.2">
      <c r="B259" s="32" t="s">
        <v>58</v>
      </c>
      <c r="C259" s="32" t="s">
        <v>61</v>
      </c>
    </row>
    <row r="260" spans="1:6" x14ac:dyDescent="0.2">
      <c r="B260" s="32" t="s">
        <v>59</v>
      </c>
    </row>
    <row r="261" spans="1:6" x14ac:dyDescent="0.2">
      <c r="B261" s="24" t="s">
        <v>62</v>
      </c>
      <c r="C261" s="24" t="s">
        <v>63</v>
      </c>
    </row>
    <row r="264" spans="1:6" ht="15" x14ac:dyDescent="0.25">
      <c r="B264" s="34" t="s">
        <v>69</v>
      </c>
      <c r="C264" s="18"/>
      <c r="D264" s="1"/>
      <c r="E264" s="1"/>
      <c r="F264" s="1"/>
    </row>
    <row r="265" spans="1:6" ht="15" x14ac:dyDescent="0.2">
      <c r="B265" s="20" t="s">
        <v>70</v>
      </c>
    </row>
    <row r="266" spans="1:6" ht="15" x14ac:dyDescent="0.2">
      <c r="A266" s="27">
        <v>1</v>
      </c>
      <c r="B266" s="19" t="s">
        <v>74</v>
      </c>
    </row>
    <row r="267" spans="1:6" ht="15" x14ac:dyDescent="0.2">
      <c r="B267" s="22" t="s">
        <v>71</v>
      </c>
      <c r="C267" s="23">
        <v>90</v>
      </c>
      <c r="D267" s="5"/>
      <c r="E267" s="5"/>
      <c r="F267" s="5"/>
    </row>
    <row r="268" spans="1:6" ht="15" x14ac:dyDescent="0.2">
      <c r="B268" s="23" t="s">
        <v>72</v>
      </c>
      <c r="C268" s="23">
        <v>40</v>
      </c>
      <c r="D268" s="5"/>
      <c r="E268" s="5"/>
      <c r="F268" s="5"/>
    </row>
    <row r="269" spans="1:6" ht="15" x14ac:dyDescent="0.2">
      <c r="B269" s="22" t="s">
        <v>73</v>
      </c>
      <c r="C269" s="23">
        <v>30</v>
      </c>
      <c r="D269" s="5"/>
      <c r="E269" s="5"/>
      <c r="F269" s="5"/>
    </row>
    <row r="270" spans="1:6" ht="15" x14ac:dyDescent="0.2">
      <c r="B270" s="23" t="s">
        <v>2</v>
      </c>
      <c r="C270" s="23">
        <v>1440</v>
      </c>
      <c r="D270" s="5"/>
      <c r="E270" s="5"/>
      <c r="F270" s="5"/>
    </row>
    <row r="271" spans="1:6" ht="15" x14ac:dyDescent="0.2">
      <c r="B271" s="19"/>
      <c r="C271" s="20"/>
      <c r="D271" s="5"/>
      <c r="E271" s="5"/>
      <c r="F271" s="5"/>
    </row>
    <row r="272" spans="1:6" ht="15" x14ac:dyDescent="0.2">
      <c r="A272" s="27">
        <v>2</v>
      </c>
      <c r="B272" s="19" t="s">
        <v>74</v>
      </c>
    </row>
    <row r="273" spans="1:6" ht="15" x14ac:dyDescent="0.2">
      <c r="B273" s="22" t="s">
        <v>71</v>
      </c>
      <c r="C273" s="23">
        <v>90</v>
      </c>
      <c r="D273" s="5"/>
      <c r="E273" s="5"/>
      <c r="F273" s="5"/>
    </row>
    <row r="274" spans="1:6" ht="15" x14ac:dyDescent="0.2">
      <c r="B274" s="23" t="s">
        <v>72</v>
      </c>
      <c r="C274" s="23">
        <v>40</v>
      </c>
      <c r="D274" s="5"/>
      <c r="E274" s="5"/>
      <c r="F274" s="5"/>
    </row>
    <row r="275" spans="1:6" ht="15" x14ac:dyDescent="0.2">
      <c r="B275" s="22" t="s">
        <v>73</v>
      </c>
      <c r="C275" s="23">
        <v>30</v>
      </c>
      <c r="D275" s="5"/>
      <c r="E275" s="5"/>
      <c r="F275" s="5"/>
    </row>
    <row r="276" spans="1:6" ht="15" x14ac:dyDescent="0.2">
      <c r="B276" s="23" t="s">
        <v>2</v>
      </c>
      <c r="C276" s="23">
        <v>1440</v>
      </c>
      <c r="D276" s="5"/>
      <c r="E276" s="5"/>
      <c r="F276" s="5"/>
    </row>
    <row r="277" spans="1:6" ht="15" x14ac:dyDescent="0.2">
      <c r="B277" s="19"/>
      <c r="C277" s="23"/>
      <c r="D277" s="5"/>
      <c r="E277" s="5"/>
      <c r="F277" s="5"/>
    </row>
    <row r="278" spans="1:6" ht="15" x14ac:dyDescent="0.2">
      <c r="A278" s="27">
        <v>3</v>
      </c>
      <c r="B278" s="19" t="s">
        <v>75</v>
      </c>
      <c r="C278" s="33"/>
    </row>
    <row r="279" spans="1:6" ht="15" x14ac:dyDescent="0.2">
      <c r="B279" s="22" t="s">
        <v>71</v>
      </c>
      <c r="C279" s="23">
        <v>90</v>
      </c>
      <c r="D279" s="5"/>
      <c r="E279" s="5"/>
      <c r="F279" s="5"/>
    </row>
    <row r="280" spans="1:6" ht="15" x14ac:dyDescent="0.2">
      <c r="B280" s="23" t="s">
        <v>72</v>
      </c>
      <c r="C280" s="23">
        <v>40</v>
      </c>
      <c r="D280" s="5"/>
      <c r="E280" s="5"/>
      <c r="F280" s="5"/>
    </row>
    <row r="281" spans="1:6" ht="15" x14ac:dyDescent="0.2">
      <c r="B281" s="22" t="s">
        <v>73</v>
      </c>
      <c r="C281" s="23">
        <v>30</v>
      </c>
      <c r="D281" s="5"/>
      <c r="E281" s="5"/>
      <c r="F281" s="5"/>
    </row>
    <row r="282" spans="1:6" ht="15" x14ac:dyDescent="0.2">
      <c r="B282" s="23" t="s">
        <v>2</v>
      </c>
      <c r="C282" s="23">
        <v>1440</v>
      </c>
      <c r="D282" s="5"/>
      <c r="E282" s="5"/>
      <c r="F282" s="5"/>
    </row>
    <row r="283" spans="1:6" ht="15" x14ac:dyDescent="0.2">
      <c r="B283" s="19"/>
      <c r="C283" s="23"/>
      <c r="D283" s="5"/>
      <c r="E283" s="5"/>
      <c r="F283" s="5"/>
    </row>
    <row r="284" spans="1:6" ht="15" x14ac:dyDescent="0.2">
      <c r="A284" s="27">
        <v>4</v>
      </c>
      <c r="B284" s="19" t="s">
        <v>75</v>
      </c>
      <c r="C284" s="33"/>
    </row>
    <row r="285" spans="1:6" ht="15" x14ac:dyDescent="0.2">
      <c r="B285" s="22" t="s">
        <v>71</v>
      </c>
      <c r="C285" s="23">
        <v>90</v>
      </c>
      <c r="D285" s="5"/>
      <c r="E285" s="5"/>
      <c r="F285" s="5"/>
    </row>
    <row r="286" spans="1:6" ht="15" x14ac:dyDescent="0.2">
      <c r="B286" s="23" t="s">
        <v>72</v>
      </c>
      <c r="C286" s="23">
        <v>40</v>
      </c>
      <c r="D286" s="5"/>
      <c r="E286" s="5"/>
      <c r="F286" s="5"/>
    </row>
    <row r="287" spans="1:6" ht="15" x14ac:dyDescent="0.2">
      <c r="B287" s="22" t="s">
        <v>73</v>
      </c>
      <c r="C287" s="23">
        <v>30</v>
      </c>
      <c r="D287" s="5"/>
      <c r="E287" s="5"/>
      <c r="F287" s="5"/>
    </row>
    <row r="288" spans="1:6" ht="15" x14ac:dyDescent="0.2">
      <c r="B288" s="23" t="s">
        <v>2</v>
      </c>
      <c r="C288" s="23">
        <v>1440</v>
      </c>
      <c r="D288" s="5"/>
      <c r="E288" s="5"/>
      <c r="F288" s="5"/>
    </row>
    <row r="289" spans="1:13" ht="15" x14ac:dyDescent="0.2">
      <c r="B289" s="19"/>
      <c r="C289" s="23"/>
      <c r="D289" s="5"/>
      <c r="E289" s="5"/>
      <c r="F289" s="5"/>
    </row>
    <row r="290" spans="1:13" ht="15" x14ac:dyDescent="0.2">
      <c r="A290" s="27">
        <v>5</v>
      </c>
      <c r="B290" s="20" t="s">
        <v>76</v>
      </c>
      <c r="C290" s="33"/>
    </row>
    <row r="291" spans="1:13" ht="15" x14ac:dyDescent="0.2">
      <c r="B291" s="22" t="s">
        <v>71</v>
      </c>
      <c r="C291" s="23">
        <v>30</v>
      </c>
    </row>
    <row r="292" spans="1:13" ht="15" x14ac:dyDescent="0.2">
      <c r="B292" s="23" t="s">
        <v>72</v>
      </c>
      <c r="C292" s="23">
        <v>30</v>
      </c>
    </row>
    <row r="293" spans="1:13" ht="15" x14ac:dyDescent="0.2">
      <c r="B293" s="22" t="s">
        <v>73</v>
      </c>
      <c r="C293" s="23">
        <v>15</v>
      </c>
    </row>
    <row r="294" spans="1:13" ht="15" x14ac:dyDescent="0.2">
      <c r="B294" s="23" t="s">
        <v>2</v>
      </c>
      <c r="C294" s="23">
        <v>1450</v>
      </c>
    </row>
    <row r="298" spans="1:13" ht="18.75" x14ac:dyDescent="0.3">
      <c r="A298"/>
      <c r="B298" s="35" t="s">
        <v>77</v>
      </c>
      <c r="D298" s="11"/>
      <c r="E298" s="11"/>
      <c r="F298" s="11"/>
      <c r="G298" s="11"/>
      <c r="H298" s="11"/>
    </row>
    <row r="299" spans="1:13" x14ac:dyDescent="0.2">
      <c r="A299"/>
    </row>
    <row r="300" spans="1:13" ht="15" x14ac:dyDescent="0.2">
      <c r="A300" s="12" t="s">
        <v>78</v>
      </c>
      <c r="B300" s="19" t="s">
        <v>79</v>
      </c>
    </row>
    <row r="301" spans="1:13" x14ac:dyDescent="0.2">
      <c r="A301" s="8">
        <v>1</v>
      </c>
      <c r="B301" s="36" t="s">
        <v>90</v>
      </c>
    </row>
    <row r="302" spans="1:13" ht="15" x14ac:dyDescent="0.2">
      <c r="A302" s="8"/>
      <c r="B302" s="23" t="s">
        <v>1</v>
      </c>
      <c r="C302" s="25" t="s">
        <v>91</v>
      </c>
      <c r="D302" s="6"/>
      <c r="E302" s="8"/>
      <c r="F302" s="8"/>
      <c r="G302" s="8"/>
      <c r="H302" s="8"/>
      <c r="I302" s="10"/>
      <c r="J302" s="8"/>
      <c r="K302" s="8"/>
      <c r="L302" s="8"/>
      <c r="M302" s="13"/>
    </row>
    <row r="303" spans="1:13" ht="15" x14ac:dyDescent="0.2">
      <c r="A303" s="8"/>
      <c r="B303" s="23" t="s">
        <v>80</v>
      </c>
      <c r="C303" s="24" t="s">
        <v>92</v>
      </c>
      <c r="D303" s="6"/>
      <c r="E303" s="8"/>
      <c r="F303" s="8"/>
      <c r="G303" s="8"/>
      <c r="H303" s="8"/>
      <c r="I303" s="10"/>
      <c r="J303" s="8"/>
      <c r="K303" s="8"/>
      <c r="L303" s="8"/>
      <c r="M303" s="13"/>
    </row>
    <row r="304" spans="1:13" ht="15" x14ac:dyDescent="0.2">
      <c r="A304" s="8"/>
      <c r="B304" s="22" t="s">
        <v>81</v>
      </c>
      <c r="C304" s="25">
        <v>10.8</v>
      </c>
      <c r="D304" s="6"/>
      <c r="E304" s="8"/>
      <c r="F304" s="8"/>
      <c r="G304" s="8"/>
      <c r="H304" s="8"/>
      <c r="I304" s="10"/>
      <c r="J304" s="8"/>
      <c r="K304" s="8"/>
      <c r="L304" s="8"/>
      <c r="M304" s="13"/>
    </row>
    <row r="305" spans="1:13" ht="15" x14ac:dyDescent="0.25">
      <c r="A305" s="8"/>
      <c r="B305" s="28" t="s">
        <v>82</v>
      </c>
      <c r="C305" s="25">
        <v>3</v>
      </c>
      <c r="D305" s="6"/>
      <c r="E305" s="8"/>
      <c r="F305" s="8"/>
      <c r="G305" s="8"/>
      <c r="H305" s="8"/>
      <c r="I305" s="10"/>
      <c r="J305" s="8"/>
      <c r="K305" s="8"/>
      <c r="L305" s="8"/>
      <c r="M305" s="13"/>
    </row>
    <row r="306" spans="1:13" ht="15" x14ac:dyDescent="0.2">
      <c r="A306" s="8"/>
      <c r="B306" s="23" t="s">
        <v>83</v>
      </c>
      <c r="C306" s="25">
        <v>3.7</v>
      </c>
      <c r="D306" s="6"/>
      <c r="E306" s="8"/>
      <c r="F306" s="8"/>
      <c r="G306" s="8"/>
      <c r="H306" s="8"/>
      <c r="I306" s="10"/>
      <c r="J306" s="8"/>
      <c r="K306" s="8"/>
      <c r="L306" s="8"/>
      <c r="M306" s="13"/>
    </row>
    <row r="307" spans="1:13" ht="15" x14ac:dyDescent="0.2">
      <c r="A307" s="8"/>
      <c r="B307" s="23" t="s">
        <v>84</v>
      </c>
      <c r="C307" s="25">
        <v>533</v>
      </c>
      <c r="D307" s="6"/>
      <c r="E307" s="8"/>
      <c r="F307" s="8"/>
      <c r="G307" s="8"/>
      <c r="H307" s="8"/>
      <c r="I307" s="10"/>
      <c r="J307" s="8"/>
      <c r="K307" s="8"/>
      <c r="L307" s="8"/>
      <c r="M307" s="13"/>
    </row>
    <row r="308" spans="1:13" ht="15" x14ac:dyDescent="0.2">
      <c r="A308" s="8"/>
      <c r="B308" s="22" t="s">
        <v>85</v>
      </c>
      <c r="C308" s="24" t="s">
        <v>93</v>
      </c>
      <c r="D308" s="6"/>
      <c r="E308" s="8"/>
      <c r="F308" s="8"/>
      <c r="G308" s="8"/>
      <c r="H308" s="8"/>
      <c r="I308" s="10"/>
      <c r="J308" s="8"/>
      <c r="K308" s="8"/>
      <c r="L308" s="8"/>
      <c r="M308" s="13"/>
    </row>
    <row r="309" spans="1:13" ht="15" x14ac:dyDescent="0.2">
      <c r="A309" s="8"/>
      <c r="B309" s="22" t="s">
        <v>86</v>
      </c>
      <c r="C309" s="25" t="s">
        <v>94</v>
      </c>
      <c r="H309" s="8"/>
      <c r="I309" s="10"/>
      <c r="J309" s="8"/>
      <c r="K309" s="8"/>
      <c r="L309" s="8"/>
      <c r="M309" s="13"/>
    </row>
    <row r="310" spans="1:13" ht="15" x14ac:dyDescent="0.2">
      <c r="A310" s="8"/>
      <c r="B310" s="22" t="s">
        <v>87</v>
      </c>
      <c r="C310" s="25" t="s">
        <v>95</v>
      </c>
      <c r="F310" s="8"/>
      <c r="H310" s="8"/>
      <c r="I310" s="10"/>
      <c r="J310" s="8"/>
      <c r="K310" s="8"/>
      <c r="L310" s="8"/>
      <c r="M310" s="13"/>
    </row>
    <row r="311" spans="1:13" ht="15" x14ac:dyDescent="0.2">
      <c r="A311" s="8"/>
      <c r="B311" s="22" t="s">
        <v>88</v>
      </c>
      <c r="C311" s="25">
        <v>4</v>
      </c>
      <c r="D311" s="6"/>
      <c r="E311" s="8"/>
      <c r="F311" s="8"/>
      <c r="G311" s="8"/>
      <c r="H311" s="8"/>
      <c r="I311" s="10"/>
      <c r="J311" s="8"/>
      <c r="K311" s="8"/>
      <c r="L311" s="8"/>
      <c r="M311" s="13"/>
    </row>
    <row r="312" spans="1:13" ht="15" x14ac:dyDescent="0.2">
      <c r="A312" s="8"/>
      <c r="B312" s="22" t="s">
        <v>89</v>
      </c>
      <c r="C312" s="38" t="s">
        <v>96</v>
      </c>
      <c r="D312" s="6"/>
      <c r="E312" s="8"/>
      <c r="F312" s="8"/>
      <c r="G312" s="8"/>
      <c r="H312" s="8"/>
      <c r="I312" s="10"/>
      <c r="J312" s="8"/>
      <c r="K312" s="8"/>
      <c r="L312" s="8"/>
      <c r="M312" s="13"/>
    </row>
    <row r="313" spans="1:13" x14ac:dyDescent="0.2">
      <c r="A313" s="8"/>
      <c r="B313" s="36"/>
      <c r="C313" s="25"/>
      <c r="D313" s="6"/>
      <c r="E313" s="8"/>
      <c r="F313" s="8"/>
      <c r="G313" s="8"/>
      <c r="H313" s="8"/>
      <c r="I313" s="10"/>
      <c r="J313" s="8"/>
      <c r="K313" s="8"/>
      <c r="L313" s="8"/>
      <c r="M313" s="13"/>
    </row>
    <row r="314" spans="1:13" x14ac:dyDescent="0.2">
      <c r="A314" s="8"/>
      <c r="B314" s="24"/>
      <c r="C314" s="25"/>
      <c r="D314" s="6"/>
      <c r="E314" s="8"/>
      <c r="F314" s="8"/>
      <c r="G314" s="8"/>
      <c r="H314" s="8"/>
      <c r="I314" s="10"/>
      <c r="J314" s="8"/>
      <c r="K314" s="8"/>
      <c r="L314" s="8"/>
      <c r="M314" s="13"/>
    </row>
    <row r="315" spans="1:13" x14ac:dyDescent="0.2">
      <c r="A315" s="8">
        <v>2</v>
      </c>
      <c r="B315" s="29" t="s">
        <v>97</v>
      </c>
      <c r="F315" s="8"/>
      <c r="G315" s="8"/>
      <c r="H315" s="8"/>
    </row>
    <row r="316" spans="1:13" ht="15" x14ac:dyDescent="0.2">
      <c r="A316" s="8"/>
      <c r="B316" s="23" t="s">
        <v>1</v>
      </c>
      <c r="C316" s="25" t="s">
        <v>98</v>
      </c>
      <c r="D316" s="6"/>
      <c r="E316" s="8"/>
      <c r="F316" s="8"/>
      <c r="G316" s="8"/>
      <c r="H316" s="8"/>
      <c r="I316" s="10"/>
      <c r="J316" s="8"/>
      <c r="K316" s="8"/>
      <c r="L316" s="8"/>
      <c r="M316" s="13"/>
    </row>
    <row r="317" spans="1:13" ht="15" x14ac:dyDescent="0.2">
      <c r="A317" s="8"/>
      <c r="B317" s="23" t="s">
        <v>80</v>
      </c>
      <c r="C317" s="24" t="s">
        <v>99</v>
      </c>
      <c r="D317" s="6"/>
      <c r="E317" s="8"/>
      <c r="F317" s="8"/>
      <c r="G317" s="8"/>
      <c r="H317" s="8"/>
      <c r="I317" s="10"/>
      <c r="J317" s="8"/>
      <c r="K317" s="8"/>
      <c r="L317" s="8"/>
      <c r="M317" s="13"/>
    </row>
    <row r="318" spans="1:13" ht="15" x14ac:dyDescent="0.2">
      <c r="A318" s="8"/>
      <c r="B318" s="22" t="s">
        <v>81</v>
      </c>
      <c r="C318" s="25">
        <v>18.75</v>
      </c>
      <c r="D318" s="6"/>
      <c r="E318" s="8"/>
      <c r="F318" s="8"/>
      <c r="G318" s="8"/>
      <c r="H318" s="8"/>
      <c r="I318" s="10"/>
      <c r="J318" s="8"/>
      <c r="K318" s="8"/>
      <c r="L318" s="8"/>
      <c r="M318" s="13"/>
    </row>
    <row r="319" spans="1:13" ht="15" x14ac:dyDescent="0.25">
      <c r="A319" s="8"/>
      <c r="B319" s="28" t="s">
        <v>82</v>
      </c>
      <c r="C319" s="25">
        <v>3</v>
      </c>
      <c r="D319" s="6"/>
      <c r="E319" s="8"/>
      <c r="F319" s="8"/>
      <c r="G319" s="8"/>
      <c r="H319" s="8"/>
      <c r="I319" s="10"/>
      <c r="J319" s="8"/>
      <c r="K319" s="8"/>
      <c r="L319" s="8"/>
      <c r="M319" s="13"/>
    </row>
    <row r="320" spans="1:13" ht="15" x14ac:dyDescent="0.2">
      <c r="A320" s="8"/>
      <c r="B320" s="23" t="s">
        <v>83</v>
      </c>
      <c r="C320" s="25">
        <v>5.5</v>
      </c>
      <c r="D320" s="6"/>
      <c r="E320" s="8"/>
      <c r="F320" s="8"/>
      <c r="G320" s="8"/>
      <c r="H320" s="8"/>
      <c r="I320" s="10"/>
      <c r="J320" s="8"/>
      <c r="K320" s="8"/>
      <c r="L320" s="8"/>
      <c r="M320" s="13"/>
    </row>
    <row r="321" spans="1:13" ht="15" x14ac:dyDescent="0.2">
      <c r="A321" s="8"/>
      <c r="B321" s="23" t="s">
        <v>84</v>
      </c>
      <c r="C321" s="25">
        <v>566</v>
      </c>
      <c r="D321" s="6"/>
      <c r="E321" s="8"/>
      <c r="F321" s="8"/>
      <c r="G321" s="8"/>
      <c r="H321" s="8"/>
      <c r="I321" s="10"/>
      <c r="J321" s="8"/>
      <c r="K321" s="8"/>
      <c r="L321" s="8"/>
      <c r="M321" s="13"/>
    </row>
    <row r="322" spans="1:13" ht="15" x14ac:dyDescent="0.2">
      <c r="A322" s="8"/>
      <c r="B322" s="22" t="s">
        <v>85</v>
      </c>
      <c r="C322" s="24" t="s">
        <v>93</v>
      </c>
      <c r="H322" s="8"/>
      <c r="I322" s="10"/>
      <c r="J322" s="8"/>
      <c r="K322" s="8"/>
      <c r="L322" s="8"/>
      <c r="M322" s="13"/>
    </row>
    <row r="323" spans="1:13" ht="15" x14ac:dyDescent="0.2">
      <c r="A323" s="8"/>
      <c r="B323" s="22" t="s">
        <v>86</v>
      </c>
      <c r="C323" s="25" t="s">
        <v>94</v>
      </c>
      <c r="D323" s="6"/>
      <c r="E323" s="8"/>
      <c r="F323" s="8"/>
      <c r="G323" s="8"/>
      <c r="H323" s="8"/>
      <c r="I323" s="10"/>
      <c r="J323" s="8"/>
      <c r="K323" s="8"/>
      <c r="L323" s="8"/>
      <c r="M323" s="13"/>
    </row>
    <row r="324" spans="1:13" ht="15" x14ac:dyDescent="0.2">
      <c r="A324" s="8"/>
      <c r="B324" s="22" t="s">
        <v>87</v>
      </c>
      <c r="C324" s="25" t="s">
        <v>100</v>
      </c>
      <c r="D324" s="6"/>
      <c r="E324" s="8"/>
      <c r="F324" s="8"/>
      <c r="G324" s="8"/>
      <c r="H324" s="8"/>
      <c r="I324" s="10"/>
      <c r="J324" s="8"/>
      <c r="K324" s="8"/>
      <c r="L324" s="8"/>
      <c r="M324" s="13"/>
    </row>
    <row r="325" spans="1:13" ht="15" x14ac:dyDescent="0.2">
      <c r="A325" s="8"/>
      <c r="B325" s="22" t="s">
        <v>88</v>
      </c>
      <c r="C325" s="25">
        <v>4</v>
      </c>
      <c r="D325" s="6"/>
      <c r="E325" s="8"/>
      <c r="F325" s="8"/>
      <c r="G325" s="8"/>
      <c r="H325" s="8"/>
      <c r="I325" s="10"/>
      <c r="J325" s="8"/>
      <c r="K325" s="8"/>
      <c r="L325" s="8"/>
      <c r="M325" s="13"/>
    </row>
    <row r="326" spans="1:13" ht="15" x14ac:dyDescent="0.2">
      <c r="A326" s="8"/>
      <c r="B326" s="22" t="s">
        <v>89</v>
      </c>
      <c r="C326" s="38" t="s">
        <v>96</v>
      </c>
      <c r="D326" s="6"/>
      <c r="E326" s="8"/>
      <c r="F326" s="8"/>
      <c r="G326" s="8"/>
      <c r="H326" s="8"/>
      <c r="I326" s="10"/>
      <c r="J326" s="8"/>
      <c r="K326" s="8"/>
      <c r="L326" s="8"/>
      <c r="M326" s="13"/>
    </row>
    <row r="327" spans="1:13" x14ac:dyDescent="0.2">
      <c r="A327" s="8"/>
      <c r="B327" s="24"/>
      <c r="C327" s="25"/>
      <c r="D327" s="6"/>
      <c r="E327" s="8"/>
      <c r="F327" s="8"/>
      <c r="G327" s="8"/>
      <c r="H327" s="8"/>
      <c r="I327" s="10"/>
      <c r="J327" s="8"/>
      <c r="K327" s="8"/>
      <c r="L327" s="8"/>
      <c r="M327" s="13"/>
    </row>
    <row r="328" spans="1:13" x14ac:dyDescent="0.2">
      <c r="A328" s="8">
        <v>3</v>
      </c>
      <c r="B328" s="37" t="s">
        <v>101</v>
      </c>
      <c r="F328" s="8"/>
      <c r="G328" s="8"/>
      <c r="H328" s="8"/>
    </row>
    <row r="329" spans="1:13" ht="15" x14ac:dyDescent="0.2">
      <c r="A329" s="8"/>
      <c r="B329" s="23" t="s">
        <v>1</v>
      </c>
      <c r="C329" s="25" t="s">
        <v>102</v>
      </c>
      <c r="D329" s="6"/>
      <c r="E329" s="8"/>
      <c r="F329" s="8"/>
      <c r="G329" s="8"/>
      <c r="H329" s="8"/>
      <c r="I329" s="10"/>
      <c r="J329" s="8"/>
      <c r="K329" s="6"/>
      <c r="L329" s="8"/>
      <c r="M329" s="13"/>
    </row>
    <row r="330" spans="1:13" ht="15" x14ac:dyDescent="0.2">
      <c r="A330" s="8"/>
      <c r="B330" s="23" t="s">
        <v>80</v>
      </c>
      <c r="C330" s="24" t="s">
        <v>103</v>
      </c>
      <c r="D330" s="6"/>
      <c r="E330" s="8"/>
      <c r="F330" s="8"/>
      <c r="G330" s="8"/>
      <c r="H330" s="8"/>
      <c r="I330" s="10"/>
      <c r="J330" s="8"/>
      <c r="K330" s="6"/>
      <c r="L330" s="8"/>
      <c r="M330" s="13"/>
    </row>
    <row r="331" spans="1:13" ht="15" x14ac:dyDescent="0.2">
      <c r="A331" s="8"/>
      <c r="B331" s="22" t="s">
        <v>81</v>
      </c>
      <c r="C331" s="25">
        <v>25.63</v>
      </c>
      <c r="D331" s="6"/>
      <c r="E331" s="8"/>
      <c r="F331" s="8"/>
      <c r="G331" s="8"/>
      <c r="H331" s="8"/>
      <c r="I331" s="10"/>
      <c r="J331" s="8"/>
      <c r="K331" s="6"/>
      <c r="L331" s="8"/>
      <c r="M331" s="13"/>
    </row>
    <row r="332" spans="1:13" ht="15" x14ac:dyDescent="0.25">
      <c r="A332" s="8"/>
      <c r="B332" s="28" t="s">
        <v>82</v>
      </c>
      <c r="C332" s="25">
        <v>3</v>
      </c>
      <c r="D332" s="6"/>
      <c r="E332" s="8"/>
      <c r="F332" s="8"/>
      <c r="G332" s="8"/>
      <c r="H332" s="8"/>
      <c r="I332" s="10"/>
      <c r="J332" s="8"/>
      <c r="K332" s="6"/>
      <c r="L332" s="8"/>
      <c r="M332" s="13"/>
    </row>
    <row r="333" spans="1:13" ht="15" x14ac:dyDescent="0.2">
      <c r="A333" s="8"/>
      <c r="B333" s="23" t="s">
        <v>83</v>
      </c>
      <c r="C333" s="25">
        <v>7.5</v>
      </c>
      <c r="D333" s="6"/>
      <c r="E333" s="8"/>
      <c r="F333" s="8"/>
      <c r="G333" s="8"/>
      <c r="H333" s="8"/>
      <c r="I333" s="10"/>
      <c r="J333" s="8"/>
      <c r="K333" s="6"/>
      <c r="L333" s="8"/>
      <c r="M333" s="13"/>
    </row>
    <row r="334" spans="1:13" ht="15" x14ac:dyDescent="0.2">
      <c r="A334" s="8"/>
      <c r="B334" s="23" t="s">
        <v>84</v>
      </c>
      <c r="C334" s="25">
        <v>443</v>
      </c>
      <c r="D334" s="6"/>
      <c r="E334" s="8"/>
      <c r="F334" s="8"/>
      <c r="G334" s="8"/>
      <c r="H334" s="8"/>
      <c r="I334" s="10"/>
      <c r="J334" s="8"/>
      <c r="K334" s="6"/>
      <c r="L334" s="8"/>
      <c r="M334" s="13"/>
    </row>
    <row r="335" spans="1:13" ht="15" x14ac:dyDescent="0.2">
      <c r="A335" s="8"/>
      <c r="B335" s="22" t="s">
        <v>85</v>
      </c>
      <c r="C335" s="24" t="s">
        <v>93</v>
      </c>
      <c r="F335" s="8">
        <v>1</v>
      </c>
      <c r="H335" s="8"/>
      <c r="I335" s="10"/>
      <c r="J335" s="8"/>
      <c r="K335" s="6"/>
      <c r="L335" s="8"/>
      <c r="M335" s="13"/>
    </row>
    <row r="336" spans="1:13" ht="15" x14ac:dyDescent="0.2">
      <c r="A336" s="8"/>
      <c r="B336" s="22" t="s">
        <v>86</v>
      </c>
      <c r="C336" s="25" t="s">
        <v>94</v>
      </c>
      <c r="D336" s="6"/>
      <c r="E336" s="8"/>
      <c r="F336" s="8"/>
      <c r="G336" s="8"/>
      <c r="H336" s="8"/>
      <c r="I336" s="10"/>
      <c r="J336" s="8"/>
      <c r="K336" s="6"/>
      <c r="L336" s="8"/>
      <c r="M336" s="13"/>
    </row>
    <row r="337" spans="1:13" ht="15" x14ac:dyDescent="0.2">
      <c r="A337" s="8"/>
      <c r="B337" s="22" t="s">
        <v>87</v>
      </c>
      <c r="C337" s="24" t="s">
        <v>104</v>
      </c>
      <c r="D337" s="6"/>
      <c r="E337" s="8"/>
      <c r="F337" s="8"/>
      <c r="G337" s="8"/>
      <c r="H337" s="8"/>
      <c r="I337" s="10"/>
      <c r="J337" s="8"/>
      <c r="K337" s="6"/>
      <c r="L337" s="8"/>
      <c r="M337" s="13"/>
    </row>
    <row r="338" spans="1:13" ht="15" x14ac:dyDescent="0.2">
      <c r="A338" s="8"/>
      <c r="B338" s="22" t="s">
        <v>88</v>
      </c>
      <c r="C338" s="25">
        <v>1</v>
      </c>
      <c r="D338" s="6"/>
      <c r="E338" s="8"/>
      <c r="F338" s="8"/>
      <c r="G338" s="8"/>
      <c r="H338" s="8"/>
      <c r="I338" s="10"/>
      <c r="J338" s="8"/>
      <c r="K338" s="6"/>
      <c r="L338" s="8"/>
      <c r="M338" s="13"/>
    </row>
    <row r="339" spans="1:13" ht="15" x14ac:dyDescent="0.2">
      <c r="A339" s="8"/>
      <c r="B339" s="22" t="s">
        <v>89</v>
      </c>
      <c r="C339" s="38" t="s">
        <v>96</v>
      </c>
      <c r="D339" s="6"/>
      <c r="E339" s="8"/>
      <c r="F339" s="8"/>
      <c r="G339" s="8"/>
      <c r="H339" s="8"/>
      <c r="I339" s="10"/>
      <c r="J339" s="8"/>
      <c r="K339" s="6"/>
      <c r="L339" s="8"/>
      <c r="M339" s="13"/>
    </row>
    <row r="340" spans="1:13" x14ac:dyDescent="0.2">
      <c r="A340" s="8"/>
      <c r="B340" s="25"/>
      <c r="C340" s="25"/>
      <c r="D340" s="6"/>
      <c r="E340" s="8"/>
      <c r="F340" s="8"/>
      <c r="G340" s="8"/>
      <c r="H340" s="8"/>
      <c r="I340" s="10"/>
      <c r="J340" s="8"/>
      <c r="K340" s="6"/>
      <c r="L340" s="8"/>
      <c r="M340" s="13"/>
    </row>
    <row r="341" spans="1:13" x14ac:dyDescent="0.2">
      <c r="A341" s="8"/>
      <c r="B341" s="25"/>
      <c r="C341" s="25"/>
      <c r="D341" s="6"/>
      <c r="E341" s="8"/>
      <c r="F341" s="8"/>
      <c r="G341" s="8"/>
      <c r="H341" s="8"/>
      <c r="I341" s="10"/>
      <c r="J341" s="8"/>
      <c r="K341" s="6"/>
      <c r="L341" s="8"/>
      <c r="M341" s="13"/>
    </row>
    <row r="342" spans="1:13" x14ac:dyDescent="0.2">
      <c r="A342" s="8"/>
      <c r="B342" s="25"/>
      <c r="C342" s="25"/>
      <c r="D342" s="6"/>
      <c r="E342" s="8"/>
      <c r="F342" s="8"/>
      <c r="G342" s="8"/>
      <c r="H342" s="8"/>
      <c r="I342" s="10"/>
      <c r="J342" s="8"/>
      <c r="K342" s="6"/>
      <c r="L342" s="8"/>
      <c r="M342" s="13"/>
    </row>
    <row r="343" spans="1:13" x14ac:dyDescent="0.2">
      <c r="A343" s="8">
        <v>4</v>
      </c>
      <c r="B343" s="25" t="s">
        <v>105</v>
      </c>
      <c r="E343" s="8"/>
      <c r="F343" s="8"/>
      <c r="G343" s="8"/>
      <c r="H343" s="8"/>
    </row>
    <row r="344" spans="1:13" ht="15" x14ac:dyDescent="0.2">
      <c r="A344" s="8"/>
      <c r="B344" s="23" t="s">
        <v>1</v>
      </c>
      <c r="C344" s="25" t="s">
        <v>106</v>
      </c>
      <c r="D344" s="6"/>
      <c r="E344" s="8"/>
      <c r="F344" s="8"/>
      <c r="G344" s="8"/>
      <c r="H344" s="8"/>
      <c r="I344" s="14"/>
      <c r="J344" s="6"/>
      <c r="K344" s="8"/>
      <c r="L344" s="8"/>
      <c r="M344" s="13"/>
    </row>
    <row r="345" spans="1:13" ht="15" x14ac:dyDescent="0.2">
      <c r="A345" s="8"/>
      <c r="B345" s="23" t="s">
        <v>80</v>
      </c>
      <c r="C345" s="24" t="s">
        <v>107</v>
      </c>
      <c r="D345" s="6"/>
      <c r="E345" s="8"/>
      <c r="F345" s="8"/>
      <c r="G345" s="8"/>
      <c r="H345" s="8"/>
      <c r="I345" s="14"/>
      <c r="J345" s="6"/>
      <c r="K345" s="8"/>
      <c r="L345" s="8"/>
      <c r="M345" s="13"/>
    </row>
    <row r="346" spans="1:13" ht="15" x14ac:dyDescent="0.2">
      <c r="A346" s="8"/>
      <c r="B346" s="22" t="s">
        <v>81</v>
      </c>
      <c r="C346" s="25">
        <v>68.56</v>
      </c>
      <c r="D346" s="6"/>
      <c r="E346" s="8"/>
      <c r="F346" s="8"/>
      <c r="G346" s="8"/>
      <c r="H346" s="8"/>
      <c r="I346" s="14"/>
      <c r="J346" s="6"/>
      <c r="K346" s="8"/>
      <c r="L346" s="8"/>
      <c r="M346" s="13"/>
    </row>
    <row r="347" spans="1:13" ht="15" x14ac:dyDescent="0.25">
      <c r="A347" s="8"/>
      <c r="B347" s="28" t="s">
        <v>82</v>
      </c>
      <c r="C347" s="25">
        <v>2</v>
      </c>
      <c r="D347" s="6"/>
      <c r="E347" s="8"/>
      <c r="F347" s="8"/>
      <c r="G347" s="8"/>
      <c r="H347" s="8"/>
      <c r="I347" s="14"/>
      <c r="J347" s="6"/>
      <c r="K347" s="8"/>
      <c r="L347" s="8"/>
      <c r="M347" s="13"/>
    </row>
    <row r="348" spans="1:13" ht="15" x14ac:dyDescent="0.2">
      <c r="A348" s="8"/>
      <c r="B348" s="23" t="s">
        <v>83</v>
      </c>
      <c r="C348" s="25">
        <v>15</v>
      </c>
      <c r="D348" s="6"/>
      <c r="E348" s="8"/>
      <c r="F348" s="8"/>
      <c r="G348" s="8"/>
      <c r="H348" s="8"/>
      <c r="I348" s="14"/>
      <c r="J348" s="6"/>
      <c r="K348" s="8"/>
      <c r="L348" s="8"/>
      <c r="M348" s="13"/>
    </row>
    <row r="349" spans="1:13" ht="15" x14ac:dyDescent="0.2">
      <c r="A349" s="8"/>
      <c r="B349" s="23" t="s">
        <v>84</v>
      </c>
      <c r="C349" s="25">
        <v>253</v>
      </c>
      <c r="D349" s="6"/>
      <c r="E349" s="8"/>
      <c r="F349" s="8"/>
      <c r="G349" s="8"/>
      <c r="H349" s="8"/>
      <c r="I349" s="14"/>
      <c r="J349" s="6"/>
      <c r="K349" s="8"/>
      <c r="L349" s="8"/>
      <c r="M349" s="13"/>
    </row>
    <row r="350" spans="1:13" ht="15" x14ac:dyDescent="0.2">
      <c r="A350" s="8"/>
      <c r="B350" s="22" t="s">
        <v>85</v>
      </c>
      <c r="C350" s="25" t="s">
        <v>108</v>
      </c>
      <c r="F350" s="8"/>
      <c r="H350" s="8"/>
      <c r="I350" s="14"/>
      <c r="J350" s="6"/>
      <c r="K350" s="8"/>
      <c r="L350" s="8"/>
      <c r="M350" s="13"/>
    </row>
    <row r="351" spans="1:13" ht="15" x14ac:dyDescent="0.2">
      <c r="A351" s="8"/>
      <c r="B351" s="22" t="s">
        <v>86</v>
      </c>
      <c r="C351" s="24" t="s">
        <v>109</v>
      </c>
      <c r="D351" s="6"/>
      <c r="E351" s="8"/>
      <c r="F351" s="8"/>
      <c r="G351" s="8"/>
      <c r="H351" s="8"/>
      <c r="I351" s="14"/>
      <c r="J351" s="6"/>
      <c r="K351" s="8"/>
      <c r="L351" s="8"/>
      <c r="M351" s="13"/>
    </row>
    <row r="352" spans="1:13" ht="15" x14ac:dyDescent="0.2">
      <c r="A352" s="8"/>
      <c r="B352" s="22" t="s">
        <v>87</v>
      </c>
      <c r="C352" s="25" t="s">
        <v>110</v>
      </c>
      <c r="D352" s="6"/>
      <c r="E352" s="8"/>
      <c r="F352" s="8"/>
      <c r="G352" s="8"/>
      <c r="H352" s="8"/>
      <c r="I352" s="14"/>
      <c r="J352" s="6"/>
      <c r="K352" s="8"/>
      <c r="L352" s="8"/>
      <c r="M352" s="13"/>
    </row>
    <row r="353" spans="1:13" ht="15" x14ac:dyDescent="0.2">
      <c r="A353" s="8"/>
      <c r="B353" s="22" t="s">
        <v>88</v>
      </c>
      <c r="C353" s="25">
        <v>1</v>
      </c>
      <c r="D353" s="6"/>
      <c r="E353" s="8"/>
      <c r="F353" s="8"/>
      <c r="G353" s="8"/>
      <c r="H353" s="8"/>
      <c r="I353" s="14"/>
      <c r="J353" s="6"/>
      <c r="K353" s="8"/>
      <c r="L353" s="8"/>
      <c r="M353" s="13"/>
    </row>
    <row r="354" spans="1:13" ht="15" x14ac:dyDescent="0.2">
      <c r="A354" s="8"/>
      <c r="B354" s="22" t="s">
        <v>89</v>
      </c>
      <c r="C354" s="38" t="s">
        <v>111</v>
      </c>
      <c r="D354" s="6"/>
      <c r="E354" s="8"/>
      <c r="F354" s="8"/>
      <c r="G354" s="8"/>
      <c r="H354" s="8"/>
      <c r="I354" s="14"/>
      <c r="J354" s="6"/>
      <c r="K354" s="8"/>
      <c r="L354" s="8"/>
      <c r="M354" s="13"/>
    </row>
    <row r="355" spans="1:13" x14ac:dyDescent="0.2">
      <c r="A355" s="8"/>
      <c r="B355" s="25"/>
      <c r="C355" s="25"/>
      <c r="D355" s="6"/>
      <c r="E355" s="8"/>
      <c r="F355" s="8"/>
      <c r="G355" s="8"/>
      <c r="H355" s="8"/>
      <c r="I355" s="14"/>
      <c r="J355" s="6"/>
      <c r="K355" s="8"/>
      <c r="L355" s="8"/>
      <c r="M355" s="13"/>
    </row>
    <row r="356" spans="1:13" x14ac:dyDescent="0.2">
      <c r="A356" s="8"/>
      <c r="B356" s="25"/>
      <c r="C356" s="25"/>
      <c r="D356" s="6"/>
      <c r="E356" s="8"/>
      <c r="F356" s="8"/>
      <c r="G356" s="8"/>
      <c r="H356" s="8"/>
      <c r="I356" s="14"/>
      <c r="J356" s="6"/>
      <c r="K356" s="8"/>
      <c r="L356" s="8"/>
      <c r="M356" s="13"/>
    </row>
    <row r="357" spans="1:13" x14ac:dyDescent="0.2">
      <c r="A357" s="8">
        <v>5</v>
      </c>
      <c r="B357" s="29" t="s">
        <v>112</v>
      </c>
      <c r="E357" s="8"/>
      <c r="F357" s="8"/>
      <c r="G357" s="8"/>
      <c r="H357" s="8"/>
    </row>
    <row r="358" spans="1:13" ht="15" x14ac:dyDescent="0.2">
      <c r="A358" s="8"/>
      <c r="B358" s="23" t="s">
        <v>1</v>
      </c>
      <c r="C358" s="25" t="s">
        <v>113</v>
      </c>
      <c r="D358" s="6"/>
      <c r="E358" s="8"/>
      <c r="F358" s="8"/>
      <c r="G358" s="8"/>
      <c r="H358" s="8"/>
      <c r="I358" s="14"/>
      <c r="J358" s="6"/>
      <c r="K358" s="8"/>
      <c r="L358" s="8"/>
      <c r="M358" s="13"/>
    </row>
    <row r="359" spans="1:13" ht="15" x14ac:dyDescent="0.2">
      <c r="A359" s="8"/>
      <c r="B359" s="23" t="s">
        <v>80</v>
      </c>
      <c r="C359" s="24" t="s">
        <v>114</v>
      </c>
      <c r="D359" s="6"/>
      <c r="E359" s="8"/>
      <c r="F359" s="8"/>
      <c r="G359" s="8"/>
      <c r="H359" s="8"/>
      <c r="I359" s="14"/>
      <c r="J359" s="6"/>
      <c r="K359" s="8"/>
      <c r="L359" s="8"/>
      <c r="M359" s="13"/>
    </row>
    <row r="360" spans="1:13" ht="15" x14ac:dyDescent="0.2">
      <c r="A360" s="8"/>
      <c r="B360" s="22" t="s">
        <v>81</v>
      </c>
      <c r="C360" s="25">
        <v>18</v>
      </c>
      <c r="D360" s="6"/>
      <c r="E360" s="8"/>
      <c r="F360" s="8"/>
      <c r="G360" s="8"/>
      <c r="H360" s="8"/>
      <c r="I360" s="14"/>
      <c r="J360" s="6"/>
      <c r="K360" s="8"/>
      <c r="L360" s="8"/>
      <c r="M360" s="13"/>
    </row>
    <row r="361" spans="1:13" ht="15" x14ac:dyDescent="0.25">
      <c r="A361" s="8"/>
      <c r="B361" s="28" t="s">
        <v>82</v>
      </c>
      <c r="C361" s="25">
        <v>8</v>
      </c>
      <c r="D361" s="6"/>
      <c r="E361" s="8"/>
      <c r="F361" s="8"/>
      <c r="G361" s="8"/>
      <c r="H361" s="8"/>
      <c r="I361" s="14"/>
      <c r="J361" s="6"/>
      <c r="K361" s="8"/>
      <c r="L361" s="8"/>
      <c r="M361" s="13"/>
    </row>
    <row r="362" spans="1:13" ht="15" x14ac:dyDescent="0.2">
      <c r="A362" s="8"/>
      <c r="B362" s="23" t="s">
        <v>83</v>
      </c>
      <c r="C362" s="25">
        <v>15</v>
      </c>
      <c r="D362" s="6"/>
      <c r="E362" s="8"/>
      <c r="F362" s="8"/>
      <c r="G362" s="8"/>
      <c r="H362" s="8"/>
      <c r="I362" s="14"/>
      <c r="J362" s="6"/>
      <c r="K362" s="8"/>
      <c r="L362" s="8"/>
      <c r="M362" s="13"/>
    </row>
    <row r="363" spans="1:13" ht="15" x14ac:dyDescent="0.2">
      <c r="A363" s="8"/>
      <c r="B363" s="23" t="s">
        <v>84</v>
      </c>
      <c r="C363" s="25">
        <v>308</v>
      </c>
      <c r="D363" s="6"/>
      <c r="E363" s="8"/>
      <c r="F363" s="8"/>
      <c r="G363" s="8"/>
      <c r="H363" s="8"/>
      <c r="I363" s="14"/>
      <c r="J363" s="6"/>
      <c r="K363" s="8"/>
      <c r="L363" s="8"/>
      <c r="M363" s="13"/>
    </row>
    <row r="364" spans="1:13" ht="15" x14ac:dyDescent="0.2">
      <c r="A364" s="8"/>
      <c r="B364" s="22" t="s">
        <v>85</v>
      </c>
      <c r="C364" s="25" t="s">
        <v>93</v>
      </c>
      <c r="F364" s="8"/>
      <c r="H364" s="8"/>
      <c r="I364" s="14"/>
      <c r="J364" s="6"/>
      <c r="K364" s="8"/>
      <c r="L364" s="8"/>
      <c r="M364" s="13"/>
    </row>
    <row r="365" spans="1:13" ht="15" x14ac:dyDescent="0.2">
      <c r="A365" s="8"/>
      <c r="B365" s="22" t="s">
        <v>86</v>
      </c>
      <c r="C365" s="24" t="s">
        <v>109</v>
      </c>
      <c r="D365" s="6"/>
      <c r="E365" s="8"/>
      <c r="F365" s="8"/>
      <c r="G365" s="8"/>
      <c r="H365" s="8"/>
      <c r="I365" s="14"/>
      <c r="J365" s="6"/>
      <c r="K365" s="8"/>
      <c r="L365" s="8"/>
      <c r="M365" s="13"/>
    </row>
    <row r="366" spans="1:13" ht="15" x14ac:dyDescent="0.2">
      <c r="A366" s="8"/>
      <c r="B366" s="22" t="s">
        <v>87</v>
      </c>
      <c r="C366" s="25" t="s">
        <v>115</v>
      </c>
      <c r="D366" s="6"/>
      <c r="E366" s="8"/>
      <c r="F366" s="8"/>
      <c r="G366" s="8"/>
      <c r="H366" s="8"/>
      <c r="I366" s="14"/>
      <c r="J366" s="6"/>
      <c r="K366" s="8"/>
      <c r="L366" s="8"/>
      <c r="M366" s="13"/>
    </row>
    <row r="367" spans="1:13" ht="15" x14ac:dyDescent="0.2">
      <c r="A367" s="8"/>
      <c r="B367" s="22" t="s">
        <v>88</v>
      </c>
      <c r="C367" s="25">
        <v>2</v>
      </c>
      <c r="D367" s="6"/>
      <c r="E367" s="8"/>
      <c r="F367" s="8"/>
      <c r="G367" s="8"/>
      <c r="H367" s="8"/>
      <c r="I367" s="14"/>
      <c r="J367" s="6"/>
      <c r="K367" s="8"/>
      <c r="L367" s="8"/>
      <c r="M367" s="13"/>
    </row>
    <row r="368" spans="1:13" ht="15" x14ac:dyDescent="0.2">
      <c r="A368" s="8"/>
      <c r="B368" s="22" t="s">
        <v>89</v>
      </c>
      <c r="C368" s="38" t="s">
        <v>111</v>
      </c>
      <c r="D368" s="6"/>
      <c r="E368" s="8"/>
      <c r="F368" s="8"/>
      <c r="G368" s="8"/>
      <c r="H368" s="8"/>
      <c r="I368" s="14"/>
      <c r="J368" s="6"/>
      <c r="K368" s="8"/>
      <c r="L368" s="8"/>
      <c r="M368" s="13"/>
    </row>
    <row r="369" spans="1:13" x14ac:dyDescent="0.2">
      <c r="A369" s="8"/>
      <c r="B369" s="24"/>
      <c r="C369" s="25"/>
      <c r="D369" s="6"/>
      <c r="E369" s="8"/>
      <c r="F369" s="8"/>
      <c r="G369" s="8"/>
      <c r="H369" s="8"/>
      <c r="I369" s="14"/>
      <c r="J369" s="6"/>
      <c r="K369" s="8"/>
      <c r="L369" s="8"/>
      <c r="M369" s="13"/>
    </row>
    <row r="370" spans="1:13" x14ac:dyDescent="0.2">
      <c r="A370" s="8">
        <v>6</v>
      </c>
      <c r="B370" s="29" t="s">
        <v>116</v>
      </c>
      <c r="F370" s="8"/>
      <c r="G370" s="8"/>
      <c r="H370" s="8"/>
    </row>
    <row r="371" spans="1:13" ht="15" x14ac:dyDescent="0.2">
      <c r="A371" s="8"/>
      <c r="B371" s="23" t="s">
        <v>1</v>
      </c>
      <c r="C371" s="25" t="s">
        <v>117</v>
      </c>
      <c r="D371" s="6"/>
      <c r="E371" s="8"/>
      <c r="F371" s="8"/>
      <c r="G371" s="8"/>
      <c r="H371" s="8"/>
      <c r="I371" s="14"/>
      <c r="J371" s="8"/>
      <c r="K371" s="8"/>
      <c r="L371" s="8"/>
      <c r="M371" s="13"/>
    </row>
    <row r="372" spans="1:13" ht="15" x14ac:dyDescent="0.2">
      <c r="A372" s="8"/>
      <c r="B372" s="23" t="s">
        <v>80</v>
      </c>
      <c r="C372" s="24" t="s">
        <v>118</v>
      </c>
      <c r="D372" s="6"/>
      <c r="E372" s="8"/>
      <c r="F372" s="8"/>
      <c r="G372" s="8"/>
      <c r="H372" s="8"/>
      <c r="I372" s="14"/>
      <c r="J372" s="8"/>
      <c r="K372" s="8"/>
      <c r="L372" s="8"/>
      <c r="M372" s="13"/>
    </row>
    <row r="373" spans="1:13" ht="15" x14ac:dyDescent="0.2">
      <c r="A373" s="8"/>
      <c r="B373" s="22" t="s">
        <v>81</v>
      </c>
      <c r="C373" s="25">
        <v>46.15</v>
      </c>
      <c r="D373" s="6"/>
      <c r="E373" s="8"/>
      <c r="F373" s="8"/>
      <c r="G373" s="8"/>
      <c r="H373" s="8"/>
      <c r="I373" s="14"/>
      <c r="J373" s="8"/>
      <c r="K373" s="8"/>
      <c r="L373" s="8"/>
      <c r="M373" s="13"/>
    </row>
    <row r="374" spans="1:13" ht="15" x14ac:dyDescent="0.25">
      <c r="A374" s="8"/>
      <c r="B374" s="28" t="s">
        <v>82</v>
      </c>
      <c r="C374" s="25">
        <v>3</v>
      </c>
      <c r="D374" s="6"/>
      <c r="E374" s="8"/>
      <c r="F374" s="8"/>
      <c r="G374" s="8"/>
      <c r="H374" s="8"/>
      <c r="I374" s="14"/>
      <c r="J374" s="8"/>
      <c r="K374" s="8"/>
      <c r="L374" s="8"/>
      <c r="M374" s="13"/>
    </row>
    <row r="375" spans="1:13" ht="15" x14ac:dyDescent="0.2">
      <c r="A375" s="8"/>
      <c r="B375" s="23" t="s">
        <v>83</v>
      </c>
      <c r="C375" s="25">
        <v>15</v>
      </c>
      <c r="D375" s="6"/>
      <c r="E375" s="8"/>
      <c r="F375" s="8"/>
      <c r="G375" s="8"/>
      <c r="H375" s="8"/>
      <c r="I375" s="14"/>
      <c r="J375" s="8"/>
      <c r="K375" s="8"/>
      <c r="L375" s="8"/>
      <c r="M375" s="13"/>
    </row>
    <row r="376" spans="1:13" ht="15" x14ac:dyDescent="0.2">
      <c r="A376" s="8"/>
      <c r="B376" s="23" t="s">
        <v>84</v>
      </c>
      <c r="C376" s="25">
        <v>282</v>
      </c>
      <c r="D376" s="6"/>
      <c r="E376" s="8"/>
      <c r="F376" s="8"/>
      <c r="G376" s="8"/>
      <c r="H376" s="8"/>
      <c r="I376" s="14"/>
      <c r="J376" s="8"/>
      <c r="K376" s="8"/>
      <c r="L376" s="8"/>
      <c r="M376" s="13"/>
    </row>
    <row r="377" spans="1:13" ht="15" x14ac:dyDescent="0.2">
      <c r="A377" s="8"/>
      <c r="B377" s="22" t="s">
        <v>85</v>
      </c>
      <c r="C377" s="25" t="s">
        <v>108</v>
      </c>
      <c r="F377" s="8"/>
      <c r="H377" s="8"/>
      <c r="I377" s="14"/>
      <c r="J377" s="8"/>
      <c r="K377" s="8"/>
      <c r="L377" s="8"/>
      <c r="M377" s="13"/>
    </row>
    <row r="378" spans="1:13" ht="15" x14ac:dyDescent="0.2">
      <c r="A378" s="8"/>
      <c r="B378" s="22" t="s">
        <v>86</v>
      </c>
      <c r="C378" s="25" t="s">
        <v>119</v>
      </c>
      <c r="D378" s="6"/>
      <c r="E378" s="8"/>
      <c r="F378" s="8"/>
      <c r="G378" s="8"/>
      <c r="H378" s="8"/>
      <c r="I378" s="14"/>
      <c r="J378" s="8"/>
      <c r="K378" s="8"/>
      <c r="L378" s="8"/>
      <c r="M378" s="13"/>
    </row>
    <row r="379" spans="1:13" ht="15" x14ac:dyDescent="0.2">
      <c r="A379" s="8"/>
      <c r="B379" s="22" t="s">
        <v>87</v>
      </c>
      <c r="C379" s="25" t="s">
        <v>120</v>
      </c>
      <c r="D379" s="6"/>
      <c r="E379" s="8"/>
      <c r="F379" s="8"/>
      <c r="G379" s="8"/>
      <c r="H379" s="8"/>
      <c r="I379" s="14"/>
      <c r="J379" s="8"/>
      <c r="K379" s="8"/>
      <c r="L379" s="8"/>
      <c r="M379" s="13"/>
    </row>
    <row r="380" spans="1:13" ht="15" x14ac:dyDescent="0.2">
      <c r="A380" s="8"/>
      <c r="B380" s="22" t="s">
        <v>88</v>
      </c>
      <c r="C380" s="25">
        <v>2</v>
      </c>
      <c r="D380" s="6"/>
      <c r="E380" s="8"/>
      <c r="F380" s="8"/>
      <c r="G380" s="8"/>
      <c r="H380" s="8"/>
      <c r="I380" s="14"/>
      <c r="J380" s="8"/>
      <c r="K380" s="8"/>
      <c r="L380" s="8"/>
      <c r="M380" s="13"/>
    </row>
    <row r="381" spans="1:13" ht="15" x14ac:dyDescent="0.2">
      <c r="A381" s="8"/>
      <c r="B381" s="22" t="s">
        <v>89</v>
      </c>
      <c r="C381" s="38" t="s">
        <v>111</v>
      </c>
      <c r="D381" s="6"/>
      <c r="E381" s="8"/>
      <c r="F381" s="8"/>
      <c r="G381" s="8"/>
      <c r="H381" s="8"/>
      <c r="I381" s="14"/>
      <c r="J381" s="8"/>
      <c r="K381" s="8"/>
      <c r="L381" s="8"/>
      <c r="M381" s="13"/>
    </row>
    <row r="382" spans="1:13" x14ac:dyDescent="0.2">
      <c r="A382" s="8"/>
      <c r="B382" s="24"/>
      <c r="C382" s="25"/>
      <c r="D382" s="6"/>
      <c r="E382" s="8"/>
      <c r="F382" s="8"/>
      <c r="G382" s="8"/>
      <c r="H382" s="8"/>
      <c r="I382" s="14"/>
      <c r="J382" s="8"/>
      <c r="K382" s="8"/>
      <c r="L382" s="8"/>
      <c r="M382" s="13"/>
    </row>
    <row r="383" spans="1:13" x14ac:dyDescent="0.2">
      <c r="A383" s="8">
        <v>7</v>
      </c>
      <c r="B383" s="29" t="s">
        <v>121</v>
      </c>
      <c r="E383" s="8"/>
      <c r="F383" s="6"/>
      <c r="G383" s="8"/>
      <c r="H383" s="8"/>
    </row>
    <row r="384" spans="1:13" ht="15" x14ac:dyDescent="0.2">
      <c r="A384" s="8"/>
      <c r="B384" s="23" t="s">
        <v>1</v>
      </c>
      <c r="C384" s="24" t="s">
        <v>122</v>
      </c>
      <c r="D384" s="6"/>
      <c r="E384" s="8"/>
      <c r="F384" s="6"/>
      <c r="G384" s="8"/>
      <c r="H384" s="8"/>
      <c r="I384" s="14"/>
      <c r="J384" s="8"/>
      <c r="K384" s="8"/>
      <c r="L384" s="8"/>
      <c r="M384" s="13"/>
    </row>
    <row r="385" spans="1:13" ht="15" x14ac:dyDescent="0.2">
      <c r="A385" s="8"/>
      <c r="B385" s="23" t="s">
        <v>80</v>
      </c>
      <c r="C385" s="24" t="s">
        <v>123</v>
      </c>
      <c r="D385" s="6"/>
      <c r="E385" s="8"/>
      <c r="F385" s="6"/>
      <c r="G385" s="8"/>
      <c r="H385" s="8"/>
      <c r="I385" s="14"/>
      <c r="J385" s="8"/>
      <c r="K385" s="8"/>
      <c r="L385" s="8"/>
      <c r="M385" s="13"/>
    </row>
    <row r="386" spans="1:13" ht="15" x14ac:dyDescent="0.2">
      <c r="A386" s="8"/>
      <c r="B386" s="22" t="s">
        <v>81</v>
      </c>
      <c r="C386" s="24">
        <v>25.63</v>
      </c>
      <c r="D386" s="6"/>
      <c r="E386" s="8"/>
      <c r="F386" s="6"/>
      <c r="G386" s="8"/>
      <c r="H386" s="8"/>
      <c r="I386" s="14"/>
      <c r="J386" s="8"/>
      <c r="K386" s="8"/>
      <c r="L386" s="8"/>
      <c r="M386" s="13"/>
    </row>
    <row r="387" spans="1:13" ht="15" x14ac:dyDescent="0.25">
      <c r="A387" s="8"/>
      <c r="B387" s="28" t="s">
        <v>82</v>
      </c>
      <c r="C387" s="24">
        <v>3</v>
      </c>
      <c r="D387" s="6"/>
      <c r="E387" s="8"/>
      <c r="F387" s="6"/>
      <c r="G387" s="8"/>
      <c r="H387" s="8"/>
      <c r="I387" s="14"/>
      <c r="J387" s="8"/>
      <c r="K387" s="8"/>
      <c r="L387" s="8"/>
      <c r="M387" s="13"/>
    </row>
    <row r="388" spans="1:13" ht="15" x14ac:dyDescent="0.2">
      <c r="A388" s="8"/>
      <c r="B388" s="23" t="s">
        <v>83</v>
      </c>
      <c r="C388" s="24">
        <v>7.5</v>
      </c>
      <c r="D388" s="6"/>
      <c r="E388" s="8"/>
      <c r="F388" s="6"/>
      <c r="G388" s="8"/>
      <c r="H388" s="8"/>
      <c r="I388" s="14"/>
      <c r="J388" s="8"/>
      <c r="K388" s="8"/>
      <c r="L388" s="8"/>
      <c r="M388" s="13"/>
    </row>
    <row r="389" spans="1:13" ht="15" x14ac:dyDescent="0.2">
      <c r="A389" s="8"/>
      <c r="B389" s="23" t="s">
        <v>84</v>
      </c>
      <c r="C389" s="24">
        <v>443</v>
      </c>
      <c r="D389" s="6"/>
      <c r="E389" s="8"/>
      <c r="F389" s="6"/>
      <c r="G389" s="8"/>
      <c r="H389" s="8"/>
      <c r="I389" s="14"/>
      <c r="J389" s="8"/>
      <c r="K389" s="8"/>
      <c r="L389" s="8"/>
      <c r="M389" s="13"/>
    </row>
    <row r="390" spans="1:13" ht="15" x14ac:dyDescent="0.2">
      <c r="A390" s="8"/>
      <c r="B390" s="22" t="s">
        <v>85</v>
      </c>
      <c r="C390" s="25" t="s">
        <v>93</v>
      </c>
      <c r="F390" s="8"/>
      <c r="H390" s="8"/>
      <c r="I390" s="14"/>
      <c r="J390" s="8"/>
      <c r="K390" s="8"/>
      <c r="L390" s="8"/>
      <c r="M390" s="13"/>
    </row>
    <row r="391" spans="1:13" ht="15" x14ac:dyDescent="0.2">
      <c r="A391" s="8"/>
      <c r="B391" s="22" t="s">
        <v>86</v>
      </c>
      <c r="C391" s="25" t="s">
        <v>94</v>
      </c>
      <c r="D391" s="6"/>
      <c r="E391" s="8"/>
      <c r="F391" s="6"/>
      <c r="G391" s="8"/>
      <c r="H391" s="8"/>
      <c r="I391" s="14"/>
      <c r="J391" s="8"/>
      <c r="K391" s="8"/>
      <c r="L391" s="8"/>
      <c r="M391" s="13"/>
    </row>
    <row r="392" spans="1:13" ht="15" x14ac:dyDescent="0.2">
      <c r="A392" s="8"/>
      <c r="B392" s="22" t="s">
        <v>87</v>
      </c>
      <c r="C392" s="25" t="s">
        <v>104</v>
      </c>
      <c r="D392" s="6"/>
      <c r="E392" s="8"/>
      <c r="F392" s="6"/>
      <c r="G392" s="8"/>
      <c r="H392" s="8"/>
      <c r="I392" s="14"/>
      <c r="J392" s="8"/>
      <c r="K392" s="8"/>
      <c r="L392" s="8"/>
      <c r="M392" s="13"/>
    </row>
    <row r="393" spans="1:13" ht="15" x14ac:dyDescent="0.2">
      <c r="A393" s="8"/>
      <c r="B393" s="22" t="s">
        <v>88</v>
      </c>
      <c r="C393" s="24">
        <v>2</v>
      </c>
      <c r="D393" s="6"/>
      <c r="E393" s="8"/>
      <c r="F393" s="6"/>
      <c r="G393" s="8"/>
      <c r="H393" s="8"/>
      <c r="I393" s="14"/>
      <c r="J393" s="8"/>
      <c r="K393" s="8"/>
      <c r="L393" s="8"/>
      <c r="M393" s="13"/>
    </row>
    <row r="394" spans="1:13" ht="15" x14ac:dyDescent="0.2">
      <c r="A394" s="8"/>
      <c r="B394" s="22" t="s">
        <v>89</v>
      </c>
      <c r="C394" s="38" t="s">
        <v>96</v>
      </c>
      <c r="D394" s="6"/>
      <c r="E394" s="8"/>
      <c r="F394" s="6"/>
      <c r="G394" s="8"/>
      <c r="H394" s="8"/>
      <c r="I394" s="14"/>
      <c r="J394" s="8"/>
      <c r="K394" s="8"/>
      <c r="L394" s="8"/>
      <c r="M394" s="13"/>
    </row>
    <row r="395" spans="1:13" x14ac:dyDescent="0.2">
      <c r="A395" s="8"/>
      <c r="B395" s="24"/>
      <c r="C395" s="24"/>
      <c r="D395" s="6"/>
      <c r="E395" s="8"/>
      <c r="F395" s="6"/>
      <c r="G395" s="8"/>
      <c r="H395" s="8"/>
      <c r="I395" s="14"/>
      <c r="J395" s="8"/>
      <c r="K395" s="8"/>
      <c r="L395" s="8"/>
      <c r="M395" s="13"/>
    </row>
    <row r="396" spans="1:13" x14ac:dyDescent="0.2">
      <c r="A396" s="8">
        <v>8</v>
      </c>
      <c r="B396" s="24" t="s">
        <v>124</v>
      </c>
      <c r="E396" s="6"/>
      <c r="F396" s="8"/>
      <c r="G396" s="8"/>
      <c r="H396" s="8"/>
    </row>
    <row r="397" spans="1:13" ht="15" x14ac:dyDescent="0.2">
      <c r="A397" s="8"/>
      <c r="B397" s="23" t="s">
        <v>1</v>
      </c>
      <c r="C397" s="25" t="s">
        <v>125</v>
      </c>
      <c r="D397" s="6"/>
      <c r="E397" s="6"/>
      <c r="F397" s="8"/>
      <c r="G397" s="8"/>
      <c r="H397" s="8"/>
      <c r="I397" s="14"/>
      <c r="J397" s="8"/>
      <c r="K397" s="8"/>
      <c r="L397" s="8"/>
      <c r="M397" s="13"/>
    </row>
    <row r="398" spans="1:13" ht="15" x14ac:dyDescent="0.2">
      <c r="A398" s="8"/>
      <c r="B398" s="23" t="s">
        <v>80</v>
      </c>
      <c r="C398" s="24" t="s">
        <v>126</v>
      </c>
      <c r="D398" s="6"/>
      <c r="E398" s="6"/>
      <c r="F398" s="8"/>
      <c r="G398" s="8"/>
      <c r="H398" s="8"/>
      <c r="I398" s="14"/>
      <c r="J398" s="8"/>
      <c r="K398" s="8"/>
      <c r="L398" s="8"/>
      <c r="M398" s="13"/>
    </row>
    <row r="399" spans="1:13" ht="15" x14ac:dyDescent="0.2">
      <c r="A399" s="8"/>
      <c r="B399" s="22" t="s">
        <v>81</v>
      </c>
      <c r="C399" s="25">
        <v>33.5</v>
      </c>
      <c r="D399" s="6"/>
      <c r="E399" s="6"/>
      <c r="F399" s="8"/>
      <c r="G399" s="8"/>
      <c r="H399" s="8"/>
      <c r="I399" s="14"/>
      <c r="J399" s="8"/>
      <c r="K399" s="8"/>
      <c r="L399" s="8"/>
      <c r="M399" s="13"/>
    </row>
    <row r="400" spans="1:13" ht="15" x14ac:dyDescent="0.25">
      <c r="A400" s="8"/>
      <c r="B400" s="28" t="s">
        <v>82</v>
      </c>
      <c r="C400" s="25">
        <v>3</v>
      </c>
      <c r="D400" s="6"/>
      <c r="E400" s="6"/>
      <c r="F400" s="8"/>
      <c r="G400" s="8"/>
      <c r="H400" s="8"/>
      <c r="I400" s="14"/>
      <c r="J400" s="8"/>
      <c r="K400" s="8"/>
      <c r="L400" s="8"/>
      <c r="M400" s="13"/>
    </row>
    <row r="401" spans="1:13" ht="15" x14ac:dyDescent="0.2">
      <c r="A401" s="8"/>
      <c r="B401" s="23" t="s">
        <v>83</v>
      </c>
      <c r="C401" s="25">
        <v>9.3000000000000007</v>
      </c>
      <c r="D401" s="6"/>
      <c r="E401" s="6"/>
      <c r="F401" s="8"/>
      <c r="G401" s="8"/>
      <c r="H401" s="8"/>
      <c r="I401" s="14"/>
      <c r="J401" s="8"/>
      <c r="K401" s="8"/>
      <c r="L401" s="8"/>
      <c r="M401" s="13"/>
    </row>
    <row r="402" spans="1:13" ht="15" x14ac:dyDescent="0.2">
      <c r="A402" s="8"/>
      <c r="B402" s="23" t="s">
        <v>84</v>
      </c>
      <c r="C402" s="25">
        <v>296</v>
      </c>
      <c r="D402" s="6"/>
      <c r="E402" s="6"/>
      <c r="F402" s="8"/>
      <c r="G402" s="8"/>
      <c r="H402" s="8"/>
      <c r="I402" s="14"/>
      <c r="J402" s="8"/>
      <c r="K402" s="8"/>
      <c r="L402" s="8"/>
      <c r="M402" s="13"/>
    </row>
    <row r="403" spans="1:13" ht="15" x14ac:dyDescent="0.2">
      <c r="A403" s="8"/>
      <c r="B403" s="22" t="s">
        <v>85</v>
      </c>
      <c r="C403" s="25" t="s">
        <v>93</v>
      </c>
      <c r="F403" s="8">
        <v>2</v>
      </c>
      <c r="H403" s="8"/>
      <c r="I403" s="14"/>
      <c r="J403" s="8"/>
      <c r="K403" s="8"/>
      <c r="L403" s="8"/>
      <c r="M403" s="13"/>
    </row>
    <row r="404" spans="1:13" ht="15" x14ac:dyDescent="0.2">
      <c r="A404" s="8"/>
      <c r="B404" s="22" t="s">
        <v>86</v>
      </c>
      <c r="C404" s="25" t="s">
        <v>94</v>
      </c>
      <c r="D404" s="6"/>
      <c r="E404" s="6"/>
      <c r="F404" s="8"/>
      <c r="G404" s="8"/>
      <c r="H404" s="8"/>
      <c r="I404" s="14"/>
      <c r="J404" s="8"/>
      <c r="K404" s="8"/>
      <c r="L404" s="8"/>
      <c r="M404" s="13"/>
    </row>
    <row r="405" spans="1:13" ht="15" x14ac:dyDescent="0.2">
      <c r="A405" s="8"/>
      <c r="B405" s="22" t="s">
        <v>87</v>
      </c>
      <c r="C405" s="25" t="s">
        <v>127</v>
      </c>
      <c r="D405" s="6"/>
      <c r="E405" s="6"/>
      <c r="F405" s="8"/>
      <c r="G405" s="8"/>
      <c r="H405" s="8"/>
      <c r="I405" s="14"/>
      <c r="J405" s="8"/>
      <c r="K405" s="8"/>
      <c r="L405" s="8"/>
      <c r="M405" s="13"/>
    </row>
    <row r="406" spans="1:13" ht="15" x14ac:dyDescent="0.2">
      <c r="A406" s="8"/>
      <c r="B406" s="22" t="s">
        <v>88</v>
      </c>
      <c r="C406" s="25">
        <v>2</v>
      </c>
      <c r="D406" s="6"/>
      <c r="E406" s="6"/>
      <c r="F406" s="8"/>
      <c r="G406" s="8"/>
      <c r="H406" s="8"/>
      <c r="I406" s="14"/>
      <c r="J406" s="8"/>
      <c r="K406" s="8"/>
      <c r="L406" s="8"/>
      <c r="M406" s="13"/>
    </row>
    <row r="407" spans="1:13" ht="15" x14ac:dyDescent="0.2">
      <c r="A407" s="8"/>
      <c r="B407" s="22" t="s">
        <v>89</v>
      </c>
      <c r="C407" s="38" t="s">
        <v>96</v>
      </c>
      <c r="D407" s="6"/>
      <c r="E407" s="6"/>
      <c r="F407" s="8"/>
      <c r="G407" s="8"/>
      <c r="H407" s="8"/>
      <c r="I407" s="14"/>
      <c r="J407" s="8"/>
      <c r="K407" s="8"/>
      <c r="L407" s="8"/>
      <c r="M407" s="13"/>
    </row>
    <row r="408" spans="1:13" x14ac:dyDescent="0.2">
      <c r="A408" s="8"/>
      <c r="B408" s="24"/>
      <c r="C408" s="25"/>
      <c r="D408" s="6"/>
      <c r="E408" s="6"/>
      <c r="F408" s="8"/>
      <c r="G408" s="8"/>
      <c r="H408" s="8"/>
      <c r="I408" s="14"/>
      <c r="J408" s="8"/>
      <c r="K408" s="8"/>
      <c r="L408" s="8"/>
      <c r="M408" s="13"/>
    </row>
    <row r="409" spans="1:13" x14ac:dyDescent="0.2">
      <c r="A409" s="8">
        <v>9</v>
      </c>
      <c r="B409" s="25" t="s">
        <v>128</v>
      </c>
      <c r="E409" s="8"/>
      <c r="F409" s="8"/>
      <c r="G409" s="8"/>
      <c r="H409" s="8"/>
    </row>
    <row r="410" spans="1:13" ht="15" x14ac:dyDescent="0.2">
      <c r="A410" s="8"/>
      <c r="B410" s="23" t="s">
        <v>1</v>
      </c>
      <c r="C410" s="24" t="s">
        <v>129</v>
      </c>
      <c r="D410" s="6"/>
      <c r="E410" s="8"/>
      <c r="F410" s="8"/>
      <c r="G410" s="8"/>
      <c r="H410" s="8"/>
      <c r="I410" s="14"/>
      <c r="J410" s="8"/>
      <c r="K410" s="8"/>
      <c r="L410" s="8"/>
      <c r="M410" s="13"/>
    </row>
    <row r="411" spans="1:13" ht="15" x14ac:dyDescent="0.2">
      <c r="A411" s="8"/>
      <c r="B411" s="23" t="s">
        <v>80</v>
      </c>
      <c r="C411" s="24" t="s">
        <v>130</v>
      </c>
      <c r="D411" s="6"/>
      <c r="E411" s="8"/>
      <c r="F411" s="8"/>
      <c r="G411" s="8"/>
      <c r="H411" s="8"/>
      <c r="I411" s="14"/>
      <c r="J411" s="8"/>
      <c r="K411" s="8"/>
      <c r="L411" s="8"/>
      <c r="M411" s="13"/>
    </row>
    <row r="412" spans="1:13" ht="15" x14ac:dyDescent="0.2">
      <c r="A412" s="8"/>
      <c r="B412" s="22" t="s">
        <v>81</v>
      </c>
      <c r="C412" s="24">
        <v>33.5</v>
      </c>
      <c r="D412" s="6"/>
      <c r="E412" s="8"/>
      <c r="F412" s="8"/>
      <c r="G412" s="8"/>
      <c r="H412" s="8"/>
      <c r="I412" s="14"/>
      <c r="J412" s="8"/>
      <c r="K412" s="8"/>
      <c r="L412" s="8"/>
      <c r="M412" s="13"/>
    </row>
    <row r="413" spans="1:13" ht="15" x14ac:dyDescent="0.25">
      <c r="A413" s="8"/>
      <c r="B413" s="28" t="s">
        <v>82</v>
      </c>
      <c r="C413" s="24">
        <v>3</v>
      </c>
      <c r="D413" s="6"/>
      <c r="E413" s="8"/>
      <c r="F413" s="8"/>
      <c r="G413" s="8"/>
      <c r="H413" s="8"/>
      <c r="I413" s="14"/>
      <c r="J413" s="8"/>
      <c r="K413" s="8"/>
      <c r="L413" s="8"/>
      <c r="M413" s="13"/>
    </row>
    <row r="414" spans="1:13" ht="15" x14ac:dyDescent="0.2">
      <c r="A414" s="8"/>
      <c r="B414" s="23" t="s">
        <v>83</v>
      </c>
      <c r="C414" s="24">
        <v>11</v>
      </c>
      <c r="D414" s="6"/>
      <c r="E414" s="8"/>
      <c r="F414" s="8"/>
      <c r="G414" s="8"/>
      <c r="H414" s="8"/>
      <c r="I414" s="14"/>
      <c r="J414" s="8"/>
      <c r="K414" s="8"/>
      <c r="L414" s="8"/>
      <c r="M414" s="13"/>
    </row>
    <row r="415" spans="1:13" ht="15" x14ac:dyDescent="0.2">
      <c r="A415" s="8"/>
      <c r="B415" s="23" t="s">
        <v>84</v>
      </c>
      <c r="C415" s="24">
        <v>292</v>
      </c>
      <c r="D415" s="6"/>
      <c r="E415" s="8"/>
      <c r="F415" s="8"/>
      <c r="G415" s="8"/>
      <c r="H415" s="8"/>
      <c r="I415" s="14"/>
      <c r="J415" s="8"/>
      <c r="K415" s="8"/>
      <c r="L415" s="8"/>
      <c r="M415" s="13"/>
    </row>
    <row r="416" spans="1:13" ht="15" x14ac:dyDescent="0.2">
      <c r="A416" s="8"/>
      <c r="B416" s="22" t="s">
        <v>85</v>
      </c>
      <c r="C416" s="25" t="s">
        <v>131</v>
      </c>
      <c r="F416" s="8"/>
      <c r="H416" s="8"/>
      <c r="I416" s="14"/>
      <c r="J416" s="8"/>
      <c r="K416" s="8"/>
      <c r="L416" s="8"/>
      <c r="M416" s="13"/>
    </row>
    <row r="417" spans="1:13" ht="15" x14ac:dyDescent="0.2">
      <c r="A417" s="8"/>
      <c r="B417" s="22" t="s">
        <v>86</v>
      </c>
      <c r="C417" s="25" t="s">
        <v>94</v>
      </c>
      <c r="D417" s="6"/>
      <c r="E417" s="8"/>
      <c r="F417" s="8"/>
      <c r="G417" s="8"/>
      <c r="H417" s="8"/>
      <c r="I417" s="14"/>
      <c r="J417" s="8"/>
      <c r="K417" s="8"/>
      <c r="L417" s="8"/>
      <c r="M417" s="13"/>
    </row>
    <row r="418" spans="1:13" ht="15" x14ac:dyDescent="0.2">
      <c r="A418" s="8"/>
      <c r="B418" s="22" t="s">
        <v>87</v>
      </c>
      <c r="C418" s="25" t="s">
        <v>110</v>
      </c>
      <c r="D418" s="6"/>
      <c r="E418" s="8"/>
      <c r="F418" s="8"/>
      <c r="G418" s="8"/>
      <c r="H418" s="8"/>
      <c r="I418" s="14"/>
      <c r="J418" s="8"/>
      <c r="K418" s="8"/>
      <c r="L418" s="8"/>
      <c r="M418" s="13"/>
    </row>
    <row r="419" spans="1:13" ht="15" x14ac:dyDescent="0.2">
      <c r="A419" s="8"/>
      <c r="B419" s="22" t="s">
        <v>88</v>
      </c>
      <c r="C419" s="24">
        <v>1</v>
      </c>
      <c r="D419" s="6"/>
      <c r="E419" s="8"/>
      <c r="F419" s="8"/>
      <c r="G419" s="8"/>
      <c r="H419" s="8"/>
      <c r="I419" s="14"/>
      <c r="J419" s="8"/>
      <c r="K419" s="8"/>
      <c r="L419" s="8"/>
      <c r="M419" s="13"/>
    </row>
    <row r="420" spans="1:13" ht="15" x14ac:dyDescent="0.2">
      <c r="A420" s="8"/>
      <c r="B420" s="22" t="s">
        <v>89</v>
      </c>
      <c r="C420" s="38" t="s">
        <v>96</v>
      </c>
      <c r="D420" s="6"/>
      <c r="E420" s="8"/>
      <c r="F420" s="8"/>
      <c r="G420" s="8"/>
      <c r="H420" s="8"/>
      <c r="I420" s="14"/>
      <c r="J420" s="8"/>
      <c r="K420" s="8"/>
      <c r="L420" s="8"/>
      <c r="M420" s="13"/>
    </row>
    <row r="421" spans="1:13" x14ac:dyDescent="0.2">
      <c r="A421" s="8"/>
      <c r="B421" s="25"/>
      <c r="C421" s="24"/>
      <c r="D421" s="6"/>
      <c r="E421" s="8"/>
      <c r="F421" s="8"/>
      <c r="G421" s="8"/>
      <c r="H421" s="8"/>
      <c r="I421" s="14"/>
      <c r="J421" s="8"/>
      <c r="K421" s="8"/>
      <c r="L421" s="8"/>
      <c r="M421" s="13"/>
    </row>
    <row r="422" spans="1:13" x14ac:dyDescent="0.2">
      <c r="A422" s="8">
        <v>10</v>
      </c>
      <c r="B422" s="37" t="s">
        <v>132</v>
      </c>
      <c r="E422" s="6"/>
      <c r="F422" s="8"/>
      <c r="G422" s="8"/>
      <c r="H422" s="8"/>
    </row>
    <row r="423" spans="1:13" ht="15" x14ac:dyDescent="0.2">
      <c r="A423" s="8"/>
      <c r="B423" s="23" t="s">
        <v>1</v>
      </c>
      <c r="C423" s="25" t="s">
        <v>76</v>
      </c>
      <c r="D423" s="6"/>
      <c r="E423" s="6"/>
      <c r="F423" s="8"/>
      <c r="G423" s="8"/>
      <c r="H423" s="8"/>
      <c r="I423" s="14"/>
      <c r="J423" s="8"/>
      <c r="K423" s="8"/>
      <c r="L423" s="8"/>
      <c r="M423" s="13"/>
    </row>
    <row r="424" spans="1:13" ht="15" x14ac:dyDescent="0.2">
      <c r="A424" s="8"/>
      <c r="B424" s="23" t="s">
        <v>80</v>
      </c>
      <c r="C424" s="24" t="s">
        <v>130</v>
      </c>
      <c r="D424" s="6"/>
      <c r="E424" s="6"/>
      <c r="F424" s="8"/>
      <c r="G424" s="8"/>
      <c r="H424" s="8"/>
      <c r="I424" s="14"/>
      <c r="J424" s="8"/>
      <c r="K424" s="8"/>
      <c r="L424" s="8"/>
      <c r="M424" s="13"/>
    </row>
    <row r="425" spans="1:13" ht="15" x14ac:dyDescent="0.2">
      <c r="A425" s="8"/>
      <c r="B425" s="22" t="s">
        <v>81</v>
      </c>
      <c r="C425" s="25">
        <v>33.5</v>
      </c>
      <c r="D425" s="6"/>
      <c r="E425" s="6"/>
      <c r="F425" s="8"/>
      <c r="G425" s="8"/>
      <c r="H425" s="8"/>
      <c r="I425" s="14"/>
      <c r="J425" s="8"/>
      <c r="K425" s="8"/>
      <c r="L425" s="8"/>
      <c r="M425" s="13"/>
    </row>
    <row r="426" spans="1:13" ht="15" x14ac:dyDescent="0.25">
      <c r="A426" s="8"/>
      <c r="B426" s="28" t="s">
        <v>82</v>
      </c>
      <c r="C426" s="25">
        <v>3</v>
      </c>
      <c r="D426" s="6"/>
      <c r="E426" s="6"/>
      <c r="F426" s="8"/>
      <c r="G426" s="8"/>
      <c r="H426" s="8"/>
      <c r="I426" s="14"/>
      <c r="J426" s="8"/>
      <c r="K426" s="8"/>
      <c r="L426" s="8"/>
      <c r="M426" s="13"/>
    </row>
    <row r="427" spans="1:13" ht="15" x14ac:dyDescent="0.2">
      <c r="A427" s="8"/>
      <c r="B427" s="23" t="s">
        <v>83</v>
      </c>
      <c r="C427" s="25">
        <v>11</v>
      </c>
      <c r="D427" s="6"/>
      <c r="E427" s="6"/>
      <c r="F427" s="8"/>
      <c r="G427" s="8"/>
      <c r="H427" s="8"/>
      <c r="I427" s="14"/>
      <c r="J427" s="8"/>
      <c r="K427" s="8"/>
      <c r="L427" s="8"/>
      <c r="M427" s="13"/>
    </row>
    <row r="428" spans="1:13" ht="15" x14ac:dyDescent="0.2">
      <c r="A428" s="8"/>
      <c r="B428" s="23" t="s">
        <v>84</v>
      </c>
      <c r="C428" s="25">
        <v>292</v>
      </c>
      <c r="D428" s="6"/>
      <c r="E428" s="6"/>
      <c r="F428" s="8"/>
      <c r="G428" s="8"/>
      <c r="H428" s="8"/>
      <c r="I428" s="14"/>
      <c r="J428" s="8"/>
      <c r="K428" s="8"/>
      <c r="L428" s="8"/>
      <c r="M428" s="13"/>
    </row>
    <row r="429" spans="1:13" ht="15" x14ac:dyDescent="0.2">
      <c r="A429" s="8"/>
      <c r="B429" s="22" t="s">
        <v>85</v>
      </c>
      <c r="C429" s="25" t="s">
        <v>93</v>
      </c>
      <c r="F429" s="8"/>
      <c r="H429" s="8"/>
      <c r="I429" s="14"/>
      <c r="J429" s="8"/>
      <c r="K429" s="8"/>
      <c r="L429" s="8"/>
      <c r="M429" s="13"/>
    </row>
    <row r="430" spans="1:13" ht="15" x14ac:dyDescent="0.2">
      <c r="A430" s="8"/>
      <c r="B430" s="22" t="s">
        <v>86</v>
      </c>
      <c r="C430" s="25" t="s">
        <v>94</v>
      </c>
      <c r="D430" s="6"/>
      <c r="E430" s="6"/>
      <c r="F430" s="8"/>
      <c r="G430" s="8"/>
      <c r="H430" s="8"/>
      <c r="I430" s="14"/>
      <c r="J430" s="8"/>
      <c r="K430" s="8"/>
      <c r="L430" s="8"/>
      <c r="M430" s="13"/>
    </row>
    <row r="431" spans="1:13" ht="15" x14ac:dyDescent="0.2">
      <c r="A431" s="8"/>
      <c r="B431" s="22" t="s">
        <v>87</v>
      </c>
      <c r="C431" s="25" t="s">
        <v>115</v>
      </c>
      <c r="D431" s="6"/>
      <c r="E431" s="6"/>
      <c r="F431" s="8"/>
      <c r="G431" s="8"/>
      <c r="H431" s="8"/>
      <c r="I431" s="14"/>
      <c r="J431" s="8"/>
      <c r="K431" s="8"/>
      <c r="L431" s="8"/>
      <c r="M431" s="13"/>
    </row>
    <row r="432" spans="1:13" ht="15" x14ac:dyDescent="0.2">
      <c r="A432" s="8"/>
      <c r="B432" s="22" t="s">
        <v>88</v>
      </c>
      <c r="C432" s="25">
        <v>1</v>
      </c>
      <c r="D432" s="6"/>
      <c r="E432" s="6"/>
      <c r="F432" s="8"/>
      <c r="G432" s="8"/>
      <c r="H432" s="8"/>
      <c r="I432" s="14"/>
      <c r="J432" s="8"/>
      <c r="K432" s="8"/>
      <c r="L432" s="8"/>
      <c r="M432" s="13"/>
    </row>
    <row r="433" spans="1:13" ht="15" x14ac:dyDescent="0.2">
      <c r="A433" s="8"/>
      <c r="B433" s="22" t="s">
        <v>89</v>
      </c>
      <c r="C433" s="38" t="s">
        <v>96</v>
      </c>
      <c r="D433" s="6"/>
      <c r="E433" s="6"/>
      <c r="F433" s="8"/>
      <c r="G433" s="8"/>
      <c r="H433" s="8"/>
      <c r="I433" s="14"/>
      <c r="J433" s="8"/>
      <c r="K433" s="8"/>
      <c r="L433" s="8"/>
      <c r="M433" s="13"/>
    </row>
    <row r="434" spans="1:13" ht="15" x14ac:dyDescent="0.2">
      <c r="A434" s="8"/>
      <c r="B434" s="22"/>
      <c r="C434" s="25"/>
      <c r="D434" s="6"/>
      <c r="E434" s="6"/>
      <c r="F434" s="8"/>
      <c r="G434" s="8"/>
      <c r="H434" s="8"/>
      <c r="I434" s="14"/>
      <c r="J434" s="8"/>
      <c r="K434" s="8"/>
      <c r="L434" s="8"/>
      <c r="M434" s="13"/>
    </row>
    <row r="435" spans="1:13" x14ac:dyDescent="0.2">
      <c r="A435" s="8">
        <v>11</v>
      </c>
      <c r="B435" s="38" t="s">
        <v>133</v>
      </c>
      <c r="F435" s="8"/>
      <c r="G435" s="8"/>
      <c r="H435" s="8"/>
      <c r="K435" s="8"/>
      <c r="L435" s="8">
        <v>2</v>
      </c>
    </row>
    <row r="436" spans="1:13" ht="15" x14ac:dyDescent="0.2">
      <c r="A436" s="8"/>
      <c r="B436" s="23" t="s">
        <v>1</v>
      </c>
      <c r="C436" s="24" t="s">
        <v>134</v>
      </c>
      <c r="D436" s="13"/>
      <c r="E436" s="8"/>
      <c r="F436" s="8"/>
      <c r="G436" s="8"/>
      <c r="H436" s="8"/>
      <c r="I436" s="14"/>
      <c r="K436" s="8"/>
      <c r="L436" s="8"/>
    </row>
    <row r="437" spans="1:13" ht="15" x14ac:dyDescent="0.2">
      <c r="A437" s="8"/>
      <c r="B437" s="23" t="s">
        <v>80</v>
      </c>
      <c r="C437" s="38" t="s">
        <v>135</v>
      </c>
      <c r="D437" s="13"/>
      <c r="E437" s="8"/>
      <c r="F437" s="8"/>
      <c r="G437" s="8"/>
      <c r="H437" s="8"/>
      <c r="I437" s="14"/>
      <c r="K437" s="8"/>
      <c r="L437" s="8"/>
    </row>
    <row r="438" spans="1:13" ht="15" x14ac:dyDescent="0.2">
      <c r="A438" s="8"/>
      <c r="B438" s="22" t="s">
        <v>81</v>
      </c>
      <c r="C438" s="25">
        <v>80</v>
      </c>
      <c r="D438" s="13"/>
      <c r="E438" s="8"/>
      <c r="F438" s="8"/>
      <c r="G438" s="8"/>
      <c r="H438" s="8"/>
      <c r="I438" s="14"/>
      <c r="K438" s="8"/>
      <c r="L438" s="8"/>
    </row>
    <row r="439" spans="1:13" ht="15" x14ac:dyDescent="0.25">
      <c r="A439" s="8"/>
      <c r="B439" s="28" t="s">
        <v>82</v>
      </c>
      <c r="C439" s="24">
        <v>2.5</v>
      </c>
      <c r="D439" s="13"/>
      <c r="E439" s="8"/>
      <c r="F439" s="8"/>
      <c r="G439" s="8"/>
      <c r="H439" s="8"/>
      <c r="I439" s="14"/>
      <c r="K439" s="8"/>
      <c r="L439" s="8"/>
    </row>
    <row r="440" spans="1:13" ht="15" x14ac:dyDescent="0.2">
      <c r="A440" s="8"/>
      <c r="B440" s="23" t="s">
        <v>83</v>
      </c>
      <c r="C440" s="24">
        <v>18.170000000000002</v>
      </c>
      <c r="D440" s="13"/>
      <c r="E440" s="8"/>
      <c r="F440" s="8"/>
      <c r="G440" s="8"/>
      <c r="H440" s="8"/>
      <c r="I440" s="14"/>
      <c r="K440" s="8"/>
      <c r="L440" s="8"/>
    </row>
    <row r="441" spans="1:13" ht="15" x14ac:dyDescent="0.2">
      <c r="A441" s="8"/>
      <c r="B441" s="23" t="s">
        <v>84</v>
      </c>
      <c r="C441" s="24">
        <v>291</v>
      </c>
      <c r="D441" s="13"/>
      <c r="E441" s="8"/>
      <c r="F441" s="8"/>
      <c r="G441" s="8"/>
      <c r="H441" s="8"/>
      <c r="I441" s="14"/>
      <c r="K441" s="8"/>
      <c r="L441" s="8"/>
    </row>
    <row r="442" spans="1:13" ht="15" x14ac:dyDescent="0.2">
      <c r="A442" s="8"/>
      <c r="B442" s="22" t="s">
        <v>85</v>
      </c>
      <c r="C442" s="25" t="s">
        <v>136</v>
      </c>
      <c r="D442" s="13"/>
      <c r="E442" s="8"/>
      <c r="F442" s="8"/>
      <c r="G442" s="8"/>
      <c r="H442" s="8"/>
      <c r="I442" s="14"/>
      <c r="K442" s="8"/>
      <c r="L442" s="8"/>
    </row>
    <row r="443" spans="1:13" ht="15" x14ac:dyDescent="0.2">
      <c r="A443" s="8"/>
      <c r="B443" s="22" t="s">
        <v>86</v>
      </c>
      <c r="C443" s="24"/>
      <c r="D443" s="13"/>
      <c r="E443" s="8"/>
      <c r="F443" s="8"/>
      <c r="G443" s="8"/>
      <c r="H443" s="8"/>
      <c r="I443" s="14"/>
      <c r="K443" s="8"/>
      <c r="L443" s="8"/>
    </row>
    <row r="444" spans="1:13" ht="15" x14ac:dyDescent="0.2">
      <c r="A444" s="8"/>
      <c r="B444" s="22" t="s">
        <v>87</v>
      </c>
      <c r="C444" s="24"/>
      <c r="D444" s="13"/>
      <c r="E444" s="8"/>
      <c r="F444" s="8"/>
      <c r="G444" s="8"/>
      <c r="H444" s="8"/>
      <c r="I444" s="14"/>
      <c r="K444" s="8"/>
      <c r="L444" s="8"/>
    </row>
    <row r="445" spans="1:13" ht="15" x14ac:dyDescent="0.2">
      <c r="A445" s="8"/>
      <c r="B445" s="22" t="s">
        <v>88</v>
      </c>
      <c r="C445" s="24">
        <v>2</v>
      </c>
      <c r="D445" s="13"/>
      <c r="E445" s="8"/>
      <c r="F445" s="8"/>
      <c r="G445" s="8"/>
      <c r="H445" s="8"/>
      <c r="I445" s="14"/>
      <c r="K445" s="8"/>
      <c r="L445" s="8"/>
    </row>
    <row r="446" spans="1:13" ht="15" x14ac:dyDescent="0.2">
      <c r="A446" s="8"/>
      <c r="B446" s="22" t="s">
        <v>89</v>
      </c>
      <c r="C446" s="24"/>
      <c r="D446" s="13"/>
      <c r="E446" s="8"/>
      <c r="F446" s="8"/>
      <c r="G446" s="8"/>
      <c r="H446" s="8"/>
      <c r="I446" s="14"/>
      <c r="K446" s="8"/>
      <c r="L446" s="8"/>
    </row>
    <row r="447" spans="1:13" x14ac:dyDescent="0.2">
      <c r="A447" s="8"/>
      <c r="B447" s="38"/>
      <c r="C447" s="24"/>
      <c r="D447" s="13"/>
      <c r="E447" s="8"/>
      <c r="F447" s="8"/>
      <c r="G447" s="8"/>
      <c r="H447" s="8"/>
      <c r="I447" s="14"/>
      <c r="K447" s="8"/>
      <c r="L447" s="8"/>
    </row>
    <row r="448" spans="1:13" x14ac:dyDescent="0.2">
      <c r="A448" s="8">
        <v>12</v>
      </c>
      <c r="B448" s="25" t="s">
        <v>137</v>
      </c>
      <c r="E448" s="8"/>
      <c r="F448" s="8"/>
      <c r="G448" s="8"/>
      <c r="H448" s="8"/>
      <c r="I448" s="14"/>
      <c r="L448" s="8"/>
    </row>
    <row r="449" spans="2:3" ht="15" x14ac:dyDescent="0.2">
      <c r="B449" s="23" t="s">
        <v>1</v>
      </c>
      <c r="C449" s="24" t="s">
        <v>138</v>
      </c>
    </row>
    <row r="450" spans="2:3" ht="15" x14ac:dyDescent="0.2">
      <c r="B450" s="23" t="s">
        <v>80</v>
      </c>
      <c r="C450" s="24" t="s">
        <v>107</v>
      </c>
    </row>
    <row r="451" spans="2:3" ht="15" x14ac:dyDescent="0.2">
      <c r="B451" s="22" t="s">
        <v>81</v>
      </c>
      <c r="C451" s="32">
        <v>80</v>
      </c>
    </row>
    <row r="452" spans="2:3" ht="15" x14ac:dyDescent="0.25">
      <c r="B452" s="28" t="s">
        <v>82</v>
      </c>
      <c r="C452" s="32">
        <v>2.5</v>
      </c>
    </row>
    <row r="453" spans="2:3" ht="15" x14ac:dyDescent="0.2">
      <c r="B453" s="23" t="s">
        <v>83</v>
      </c>
      <c r="C453" s="32">
        <v>18.170000000000002</v>
      </c>
    </row>
    <row r="454" spans="2:3" ht="15" x14ac:dyDescent="0.2">
      <c r="B454" s="23" t="s">
        <v>84</v>
      </c>
      <c r="C454" s="32">
        <v>291</v>
      </c>
    </row>
    <row r="455" spans="2:3" ht="15" x14ac:dyDescent="0.2">
      <c r="B455" s="22" t="s">
        <v>85</v>
      </c>
    </row>
    <row r="456" spans="2:3" ht="15" x14ac:dyDescent="0.2">
      <c r="B456" s="22" t="s">
        <v>86</v>
      </c>
    </row>
    <row r="457" spans="2:3" ht="15" x14ac:dyDescent="0.2">
      <c r="B457" s="22" t="s">
        <v>87</v>
      </c>
    </row>
    <row r="458" spans="2:3" ht="15" x14ac:dyDescent="0.2">
      <c r="B458" s="22" t="s">
        <v>88</v>
      </c>
      <c r="C458" s="32">
        <v>1</v>
      </c>
    </row>
    <row r="459" spans="2:3" ht="15" x14ac:dyDescent="0.2">
      <c r="B459" s="22" t="s">
        <v>89</v>
      </c>
    </row>
  </sheetData>
  <printOptions horizontalCentered="1"/>
  <pageMargins left="0" right="0" top="0.75" bottom="0.75" header="0.3" footer="0.3"/>
  <pageSetup scale="10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5"/>
  <sheetViews>
    <sheetView workbookViewId="0">
      <selection activeCell="C12" sqref="C12"/>
    </sheetView>
  </sheetViews>
  <sheetFormatPr defaultRowHeight="12.75" x14ac:dyDescent="0.2"/>
  <cols>
    <col min="3" max="3" width="21.140625" bestFit="1" customWidth="1"/>
    <col min="4" max="4" width="25" bestFit="1" customWidth="1"/>
  </cols>
  <sheetData>
    <row r="3" spans="2:18" ht="15" x14ac:dyDescent="0.2">
      <c r="B3" s="51"/>
      <c r="C3" s="51"/>
      <c r="D3" s="51"/>
      <c r="E3" s="51"/>
      <c r="F3" s="51"/>
      <c r="G3" s="162" t="s">
        <v>241</v>
      </c>
      <c r="H3" s="163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2:18" s="8" customFormat="1" x14ac:dyDescent="0.2">
      <c r="B4" s="52" t="s">
        <v>331</v>
      </c>
      <c r="C4" s="52" t="s">
        <v>242</v>
      </c>
      <c r="D4" s="52" t="s">
        <v>139</v>
      </c>
      <c r="E4" s="52" t="s">
        <v>141</v>
      </c>
      <c r="F4" s="52" t="s">
        <v>278</v>
      </c>
      <c r="G4" s="55" t="s">
        <v>239</v>
      </c>
      <c r="H4" s="55" t="s">
        <v>240</v>
      </c>
      <c r="I4" s="56" t="s">
        <v>243</v>
      </c>
      <c r="J4" s="53" t="s">
        <v>0</v>
      </c>
      <c r="K4" s="53" t="s">
        <v>245</v>
      </c>
      <c r="L4" s="53" t="s">
        <v>246</v>
      </c>
      <c r="M4" s="53" t="s">
        <v>247</v>
      </c>
      <c r="N4" s="53"/>
      <c r="O4" s="53" t="s">
        <v>248</v>
      </c>
      <c r="P4" s="53" t="s">
        <v>249</v>
      </c>
      <c r="Q4" s="53" t="s">
        <v>250</v>
      </c>
      <c r="R4" s="53" t="s">
        <v>251</v>
      </c>
    </row>
    <row r="5" spans="2:18" ht="12.75" customHeight="1" x14ac:dyDescent="0.2">
      <c r="C5" t="s">
        <v>387</v>
      </c>
      <c r="D5" t="s">
        <v>373</v>
      </c>
      <c r="H5">
        <v>8100</v>
      </c>
    </row>
    <row r="6" spans="2:18" x14ac:dyDescent="0.2">
      <c r="C6" t="s">
        <v>387</v>
      </c>
      <c r="D6" t="s">
        <v>374</v>
      </c>
      <c r="H6" s="57" t="s">
        <v>376</v>
      </c>
    </row>
    <row r="7" spans="2:18" ht="12.75" customHeight="1" x14ac:dyDescent="0.2">
      <c r="C7" t="s">
        <v>387</v>
      </c>
      <c r="D7" t="s">
        <v>375</v>
      </c>
      <c r="H7">
        <v>7409</v>
      </c>
    </row>
    <row r="8" spans="2:18" ht="12.75" customHeight="1" x14ac:dyDescent="0.2">
      <c r="C8" t="s">
        <v>387</v>
      </c>
      <c r="D8" t="s">
        <v>377</v>
      </c>
      <c r="H8">
        <v>420</v>
      </c>
    </row>
    <row r="9" spans="2:18" ht="12.75" customHeight="1" x14ac:dyDescent="0.2">
      <c r="C9" t="s">
        <v>387</v>
      </c>
      <c r="D9" t="s">
        <v>154</v>
      </c>
      <c r="H9">
        <v>420</v>
      </c>
    </row>
    <row r="10" spans="2:18" ht="12.75" customHeight="1" x14ac:dyDescent="0.2">
      <c r="C10" t="s">
        <v>387</v>
      </c>
      <c r="D10" t="s">
        <v>378</v>
      </c>
      <c r="H10">
        <v>3760</v>
      </c>
    </row>
    <row r="11" spans="2:18" ht="12.75" customHeight="1" x14ac:dyDescent="0.2">
      <c r="C11" t="s">
        <v>387</v>
      </c>
      <c r="D11" t="s">
        <v>379</v>
      </c>
      <c r="H11">
        <v>1170</v>
      </c>
    </row>
    <row r="12" spans="2:18" ht="12.75" customHeight="1" x14ac:dyDescent="0.2">
      <c r="C12" t="s">
        <v>387</v>
      </c>
      <c r="D12" t="s">
        <v>380</v>
      </c>
      <c r="H12">
        <v>3360</v>
      </c>
    </row>
    <row r="13" spans="2:18" ht="12.75" customHeight="1" x14ac:dyDescent="0.2">
      <c r="C13" t="s">
        <v>387</v>
      </c>
      <c r="D13" t="s">
        <v>381</v>
      </c>
      <c r="H13">
        <v>80</v>
      </c>
    </row>
    <row r="14" spans="2:18" ht="12.75" customHeight="1" x14ac:dyDescent="0.2">
      <c r="C14" t="s">
        <v>387</v>
      </c>
      <c r="D14" t="s">
        <v>382</v>
      </c>
      <c r="H14">
        <v>245</v>
      </c>
    </row>
    <row r="15" spans="2:18" ht="12.75" customHeight="1" x14ac:dyDescent="0.2">
      <c r="C15" t="s">
        <v>387</v>
      </c>
      <c r="D15" t="s">
        <v>383</v>
      </c>
      <c r="H15">
        <v>880</v>
      </c>
    </row>
    <row r="16" spans="2:18" ht="12.75" customHeight="1" x14ac:dyDescent="0.2">
      <c r="C16" t="s">
        <v>387</v>
      </c>
      <c r="D16" t="s">
        <v>384</v>
      </c>
      <c r="H16">
        <v>180</v>
      </c>
    </row>
    <row r="17" spans="3:8" ht="12.75" customHeight="1" x14ac:dyDescent="0.2">
      <c r="C17" t="s">
        <v>387</v>
      </c>
      <c r="D17" t="s">
        <v>385</v>
      </c>
      <c r="H17">
        <v>140</v>
      </c>
    </row>
    <row r="18" spans="3:8" ht="12.75" customHeight="1" x14ac:dyDescent="0.2">
      <c r="C18" t="s">
        <v>387</v>
      </c>
      <c r="D18" t="s">
        <v>386</v>
      </c>
      <c r="H18">
        <v>180</v>
      </c>
    </row>
    <row r="19" spans="3:8" x14ac:dyDescent="0.2">
      <c r="C19" t="s">
        <v>402</v>
      </c>
      <c r="D19" t="s">
        <v>388</v>
      </c>
      <c r="H19">
        <v>1134</v>
      </c>
    </row>
    <row r="20" spans="3:8" x14ac:dyDescent="0.2">
      <c r="C20" t="s">
        <v>402</v>
      </c>
      <c r="D20" t="s">
        <v>389</v>
      </c>
      <c r="H20">
        <v>2604</v>
      </c>
    </row>
    <row r="21" spans="3:8" x14ac:dyDescent="0.2">
      <c r="C21" t="s">
        <v>402</v>
      </c>
      <c r="D21" t="s">
        <v>390</v>
      </c>
      <c r="H21">
        <v>25000</v>
      </c>
    </row>
    <row r="22" spans="3:8" x14ac:dyDescent="0.2">
      <c r="C22" t="s">
        <v>402</v>
      </c>
      <c r="D22" t="s">
        <v>391</v>
      </c>
      <c r="H22">
        <v>14260</v>
      </c>
    </row>
    <row r="23" spans="3:8" x14ac:dyDescent="0.2">
      <c r="C23" t="s">
        <v>402</v>
      </c>
      <c r="D23" t="s">
        <v>392</v>
      </c>
      <c r="H23">
        <v>10921</v>
      </c>
    </row>
    <row r="24" spans="3:8" x14ac:dyDescent="0.2">
      <c r="C24" t="s">
        <v>402</v>
      </c>
      <c r="D24" t="s">
        <v>393</v>
      </c>
      <c r="H24">
        <v>2905</v>
      </c>
    </row>
    <row r="25" spans="3:8" x14ac:dyDescent="0.2">
      <c r="C25" t="s">
        <v>402</v>
      </c>
      <c r="D25" t="s">
        <v>394</v>
      </c>
      <c r="H25">
        <v>1122</v>
      </c>
    </row>
    <row r="26" spans="3:8" x14ac:dyDescent="0.2">
      <c r="C26" t="s">
        <v>402</v>
      </c>
      <c r="D26" t="s">
        <v>395</v>
      </c>
      <c r="H26">
        <v>26550</v>
      </c>
    </row>
    <row r="27" spans="3:8" x14ac:dyDescent="0.2">
      <c r="C27" t="s">
        <v>402</v>
      </c>
      <c r="D27" t="s">
        <v>396</v>
      </c>
      <c r="H27">
        <v>8100</v>
      </c>
    </row>
    <row r="28" spans="3:8" x14ac:dyDescent="0.2">
      <c r="C28" t="s">
        <v>402</v>
      </c>
      <c r="D28" t="s">
        <v>397</v>
      </c>
      <c r="H28">
        <v>15000</v>
      </c>
    </row>
    <row r="29" spans="3:8" x14ac:dyDescent="0.2">
      <c r="C29" t="s">
        <v>402</v>
      </c>
      <c r="D29" t="s">
        <v>398</v>
      </c>
      <c r="H29">
        <v>1044</v>
      </c>
    </row>
    <row r="30" spans="3:8" x14ac:dyDescent="0.2">
      <c r="C30" t="s">
        <v>402</v>
      </c>
      <c r="D30" t="s">
        <v>399</v>
      </c>
      <c r="H30">
        <v>1764</v>
      </c>
    </row>
    <row r="31" spans="3:8" x14ac:dyDescent="0.2">
      <c r="C31" t="s">
        <v>402</v>
      </c>
      <c r="D31" t="s">
        <v>400</v>
      </c>
      <c r="H31">
        <v>6000</v>
      </c>
    </row>
    <row r="32" spans="3:8" x14ac:dyDescent="0.2">
      <c r="C32" t="s">
        <v>402</v>
      </c>
      <c r="D32" t="s">
        <v>401</v>
      </c>
      <c r="H32">
        <v>4000</v>
      </c>
    </row>
    <row r="33" spans="3:8" x14ac:dyDescent="0.2">
      <c r="C33" t="s">
        <v>403</v>
      </c>
      <c r="D33" t="s">
        <v>404</v>
      </c>
      <c r="H33">
        <v>27152</v>
      </c>
    </row>
    <row r="34" spans="3:8" x14ac:dyDescent="0.2">
      <c r="C34" t="s">
        <v>405</v>
      </c>
      <c r="D34" t="s">
        <v>405</v>
      </c>
      <c r="H34">
        <v>74900</v>
      </c>
    </row>
    <row r="35" spans="3:8" x14ac:dyDescent="0.2">
      <c r="C35" t="s">
        <v>406</v>
      </c>
      <c r="D35" t="s">
        <v>406</v>
      </c>
      <c r="H35">
        <v>30400</v>
      </c>
    </row>
  </sheetData>
  <mergeCells count="1"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3" workbookViewId="0">
      <selection activeCell="N3" sqref="N3"/>
    </sheetView>
  </sheetViews>
  <sheetFormatPr defaultRowHeight="12.75" x14ac:dyDescent="0.2"/>
  <cols>
    <col min="1" max="1" width="6.5703125" style="43" bestFit="1" customWidth="1"/>
    <col min="2" max="2" width="9.28515625" style="14" bestFit="1" customWidth="1"/>
    <col min="3" max="3" width="33.140625" style="25" customWidth="1"/>
    <col min="4" max="4" width="26.140625" style="25" customWidth="1"/>
    <col min="5" max="5" width="8.85546875" style="43" customWidth="1"/>
    <col min="6" max="6" width="12" style="46" bestFit="1" customWidth="1"/>
    <col min="7" max="7" width="10.28515625" style="46" bestFit="1" customWidth="1"/>
    <col min="8" max="9" width="12.140625" style="43" customWidth="1"/>
    <col min="10" max="10" width="12.42578125" style="43" customWidth="1"/>
    <col min="11" max="11" width="11.42578125" style="43" customWidth="1"/>
    <col min="12" max="12" width="9.140625" style="43"/>
    <col min="13" max="13" width="13.85546875" style="43" customWidth="1"/>
    <col min="14" max="14" width="12.42578125" style="46" customWidth="1"/>
    <col min="15" max="15" width="9.140625" style="43"/>
    <col min="16" max="16" width="10.42578125" style="46" bestFit="1" customWidth="1"/>
    <col min="17" max="17" width="10.28515625" style="46" bestFit="1" customWidth="1"/>
    <col min="18" max="18" width="9.140625" style="46"/>
    <col min="19" max="20" width="9.140625" style="43"/>
    <col min="21" max="21" width="15.5703125" style="46" bestFit="1" customWidth="1"/>
    <col min="22" max="22" width="14.5703125" style="46" bestFit="1" customWidth="1"/>
    <col min="23" max="24" width="13.5703125" style="43" bestFit="1" customWidth="1"/>
    <col min="25" max="16384" width="9.140625" style="43"/>
  </cols>
  <sheetData>
    <row r="1" spans="1:24" ht="15" x14ac:dyDescent="0.2">
      <c r="A1" s="27"/>
      <c r="B1" s="8"/>
      <c r="C1" s="49"/>
      <c r="E1" s="27"/>
      <c r="F1" s="152" t="s">
        <v>241</v>
      </c>
      <c r="G1" s="153"/>
      <c r="T1" s="43">
        <v>2022</v>
      </c>
      <c r="U1" s="46">
        <f>SUM(U4:U75)</f>
        <v>455195014.31786537</v>
      </c>
      <c r="V1" s="46">
        <f>SUM(V4:V75)</f>
        <v>146914383.51665977</v>
      </c>
      <c r="W1" s="46">
        <f>SUM(W4:W75)</f>
        <v>308280630.80120564</v>
      </c>
    </row>
    <row r="2" spans="1:24" ht="15" x14ac:dyDescent="0.2">
      <c r="A2" s="154" t="s">
        <v>423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</row>
    <row r="3" spans="1:24" ht="60" x14ac:dyDescent="0.2">
      <c r="A3" s="59" t="s">
        <v>407</v>
      </c>
      <c r="B3" s="65" t="s">
        <v>242</v>
      </c>
      <c r="C3" s="65" t="s">
        <v>139</v>
      </c>
      <c r="D3" s="65" t="s">
        <v>408</v>
      </c>
      <c r="E3" s="61" t="s">
        <v>411</v>
      </c>
      <c r="F3" s="60" t="s">
        <v>409</v>
      </c>
      <c r="G3" s="61" t="s">
        <v>410</v>
      </c>
      <c r="H3" s="59" t="s">
        <v>412</v>
      </c>
      <c r="I3" s="59" t="s">
        <v>413</v>
      </c>
      <c r="J3" s="59" t="s">
        <v>414</v>
      </c>
      <c r="K3" s="59" t="s">
        <v>415</v>
      </c>
      <c r="L3" s="59" t="s">
        <v>416</v>
      </c>
      <c r="M3" s="59" t="s">
        <v>417</v>
      </c>
      <c r="N3" s="63" t="s">
        <v>418</v>
      </c>
      <c r="O3" s="146" t="s">
        <v>0</v>
      </c>
      <c r="P3" s="146" t="s">
        <v>245</v>
      </c>
      <c r="Q3" s="146" t="s">
        <v>246</v>
      </c>
      <c r="R3" s="146" t="s">
        <v>247</v>
      </c>
      <c r="S3" s="146"/>
      <c r="T3" s="146" t="s">
        <v>248</v>
      </c>
      <c r="U3" s="59" t="s">
        <v>419</v>
      </c>
      <c r="V3" s="59" t="s">
        <v>420</v>
      </c>
      <c r="W3" s="59" t="s">
        <v>421</v>
      </c>
      <c r="X3" s="59" t="s">
        <v>422</v>
      </c>
    </row>
    <row r="4" spans="1:24" x14ac:dyDescent="0.2">
      <c r="A4" s="44">
        <v>1</v>
      </c>
      <c r="B4" s="47" t="s">
        <v>238</v>
      </c>
      <c r="C4" s="50" t="s">
        <v>197</v>
      </c>
      <c r="D4" s="50" t="s">
        <v>198</v>
      </c>
      <c r="E4" s="44" t="s">
        <v>196</v>
      </c>
      <c r="F4" s="45">
        <v>133245</v>
      </c>
      <c r="G4" s="90">
        <f t="shared" ref="G4:G35" si="0">F4/10.764</f>
        <v>12378.762541806022</v>
      </c>
      <c r="H4" s="87">
        <v>2004</v>
      </c>
      <c r="I4" s="87">
        <v>2022</v>
      </c>
      <c r="J4" s="87">
        <f>I4-H4</f>
        <v>18</v>
      </c>
      <c r="K4" s="87">
        <v>45</v>
      </c>
      <c r="L4" s="88">
        <v>0.1</v>
      </c>
      <c r="M4" s="62">
        <f>(1-L4)/K4</f>
        <v>0.02</v>
      </c>
      <c r="N4" s="147">
        <f>T4</f>
        <v>901.33779264214047</v>
      </c>
      <c r="O4" s="89" t="s">
        <v>153</v>
      </c>
      <c r="P4" s="90">
        <v>17640</v>
      </c>
      <c r="Q4" s="90">
        <f>P4*1.1</f>
        <v>19404</v>
      </c>
      <c r="R4" s="90">
        <f>Q4/10.764</f>
        <v>1802.6755852842809</v>
      </c>
      <c r="S4" s="88">
        <v>0.5</v>
      </c>
      <c r="T4" s="90">
        <f>S4*R4</f>
        <v>901.33779264214047</v>
      </c>
      <c r="U4" s="64">
        <f>T4*F4</f>
        <v>120098754.18060201</v>
      </c>
      <c r="V4" s="64">
        <f>U4*M4*J4</f>
        <v>43235551.505016722</v>
      </c>
      <c r="W4" s="64">
        <f t="shared" ref="W4:W67" si="1">MAX(U4-V4,0)</f>
        <v>76863202.6755853</v>
      </c>
      <c r="X4" s="64">
        <f>W4</f>
        <v>76863202.6755853</v>
      </c>
    </row>
    <row r="5" spans="1:24" x14ac:dyDescent="0.2">
      <c r="A5" s="44">
        <f t="shared" ref="A5:A31" si="2">1+A4</f>
        <v>2</v>
      </c>
      <c r="B5" s="47" t="s">
        <v>238</v>
      </c>
      <c r="C5" s="50" t="s">
        <v>194</v>
      </c>
      <c r="D5" s="50" t="s">
        <v>195</v>
      </c>
      <c r="E5" s="44" t="s">
        <v>196</v>
      </c>
      <c r="F5" s="45">
        <v>66375.75</v>
      </c>
      <c r="G5" s="90">
        <f t="shared" si="0"/>
        <v>6166.4576365663324</v>
      </c>
      <c r="H5" s="87">
        <v>2004</v>
      </c>
      <c r="I5" s="87">
        <v>2022</v>
      </c>
      <c r="J5" s="87">
        <f t="shared" ref="J5:J68" si="3">I5-H5</f>
        <v>18</v>
      </c>
      <c r="K5" s="87">
        <v>60</v>
      </c>
      <c r="L5" s="88">
        <v>0.1</v>
      </c>
      <c r="M5" s="62">
        <f t="shared" ref="M5:M68" si="4">(1-L5)/K5</f>
        <v>1.5000000000000001E-2</v>
      </c>
      <c r="N5" s="147">
        <f t="shared" ref="N5:N68" si="5">T5</f>
        <v>1056.9258639910815</v>
      </c>
      <c r="O5" s="89" t="s">
        <v>244</v>
      </c>
      <c r="P5" s="90">
        <v>20685</v>
      </c>
      <c r="Q5" s="90">
        <f t="shared" ref="Q5:Q68" si="6">P5*1.1</f>
        <v>22753.500000000004</v>
      </c>
      <c r="R5" s="90">
        <f t="shared" ref="R5:R68" si="7">Q5/10.764</f>
        <v>2113.8517279821631</v>
      </c>
      <c r="S5" s="88">
        <v>0.5</v>
      </c>
      <c r="T5" s="90">
        <f t="shared" ref="T5:T68" si="8">S5*R5</f>
        <v>1056.9258639910815</v>
      </c>
      <c r="U5" s="64">
        <f t="shared" ref="U5:U68" si="9">T5*F5</f>
        <v>70154246.916806027</v>
      </c>
      <c r="V5" s="64">
        <f t="shared" ref="V5:V68" si="10">U5*M5*J5</f>
        <v>18941646.66753763</v>
      </c>
      <c r="W5" s="64">
        <f t="shared" si="1"/>
        <v>51212600.249268398</v>
      </c>
      <c r="X5" s="64">
        <f t="shared" ref="X5:X68" si="11">W5</f>
        <v>51212600.249268398</v>
      </c>
    </row>
    <row r="6" spans="1:24" x14ac:dyDescent="0.2">
      <c r="A6" s="44">
        <f t="shared" si="2"/>
        <v>3</v>
      </c>
      <c r="B6" s="47" t="s">
        <v>238</v>
      </c>
      <c r="C6" s="50" t="s">
        <v>177</v>
      </c>
      <c r="D6" s="50" t="s">
        <v>178</v>
      </c>
      <c r="E6" s="44" t="s">
        <v>179</v>
      </c>
      <c r="F6" s="45">
        <v>65156</v>
      </c>
      <c r="G6" s="90">
        <f t="shared" si="0"/>
        <v>6053.1400966183583</v>
      </c>
      <c r="H6" s="87">
        <v>2004</v>
      </c>
      <c r="I6" s="87">
        <v>2022</v>
      </c>
      <c r="J6" s="87">
        <f t="shared" si="3"/>
        <v>18</v>
      </c>
      <c r="K6" s="87">
        <v>45</v>
      </c>
      <c r="L6" s="88">
        <v>0.1</v>
      </c>
      <c r="M6" s="62">
        <f t="shared" si="4"/>
        <v>0.02</v>
      </c>
      <c r="N6" s="147">
        <f t="shared" si="5"/>
        <v>901.33779264214047</v>
      </c>
      <c r="O6" s="89" t="s">
        <v>153</v>
      </c>
      <c r="P6" s="90">
        <v>17640</v>
      </c>
      <c r="Q6" s="90">
        <f t="shared" si="6"/>
        <v>19404</v>
      </c>
      <c r="R6" s="90">
        <f t="shared" si="7"/>
        <v>1802.6755852842809</v>
      </c>
      <c r="S6" s="88">
        <v>0.5</v>
      </c>
      <c r="T6" s="90">
        <f t="shared" si="8"/>
        <v>901.33779264214047</v>
      </c>
      <c r="U6" s="64">
        <f t="shared" si="9"/>
        <v>58727565.217391305</v>
      </c>
      <c r="V6" s="64">
        <f t="shared" si="10"/>
        <v>21141923.478260871</v>
      </c>
      <c r="W6" s="64">
        <f t="shared" si="1"/>
        <v>37585641.739130437</v>
      </c>
      <c r="X6" s="64">
        <f t="shared" si="11"/>
        <v>37585641.739130437</v>
      </c>
    </row>
    <row r="7" spans="1:24" x14ac:dyDescent="0.2">
      <c r="A7" s="44">
        <f t="shared" si="2"/>
        <v>4</v>
      </c>
      <c r="B7" s="48" t="s">
        <v>207</v>
      </c>
      <c r="C7" s="50" t="s">
        <v>153</v>
      </c>
      <c r="D7" s="50" t="s">
        <v>225</v>
      </c>
      <c r="E7" s="44" t="s">
        <v>228</v>
      </c>
      <c r="F7" s="45">
        <v>18414</v>
      </c>
      <c r="G7" s="90">
        <f t="shared" si="0"/>
        <v>1710.7023411371238</v>
      </c>
      <c r="H7" s="87">
        <v>2004</v>
      </c>
      <c r="I7" s="87">
        <v>2022</v>
      </c>
      <c r="J7" s="87">
        <f t="shared" si="3"/>
        <v>18</v>
      </c>
      <c r="K7" s="87">
        <v>45</v>
      </c>
      <c r="L7" s="88">
        <v>0.1</v>
      </c>
      <c r="M7" s="62">
        <f t="shared" si="4"/>
        <v>0.02</v>
      </c>
      <c r="N7" s="147">
        <f t="shared" si="5"/>
        <v>901.33779264214047</v>
      </c>
      <c r="O7" s="89" t="s">
        <v>153</v>
      </c>
      <c r="P7" s="90">
        <v>17640</v>
      </c>
      <c r="Q7" s="90">
        <f t="shared" si="6"/>
        <v>19404</v>
      </c>
      <c r="R7" s="90">
        <f t="shared" si="7"/>
        <v>1802.6755852842809</v>
      </c>
      <c r="S7" s="88">
        <v>0.5</v>
      </c>
      <c r="T7" s="90">
        <f t="shared" si="8"/>
        <v>901.33779264214047</v>
      </c>
      <c r="U7" s="64">
        <f t="shared" si="9"/>
        <v>16597234.113712374</v>
      </c>
      <c r="V7" s="64">
        <f t="shared" si="10"/>
        <v>5975004.2809364544</v>
      </c>
      <c r="W7" s="64">
        <f t="shared" si="1"/>
        <v>10622229.832775921</v>
      </c>
      <c r="X7" s="64">
        <f t="shared" si="11"/>
        <v>10622229.832775921</v>
      </c>
    </row>
    <row r="8" spans="1:24" x14ac:dyDescent="0.2">
      <c r="A8" s="44">
        <f t="shared" si="2"/>
        <v>5</v>
      </c>
      <c r="B8" s="47" t="s">
        <v>238</v>
      </c>
      <c r="C8" s="50" t="s">
        <v>206</v>
      </c>
      <c r="D8" s="50" t="s">
        <v>200</v>
      </c>
      <c r="E8" s="44" t="s">
        <v>161</v>
      </c>
      <c r="F8" s="45">
        <v>14843.68</v>
      </c>
      <c r="G8" s="90">
        <f t="shared" si="0"/>
        <v>1379.0115198810852</v>
      </c>
      <c r="H8" s="87">
        <v>2004</v>
      </c>
      <c r="I8" s="87">
        <v>2022</v>
      </c>
      <c r="J8" s="87">
        <f t="shared" si="3"/>
        <v>18</v>
      </c>
      <c r="K8" s="87">
        <v>60</v>
      </c>
      <c r="L8" s="88">
        <v>0.1</v>
      </c>
      <c r="M8" s="62">
        <f t="shared" si="4"/>
        <v>1.5000000000000001E-2</v>
      </c>
      <c r="N8" s="147">
        <f t="shared" si="5"/>
        <v>1056.9258639910815</v>
      </c>
      <c r="O8" s="89" t="s">
        <v>244</v>
      </c>
      <c r="P8" s="90">
        <v>20685</v>
      </c>
      <c r="Q8" s="90">
        <f t="shared" si="6"/>
        <v>22753.500000000004</v>
      </c>
      <c r="R8" s="90">
        <f t="shared" si="7"/>
        <v>2113.8517279821631</v>
      </c>
      <c r="S8" s="88">
        <v>0.5</v>
      </c>
      <c r="T8" s="90">
        <f t="shared" si="8"/>
        <v>1056.9258639910815</v>
      </c>
      <c r="U8" s="64">
        <f t="shared" si="9"/>
        <v>15688669.308807138</v>
      </c>
      <c r="V8" s="64">
        <f t="shared" si="10"/>
        <v>4235940.7133779274</v>
      </c>
      <c r="W8" s="64">
        <f t="shared" si="1"/>
        <v>11452728.595429212</v>
      </c>
      <c r="X8" s="64">
        <f t="shared" si="11"/>
        <v>11452728.595429212</v>
      </c>
    </row>
    <row r="9" spans="1:24" x14ac:dyDescent="0.2">
      <c r="A9" s="44">
        <f t="shared" si="2"/>
        <v>6</v>
      </c>
      <c r="B9" s="47" t="s">
        <v>238</v>
      </c>
      <c r="C9" s="50" t="s">
        <v>184</v>
      </c>
      <c r="D9" s="50" t="s">
        <v>150</v>
      </c>
      <c r="E9" s="44" t="s">
        <v>183</v>
      </c>
      <c r="F9" s="45">
        <v>13598</v>
      </c>
      <c r="G9" s="90">
        <f t="shared" si="0"/>
        <v>1263.2850241545893</v>
      </c>
      <c r="H9" s="87">
        <v>2004</v>
      </c>
      <c r="I9" s="87">
        <v>2022</v>
      </c>
      <c r="J9" s="87">
        <f t="shared" si="3"/>
        <v>18</v>
      </c>
      <c r="K9" s="87">
        <v>60</v>
      </c>
      <c r="L9" s="88">
        <v>0.1</v>
      </c>
      <c r="M9" s="62">
        <f t="shared" si="4"/>
        <v>1.5000000000000001E-2</v>
      </c>
      <c r="N9" s="147">
        <f t="shared" si="5"/>
        <v>1056.9258639910815</v>
      </c>
      <c r="O9" s="89" t="s">
        <v>244</v>
      </c>
      <c r="P9" s="90">
        <v>20685</v>
      </c>
      <c r="Q9" s="90">
        <f t="shared" si="6"/>
        <v>22753.500000000004</v>
      </c>
      <c r="R9" s="90">
        <f t="shared" si="7"/>
        <v>2113.8517279821631</v>
      </c>
      <c r="S9" s="88">
        <v>0.5</v>
      </c>
      <c r="T9" s="90">
        <f t="shared" si="8"/>
        <v>1056.9258639910815</v>
      </c>
      <c r="U9" s="64">
        <f t="shared" si="9"/>
        <v>14372077.898550726</v>
      </c>
      <c r="V9" s="64">
        <f t="shared" si="10"/>
        <v>3880461.0326086967</v>
      </c>
      <c r="W9" s="64">
        <f t="shared" si="1"/>
        <v>10491616.865942029</v>
      </c>
      <c r="X9" s="64">
        <f t="shared" si="11"/>
        <v>10491616.865942029</v>
      </c>
    </row>
    <row r="10" spans="1:24" x14ac:dyDescent="0.2">
      <c r="A10" s="44">
        <f t="shared" si="2"/>
        <v>7</v>
      </c>
      <c r="B10" s="47" t="s">
        <v>238</v>
      </c>
      <c r="C10" s="50" t="s">
        <v>184</v>
      </c>
      <c r="D10" s="50" t="s">
        <v>185</v>
      </c>
      <c r="E10" s="44" t="s">
        <v>186</v>
      </c>
      <c r="F10" s="45">
        <v>13598</v>
      </c>
      <c r="G10" s="90">
        <f t="shared" si="0"/>
        <v>1263.2850241545893</v>
      </c>
      <c r="H10" s="87">
        <v>2004</v>
      </c>
      <c r="I10" s="87">
        <v>2022</v>
      </c>
      <c r="J10" s="87">
        <f t="shared" si="3"/>
        <v>18</v>
      </c>
      <c r="K10" s="87">
        <v>45</v>
      </c>
      <c r="L10" s="88">
        <v>0.1</v>
      </c>
      <c r="M10" s="62">
        <f t="shared" si="4"/>
        <v>0.02</v>
      </c>
      <c r="N10" s="147">
        <f t="shared" si="5"/>
        <v>901.33779264214047</v>
      </c>
      <c r="O10" s="89" t="s">
        <v>153</v>
      </c>
      <c r="P10" s="90">
        <v>17640</v>
      </c>
      <c r="Q10" s="90">
        <f t="shared" si="6"/>
        <v>19404</v>
      </c>
      <c r="R10" s="90">
        <f t="shared" si="7"/>
        <v>1802.6755852842809</v>
      </c>
      <c r="S10" s="88">
        <v>0.5</v>
      </c>
      <c r="T10" s="90">
        <f t="shared" si="8"/>
        <v>901.33779264214047</v>
      </c>
      <c r="U10" s="64">
        <f t="shared" si="9"/>
        <v>12256391.304347826</v>
      </c>
      <c r="V10" s="64">
        <f t="shared" si="10"/>
        <v>4412300.8695652178</v>
      </c>
      <c r="W10" s="64">
        <f t="shared" si="1"/>
        <v>7844090.4347826084</v>
      </c>
      <c r="X10" s="64">
        <f t="shared" si="11"/>
        <v>7844090.4347826084</v>
      </c>
    </row>
    <row r="11" spans="1:24" x14ac:dyDescent="0.2">
      <c r="A11" s="44">
        <f t="shared" si="2"/>
        <v>8</v>
      </c>
      <c r="B11" s="47" t="s">
        <v>238</v>
      </c>
      <c r="C11" s="50" t="s">
        <v>187</v>
      </c>
      <c r="D11" s="50" t="s">
        <v>150</v>
      </c>
      <c r="E11" s="44" t="s">
        <v>181</v>
      </c>
      <c r="F11" s="45">
        <v>11583</v>
      </c>
      <c r="G11" s="90">
        <f t="shared" si="0"/>
        <v>1076.0869565217392</v>
      </c>
      <c r="H11" s="87">
        <v>2004</v>
      </c>
      <c r="I11" s="87">
        <v>2022</v>
      </c>
      <c r="J11" s="87">
        <f t="shared" si="3"/>
        <v>18</v>
      </c>
      <c r="K11" s="87">
        <v>60</v>
      </c>
      <c r="L11" s="88">
        <v>0.1</v>
      </c>
      <c r="M11" s="62">
        <f t="shared" si="4"/>
        <v>1.5000000000000001E-2</v>
      </c>
      <c r="N11" s="147">
        <f t="shared" si="5"/>
        <v>1056.9258639910815</v>
      </c>
      <c r="O11" s="89" t="s">
        <v>244</v>
      </c>
      <c r="P11" s="90">
        <v>20685</v>
      </c>
      <c r="Q11" s="90">
        <f t="shared" si="6"/>
        <v>22753.500000000004</v>
      </c>
      <c r="R11" s="90">
        <f t="shared" si="7"/>
        <v>2113.8517279821631</v>
      </c>
      <c r="S11" s="88">
        <v>0.5</v>
      </c>
      <c r="T11" s="90">
        <f t="shared" si="8"/>
        <v>1056.9258639910815</v>
      </c>
      <c r="U11" s="64">
        <f t="shared" si="9"/>
        <v>12242372.282608697</v>
      </c>
      <c r="V11" s="64">
        <f t="shared" si="10"/>
        <v>3305440.5163043481</v>
      </c>
      <c r="W11" s="64">
        <f t="shared" si="1"/>
        <v>8936931.7663043495</v>
      </c>
      <c r="X11" s="64">
        <f t="shared" si="11"/>
        <v>8936931.7663043495</v>
      </c>
    </row>
    <row r="12" spans="1:24" x14ac:dyDescent="0.2">
      <c r="A12" s="44">
        <f t="shared" si="2"/>
        <v>9</v>
      </c>
      <c r="B12" s="47" t="s">
        <v>238</v>
      </c>
      <c r="C12" s="50" t="s">
        <v>184</v>
      </c>
      <c r="D12" s="50" t="s">
        <v>185</v>
      </c>
      <c r="E12" s="44" t="s">
        <v>183</v>
      </c>
      <c r="F12" s="45">
        <v>11583</v>
      </c>
      <c r="G12" s="90">
        <f t="shared" si="0"/>
        <v>1076.0869565217392</v>
      </c>
      <c r="H12" s="87">
        <v>2004</v>
      </c>
      <c r="I12" s="87">
        <v>2022</v>
      </c>
      <c r="J12" s="87">
        <f t="shared" si="3"/>
        <v>18</v>
      </c>
      <c r="K12" s="87">
        <v>45</v>
      </c>
      <c r="L12" s="88">
        <v>0.1</v>
      </c>
      <c r="M12" s="62">
        <f t="shared" si="4"/>
        <v>0.02</v>
      </c>
      <c r="N12" s="147">
        <f t="shared" si="5"/>
        <v>901.33779264214047</v>
      </c>
      <c r="O12" s="89" t="s">
        <v>153</v>
      </c>
      <c r="P12" s="90">
        <v>17640</v>
      </c>
      <c r="Q12" s="90">
        <f t="shared" si="6"/>
        <v>19404</v>
      </c>
      <c r="R12" s="90">
        <f t="shared" si="7"/>
        <v>1802.6755852842809</v>
      </c>
      <c r="S12" s="88">
        <v>0.5</v>
      </c>
      <c r="T12" s="90">
        <f t="shared" si="8"/>
        <v>901.33779264214047</v>
      </c>
      <c r="U12" s="64">
        <f t="shared" si="9"/>
        <v>10440195.652173912</v>
      </c>
      <c r="V12" s="64">
        <f t="shared" si="10"/>
        <v>3758470.4347826084</v>
      </c>
      <c r="W12" s="64">
        <f t="shared" si="1"/>
        <v>6681725.2173913037</v>
      </c>
      <c r="X12" s="64">
        <f t="shared" si="11"/>
        <v>6681725.2173913037</v>
      </c>
    </row>
    <row r="13" spans="1:24" x14ac:dyDescent="0.2">
      <c r="A13" s="44">
        <f t="shared" si="2"/>
        <v>10</v>
      </c>
      <c r="B13" s="47" t="s">
        <v>238</v>
      </c>
      <c r="C13" s="50" t="s">
        <v>201</v>
      </c>
      <c r="D13" s="50" t="s">
        <v>200</v>
      </c>
      <c r="E13" s="44" t="s">
        <v>161</v>
      </c>
      <c r="F13" s="45">
        <v>10191.66</v>
      </c>
      <c r="G13" s="90">
        <f t="shared" si="0"/>
        <v>946.8283166109253</v>
      </c>
      <c r="H13" s="87">
        <v>2004</v>
      </c>
      <c r="I13" s="87">
        <v>2022</v>
      </c>
      <c r="J13" s="87">
        <f t="shared" si="3"/>
        <v>18</v>
      </c>
      <c r="K13" s="87">
        <v>60</v>
      </c>
      <c r="L13" s="88">
        <v>0.1</v>
      </c>
      <c r="M13" s="62">
        <f t="shared" si="4"/>
        <v>1.5000000000000001E-2</v>
      </c>
      <c r="N13" s="147">
        <f t="shared" si="5"/>
        <v>1056.9258639910815</v>
      </c>
      <c r="O13" s="89" t="s">
        <v>244</v>
      </c>
      <c r="P13" s="90">
        <v>20685</v>
      </c>
      <c r="Q13" s="90">
        <f t="shared" si="6"/>
        <v>22753.500000000004</v>
      </c>
      <c r="R13" s="90">
        <f t="shared" si="7"/>
        <v>2113.8517279821631</v>
      </c>
      <c r="S13" s="88">
        <v>0.5</v>
      </c>
      <c r="T13" s="90">
        <f t="shared" si="8"/>
        <v>1056.9258639910815</v>
      </c>
      <c r="U13" s="64">
        <f t="shared" si="9"/>
        <v>10771829.051003346</v>
      </c>
      <c r="V13" s="64">
        <f t="shared" si="10"/>
        <v>2908393.8437709035</v>
      </c>
      <c r="W13" s="64">
        <f t="shared" si="1"/>
        <v>7863435.2072324427</v>
      </c>
      <c r="X13" s="64">
        <f t="shared" si="11"/>
        <v>7863435.2072324427</v>
      </c>
    </row>
    <row r="14" spans="1:24" x14ac:dyDescent="0.2">
      <c r="A14" s="44">
        <f t="shared" si="2"/>
        <v>11</v>
      </c>
      <c r="B14" s="47" t="s">
        <v>238</v>
      </c>
      <c r="C14" s="50" t="s">
        <v>154</v>
      </c>
      <c r="D14" s="50" t="s">
        <v>146</v>
      </c>
      <c r="E14" s="44" t="s">
        <v>172</v>
      </c>
      <c r="F14" s="45">
        <v>8413</v>
      </c>
      <c r="G14" s="90">
        <f t="shared" si="0"/>
        <v>781.58677071720558</v>
      </c>
      <c r="H14" s="87">
        <v>2004</v>
      </c>
      <c r="I14" s="87">
        <v>2022</v>
      </c>
      <c r="J14" s="87">
        <f t="shared" si="3"/>
        <v>18</v>
      </c>
      <c r="K14" s="87">
        <v>45</v>
      </c>
      <c r="L14" s="88">
        <v>0.1</v>
      </c>
      <c r="M14" s="62">
        <f t="shared" si="4"/>
        <v>0.02</v>
      </c>
      <c r="N14" s="147">
        <f t="shared" si="5"/>
        <v>901.33779264214047</v>
      </c>
      <c r="O14" s="89" t="s">
        <v>153</v>
      </c>
      <c r="P14" s="90">
        <v>17640</v>
      </c>
      <c r="Q14" s="90">
        <f t="shared" si="6"/>
        <v>19404</v>
      </c>
      <c r="R14" s="90">
        <f t="shared" si="7"/>
        <v>1802.6755852842809</v>
      </c>
      <c r="S14" s="88">
        <v>0.5</v>
      </c>
      <c r="T14" s="90">
        <f t="shared" si="8"/>
        <v>901.33779264214047</v>
      </c>
      <c r="U14" s="64">
        <f t="shared" si="9"/>
        <v>7582954.8494983278</v>
      </c>
      <c r="V14" s="64">
        <f t="shared" si="10"/>
        <v>2729863.7458193977</v>
      </c>
      <c r="W14" s="64">
        <f t="shared" si="1"/>
        <v>4853091.1036789306</v>
      </c>
      <c r="X14" s="64">
        <f t="shared" si="11"/>
        <v>4853091.1036789306</v>
      </c>
    </row>
    <row r="15" spans="1:24" x14ac:dyDescent="0.2">
      <c r="A15" s="44">
        <f t="shared" si="2"/>
        <v>12</v>
      </c>
      <c r="B15" s="48" t="s">
        <v>207</v>
      </c>
      <c r="C15" s="50" t="s">
        <v>213</v>
      </c>
      <c r="D15" s="50" t="s">
        <v>143</v>
      </c>
      <c r="E15" s="44" t="s">
        <v>214</v>
      </c>
      <c r="F15" s="45">
        <v>7639.5</v>
      </c>
      <c r="G15" s="90">
        <f t="shared" si="0"/>
        <v>709.72686733556304</v>
      </c>
      <c r="H15" s="87">
        <v>2004</v>
      </c>
      <c r="I15" s="87">
        <v>2022</v>
      </c>
      <c r="J15" s="87">
        <f t="shared" si="3"/>
        <v>18</v>
      </c>
      <c r="K15" s="87">
        <v>45</v>
      </c>
      <c r="L15" s="88">
        <v>0.1</v>
      </c>
      <c r="M15" s="62">
        <f t="shared" si="4"/>
        <v>0.02</v>
      </c>
      <c r="N15" s="147">
        <f t="shared" si="5"/>
        <v>901.33779264214047</v>
      </c>
      <c r="O15" s="89" t="s">
        <v>153</v>
      </c>
      <c r="P15" s="90">
        <v>17640</v>
      </c>
      <c r="Q15" s="90">
        <f t="shared" si="6"/>
        <v>19404</v>
      </c>
      <c r="R15" s="90">
        <f t="shared" si="7"/>
        <v>1802.6755852842809</v>
      </c>
      <c r="S15" s="88">
        <v>0.5</v>
      </c>
      <c r="T15" s="90">
        <f t="shared" si="8"/>
        <v>901.33779264214047</v>
      </c>
      <c r="U15" s="64">
        <f t="shared" si="9"/>
        <v>6885770.0668896325</v>
      </c>
      <c r="V15" s="64">
        <f t="shared" si="10"/>
        <v>2478877.2240802678</v>
      </c>
      <c r="W15" s="64">
        <f t="shared" si="1"/>
        <v>4406892.8428093642</v>
      </c>
      <c r="X15" s="64">
        <f t="shared" si="11"/>
        <v>4406892.8428093642</v>
      </c>
    </row>
    <row r="16" spans="1:24" x14ac:dyDescent="0.2">
      <c r="A16" s="44">
        <f t="shared" si="2"/>
        <v>13</v>
      </c>
      <c r="B16" s="48" t="s">
        <v>207</v>
      </c>
      <c r="C16" s="50" t="s">
        <v>153</v>
      </c>
      <c r="D16" s="50" t="s">
        <v>225</v>
      </c>
      <c r="E16" s="44" t="s">
        <v>179</v>
      </c>
      <c r="F16" s="45">
        <v>6864</v>
      </c>
      <c r="G16" s="90">
        <f t="shared" si="0"/>
        <v>637.68115942028987</v>
      </c>
      <c r="H16" s="87">
        <v>2004</v>
      </c>
      <c r="I16" s="87">
        <v>2022</v>
      </c>
      <c r="J16" s="87">
        <f t="shared" si="3"/>
        <v>18</v>
      </c>
      <c r="K16" s="87">
        <v>45</v>
      </c>
      <c r="L16" s="88">
        <v>0.1</v>
      </c>
      <c r="M16" s="62">
        <f t="shared" si="4"/>
        <v>0.02</v>
      </c>
      <c r="N16" s="147">
        <f t="shared" si="5"/>
        <v>901.33779264214047</v>
      </c>
      <c r="O16" s="89" t="s">
        <v>153</v>
      </c>
      <c r="P16" s="90">
        <v>17640</v>
      </c>
      <c r="Q16" s="90">
        <f t="shared" si="6"/>
        <v>19404</v>
      </c>
      <c r="R16" s="90">
        <f t="shared" si="7"/>
        <v>1802.6755852842809</v>
      </c>
      <c r="S16" s="88">
        <v>0.5</v>
      </c>
      <c r="T16" s="90">
        <f t="shared" si="8"/>
        <v>901.33779264214047</v>
      </c>
      <c r="U16" s="64">
        <f t="shared" si="9"/>
        <v>6186782.6086956523</v>
      </c>
      <c r="V16" s="64">
        <f t="shared" si="10"/>
        <v>2227241.739130435</v>
      </c>
      <c r="W16" s="64">
        <f t="shared" si="1"/>
        <v>3959540.8695652173</v>
      </c>
      <c r="X16" s="64">
        <f t="shared" si="11"/>
        <v>3959540.8695652173</v>
      </c>
    </row>
    <row r="17" spans="1:24" x14ac:dyDescent="0.2">
      <c r="A17" s="44">
        <f t="shared" si="2"/>
        <v>14</v>
      </c>
      <c r="B17" s="47" t="s">
        <v>238</v>
      </c>
      <c r="C17" s="50" t="s">
        <v>199</v>
      </c>
      <c r="D17" s="50" t="s">
        <v>200</v>
      </c>
      <c r="E17" s="44" t="s">
        <v>161</v>
      </c>
      <c r="F17" s="45">
        <v>6636</v>
      </c>
      <c r="G17" s="90">
        <f t="shared" si="0"/>
        <v>616.49944258639914</v>
      </c>
      <c r="H17" s="87">
        <v>2004</v>
      </c>
      <c r="I17" s="87">
        <v>2022</v>
      </c>
      <c r="J17" s="87">
        <f t="shared" si="3"/>
        <v>18</v>
      </c>
      <c r="K17" s="87">
        <v>60</v>
      </c>
      <c r="L17" s="88">
        <v>0.1</v>
      </c>
      <c r="M17" s="62">
        <f t="shared" si="4"/>
        <v>1.5000000000000001E-2</v>
      </c>
      <c r="N17" s="147">
        <f t="shared" si="5"/>
        <v>1056.9258639910815</v>
      </c>
      <c r="O17" s="89" t="s">
        <v>244</v>
      </c>
      <c r="P17" s="90">
        <v>20685</v>
      </c>
      <c r="Q17" s="90">
        <f t="shared" si="6"/>
        <v>22753.500000000004</v>
      </c>
      <c r="R17" s="90">
        <f t="shared" si="7"/>
        <v>2113.8517279821631</v>
      </c>
      <c r="S17" s="88">
        <v>0.5</v>
      </c>
      <c r="T17" s="90">
        <f t="shared" si="8"/>
        <v>1056.9258639910815</v>
      </c>
      <c r="U17" s="64">
        <f t="shared" si="9"/>
        <v>7013760.0334448172</v>
      </c>
      <c r="V17" s="64">
        <f t="shared" si="10"/>
        <v>1893715.2090301008</v>
      </c>
      <c r="W17" s="64">
        <f t="shared" si="1"/>
        <v>5120044.8244147161</v>
      </c>
      <c r="X17" s="64">
        <f t="shared" si="11"/>
        <v>5120044.8244147161</v>
      </c>
    </row>
    <row r="18" spans="1:24" x14ac:dyDescent="0.2">
      <c r="A18" s="44">
        <f t="shared" si="2"/>
        <v>15</v>
      </c>
      <c r="B18" s="47" t="s">
        <v>238</v>
      </c>
      <c r="C18" s="50" t="s">
        <v>202</v>
      </c>
      <c r="D18" s="50" t="s">
        <v>200</v>
      </c>
      <c r="E18" s="44" t="s">
        <v>161</v>
      </c>
      <c r="F18" s="45">
        <v>6636</v>
      </c>
      <c r="G18" s="90">
        <f t="shared" si="0"/>
        <v>616.49944258639914</v>
      </c>
      <c r="H18" s="87">
        <v>2004</v>
      </c>
      <c r="I18" s="87">
        <v>2022</v>
      </c>
      <c r="J18" s="87">
        <f t="shared" si="3"/>
        <v>18</v>
      </c>
      <c r="K18" s="87">
        <v>60</v>
      </c>
      <c r="L18" s="88">
        <v>0.1</v>
      </c>
      <c r="M18" s="62">
        <f t="shared" si="4"/>
        <v>1.5000000000000001E-2</v>
      </c>
      <c r="N18" s="147">
        <f t="shared" si="5"/>
        <v>1056.9258639910815</v>
      </c>
      <c r="O18" s="89" t="s">
        <v>244</v>
      </c>
      <c r="P18" s="90">
        <v>20685</v>
      </c>
      <c r="Q18" s="90">
        <f t="shared" si="6"/>
        <v>22753.500000000004</v>
      </c>
      <c r="R18" s="90">
        <f t="shared" si="7"/>
        <v>2113.8517279821631</v>
      </c>
      <c r="S18" s="88">
        <v>0.5</v>
      </c>
      <c r="T18" s="90">
        <f t="shared" si="8"/>
        <v>1056.9258639910815</v>
      </c>
      <c r="U18" s="64">
        <f t="shared" si="9"/>
        <v>7013760.0334448172</v>
      </c>
      <c r="V18" s="64">
        <f t="shared" si="10"/>
        <v>1893715.2090301008</v>
      </c>
      <c r="W18" s="64">
        <f t="shared" si="1"/>
        <v>5120044.8244147161</v>
      </c>
      <c r="X18" s="64">
        <f t="shared" si="11"/>
        <v>5120044.8244147161</v>
      </c>
    </row>
    <row r="19" spans="1:24" x14ac:dyDescent="0.2">
      <c r="A19" s="44">
        <f t="shared" si="2"/>
        <v>16</v>
      </c>
      <c r="B19" s="47" t="s">
        <v>238</v>
      </c>
      <c r="C19" s="50" t="s">
        <v>153</v>
      </c>
      <c r="D19" s="50" t="s">
        <v>146</v>
      </c>
      <c r="E19" s="44" t="s">
        <v>181</v>
      </c>
      <c r="F19" s="45">
        <v>5352.42</v>
      </c>
      <c r="G19" s="90">
        <f t="shared" si="0"/>
        <v>497.25195094760318</v>
      </c>
      <c r="H19" s="87">
        <v>2004</v>
      </c>
      <c r="I19" s="87">
        <v>2022</v>
      </c>
      <c r="J19" s="87">
        <f t="shared" si="3"/>
        <v>18</v>
      </c>
      <c r="K19" s="87">
        <v>45</v>
      </c>
      <c r="L19" s="88">
        <v>0.1</v>
      </c>
      <c r="M19" s="62">
        <f t="shared" si="4"/>
        <v>0.02</v>
      </c>
      <c r="N19" s="147">
        <f t="shared" si="5"/>
        <v>901.33779264214047</v>
      </c>
      <c r="O19" s="89" t="s">
        <v>153</v>
      </c>
      <c r="P19" s="90">
        <v>17640</v>
      </c>
      <c r="Q19" s="90">
        <f t="shared" si="6"/>
        <v>19404</v>
      </c>
      <c r="R19" s="90">
        <f t="shared" si="7"/>
        <v>1802.6755852842809</v>
      </c>
      <c r="S19" s="88">
        <v>0.5</v>
      </c>
      <c r="T19" s="90">
        <f t="shared" si="8"/>
        <v>901.33779264214047</v>
      </c>
      <c r="U19" s="64">
        <f t="shared" si="9"/>
        <v>4824338.4280936457</v>
      </c>
      <c r="V19" s="64">
        <f t="shared" si="10"/>
        <v>1736761.8341137124</v>
      </c>
      <c r="W19" s="64">
        <f t="shared" si="1"/>
        <v>3087576.5939799333</v>
      </c>
      <c r="X19" s="64">
        <f t="shared" si="11"/>
        <v>3087576.5939799333</v>
      </c>
    </row>
    <row r="20" spans="1:24" x14ac:dyDescent="0.2">
      <c r="A20" s="44">
        <f t="shared" si="2"/>
        <v>17</v>
      </c>
      <c r="B20" s="47" t="s">
        <v>238</v>
      </c>
      <c r="C20" s="50" t="s">
        <v>182</v>
      </c>
      <c r="D20" s="50" t="s">
        <v>150</v>
      </c>
      <c r="E20" s="44" t="s">
        <v>183</v>
      </c>
      <c r="F20" s="45">
        <v>5352.42</v>
      </c>
      <c r="G20" s="90">
        <f t="shared" si="0"/>
        <v>497.25195094760318</v>
      </c>
      <c r="H20" s="87">
        <v>2004</v>
      </c>
      <c r="I20" s="87">
        <v>2022</v>
      </c>
      <c r="J20" s="87">
        <f t="shared" si="3"/>
        <v>18</v>
      </c>
      <c r="K20" s="87">
        <v>60</v>
      </c>
      <c r="L20" s="88">
        <v>0.1</v>
      </c>
      <c r="M20" s="62">
        <f t="shared" si="4"/>
        <v>1.5000000000000001E-2</v>
      </c>
      <c r="N20" s="147">
        <f t="shared" si="5"/>
        <v>1056.9258639910815</v>
      </c>
      <c r="O20" s="89" t="s">
        <v>244</v>
      </c>
      <c r="P20" s="90">
        <v>20685</v>
      </c>
      <c r="Q20" s="90">
        <f t="shared" si="6"/>
        <v>22753.500000000004</v>
      </c>
      <c r="R20" s="90">
        <f t="shared" si="7"/>
        <v>2113.8517279821631</v>
      </c>
      <c r="S20" s="88">
        <v>0.5</v>
      </c>
      <c r="T20" s="90">
        <f t="shared" si="8"/>
        <v>1056.9258639910815</v>
      </c>
      <c r="U20" s="64">
        <f t="shared" si="9"/>
        <v>5657111.132943145</v>
      </c>
      <c r="V20" s="64">
        <f t="shared" si="10"/>
        <v>1527420.0058946493</v>
      </c>
      <c r="W20" s="64">
        <f t="shared" si="1"/>
        <v>4129691.1270484957</v>
      </c>
      <c r="X20" s="64">
        <f t="shared" si="11"/>
        <v>4129691.1270484957</v>
      </c>
    </row>
    <row r="21" spans="1:24" x14ac:dyDescent="0.2">
      <c r="A21" s="44">
        <f t="shared" si="2"/>
        <v>18</v>
      </c>
      <c r="B21" s="47" t="s">
        <v>238</v>
      </c>
      <c r="C21" s="50" t="s">
        <v>190</v>
      </c>
      <c r="D21" s="50" t="s">
        <v>150</v>
      </c>
      <c r="E21" s="44" t="s">
        <v>191</v>
      </c>
      <c r="F21" s="45">
        <v>5200</v>
      </c>
      <c r="G21" s="90">
        <f t="shared" si="0"/>
        <v>483.09178743961354</v>
      </c>
      <c r="H21" s="87">
        <v>2004</v>
      </c>
      <c r="I21" s="87">
        <v>2022</v>
      </c>
      <c r="J21" s="87">
        <f t="shared" si="3"/>
        <v>18</v>
      </c>
      <c r="K21" s="87">
        <v>60</v>
      </c>
      <c r="L21" s="88">
        <v>0.1</v>
      </c>
      <c r="M21" s="62">
        <f t="shared" si="4"/>
        <v>1.5000000000000001E-2</v>
      </c>
      <c r="N21" s="147">
        <f t="shared" si="5"/>
        <v>1056.9258639910815</v>
      </c>
      <c r="O21" s="89" t="s">
        <v>244</v>
      </c>
      <c r="P21" s="90">
        <v>20685</v>
      </c>
      <c r="Q21" s="90">
        <f t="shared" si="6"/>
        <v>22753.500000000004</v>
      </c>
      <c r="R21" s="90">
        <f t="shared" si="7"/>
        <v>2113.8517279821631</v>
      </c>
      <c r="S21" s="88">
        <v>0.5</v>
      </c>
      <c r="T21" s="90">
        <f t="shared" si="8"/>
        <v>1056.9258639910815</v>
      </c>
      <c r="U21" s="64">
        <f t="shared" si="9"/>
        <v>5496014.492753624</v>
      </c>
      <c r="V21" s="64">
        <f t="shared" si="10"/>
        <v>1483923.9130434785</v>
      </c>
      <c r="W21" s="64">
        <f t="shared" si="1"/>
        <v>4012090.5797101455</v>
      </c>
      <c r="X21" s="64">
        <f t="shared" si="11"/>
        <v>4012090.5797101455</v>
      </c>
    </row>
    <row r="22" spans="1:24" x14ac:dyDescent="0.2">
      <c r="A22" s="44">
        <f t="shared" si="2"/>
        <v>19</v>
      </c>
      <c r="B22" s="47" t="s">
        <v>238</v>
      </c>
      <c r="C22" s="50" t="s">
        <v>205</v>
      </c>
      <c r="D22" s="50" t="s">
        <v>200</v>
      </c>
      <c r="E22" s="44" t="s">
        <v>161</v>
      </c>
      <c r="F22" s="45">
        <v>4432.08</v>
      </c>
      <c r="G22" s="90">
        <f t="shared" si="0"/>
        <v>411.75027870680049</v>
      </c>
      <c r="H22" s="87">
        <v>2004</v>
      </c>
      <c r="I22" s="87">
        <v>2022</v>
      </c>
      <c r="J22" s="87">
        <f t="shared" si="3"/>
        <v>18</v>
      </c>
      <c r="K22" s="87">
        <v>60</v>
      </c>
      <c r="L22" s="88">
        <v>0.1</v>
      </c>
      <c r="M22" s="62">
        <f t="shared" si="4"/>
        <v>1.5000000000000001E-2</v>
      </c>
      <c r="N22" s="147">
        <f t="shared" si="5"/>
        <v>1056.9258639910815</v>
      </c>
      <c r="O22" s="89" t="s">
        <v>244</v>
      </c>
      <c r="P22" s="90">
        <v>20685</v>
      </c>
      <c r="Q22" s="90">
        <f t="shared" si="6"/>
        <v>22753.500000000004</v>
      </c>
      <c r="R22" s="90">
        <f t="shared" si="7"/>
        <v>2113.8517279821631</v>
      </c>
      <c r="S22" s="88">
        <v>0.5</v>
      </c>
      <c r="T22" s="90">
        <f t="shared" si="8"/>
        <v>1056.9258639910815</v>
      </c>
      <c r="U22" s="64">
        <f t="shared" si="9"/>
        <v>4684379.9832775928</v>
      </c>
      <c r="V22" s="64">
        <f t="shared" si="10"/>
        <v>1264782.5954849501</v>
      </c>
      <c r="W22" s="64">
        <f t="shared" si="1"/>
        <v>3419597.3877926427</v>
      </c>
      <c r="X22" s="64">
        <f t="shared" si="11"/>
        <v>3419597.3877926427</v>
      </c>
    </row>
    <row r="23" spans="1:24" x14ac:dyDescent="0.2">
      <c r="A23" s="44">
        <f t="shared" si="2"/>
        <v>20</v>
      </c>
      <c r="B23" s="48" t="s">
        <v>207</v>
      </c>
      <c r="C23" s="50" t="s">
        <v>220</v>
      </c>
      <c r="D23" s="50" t="s">
        <v>143</v>
      </c>
      <c r="E23" s="44" t="s">
        <v>221</v>
      </c>
      <c r="F23" s="45">
        <v>4240</v>
      </c>
      <c r="G23" s="90">
        <f t="shared" si="0"/>
        <v>393.90561129691565</v>
      </c>
      <c r="H23" s="87">
        <v>2004</v>
      </c>
      <c r="I23" s="87">
        <v>2022</v>
      </c>
      <c r="J23" s="87">
        <f t="shared" si="3"/>
        <v>18</v>
      </c>
      <c r="K23" s="87">
        <v>45</v>
      </c>
      <c r="L23" s="88">
        <v>0.1</v>
      </c>
      <c r="M23" s="62">
        <f t="shared" si="4"/>
        <v>0.02</v>
      </c>
      <c r="N23" s="147">
        <f t="shared" si="5"/>
        <v>901.33779264214047</v>
      </c>
      <c r="O23" s="89" t="s">
        <v>153</v>
      </c>
      <c r="P23" s="90">
        <v>17640</v>
      </c>
      <c r="Q23" s="90">
        <f t="shared" si="6"/>
        <v>19404</v>
      </c>
      <c r="R23" s="90">
        <f t="shared" si="7"/>
        <v>1802.6755852842809</v>
      </c>
      <c r="S23" s="88">
        <v>0.5</v>
      </c>
      <c r="T23" s="90">
        <f t="shared" si="8"/>
        <v>901.33779264214047</v>
      </c>
      <c r="U23" s="64">
        <f t="shared" si="9"/>
        <v>3821672.2408026755</v>
      </c>
      <c r="V23" s="64">
        <f t="shared" si="10"/>
        <v>1375802.0066889632</v>
      </c>
      <c r="W23" s="64">
        <f t="shared" si="1"/>
        <v>2445870.2341137123</v>
      </c>
      <c r="X23" s="64">
        <f t="shared" si="11"/>
        <v>2445870.2341137123</v>
      </c>
    </row>
    <row r="24" spans="1:24" x14ac:dyDescent="0.2">
      <c r="A24" s="44">
        <f t="shared" si="2"/>
        <v>21</v>
      </c>
      <c r="B24" s="48" t="s">
        <v>207</v>
      </c>
      <c r="C24" s="50" t="s">
        <v>182</v>
      </c>
      <c r="D24" s="50" t="s">
        <v>209</v>
      </c>
      <c r="E24" s="44" t="s">
        <v>191</v>
      </c>
      <c r="F24" s="45">
        <v>4240</v>
      </c>
      <c r="G24" s="90">
        <f t="shared" si="0"/>
        <v>393.90561129691565</v>
      </c>
      <c r="H24" s="87">
        <v>2004</v>
      </c>
      <c r="I24" s="87">
        <v>2022</v>
      </c>
      <c r="J24" s="87">
        <f t="shared" si="3"/>
        <v>18</v>
      </c>
      <c r="K24" s="87">
        <v>60</v>
      </c>
      <c r="L24" s="88">
        <v>0.1</v>
      </c>
      <c r="M24" s="62">
        <f t="shared" si="4"/>
        <v>1.5000000000000001E-2</v>
      </c>
      <c r="N24" s="147">
        <f t="shared" si="5"/>
        <v>1056.9258639910815</v>
      </c>
      <c r="O24" s="89" t="s">
        <v>244</v>
      </c>
      <c r="P24" s="90">
        <v>20685</v>
      </c>
      <c r="Q24" s="90">
        <f t="shared" si="6"/>
        <v>22753.500000000004</v>
      </c>
      <c r="R24" s="90">
        <f t="shared" si="7"/>
        <v>2113.8517279821631</v>
      </c>
      <c r="S24" s="88">
        <v>0.5</v>
      </c>
      <c r="T24" s="90">
        <f t="shared" si="8"/>
        <v>1056.9258639910815</v>
      </c>
      <c r="U24" s="64">
        <f t="shared" si="9"/>
        <v>4481365.6633221861</v>
      </c>
      <c r="V24" s="64">
        <f t="shared" si="10"/>
        <v>1209968.7290969903</v>
      </c>
      <c r="W24" s="64">
        <f t="shared" si="1"/>
        <v>3271396.934225196</v>
      </c>
      <c r="X24" s="64">
        <f t="shared" si="11"/>
        <v>3271396.934225196</v>
      </c>
    </row>
    <row r="25" spans="1:24" x14ac:dyDescent="0.2">
      <c r="A25" s="44">
        <f t="shared" si="2"/>
        <v>22</v>
      </c>
      <c r="B25" s="47" t="s">
        <v>238</v>
      </c>
      <c r="C25" s="50" t="s">
        <v>165</v>
      </c>
      <c r="D25" s="50" t="s">
        <v>146</v>
      </c>
      <c r="E25" s="44" t="s">
        <v>166</v>
      </c>
      <c r="F25" s="45">
        <v>3038.5</v>
      </c>
      <c r="G25" s="90">
        <f t="shared" si="0"/>
        <v>282.28353771832036</v>
      </c>
      <c r="H25" s="87">
        <v>2004</v>
      </c>
      <c r="I25" s="87">
        <v>2022</v>
      </c>
      <c r="J25" s="87">
        <f t="shared" si="3"/>
        <v>18</v>
      </c>
      <c r="K25" s="87">
        <v>45</v>
      </c>
      <c r="L25" s="88">
        <v>0.1</v>
      </c>
      <c r="M25" s="62">
        <f t="shared" si="4"/>
        <v>0.02</v>
      </c>
      <c r="N25" s="147">
        <f t="shared" si="5"/>
        <v>901.33779264214047</v>
      </c>
      <c r="O25" s="89" t="s">
        <v>153</v>
      </c>
      <c r="P25" s="90">
        <v>17640</v>
      </c>
      <c r="Q25" s="90">
        <f t="shared" si="6"/>
        <v>19404</v>
      </c>
      <c r="R25" s="90">
        <f t="shared" si="7"/>
        <v>1802.6755852842809</v>
      </c>
      <c r="S25" s="88">
        <v>0.5</v>
      </c>
      <c r="T25" s="90">
        <f t="shared" si="8"/>
        <v>901.33779264214047</v>
      </c>
      <c r="U25" s="64">
        <f t="shared" si="9"/>
        <v>2738714.8829431436</v>
      </c>
      <c r="V25" s="64">
        <f t="shared" si="10"/>
        <v>985937.35785953177</v>
      </c>
      <c r="W25" s="64">
        <f t="shared" si="1"/>
        <v>1752777.5250836117</v>
      </c>
      <c r="X25" s="64">
        <f t="shared" si="11"/>
        <v>1752777.5250836117</v>
      </c>
    </row>
    <row r="26" spans="1:24" x14ac:dyDescent="0.2">
      <c r="A26" s="44">
        <f t="shared" si="2"/>
        <v>23</v>
      </c>
      <c r="B26" s="48" t="s">
        <v>207</v>
      </c>
      <c r="C26" s="50" t="s">
        <v>231</v>
      </c>
      <c r="D26" s="50" t="s">
        <v>225</v>
      </c>
      <c r="E26" s="44" t="s">
        <v>222</v>
      </c>
      <c r="F26" s="45">
        <v>2861.5</v>
      </c>
      <c r="G26" s="90">
        <f t="shared" si="0"/>
        <v>265.83983649201042</v>
      </c>
      <c r="H26" s="87">
        <v>2004</v>
      </c>
      <c r="I26" s="87">
        <v>2022</v>
      </c>
      <c r="J26" s="87">
        <f t="shared" si="3"/>
        <v>18</v>
      </c>
      <c r="K26" s="87">
        <v>45</v>
      </c>
      <c r="L26" s="88">
        <v>0.1</v>
      </c>
      <c r="M26" s="62">
        <f t="shared" si="4"/>
        <v>0.02</v>
      </c>
      <c r="N26" s="147">
        <f t="shared" si="5"/>
        <v>901.33779264214047</v>
      </c>
      <c r="O26" s="89" t="s">
        <v>153</v>
      </c>
      <c r="P26" s="90">
        <v>17640</v>
      </c>
      <c r="Q26" s="90">
        <f t="shared" si="6"/>
        <v>19404</v>
      </c>
      <c r="R26" s="90">
        <f t="shared" si="7"/>
        <v>1802.6755852842809</v>
      </c>
      <c r="S26" s="88">
        <v>0.5</v>
      </c>
      <c r="T26" s="90">
        <f t="shared" si="8"/>
        <v>901.33779264214047</v>
      </c>
      <c r="U26" s="64">
        <f t="shared" si="9"/>
        <v>2579178.0936454851</v>
      </c>
      <c r="V26" s="64">
        <f t="shared" si="10"/>
        <v>928504.1137123747</v>
      </c>
      <c r="W26" s="64">
        <f t="shared" si="1"/>
        <v>1650673.9799331105</v>
      </c>
      <c r="X26" s="64">
        <f t="shared" si="11"/>
        <v>1650673.9799331105</v>
      </c>
    </row>
    <row r="27" spans="1:24" x14ac:dyDescent="0.2">
      <c r="A27" s="44">
        <f t="shared" si="2"/>
        <v>24</v>
      </c>
      <c r="B27" s="47" t="s">
        <v>238</v>
      </c>
      <c r="C27" s="50" t="s">
        <v>145</v>
      </c>
      <c r="D27" s="50" t="s">
        <v>146</v>
      </c>
      <c r="E27" s="44" t="s">
        <v>147</v>
      </c>
      <c r="F27" s="45">
        <v>2531.5</v>
      </c>
      <c r="G27" s="90">
        <f t="shared" si="0"/>
        <v>235.18208844295802</v>
      </c>
      <c r="H27" s="87">
        <v>2004</v>
      </c>
      <c r="I27" s="87">
        <v>2022</v>
      </c>
      <c r="J27" s="87">
        <f t="shared" si="3"/>
        <v>18</v>
      </c>
      <c r="K27" s="87">
        <v>45</v>
      </c>
      <c r="L27" s="88">
        <v>0.1</v>
      </c>
      <c r="M27" s="62">
        <f t="shared" si="4"/>
        <v>0.02</v>
      </c>
      <c r="N27" s="147">
        <f t="shared" si="5"/>
        <v>901.33779264214047</v>
      </c>
      <c r="O27" s="89" t="s">
        <v>153</v>
      </c>
      <c r="P27" s="90">
        <v>17640</v>
      </c>
      <c r="Q27" s="90">
        <f t="shared" si="6"/>
        <v>19404</v>
      </c>
      <c r="R27" s="90">
        <f t="shared" si="7"/>
        <v>1802.6755852842809</v>
      </c>
      <c r="S27" s="88">
        <v>0.5</v>
      </c>
      <c r="T27" s="90">
        <f t="shared" si="8"/>
        <v>901.33779264214047</v>
      </c>
      <c r="U27" s="64">
        <f t="shared" si="9"/>
        <v>2281736.6220735786</v>
      </c>
      <c r="V27" s="64">
        <f t="shared" si="10"/>
        <v>821425.18394648843</v>
      </c>
      <c r="W27" s="64">
        <f t="shared" si="1"/>
        <v>1460311.4381270902</v>
      </c>
      <c r="X27" s="64">
        <f t="shared" si="11"/>
        <v>1460311.4381270902</v>
      </c>
    </row>
    <row r="28" spans="1:24" x14ac:dyDescent="0.2">
      <c r="A28" s="44">
        <f t="shared" si="2"/>
        <v>25</v>
      </c>
      <c r="B28" s="48" t="s">
        <v>207</v>
      </c>
      <c r="C28" s="50" t="s">
        <v>234</v>
      </c>
      <c r="D28" s="50" t="s">
        <v>235</v>
      </c>
      <c r="E28" s="44" t="s">
        <v>164</v>
      </c>
      <c r="F28" s="45">
        <v>2490.13</v>
      </c>
      <c r="G28" s="90">
        <f t="shared" si="0"/>
        <v>231.33872166480865</v>
      </c>
      <c r="H28" s="87">
        <v>2004</v>
      </c>
      <c r="I28" s="87">
        <v>2022</v>
      </c>
      <c r="J28" s="87">
        <f t="shared" si="3"/>
        <v>18</v>
      </c>
      <c r="K28" s="87">
        <v>45</v>
      </c>
      <c r="L28" s="88">
        <v>0.1</v>
      </c>
      <c r="M28" s="62">
        <f t="shared" si="4"/>
        <v>0.02</v>
      </c>
      <c r="N28" s="147">
        <f t="shared" si="5"/>
        <v>901.33779264214047</v>
      </c>
      <c r="O28" s="89" t="s">
        <v>153</v>
      </c>
      <c r="P28" s="90">
        <v>17640</v>
      </c>
      <c r="Q28" s="90">
        <f t="shared" si="6"/>
        <v>19404</v>
      </c>
      <c r="R28" s="90">
        <f t="shared" si="7"/>
        <v>1802.6755852842809</v>
      </c>
      <c r="S28" s="88">
        <v>0.5</v>
      </c>
      <c r="T28" s="90">
        <f t="shared" si="8"/>
        <v>901.33779264214047</v>
      </c>
      <c r="U28" s="64">
        <f t="shared" si="9"/>
        <v>2244448.2775919735</v>
      </c>
      <c r="V28" s="64">
        <f t="shared" si="10"/>
        <v>808001.37993311044</v>
      </c>
      <c r="W28" s="64">
        <f t="shared" si="1"/>
        <v>1436446.8976588631</v>
      </c>
      <c r="X28" s="64">
        <f t="shared" si="11"/>
        <v>1436446.8976588631</v>
      </c>
    </row>
    <row r="29" spans="1:24" ht="14.25" customHeight="1" x14ac:dyDescent="0.2">
      <c r="A29" s="44">
        <f t="shared" si="2"/>
        <v>26</v>
      </c>
      <c r="B29" s="47" t="s">
        <v>238</v>
      </c>
      <c r="C29" s="50" t="s">
        <v>203</v>
      </c>
      <c r="D29" s="50" t="s">
        <v>204</v>
      </c>
      <c r="E29" s="44" t="s">
        <v>161</v>
      </c>
      <c r="F29" s="45">
        <v>2466.75</v>
      </c>
      <c r="G29" s="90">
        <f t="shared" si="0"/>
        <v>229.16666666666669</v>
      </c>
      <c r="H29" s="87">
        <v>2004</v>
      </c>
      <c r="I29" s="87">
        <v>2022</v>
      </c>
      <c r="J29" s="87">
        <f t="shared" si="3"/>
        <v>18</v>
      </c>
      <c r="K29" s="87">
        <v>60</v>
      </c>
      <c r="L29" s="88">
        <v>0.1</v>
      </c>
      <c r="M29" s="62">
        <f t="shared" si="4"/>
        <v>1.5000000000000001E-2</v>
      </c>
      <c r="N29" s="147">
        <f t="shared" si="5"/>
        <v>1056.9258639910815</v>
      </c>
      <c r="O29" s="89" t="s">
        <v>244</v>
      </c>
      <c r="P29" s="90">
        <v>20685</v>
      </c>
      <c r="Q29" s="90">
        <f t="shared" si="6"/>
        <v>22753.500000000004</v>
      </c>
      <c r="R29" s="90">
        <f t="shared" si="7"/>
        <v>2113.8517279821631</v>
      </c>
      <c r="S29" s="88">
        <v>0.5</v>
      </c>
      <c r="T29" s="90">
        <f t="shared" si="8"/>
        <v>1056.9258639910815</v>
      </c>
      <c r="U29" s="64">
        <f t="shared" si="9"/>
        <v>2607171.8750000005</v>
      </c>
      <c r="V29" s="64">
        <f t="shared" si="10"/>
        <v>703936.40625000012</v>
      </c>
      <c r="W29" s="64">
        <f t="shared" si="1"/>
        <v>1903235.4687500005</v>
      </c>
      <c r="X29" s="64">
        <f t="shared" si="11"/>
        <v>1903235.4687500005</v>
      </c>
    </row>
    <row r="30" spans="1:24" x14ac:dyDescent="0.2">
      <c r="A30" s="44">
        <f t="shared" si="2"/>
        <v>27</v>
      </c>
      <c r="B30" s="48" t="s">
        <v>207</v>
      </c>
      <c r="C30" s="50" t="s">
        <v>224</v>
      </c>
      <c r="D30" s="50" t="s">
        <v>225</v>
      </c>
      <c r="E30" s="44" t="s">
        <v>179</v>
      </c>
      <c r="F30" s="45">
        <v>2349</v>
      </c>
      <c r="G30" s="90">
        <f t="shared" si="0"/>
        <v>218.2274247491639</v>
      </c>
      <c r="H30" s="87">
        <v>2004</v>
      </c>
      <c r="I30" s="87">
        <v>2022</v>
      </c>
      <c r="J30" s="87">
        <f t="shared" si="3"/>
        <v>18</v>
      </c>
      <c r="K30" s="87">
        <v>45</v>
      </c>
      <c r="L30" s="88">
        <v>0.1</v>
      </c>
      <c r="M30" s="62">
        <f t="shared" si="4"/>
        <v>0.02</v>
      </c>
      <c r="N30" s="147">
        <f t="shared" si="5"/>
        <v>901.33779264214047</v>
      </c>
      <c r="O30" s="89" t="s">
        <v>153</v>
      </c>
      <c r="P30" s="90">
        <v>17640</v>
      </c>
      <c r="Q30" s="90">
        <f t="shared" si="6"/>
        <v>19404</v>
      </c>
      <c r="R30" s="90">
        <f t="shared" si="7"/>
        <v>1802.6755852842809</v>
      </c>
      <c r="S30" s="88">
        <v>0.5</v>
      </c>
      <c r="T30" s="90">
        <f t="shared" si="8"/>
        <v>901.33779264214047</v>
      </c>
      <c r="U30" s="64">
        <f t="shared" si="9"/>
        <v>2117242.4749163878</v>
      </c>
      <c r="V30" s="64">
        <f t="shared" si="10"/>
        <v>762207.29096989962</v>
      </c>
      <c r="W30" s="64">
        <f t="shared" si="1"/>
        <v>1355035.1839464882</v>
      </c>
      <c r="X30" s="64">
        <f t="shared" si="11"/>
        <v>1355035.1839464882</v>
      </c>
    </row>
    <row r="31" spans="1:24" x14ac:dyDescent="0.2">
      <c r="A31" s="44">
        <f t="shared" si="2"/>
        <v>28</v>
      </c>
      <c r="B31" s="47" t="s">
        <v>238</v>
      </c>
      <c r="C31" s="50" t="s">
        <v>162</v>
      </c>
      <c r="D31" s="50" t="s">
        <v>150</v>
      </c>
      <c r="E31" s="44" t="s">
        <v>161</v>
      </c>
      <c r="F31" s="45">
        <v>2242</v>
      </c>
      <c r="G31" s="90">
        <f t="shared" si="0"/>
        <v>208.28688219992569</v>
      </c>
      <c r="H31" s="87">
        <v>2004</v>
      </c>
      <c r="I31" s="87">
        <v>2022</v>
      </c>
      <c r="J31" s="87">
        <f t="shared" si="3"/>
        <v>18</v>
      </c>
      <c r="K31" s="87">
        <v>60</v>
      </c>
      <c r="L31" s="88">
        <v>0.1</v>
      </c>
      <c r="M31" s="62">
        <f t="shared" si="4"/>
        <v>1.5000000000000001E-2</v>
      </c>
      <c r="N31" s="147">
        <f t="shared" si="5"/>
        <v>1056.9258639910815</v>
      </c>
      <c r="O31" s="89" t="s">
        <v>244</v>
      </c>
      <c r="P31" s="90">
        <v>20685</v>
      </c>
      <c r="Q31" s="90">
        <f t="shared" si="6"/>
        <v>22753.500000000004</v>
      </c>
      <c r="R31" s="90">
        <f t="shared" si="7"/>
        <v>2113.8517279821631</v>
      </c>
      <c r="S31" s="88">
        <v>0.5</v>
      </c>
      <c r="T31" s="90">
        <f t="shared" si="8"/>
        <v>1056.9258639910815</v>
      </c>
      <c r="U31" s="64">
        <f t="shared" si="9"/>
        <v>2369627.7870680047</v>
      </c>
      <c r="V31" s="64">
        <f t="shared" si="10"/>
        <v>639799.50250836136</v>
      </c>
      <c r="W31" s="64">
        <f t="shared" si="1"/>
        <v>1729828.2845596434</v>
      </c>
      <c r="X31" s="64">
        <f t="shared" si="11"/>
        <v>1729828.2845596434</v>
      </c>
    </row>
    <row r="32" spans="1:24" x14ac:dyDescent="0.2">
      <c r="A32" s="44">
        <f t="shared" ref="A32:A75" si="12">1+A31</f>
        <v>29</v>
      </c>
      <c r="B32" s="48" t="s">
        <v>207</v>
      </c>
      <c r="C32" s="50" t="s">
        <v>211</v>
      </c>
      <c r="D32" s="50" t="s">
        <v>209</v>
      </c>
      <c r="E32" s="44" t="s">
        <v>212</v>
      </c>
      <c r="F32" s="45">
        <v>1851.66</v>
      </c>
      <c r="G32" s="90">
        <f t="shared" si="0"/>
        <v>172.02341137123747</v>
      </c>
      <c r="H32" s="87">
        <v>2004</v>
      </c>
      <c r="I32" s="87">
        <v>2022</v>
      </c>
      <c r="J32" s="87">
        <f t="shared" si="3"/>
        <v>18</v>
      </c>
      <c r="K32" s="87">
        <v>60</v>
      </c>
      <c r="L32" s="88">
        <v>0.1</v>
      </c>
      <c r="M32" s="62">
        <f t="shared" si="4"/>
        <v>1.5000000000000001E-2</v>
      </c>
      <c r="N32" s="147">
        <f t="shared" si="5"/>
        <v>1056.9258639910815</v>
      </c>
      <c r="O32" s="89" t="s">
        <v>244</v>
      </c>
      <c r="P32" s="90">
        <v>20685</v>
      </c>
      <c r="Q32" s="90">
        <f t="shared" si="6"/>
        <v>22753.500000000004</v>
      </c>
      <c r="R32" s="90">
        <f t="shared" si="7"/>
        <v>2113.8517279821631</v>
      </c>
      <c r="S32" s="88">
        <v>0.5</v>
      </c>
      <c r="T32" s="90">
        <f t="shared" si="8"/>
        <v>1056.9258639910815</v>
      </c>
      <c r="U32" s="64">
        <f t="shared" si="9"/>
        <v>1957067.345317726</v>
      </c>
      <c r="V32" s="64">
        <f t="shared" si="10"/>
        <v>528408.18323578604</v>
      </c>
      <c r="W32" s="64">
        <f t="shared" si="1"/>
        <v>1428659.1620819401</v>
      </c>
      <c r="X32" s="64">
        <f t="shared" si="11"/>
        <v>1428659.1620819401</v>
      </c>
    </row>
    <row r="33" spans="1:24" x14ac:dyDescent="0.2">
      <c r="A33" s="44">
        <f t="shared" si="12"/>
        <v>30</v>
      </c>
      <c r="B33" s="47" t="s">
        <v>238</v>
      </c>
      <c r="C33" s="50" t="s">
        <v>193</v>
      </c>
      <c r="D33" s="50" t="s">
        <v>150</v>
      </c>
      <c r="E33" s="44" t="s">
        <v>161</v>
      </c>
      <c r="F33" s="45">
        <v>1777.41</v>
      </c>
      <c r="G33" s="90">
        <f t="shared" si="0"/>
        <v>165.12541806020067</v>
      </c>
      <c r="H33" s="87">
        <v>2004</v>
      </c>
      <c r="I33" s="87">
        <v>2022</v>
      </c>
      <c r="J33" s="87">
        <f t="shared" si="3"/>
        <v>18</v>
      </c>
      <c r="K33" s="87">
        <v>60</v>
      </c>
      <c r="L33" s="88">
        <v>0.1</v>
      </c>
      <c r="M33" s="62">
        <f t="shared" si="4"/>
        <v>1.5000000000000001E-2</v>
      </c>
      <c r="N33" s="147">
        <f t="shared" si="5"/>
        <v>1056.9258639910815</v>
      </c>
      <c r="O33" s="89" t="s">
        <v>244</v>
      </c>
      <c r="P33" s="90">
        <v>20685</v>
      </c>
      <c r="Q33" s="90">
        <f t="shared" si="6"/>
        <v>22753.500000000004</v>
      </c>
      <c r="R33" s="90">
        <f t="shared" si="7"/>
        <v>2113.8517279821631</v>
      </c>
      <c r="S33" s="88">
        <v>0.5</v>
      </c>
      <c r="T33" s="90">
        <f t="shared" si="8"/>
        <v>1056.9258639910815</v>
      </c>
      <c r="U33" s="64">
        <f t="shared" si="9"/>
        <v>1878590.5999163883</v>
      </c>
      <c r="V33" s="64">
        <f t="shared" si="10"/>
        <v>507219.46197742486</v>
      </c>
      <c r="W33" s="64">
        <f t="shared" si="1"/>
        <v>1371371.1379389635</v>
      </c>
      <c r="X33" s="64">
        <f t="shared" si="11"/>
        <v>1371371.1379389635</v>
      </c>
    </row>
    <row r="34" spans="1:24" x14ac:dyDescent="0.2">
      <c r="A34" s="44">
        <f t="shared" si="12"/>
        <v>31</v>
      </c>
      <c r="B34" s="48" t="s">
        <v>207</v>
      </c>
      <c r="C34" s="50" t="s">
        <v>229</v>
      </c>
      <c r="D34" s="50" t="s">
        <v>209</v>
      </c>
      <c r="E34" s="44" t="s">
        <v>161</v>
      </c>
      <c r="F34" s="45">
        <v>1770.55</v>
      </c>
      <c r="G34" s="90">
        <f t="shared" si="0"/>
        <v>164.48810850984765</v>
      </c>
      <c r="H34" s="87">
        <v>2004</v>
      </c>
      <c r="I34" s="87">
        <v>2022</v>
      </c>
      <c r="J34" s="87">
        <f t="shared" si="3"/>
        <v>18</v>
      </c>
      <c r="K34" s="87">
        <v>60</v>
      </c>
      <c r="L34" s="88">
        <v>0.1</v>
      </c>
      <c r="M34" s="62">
        <f t="shared" si="4"/>
        <v>1.5000000000000001E-2</v>
      </c>
      <c r="N34" s="147">
        <f t="shared" si="5"/>
        <v>1056.9258639910815</v>
      </c>
      <c r="O34" s="89" t="s">
        <v>244</v>
      </c>
      <c r="P34" s="90">
        <v>20685</v>
      </c>
      <c r="Q34" s="90">
        <f t="shared" si="6"/>
        <v>22753.500000000004</v>
      </c>
      <c r="R34" s="90">
        <f t="shared" si="7"/>
        <v>2113.8517279821631</v>
      </c>
      <c r="S34" s="88">
        <v>0.5</v>
      </c>
      <c r="T34" s="90">
        <f t="shared" si="8"/>
        <v>1056.9258639910815</v>
      </c>
      <c r="U34" s="64">
        <f t="shared" si="9"/>
        <v>1871340.0884894093</v>
      </c>
      <c r="V34" s="64">
        <f t="shared" si="10"/>
        <v>505261.82389214053</v>
      </c>
      <c r="W34" s="64">
        <f t="shared" si="1"/>
        <v>1366078.2645972688</v>
      </c>
      <c r="X34" s="64">
        <f t="shared" si="11"/>
        <v>1366078.2645972688</v>
      </c>
    </row>
    <row r="35" spans="1:24" x14ac:dyDescent="0.2">
      <c r="A35" s="44">
        <f t="shared" si="12"/>
        <v>32</v>
      </c>
      <c r="B35" s="47" t="s">
        <v>238</v>
      </c>
      <c r="C35" s="50" t="s">
        <v>180</v>
      </c>
      <c r="D35" s="50" t="s">
        <v>150</v>
      </c>
      <c r="E35" s="44" t="s">
        <v>161</v>
      </c>
      <c r="F35" s="45">
        <v>1669.5</v>
      </c>
      <c r="G35" s="90">
        <f t="shared" si="0"/>
        <v>155.10033444816054</v>
      </c>
      <c r="H35" s="87">
        <v>2004</v>
      </c>
      <c r="I35" s="87">
        <v>2022</v>
      </c>
      <c r="J35" s="87">
        <f t="shared" si="3"/>
        <v>18</v>
      </c>
      <c r="K35" s="87">
        <v>60</v>
      </c>
      <c r="L35" s="88">
        <v>0.1</v>
      </c>
      <c r="M35" s="62">
        <f t="shared" si="4"/>
        <v>1.5000000000000001E-2</v>
      </c>
      <c r="N35" s="147">
        <f t="shared" si="5"/>
        <v>1056.9258639910815</v>
      </c>
      <c r="O35" s="89" t="s">
        <v>244</v>
      </c>
      <c r="P35" s="90">
        <v>20685</v>
      </c>
      <c r="Q35" s="90">
        <f t="shared" si="6"/>
        <v>22753.500000000004</v>
      </c>
      <c r="R35" s="90">
        <f t="shared" si="7"/>
        <v>2113.8517279821631</v>
      </c>
      <c r="S35" s="88">
        <v>0.5</v>
      </c>
      <c r="T35" s="90">
        <f t="shared" si="8"/>
        <v>1056.9258639910815</v>
      </c>
      <c r="U35" s="64">
        <f t="shared" si="9"/>
        <v>1764537.7299331105</v>
      </c>
      <c r="V35" s="64">
        <f t="shared" si="10"/>
        <v>476425.18708193989</v>
      </c>
      <c r="W35" s="64">
        <f t="shared" si="1"/>
        <v>1288112.5428511705</v>
      </c>
      <c r="X35" s="64">
        <f t="shared" si="11"/>
        <v>1288112.5428511705</v>
      </c>
    </row>
    <row r="36" spans="1:24" x14ac:dyDescent="0.2">
      <c r="A36" s="44">
        <f t="shared" si="12"/>
        <v>33</v>
      </c>
      <c r="B36" s="47" t="s">
        <v>238</v>
      </c>
      <c r="C36" s="50" t="s">
        <v>160</v>
      </c>
      <c r="D36" s="50" t="s">
        <v>150</v>
      </c>
      <c r="E36" s="44" t="s">
        <v>161</v>
      </c>
      <c r="F36" s="45">
        <v>1638</v>
      </c>
      <c r="G36" s="90">
        <f t="shared" ref="G36:G67" si="13">F36/10.764</f>
        <v>152.17391304347828</v>
      </c>
      <c r="H36" s="87">
        <v>2004</v>
      </c>
      <c r="I36" s="87">
        <v>2022</v>
      </c>
      <c r="J36" s="87">
        <f t="shared" si="3"/>
        <v>18</v>
      </c>
      <c r="K36" s="87">
        <v>60</v>
      </c>
      <c r="L36" s="88">
        <v>0.1</v>
      </c>
      <c r="M36" s="62">
        <f t="shared" si="4"/>
        <v>1.5000000000000001E-2</v>
      </c>
      <c r="N36" s="147">
        <f t="shared" si="5"/>
        <v>1056.9258639910815</v>
      </c>
      <c r="O36" s="89" t="s">
        <v>244</v>
      </c>
      <c r="P36" s="90">
        <v>20685</v>
      </c>
      <c r="Q36" s="90">
        <f t="shared" si="6"/>
        <v>22753.500000000004</v>
      </c>
      <c r="R36" s="90">
        <f t="shared" si="7"/>
        <v>2113.8517279821631</v>
      </c>
      <c r="S36" s="88">
        <v>0.5</v>
      </c>
      <c r="T36" s="90">
        <f t="shared" si="8"/>
        <v>1056.9258639910815</v>
      </c>
      <c r="U36" s="64">
        <f t="shared" si="9"/>
        <v>1731244.5652173916</v>
      </c>
      <c r="V36" s="64">
        <f t="shared" si="10"/>
        <v>467436.03260869574</v>
      </c>
      <c r="W36" s="64">
        <f t="shared" si="1"/>
        <v>1263808.5326086958</v>
      </c>
      <c r="X36" s="64">
        <f t="shared" si="11"/>
        <v>1263808.5326086958</v>
      </c>
    </row>
    <row r="37" spans="1:24" x14ac:dyDescent="0.2">
      <c r="A37" s="44">
        <f t="shared" si="12"/>
        <v>34</v>
      </c>
      <c r="B37" s="48" t="s">
        <v>207</v>
      </c>
      <c r="C37" s="50" t="s">
        <v>233</v>
      </c>
      <c r="D37" s="50" t="s">
        <v>209</v>
      </c>
      <c r="E37" s="44" t="s">
        <v>147</v>
      </c>
      <c r="F37" s="45">
        <v>1566</v>
      </c>
      <c r="G37" s="90">
        <f t="shared" si="13"/>
        <v>145.48494983277592</v>
      </c>
      <c r="H37" s="87">
        <v>2004</v>
      </c>
      <c r="I37" s="87">
        <v>2022</v>
      </c>
      <c r="J37" s="87">
        <f t="shared" si="3"/>
        <v>18</v>
      </c>
      <c r="K37" s="87">
        <v>60</v>
      </c>
      <c r="L37" s="88">
        <v>0.1</v>
      </c>
      <c r="M37" s="62">
        <f t="shared" si="4"/>
        <v>1.5000000000000001E-2</v>
      </c>
      <c r="N37" s="147">
        <f t="shared" si="5"/>
        <v>1056.9258639910815</v>
      </c>
      <c r="O37" s="89" t="s">
        <v>244</v>
      </c>
      <c r="P37" s="90">
        <v>20685</v>
      </c>
      <c r="Q37" s="90">
        <f t="shared" si="6"/>
        <v>22753.500000000004</v>
      </c>
      <c r="R37" s="90">
        <f t="shared" si="7"/>
        <v>2113.8517279821631</v>
      </c>
      <c r="S37" s="88">
        <v>0.5</v>
      </c>
      <c r="T37" s="90">
        <f t="shared" si="8"/>
        <v>1056.9258639910815</v>
      </c>
      <c r="U37" s="64">
        <f t="shared" si="9"/>
        <v>1655145.9030100338</v>
      </c>
      <c r="V37" s="64">
        <f t="shared" si="10"/>
        <v>446889.39381270914</v>
      </c>
      <c r="W37" s="64">
        <f t="shared" si="1"/>
        <v>1208256.5091973245</v>
      </c>
      <c r="X37" s="64">
        <f t="shared" si="11"/>
        <v>1208256.5091973245</v>
      </c>
    </row>
    <row r="38" spans="1:24" x14ac:dyDescent="0.2">
      <c r="A38" s="44">
        <f t="shared" si="12"/>
        <v>35</v>
      </c>
      <c r="B38" s="47" t="s">
        <v>238</v>
      </c>
      <c r="C38" s="50" t="s">
        <v>188</v>
      </c>
      <c r="D38" s="50" t="s">
        <v>150</v>
      </c>
      <c r="E38" s="44"/>
      <c r="F38" s="45">
        <v>1493.1</v>
      </c>
      <c r="G38" s="90">
        <f t="shared" si="13"/>
        <v>138.7123745819398</v>
      </c>
      <c r="H38" s="87">
        <v>2004</v>
      </c>
      <c r="I38" s="87">
        <v>2022</v>
      </c>
      <c r="J38" s="87">
        <f t="shared" si="3"/>
        <v>18</v>
      </c>
      <c r="K38" s="87">
        <v>60</v>
      </c>
      <c r="L38" s="88">
        <v>0.1</v>
      </c>
      <c r="M38" s="62">
        <f t="shared" si="4"/>
        <v>1.5000000000000001E-2</v>
      </c>
      <c r="N38" s="147">
        <f t="shared" si="5"/>
        <v>1056.9258639910815</v>
      </c>
      <c r="O38" s="89" t="s">
        <v>244</v>
      </c>
      <c r="P38" s="90">
        <v>20685</v>
      </c>
      <c r="Q38" s="90">
        <f t="shared" si="6"/>
        <v>22753.500000000004</v>
      </c>
      <c r="R38" s="90">
        <f t="shared" si="7"/>
        <v>2113.8517279821631</v>
      </c>
      <c r="S38" s="88">
        <v>0.5</v>
      </c>
      <c r="T38" s="90">
        <f t="shared" si="8"/>
        <v>1056.9258639910815</v>
      </c>
      <c r="U38" s="64">
        <f t="shared" si="9"/>
        <v>1578096.0075250838</v>
      </c>
      <c r="V38" s="64">
        <f t="shared" si="10"/>
        <v>426085.92203177267</v>
      </c>
      <c r="W38" s="64">
        <f t="shared" si="1"/>
        <v>1152010.0854933113</v>
      </c>
      <c r="X38" s="64">
        <f t="shared" si="11"/>
        <v>1152010.0854933113</v>
      </c>
    </row>
    <row r="39" spans="1:24" x14ac:dyDescent="0.2">
      <c r="A39" s="44">
        <f t="shared" si="12"/>
        <v>36</v>
      </c>
      <c r="B39" s="47" t="s">
        <v>238</v>
      </c>
      <c r="C39" s="50" t="s">
        <v>189</v>
      </c>
      <c r="D39" s="50" t="s">
        <v>150</v>
      </c>
      <c r="E39" s="44"/>
      <c r="F39" s="45">
        <v>1493.1</v>
      </c>
      <c r="G39" s="90">
        <f t="shared" si="13"/>
        <v>138.7123745819398</v>
      </c>
      <c r="H39" s="87">
        <v>2004</v>
      </c>
      <c r="I39" s="87">
        <v>2022</v>
      </c>
      <c r="J39" s="87">
        <f t="shared" si="3"/>
        <v>18</v>
      </c>
      <c r="K39" s="87">
        <v>60</v>
      </c>
      <c r="L39" s="88">
        <v>0.1</v>
      </c>
      <c r="M39" s="62">
        <f t="shared" si="4"/>
        <v>1.5000000000000001E-2</v>
      </c>
      <c r="N39" s="147">
        <f t="shared" si="5"/>
        <v>1056.9258639910815</v>
      </c>
      <c r="O39" s="89" t="s">
        <v>244</v>
      </c>
      <c r="P39" s="90">
        <v>20685</v>
      </c>
      <c r="Q39" s="90">
        <f t="shared" si="6"/>
        <v>22753.500000000004</v>
      </c>
      <c r="R39" s="90">
        <f t="shared" si="7"/>
        <v>2113.8517279821631</v>
      </c>
      <c r="S39" s="88">
        <v>0.5</v>
      </c>
      <c r="T39" s="90">
        <f t="shared" si="8"/>
        <v>1056.9258639910815</v>
      </c>
      <c r="U39" s="64">
        <f t="shared" si="9"/>
        <v>1578096.0075250838</v>
      </c>
      <c r="V39" s="64">
        <f t="shared" si="10"/>
        <v>426085.92203177267</v>
      </c>
      <c r="W39" s="64">
        <f t="shared" si="1"/>
        <v>1152010.0854933113</v>
      </c>
      <c r="X39" s="64">
        <f t="shared" si="11"/>
        <v>1152010.0854933113</v>
      </c>
    </row>
    <row r="40" spans="1:24" x14ac:dyDescent="0.2">
      <c r="A40" s="44">
        <f t="shared" si="12"/>
        <v>37</v>
      </c>
      <c r="B40" s="47" t="s">
        <v>238</v>
      </c>
      <c r="C40" s="50" t="s">
        <v>173</v>
      </c>
      <c r="D40" s="50" t="s">
        <v>150</v>
      </c>
      <c r="E40" s="44" t="s">
        <v>147</v>
      </c>
      <c r="F40" s="45">
        <v>1421.16</v>
      </c>
      <c r="G40" s="90">
        <f t="shared" si="13"/>
        <v>132.0289855072464</v>
      </c>
      <c r="H40" s="87">
        <v>2004</v>
      </c>
      <c r="I40" s="87">
        <v>2022</v>
      </c>
      <c r="J40" s="87">
        <f t="shared" si="3"/>
        <v>18</v>
      </c>
      <c r="K40" s="87">
        <v>60</v>
      </c>
      <c r="L40" s="88">
        <v>0.1</v>
      </c>
      <c r="M40" s="62">
        <f t="shared" si="4"/>
        <v>1.5000000000000001E-2</v>
      </c>
      <c r="N40" s="147">
        <f t="shared" si="5"/>
        <v>1056.9258639910815</v>
      </c>
      <c r="O40" s="89" t="s">
        <v>244</v>
      </c>
      <c r="P40" s="90">
        <v>20685</v>
      </c>
      <c r="Q40" s="90">
        <f t="shared" si="6"/>
        <v>22753.500000000004</v>
      </c>
      <c r="R40" s="90">
        <f t="shared" si="7"/>
        <v>2113.8517279821631</v>
      </c>
      <c r="S40" s="88">
        <v>0.5</v>
      </c>
      <c r="T40" s="90">
        <f t="shared" si="8"/>
        <v>1056.9258639910815</v>
      </c>
      <c r="U40" s="64">
        <f t="shared" si="9"/>
        <v>1502060.7608695654</v>
      </c>
      <c r="V40" s="64">
        <f t="shared" si="10"/>
        <v>405556.40543478268</v>
      </c>
      <c r="W40" s="64">
        <f t="shared" si="1"/>
        <v>1096504.3554347828</v>
      </c>
      <c r="X40" s="64">
        <f t="shared" si="11"/>
        <v>1096504.3554347828</v>
      </c>
    </row>
    <row r="41" spans="1:24" x14ac:dyDescent="0.2">
      <c r="A41" s="44">
        <f t="shared" si="12"/>
        <v>38</v>
      </c>
      <c r="B41" s="48" t="s">
        <v>207</v>
      </c>
      <c r="C41" s="50" t="s">
        <v>218</v>
      </c>
      <c r="D41" s="50" t="s">
        <v>219</v>
      </c>
      <c r="E41" s="44" t="s">
        <v>147</v>
      </c>
      <c r="F41" s="45">
        <v>1235.94</v>
      </c>
      <c r="G41" s="90">
        <f t="shared" si="13"/>
        <v>114.82162764771462</v>
      </c>
      <c r="H41" s="87">
        <v>2004</v>
      </c>
      <c r="I41" s="87">
        <v>2022</v>
      </c>
      <c r="J41" s="87">
        <f t="shared" si="3"/>
        <v>18</v>
      </c>
      <c r="K41" s="87">
        <v>45</v>
      </c>
      <c r="L41" s="88">
        <v>0.1</v>
      </c>
      <c r="M41" s="62">
        <f t="shared" si="4"/>
        <v>0.02</v>
      </c>
      <c r="N41" s="147">
        <f t="shared" si="5"/>
        <v>901.33779264214047</v>
      </c>
      <c r="O41" s="89" t="s">
        <v>153</v>
      </c>
      <c r="P41" s="90">
        <v>17640</v>
      </c>
      <c r="Q41" s="90">
        <f t="shared" si="6"/>
        <v>19404</v>
      </c>
      <c r="R41" s="90">
        <f t="shared" si="7"/>
        <v>1802.6755852842809</v>
      </c>
      <c r="S41" s="88">
        <v>0.5</v>
      </c>
      <c r="T41" s="90">
        <f t="shared" si="8"/>
        <v>901.33779264214047</v>
      </c>
      <c r="U41" s="64">
        <f t="shared" si="9"/>
        <v>1113999.4314381271</v>
      </c>
      <c r="V41" s="64">
        <f t="shared" si="10"/>
        <v>401039.79531772574</v>
      </c>
      <c r="W41" s="64">
        <f t="shared" si="1"/>
        <v>712959.63612040132</v>
      </c>
      <c r="X41" s="64">
        <f t="shared" si="11"/>
        <v>712959.63612040132</v>
      </c>
    </row>
    <row r="42" spans="1:24" x14ac:dyDescent="0.2">
      <c r="A42" s="44">
        <f t="shared" si="12"/>
        <v>39</v>
      </c>
      <c r="B42" s="47" t="s">
        <v>238</v>
      </c>
      <c r="C42" s="50" t="s">
        <v>180</v>
      </c>
      <c r="D42" s="50" t="s">
        <v>150</v>
      </c>
      <c r="E42" s="44" t="s">
        <v>161</v>
      </c>
      <c r="F42" s="45">
        <v>1218</v>
      </c>
      <c r="G42" s="90">
        <f t="shared" si="13"/>
        <v>113.15496098104795</v>
      </c>
      <c r="H42" s="87">
        <v>2004</v>
      </c>
      <c r="I42" s="87">
        <v>2022</v>
      </c>
      <c r="J42" s="87">
        <f t="shared" si="3"/>
        <v>18</v>
      </c>
      <c r="K42" s="87">
        <v>60</v>
      </c>
      <c r="L42" s="88">
        <v>0.1</v>
      </c>
      <c r="M42" s="62">
        <f t="shared" si="4"/>
        <v>1.5000000000000001E-2</v>
      </c>
      <c r="N42" s="147">
        <f t="shared" si="5"/>
        <v>1056.9258639910815</v>
      </c>
      <c r="O42" s="89" t="s">
        <v>244</v>
      </c>
      <c r="P42" s="90">
        <v>20685</v>
      </c>
      <c r="Q42" s="90">
        <f t="shared" si="6"/>
        <v>22753.500000000004</v>
      </c>
      <c r="R42" s="90">
        <f t="shared" si="7"/>
        <v>2113.8517279821631</v>
      </c>
      <c r="S42" s="88">
        <v>0.5</v>
      </c>
      <c r="T42" s="90">
        <f t="shared" si="8"/>
        <v>1056.9258639910815</v>
      </c>
      <c r="U42" s="64">
        <f t="shared" si="9"/>
        <v>1287335.7023411372</v>
      </c>
      <c r="V42" s="64">
        <f t="shared" si="10"/>
        <v>347580.63963210705</v>
      </c>
      <c r="W42" s="64">
        <f t="shared" si="1"/>
        <v>939755.06270903023</v>
      </c>
      <c r="X42" s="64">
        <f t="shared" si="11"/>
        <v>939755.06270903023</v>
      </c>
    </row>
    <row r="43" spans="1:24" x14ac:dyDescent="0.2">
      <c r="A43" s="44">
        <f t="shared" si="12"/>
        <v>40</v>
      </c>
      <c r="B43" s="47" t="s">
        <v>238</v>
      </c>
      <c r="C43" s="50" t="s">
        <v>175</v>
      </c>
      <c r="D43" s="50" t="s">
        <v>176</v>
      </c>
      <c r="E43" s="44" t="s">
        <v>161</v>
      </c>
      <c r="F43" s="45">
        <v>1044</v>
      </c>
      <c r="G43" s="90">
        <f t="shared" si="13"/>
        <v>96.989966555183955</v>
      </c>
      <c r="H43" s="87">
        <v>2004</v>
      </c>
      <c r="I43" s="87">
        <v>2022</v>
      </c>
      <c r="J43" s="87">
        <f t="shared" si="3"/>
        <v>18</v>
      </c>
      <c r="K43" s="87">
        <v>45</v>
      </c>
      <c r="L43" s="88">
        <v>0.1</v>
      </c>
      <c r="M43" s="62">
        <f t="shared" si="4"/>
        <v>0.02</v>
      </c>
      <c r="N43" s="147">
        <f t="shared" si="5"/>
        <v>901.33779264214047</v>
      </c>
      <c r="O43" s="89" t="s">
        <v>153</v>
      </c>
      <c r="P43" s="90">
        <v>17640</v>
      </c>
      <c r="Q43" s="90">
        <f t="shared" si="6"/>
        <v>19404</v>
      </c>
      <c r="R43" s="90">
        <f t="shared" si="7"/>
        <v>1802.6755852842809</v>
      </c>
      <c r="S43" s="88">
        <v>0.5</v>
      </c>
      <c r="T43" s="90">
        <f t="shared" si="8"/>
        <v>901.33779264214047</v>
      </c>
      <c r="U43" s="64">
        <f t="shared" si="9"/>
        <v>940996.65551839466</v>
      </c>
      <c r="V43" s="64">
        <f t="shared" si="10"/>
        <v>338758.79598662205</v>
      </c>
      <c r="W43" s="64">
        <f t="shared" si="1"/>
        <v>602237.85953177256</v>
      </c>
      <c r="X43" s="64">
        <f t="shared" si="11"/>
        <v>602237.85953177256</v>
      </c>
    </row>
    <row r="44" spans="1:24" x14ac:dyDescent="0.2">
      <c r="A44" s="44">
        <f t="shared" si="12"/>
        <v>41</v>
      </c>
      <c r="B44" s="48" t="s">
        <v>207</v>
      </c>
      <c r="C44" s="50" t="s">
        <v>230</v>
      </c>
      <c r="D44" s="50" t="s">
        <v>225</v>
      </c>
      <c r="E44" s="44" t="s">
        <v>147</v>
      </c>
      <c r="F44" s="45">
        <v>1000</v>
      </c>
      <c r="G44" s="90">
        <f t="shared" si="13"/>
        <v>92.902266815310298</v>
      </c>
      <c r="H44" s="87">
        <v>2004</v>
      </c>
      <c r="I44" s="87">
        <v>2022</v>
      </c>
      <c r="J44" s="87">
        <f t="shared" si="3"/>
        <v>18</v>
      </c>
      <c r="K44" s="87">
        <v>45</v>
      </c>
      <c r="L44" s="88">
        <v>0.1</v>
      </c>
      <c r="M44" s="62">
        <f t="shared" si="4"/>
        <v>0.02</v>
      </c>
      <c r="N44" s="147">
        <f t="shared" si="5"/>
        <v>901.33779264214047</v>
      </c>
      <c r="O44" s="89" t="s">
        <v>153</v>
      </c>
      <c r="P44" s="90">
        <v>17640</v>
      </c>
      <c r="Q44" s="90">
        <f t="shared" si="6"/>
        <v>19404</v>
      </c>
      <c r="R44" s="90">
        <f t="shared" si="7"/>
        <v>1802.6755852842809</v>
      </c>
      <c r="S44" s="88">
        <v>0.5</v>
      </c>
      <c r="T44" s="90">
        <f t="shared" si="8"/>
        <v>901.33779264214047</v>
      </c>
      <c r="U44" s="64">
        <f t="shared" si="9"/>
        <v>901337.79264214053</v>
      </c>
      <c r="V44" s="64">
        <f t="shared" si="10"/>
        <v>324481.60535117064</v>
      </c>
      <c r="W44" s="64">
        <f t="shared" si="1"/>
        <v>576856.18729096989</v>
      </c>
      <c r="X44" s="64">
        <f t="shared" si="11"/>
        <v>576856.18729096989</v>
      </c>
    </row>
    <row r="45" spans="1:24" x14ac:dyDescent="0.2">
      <c r="A45" s="44">
        <f t="shared" si="12"/>
        <v>42</v>
      </c>
      <c r="B45" s="48" t="s">
        <v>207</v>
      </c>
      <c r="C45" s="50" t="s">
        <v>227</v>
      </c>
      <c r="D45" s="50" t="s">
        <v>209</v>
      </c>
      <c r="E45" s="44" t="s">
        <v>222</v>
      </c>
      <c r="F45" s="45">
        <v>971.67</v>
      </c>
      <c r="G45" s="90">
        <f t="shared" si="13"/>
        <v>90.270345596432549</v>
      </c>
      <c r="H45" s="87">
        <v>2004</v>
      </c>
      <c r="I45" s="87">
        <v>2022</v>
      </c>
      <c r="J45" s="87">
        <f t="shared" si="3"/>
        <v>18</v>
      </c>
      <c r="K45" s="87">
        <v>60</v>
      </c>
      <c r="L45" s="88">
        <v>0.1</v>
      </c>
      <c r="M45" s="62">
        <f t="shared" si="4"/>
        <v>1.5000000000000001E-2</v>
      </c>
      <c r="N45" s="147">
        <f t="shared" si="5"/>
        <v>1056.9258639910815</v>
      </c>
      <c r="O45" s="89" t="s">
        <v>244</v>
      </c>
      <c r="P45" s="90">
        <v>20685</v>
      </c>
      <c r="Q45" s="90">
        <f t="shared" si="6"/>
        <v>22753.500000000004</v>
      </c>
      <c r="R45" s="90">
        <f t="shared" si="7"/>
        <v>2113.8517279821631</v>
      </c>
      <c r="S45" s="88">
        <v>0.5</v>
      </c>
      <c r="T45" s="90">
        <f t="shared" si="8"/>
        <v>1056.9258639910815</v>
      </c>
      <c r="U45" s="64">
        <f t="shared" si="9"/>
        <v>1026983.1542642142</v>
      </c>
      <c r="V45" s="64">
        <f t="shared" si="10"/>
        <v>277285.45165133785</v>
      </c>
      <c r="W45" s="64">
        <f t="shared" si="1"/>
        <v>749697.70261287643</v>
      </c>
      <c r="X45" s="64">
        <f t="shared" si="11"/>
        <v>749697.70261287643</v>
      </c>
    </row>
    <row r="46" spans="1:24" x14ac:dyDescent="0.2">
      <c r="A46" s="44">
        <f t="shared" si="12"/>
        <v>43</v>
      </c>
      <c r="B46" s="48" t="s">
        <v>207</v>
      </c>
      <c r="C46" s="50" t="s">
        <v>210</v>
      </c>
      <c r="D46" s="50" t="s">
        <v>209</v>
      </c>
      <c r="E46" s="44" t="s">
        <v>147</v>
      </c>
      <c r="F46" s="45">
        <v>854.45</v>
      </c>
      <c r="G46" s="90">
        <f t="shared" si="13"/>
        <v>79.380341880341888</v>
      </c>
      <c r="H46" s="87">
        <v>2004</v>
      </c>
      <c r="I46" s="87">
        <v>2022</v>
      </c>
      <c r="J46" s="87">
        <f t="shared" si="3"/>
        <v>18</v>
      </c>
      <c r="K46" s="87">
        <v>60</v>
      </c>
      <c r="L46" s="88">
        <v>0.1</v>
      </c>
      <c r="M46" s="62">
        <f t="shared" si="4"/>
        <v>1.5000000000000001E-2</v>
      </c>
      <c r="N46" s="147">
        <f t="shared" si="5"/>
        <v>1056.9258639910815</v>
      </c>
      <c r="O46" s="89" t="s">
        <v>244</v>
      </c>
      <c r="P46" s="90">
        <v>20685</v>
      </c>
      <c r="Q46" s="90">
        <f t="shared" si="6"/>
        <v>22753.500000000004</v>
      </c>
      <c r="R46" s="90">
        <f t="shared" si="7"/>
        <v>2113.8517279821631</v>
      </c>
      <c r="S46" s="88">
        <v>0.5</v>
      </c>
      <c r="T46" s="90">
        <f t="shared" si="8"/>
        <v>1056.9258639910815</v>
      </c>
      <c r="U46" s="64">
        <f t="shared" si="9"/>
        <v>903090.30448717962</v>
      </c>
      <c r="V46" s="64">
        <f t="shared" si="10"/>
        <v>243834.3822115385</v>
      </c>
      <c r="W46" s="64">
        <f t="shared" si="1"/>
        <v>659255.92227564112</v>
      </c>
      <c r="X46" s="64">
        <f t="shared" si="11"/>
        <v>659255.92227564112</v>
      </c>
    </row>
    <row r="47" spans="1:24" x14ac:dyDescent="0.2">
      <c r="A47" s="44">
        <f t="shared" si="12"/>
        <v>44</v>
      </c>
      <c r="B47" s="48" t="s">
        <v>207</v>
      </c>
      <c r="C47" s="50" t="s">
        <v>223</v>
      </c>
      <c r="D47" s="50" t="s">
        <v>209</v>
      </c>
      <c r="E47" s="44" t="s">
        <v>222</v>
      </c>
      <c r="F47" s="45">
        <v>854.07</v>
      </c>
      <c r="G47" s="90">
        <f t="shared" si="13"/>
        <v>79.345039018952079</v>
      </c>
      <c r="H47" s="87">
        <v>2004</v>
      </c>
      <c r="I47" s="87">
        <v>2022</v>
      </c>
      <c r="J47" s="87">
        <f t="shared" si="3"/>
        <v>18</v>
      </c>
      <c r="K47" s="87">
        <v>60</v>
      </c>
      <c r="L47" s="88">
        <v>0.1</v>
      </c>
      <c r="M47" s="62">
        <f t="shared" si="4"/>
        <v>1.5000000000000001E-2</v>
      </c>
      <c r="N47" s="147">
        <f t="shared" si="5"/>
        <v>1056.9258639910815</v>
      </c>
      <c r="O47" s="89" t="s">
        <v>244</v>
      </c>
      <c r="P47" s="90">
        <v>20685</v>
      </c>
      <c r="Q47" s="90">
        <f t="shared" si="6"/>
        <v>22753.500000000004</v>
      </c>
      <c r="R47" s="90">
        <f t="shared" si="7"/>
        <v>2113.8517279821631</v>
      </c>
      <c r="S47" s="88">
        <v>0.5</v>
      </c>
      <c r="T47" s="90">
        <f t="shared" si="8"/>
        <v>1056.9258639910815</v>
      </c>
      <c r="U47" s="64">
        <f t="shared" si="9"/>
        <v>902688.67265886301</v>
      </c>
      <c r="V47" s="64">
        <f t="shared" si="10"/>
        <v>243725.94161789303</v>
      </c>
      <c r="W47" s="64">
        <f t="shared" si="1"/>
        <v>658962.73104096996</v>
      </c>
      <c r="X47" s="64">
        <f t="shared" si="11"/>
        <v>658962.73104096996</v>
      </c>
    </row>
    <row r="48" spans="1:24" x14ac:dyDescent="0.2">
      <c r="A48" s="44">
        <f t="shared" si="12"/>
        <v>45</v>
      </c>
      <c r="B48" s="48" t="s">
        <v>207</v>
      </c>
      <c r="C48" s="50" t="s">
        <v>226</v>
      </c>
      <c r="D48" s="50" t="s">
        <v>209</v>
      </c>
      <c r="E48" s="44" t="s">
        <v>147</v>
      </c>
      <c r="F48" s="45">
        <v>832.86</v>
      </c>
      <c r="G48" s="90">
        <f t="shared" si="13"/>
        <v>77.374581939799342</v>
      </c>
      <c r="H48" s="87">
        <v>2004</v>
      </c>
      <c r="I48" s="87">
        <v>2022</v>
      </c>
      <c r="J48" s="87">
        <f t="shared" si="3"/>
        <v>18</v>
      </c>
      <c r="K48" s="87">
        <v>60</v>
      </c>
      <c r="L48" s="88">
        <v>0.1</v>
      </c>
      <c r="M48" s="62">
        <f t="shared" si="4"/>
        <v>1.5000000000000001E-2</v>
      </c>
      <c r="N48" s="147">
        <f t="shared" si="5"/>
        <v>1056.9258639910815</v>
      </c>
      <c r="O48" s="89" t="s">
        <v>244</v>
      </c>
      <c r="P48" s="90">
        <v>20685</v>
      </c>
      <c r="Q48" s="90">
        <f t="shared" si="6"/>
        <v>22753.500000000004</v>
      </c>
      <c r="R48" s="90">
        <f t="shared" si="7"/>
        <v>2113.8517279821631</v>
      </c>
      <c r="S48" s="88">
        <v>0.5</v>
      </c>
      <c r="T48" s="90">
        <f t="shared" si="8"/>
        <v>1056.9258639910815</v>
      </c>
      <c r="U48" s="64">
        <f t="shared" si="9"/>
        <v>880271.27508361218</v>
      </c>
      <c r="V48" s="64">
        <f t="shared" si="10"/>
        <v>237673.24427257531</v>
      </c>
      <c r="W48" s="64">
        <f t="shared" si="1"/>
        <v>642598.03081103694</v>
      </c>
      <c r="X48" s="64">
        <f t="shared" si="11"/>
        <v>642598.03081103694</v>
      </c>
    </row>
    <row r="49" spans="1:24" x14ac:dyDescent="0.2">
      <c r="A49" s="44">
        <f t="shared" si="12"/>
        <v>46</v>
      </c>
      <c r="B49" s="47" t="s">
        <v>238</v>
      </c>
      <c r="C49" s="50" t="s">
        <v>142</v>
      </c>
      <c r="D49" s="50" t="s">
        <v>143</v>
      </c>
      <c r="E49" s="44" t="s">
        <v>144</v>
      </c>
      <c r="F49" s="45">
        <v>800</v>
      </c>
      <c r="G49" s="90">
        <f t="shared" si="13"/>
        <v>74.321813452248236</v>
      </c>
      <c r="H49" s="87">
        <v>2004</v>
      </c>
      <c r="I49" s="87">
        <v>2022</v>
      </c>
      <c r="J49" s="87">
        <f t="shared" si="3"/>
        <v>18</v>
      </c>
      <c r="K49" s="87">
        <v>45</v>
      </c>
      <c r="L49" s="88">
        <v>0.1</v>
      </c>
      <c r="M49" s="62">
        <f t="shared" si="4"/>
        <v>0.02</v>
      </c>
      <c r="N49" s="147">
        <f t="shared" si="5"/>
        <v>901.33779264214047</v>
      </c>
      <c r="O49" s="89" t="s">
        <v>153</v>
      </c>
      <c r="P49" s="90">
        <v>17640</v>
      </c>
      <c r="Q49" s="90">
        <f t="shared" si="6"/>
        <v>19404</v>
      </c>
      <c r="R49" s="90">
        <f t="shared" si="7"/>
        <v>1802.6755852842809</v>
      </c>
      <c r="S49" s="88">
        <v>0.5</v>
      </c>
      <c r="T49" s="90">
        <f t="shared" si="8"/>
        <v>901.33779264214047</v>
      </c>
      <c r="U49" s="64">
        <f t="shared" si="9"/>
        <v>721070.23411371233</v>
      </c>
      <c r="V49" s="64">
        <f t="shared" si="10"/>
        <v>259585.28428093647</v>
      </c>
      <c r="W49" s="64">
        <f t="shared" si="1"/>
        <v>461484.94983277586</v>
      </c>
      <c r="X49" s="64">
        <f t="shared" si="11"/>
        <v>461484.94983277586</v>
      </c>
    </row>
    <row r="50" spans="1:24" x14ac:dyDescent="0.2">
      <c r="A50" s="44">
        <f t="shared" si="12"/>
        <v>47</v>
      </c>
      <c r="B50" s="48" t="s">
        <v>207</v>
      </c>
      <c r="C50" s="50" t="s">
        <v>236</v>
      </c>
      <c r="D50" s="50" t="s">
        <v>235</v>
      </c>
      <c r="E50" s="44" t="s">
        <v>147</v>
      </c>
      <c r="F50" s="45">
        <v>759.34</v>
      </c>
      <c r="G50" s="90">
        <f t="shared" si="13"/>
        <v>70.544407283537723</v>
      </c>
      <c r="H50" s="87">
        <v>2004</v>
      </c>
      <c r="I50" s="87">
        <v>2022</v>
      </c>
      <c r="J50" s="87">
        <f t="shared" si="3"/>
        <v>18</v>
      </c>
      <c r="K50" s="87">
        <v>45</v>
      </c>
      <c r="L50" s="88">
        <v>0.1</v>
      </c>
      <c r="M50" s="62">
        <f t="shared" si="4"/>
        <v>0.02</v>
      </c>
      <c r="N50" s="147">
        <f t="shared" si="5"/>
        <v>901.33779264214047</v>
      </c>
      <c r="O50" s="89" t="s">
        <v>153</v>
      </c>
      <c r="P50" s="90">
        <v>17640</v>
      </c>
      <c r="Q50" s="90">
        <f t="shared" si="6"/>
        <v>19404</v>
      </c>
      <c r="R50" s="90">
        <f t="shared" si="7"/>
        <v>1802.6755852842809</v>
      </c>
      <c r="S50" s="88">
        <v>0.5</v>
      </c>
      <c r="T50" s="90">
        <f t="shared" si="8"/>
        <v>901.33779264214047</v>
      </c>
      <c r="U50" s="64">
        <f t="shared" si="9"/>
        <v>684421.83946488297</v>
      </c>
      <c r="V50" s="64">
        <f t="shared" si="10"/>
        <v>246391.86220735786</v>
      </c>
      <c r="W50" s="64">
        <f t="shared" si="1"/>
        <v>438029.97725752508</v>
      </c>
      <c r="X50" s="64">
        <f t="shared" si="11"/>
        <v>438029.97725752508</v>
      </c>
    </row>
    <row r="51" spans="1:24" x14ac:dyDescent="0.2">
      <c r="A51" s="44">
        <f t="shared" si="12"/>
        <v>48</v>
      </c>
      <c r="B51" s="48" t="s">
        <v>207</v>
      </c>
      <c r="C51" s="50" t="s">
        <v>180</v>
      </c>
      <c r="D51" s="50" t="s">
        <v>209</v>
      </c>
      <c r="E51" s="44" t="s">
        <v>222</v>
      </c>
      <c r="F51" s="45">
        <v>732</v>
      </c>
      <c r="G51" s="90">
        <f t="shared" si="13"/>
        <v>68.004459308807142</v>
      </c>
      <c r="H51" s="87">
        <v>2004</v>
      </c>
      <c r="I51" s="87">
        <v>2022</v>
      </c>
      <c r="J51" s="87">
        <f t="shared" si="3"/>
        <v>18</v>
      </c>
      <c r="K51" s="87">
        <v>60</v>
      </c>
      <c r="L51" s="88">
        <v>0.1</v>
      </c>
      <c r="M51" s="62">
        <f t="shared" si="4"/>
        <v>1.5000000000000001E-2</v>
      </c>
      <c r="N51" s="147">
        <f t="shared" si="5"/>
        <v>1056.9258639910815</v>
      </c>
      <c r="O51" s="89" t="s">
        <v>244</v>
      </c>
      <c r="P51" s="90">
        <v>20685</v>
      </c>
      <c r="Q51" s="90">
        <f t="shared" si="6"/>
        <v>22753.500000000004</v>
      </c>
      <c r="R51" s="90">
        <f t="shared" si="7"/>
        <v>2113.8517279821631</v>
      </c>
      <c r="S51" s="88">
        <v>0.5</v>
      </c>
      <c r="T51" s="90">
        <f t="shared" si="8"/>
        <v>1056.9258639910815</v>
      </c>
      <c r="U51" s="64">
        <f t="shared" si="9"/>
        <v>773669.73244147166</v>
      </c>
      <c r="V51" s="64">
        <f t="shared" si="10"/>
        <v>208890.82775919736</v>
      </c>
      <c r="W51" s="64">
        <f t="shared" si="1"/>
        <v>564778.90468227433</v>
      </c>
      <c r="X51" s="64">
        <f t="shared" si="11"/>
        <v>564778.90468227433</v>
      </c>
    </row>
    <row r="52" spans="1:24" x14ac:dyDescent="0.2">
      <c r="A52" s="44">
        <f t="shared" si="12"/>
        <v>49</v>
      </c>
      <c r="B52" s="47" t="s">
        <v>238</v>
      </c>
      <c r="C52" s="50" t="s">
        <v>170</v>
      </c>
      <c r="D52" s="50" t="s">
        <v>150</v>
      </c>
      <c r="E52" s="44" t="s">
        <v>161</v>
      </c>
      <c r="F52" s="45">
        <v>727.81</v>
      </c>
      <c r="G52" s="90">
        <f t="shared" si="13"/>
        <v>67.615198810850984</v>
      </c>
      <c r="H52" s="87">
        <v>2004</v>
      </c>
      <c r="I52" s="87">
        <v>2022</v>
      </c>
      <c r="J52" s="87">
        <f t="shared" si="3"/>
        <v>18</v>
      </c>
      <c r="K52" s="87">
        <v>60</v>
      </c>
      <c r="L52" s="88">
        <v>0.1</v>
      </c>
      <c r="M52" s="62">
        <f t="shared" si="4"/>
        <v>1.5000000000000001E-2</v>
      </c>
      <c r="N52" s="147">
        <f t="shared" si="5"/>
        <v>1056.9258639910815</v>
      </c>
      <c r="O52" s="89" t="s">
        <v>244</v>
      </c>
      <c r="P52" s="90">
        <v>20685</v>
      </c>
      <c r="Q52" s="90">
        <f t="shared" si="6"/>
        <v>22753.500000000004</v>
      </c>
      <c r="R52" s="90">
        <f t="shared" si="7"/>
        <v>2113.8517279821631</v>
      </c>
      <c r="S52" s="88">
        <v>0.5</v>
      </c>
      <c r="T52" s="90">
        <f t="shared" si="8"/>
        <v>1056.9258639910815</v>
      </c>
      <c r="U52" s="64">
        <f t="shared" si="9"/>
        <v>769241.21307134896</v>
      </c>
      <c r="V52" s="64">
        <f t="shared" si="10"/>
        <v>207695.12752926425</v>
      </c>
      <c r="W52" s="64">
        <f t="shared" si="1"/>
        <v>561546.08554208465</v>
      </c>
      <c r="X52" s="64">
        <f t="shared" si="11"/>
        <v>561546.08554208465</v>
      </c>
    </row>
    <row r="53" spans="1:24" x14ac:dyDescent="0.2">
      <c r="A53" s="44">
        <f t="shared" si="12"/>
        <v>50</v>
      </c>
      <c r="B53" s="48" t="s">
        <v>207</v>
      </c>
      <c r="C53" s="50" t="s">
        <v>216</v>
      </c>
      <c r="D53" s="50" t="s">
        <v>143</v>
      </c>
      <c r="E53" s="44" t="s">
        <v>217</v>
      </c>
      <c r="F53" s="45">
        <v>681.02</v>
      </c>
      <c r="G53" s="90">
        <f t="shared" si="13"/>
        <v>63.268301746562621</v>
      </c>
      <c r="H53" s="87">
        <v>2004</v>
      </c>
      <c r="I53" s="87">
        <v>2022</v>
      </c>
      <c r="J53" s="87">
        <f t="shared" si="3"/>
        <v>18</v>
      </c>
      <c r="K53" s="87">
        <v>45</v>
      </c>
      <c r="L53" s="88">
        <v>0.1</v>
      </c>
      <c r="M53" s="62">
        <f t="shared" si="4"/>
        <v>0.02</v>
      </c>
      <c r="N53" s="147">
        <f t="shared" si="5"/>
        <v>901.33779264214047</v>
      </c>
      <c r="O53" s="89" t="s">
        <v>153</v>
      </c>
      <c r="P53" s="90">
        <v>17640</v>
      </c>
      <c r="Q53" s="90">
        <f t="shared" si="6"/>
        <v>19404</v>
      </c>
      <c r="R53" s="90">
        <f t="shared" si="7"/>
        <v>1802.6755852842809</v>
      </c>
      <c r="S53" s="88">
        <v>0.5</v>
      </c>
      <c r="T53" s="90">
        <f t="shared" si="8"/>
        <v>901.33779264214047</v>
      </c>
      <c r="U53" s="64">
        <f t="shared" si="9"/>
        <v>613829.06354515045</v>
      </c>
      <c r="V53" s="64">
        <f t="shared" si="10"/>
        <v>220978.46287625417</v>
      </c>
      <c r="W53" s="64">
        <f t="shared" si="1"/>
        <v>392850.60066889628</v>
      </c>
      <c r="X53" s="64">
        <f t="shared" si="11"/>
        <v>392850.60066889628</v>
      </c>
    </row>
    <row r="54" spans="1:24" x14ac:dyDescent="0.2">
      <c r="A54" s="44">
        <f t="shared" si="12"/>
        <v>51</v>
      </c>
      <c r="B54" s="47" t="s">
        <v>238</v>
      </c>
      <c r="C54" s="50" t="s">
        <v>171</v>
      </c>
      <c r="D54" s="50" t="s">
        <v>150</v>
      </c>
      <c r="E54" s="44" t="s">
        <v>161</v>
      </c>
      <c r="F54" s="45">
        <v>634.5</v>
      </c>
      <c r="G54" s="90">
        <f t="shared" si="13"/>
        <v>58.946488294314385</v>
      </c>
      <c r="H54" s="87">
        <v>2004</v>
      </c>
      <c r="I54" s="87">
        <v>2022</v>
      </c>
      <c r="J54" s="87">
        <f t="shared" si="3"/>
        <v>18</v>
      </c>
      <c r="K54" s="87">
        <v>60</v>
      </c>
      <c r="L54" s="88">
        <v>0.1</v>
      </c>
      <c r="M54" s="62">
        <f t="shared" si="4"/>
        <v>1.5000000000000001E-2</v>
      </c>
      <c r="N54" s="147">
        <f t="shared" si="5"/>
        <v>1056.9258639910815</v>
      </c>
      <c r="O54" s="89" t="s">
        <v>244</v>
      </c>
      <c r="P54" s="90">
        <v>20685</v>
      </c>
      <c r="Q54" s="90">
        <f t="shared" si="6"/>
        <v>22753.500000000004</v>
      </c>
      <c r="R54" s="90">
        <f t="shared" si="7"/>
        <v>2113.8517279821631</v>
      </c>
      <c r="S54" s="88">
        <v>0.5</v>
      </c>
      <c r="T54" s="90">
        <f t="shared" si="8"/>
        <v>1056.9258639910815</v>
      </c>
      <c r="U54" s="64">
        <f t="shared" si="9"/>
        <v>670619.46070234128</v>
      </c>
      <c r="V54" s="64">
        <f t="shared" si="10"/>
        <v>181067.25438963214</v>
      </c>
      <c r="W54" s="64">
        <f t="shared" si="1"/>
        <v>489552.20631270914</v>
      </c>
      <c r="X54" s="64">
        <f t="shared" si="11"/>
        <v>489552.20631270914</v>
      </c>
    </row>
    <row r="55" spans="1:24" x14ac:dyDescent="0.2">
      <c r="A55" s="44">
        <f t="shared" si="12"/>
        <v>52</v>
      </c>
      <c r="B55" s="47" t="s">
        <v>238</v>
      </c>
      <c r="C55" s="50" t="s">
        <v>168</v>
      </c>
      <c r="D55" s="50" t="s">
        <v>146</v>
      </c>
      <c r="E55" s="44" t="s">
        <v>147</v>
      </c>
      <c r="F55" s="45">
        <v>545.79999999999995</v>
      </c>
      <c r="G55" s="90">
        <f t="shared" si="13"/>
        <v>50.706057227796357</v>
      </c>
      <c r="H55" s="87">
        <v>2004</v>
      </c>
      <c r="I55" s="87">
        <v>2022</v>
      </c>
      <c r="J55" s="87">
        <f t="shared" si="3"/>
        <v>18</v>
      </c>
      <c r="K55" s="87">
        <v>45</v>
      </c>
      <c r="L55" s="88">
        <v>0.1</v>
      </c>
      <c r="M55" s="62">
        <f t="shared" si="4"/>
        <v>0.02</v>
      </c>
      <c r="N55" s="147">
        <f t="shared" si="5"/>
        <v>901.33779264214047</v>
      </c>
      <c r="O55" s="89" t="s">
        <v>153</v>
      </c>
      <c r="P55" s="90">
        <v>17640</v>
      </c>
      <c r="Q55" s="90">
        <f t="shared" si="6"/>
        <v>19404</v>
      </c>
      <c r="R55" s="90">
        <f t="shared" si="7"/>
        <v>1802.6755852842809</v>
      </c>
      <c r="S55" s="88">
        <v>0.5</v>
      </c>
      <c r="T55" s="90">
        <f t="shared" si="8"/>
        <v>901.33779264214047</v>
      </c>
      <c r="U55" s="64">
        <f t="shared" si="9"/>
        <v>491950.16722408024</v>
      </c>
      <c r="V55" s="64">
        <f t="shared" si="10"/>
        <v>177102.0602006689</v>
      </c>
      <c r="W55" s="64">
        <f t="shared" si="1"/>
        <v>314848.10702341131</v>
      </c>
      <c r="X55" s="64">
        <f t="shared" si="11"/>
        <v>314848.10702341131</v>
      </c>
    </row>
    <row r="56" spans="1:24" x14ac:dyDescent="0.2">
      <c r="A56" s="44">
        <f t="shared" si="12"/>
        <v>53</v>
      </c>
      <c r="B56" s="47" t="s">
        <v>238</v>
      </c>
      <c r="C56" s="50" t="s">
        <v>159</v>
      </c>
      <c r="D56" s="50" t="s">
        <v>146</v>
      </c>
      <c r="E56" s="44" t="s">
        <v>147</v>
      </c>
      <c r="F56" s="45">
        <v>438</v>
      </c>
      <c r="G56" s="90">
        <f t="shared" si="13"/>
        <v>40.691192865105911</v>
      </c>
      <c r="H56" s="87">
        <v>2004</v>
      </c>
      <c r="I56" s="87">
        <v>2022</v>
      </c>
      <c r="J56" s="87">
        <f t="shared" si="3"/>
        <v>18</v>
      </c>
      <c r="K56" s="87">
        <v>45</v>
      </c>
      <c r="L56" s="88">
        <v>0.1</v>
      </c>
      <c r="M56" s="62">
        <f t="shared" si="4"/>
        <v>0.02</v>
      </c>
      <c r="N56" s="147">
        <f t="shared" si="5"/>
        <v>901.33779264214047</v>
      </c>
      <c r="O56" s="89" t="s">
        <v>153</v>
      </c>
      <c r="P56" s="90">
        <v>17640</v>
      </c>
      <c r="Q56" s="90">
        <f t="shared" si="6"/>
        <v>19404</v>
      </c>
      <c r="R56" s="90">
        <f t="shared" si="7"/>
        <v>1802.6755852842809</v>
      </c>
      <c r="S56" s="88">
        <v>0.5</v>
      </c>
      <c r="T56" s="90">
        <f t="shared" si="8"/>
        <v>901.33779264214047</v>
      </c>
      <c r="U56" s="64">
        <f t="shared" si="9"/>
        <v>394785.9531772575</v>
      </c>
      <c r="V56" s="64">
        <f t="shared" si="10"/>
        <v>142122.94314381271</v>
      </c>
      <c r="W56" s="64">
        <f t="shared" si="1"/>
        <v>252663.01003344479</v>
      </c>
      <c r="X56" s="64">
        <f t="shared" si="11"/>
        <v>252663.01003344479</v>
      </c>
    </row>
    <row r="57" spans="1:24" x14ac:dyDescent="0.2">
      <c r="A57" s="44">
        <f t="shared" si="12"/>
        <v>54</v>
      </c>
      <c r="B57" s="48" t="s">
        <v>207</v>
      </c>
      <c r="C57" s="50" t="s">
        <v>208</v>
      </c>
      <c r="D57" s="50" t="s">
        <v>209</v>
      </c>
      <c r="E57" s="44" t="s">
        <v>147</v>
      </c>
      <c r="F57" s="45">
        <v>425.56</v>
      </c>
      <c r="G57" s="90">
        <f t="shared" si="13"/>
        <v>39.535488665923452</v>
      </c>
      <c r="H57" s="87">
        <v>2004</v>
      </c>
      <c r="I57" s="87">
        <v>2022</v>
      </c>
      <c r="J57" s="87">
        <f t="shared" si="3"/>
        <v>18</v>
      </c>
      <c r="K57" s="87">
        <v>60</v>
      </c>
      <c r="L57" s="88">
        <v>0.1</v>
      </c>
      <c r="M57" s="62">
        <f t="shared" si="4"/>
        <v>1.5000000000000001E-2</v>
      </c>
      <c r="N57" s="147">
        <f t="shared" si="5"/>
        <v>1056.9258639910815</v>
      </c>
      <c r="O57" s="89" t="s">
        <v>244</v>
      </c>
      <c r="P57" s="90">
        <v>20685</v>
      </c>
      <c r="Q57" s="90">
        <f t="shared" si="6"/>
        <v>22753.500000000004</v>
      </c>
      <c r="R57" s="90">
        <f t="shared" si="7"/>
        <v>2113.8517279821631</v>
      </c>
      <c r="S57" s="88">
        <v>0.5</v>
      </c>
      <c r="T57" s="90">
        <f t="shared" si="8"/>
        <v>1056.9258639910815</v>
      </c>
      <c r="U57" s="64">
        <f t="shared" si="9"/>
        <v>449785.37068004464</v>
      </c>
      <c r="V57" s="64">
        <f t="shared" si="10"/>
        <v>121442.05008361206</v>
      </c>
      <c r="W57" s="64">
        <f t="shared" si="1"/>
        <v>328343.32059643255</v>
      </c>
      <c r="X57" s="64">
        <f t="shared" si="11"/>
        <v>328343.32059643255</v>
      </c>
    </row>
    <row r="58" spans="1:24" x14ac:dyDescent="0.2">
      <c r="A58" s="44">
        <f t="shared" si="12"/>
        <v>55</v>
      </c>
      <c r="B58" s="47" t="s">
        <v>238</v>
      </c>
      <c r="C58" s="50" t="s">
        <v>163</v>
      </c>
      <c r="D58" s="50" t="s">
        <v>150</v>
      </c>
      <c r="E58" s="44" t="s">
        <v>164</v>
      </c>
      <c r="F58" s="45">
        <v>406.89</v>
      </c>
      <c r="G58" s="90">
        <f t="shared" si="13"/>
        <v>37.801003344481607</v>
      </c>
      <c r="H58" s="87">
        <v>2004</v>
      </c>
      <c r="I58" s="87">
        <v>2022</v>
      </c>
      <c r="J58" s="87">
        <f t="shared" si="3"/>
        <v>18</v>
      </c>
      <c r="K58" s="87">
        <v>60</v>
      </c>
      <c r="L58" s="88">
        <v>0.1</v>
      </c>
      <c r="M58" s="62">
        <f t="shared" si="4"/>
        <v>1.5000000000000001E-2</v>
      </c>
      <c r="N58" s="147">
        <f t="shared" si="5"/>
        <v>1056.9258639910815</v>
      </c>
      <c r="O58" s="89" t="s">
        <v>244</v>
      </c>
      <c r="P58" s="90">
        <v>20685</v>
      </c>
      <c r="Q58" s="90">
        <f t="shared" si="6"/>
        <v>22753.500000000004</v>
      </c>
      <c r="R58" s="90">
        <f t="shared" si="7"/>
        <v>2113.8517279821631</v>
      </c>
      <c r="S58" s="88">
        <v>0.5</v>
      </c>
      <c r="T58" s="90">
        <f t="shared" si="8"/>
        <v>1056.9258639910815</v>
      </c>
      <c r="U58" s="64">
        <f t="shared" si="9"/>
        <v>430052.56479933113</v>
      </c>
      <c r="V58" s="64">
        <f t="shared" si="10"/>
        <v>116114.19249581941</v>
      </c>
      <c r="W58" s="64">
        <f t="shared" si="1"/>
        <v>313938.37230351171</v>
      </c>
      <c r="X58" s="64">
        <f t="shared" si="11"/>
        <v>313938.37230351171</v>
      </c>
    </row>
    <row r="59" spans="1:24" x14ac:dyDescent="0.2">
      <c r="A59" s="44">
        <f t="shared" si="12"/>
        <v>56</v>
      </c>
      <c r="B59" s="47" t="s">
        <v>238</v>
      </c>
      <c r="C59" s="50" t="s">
        <v>157</v>
      </c>
      <c r="D59" s="50" t="s">
        <v>146</v>
      </c>
      <c r="E59" s="44" t="s">
        <v>147</v>
      </c>
      <c r="F59" s="45">
        <v>379.75</v>
      </c>
      <c r="G59" s="90">
        <f t="shared" si="13"/>
        <v>35.279635823114084</v>
      </c>
      <c r="H59" s="87">
        <v>2004</v>
      </c>
      <c r="I59" s="87">
        <v>2022</v>
      </c>
      <c r="J59" s="87">
        <f t="shared" si="3"/>
        <v>18</v>
      </c>
      <c r="K59" s="87">
        <v>45</v>
      </c>
      <c r="L59" s="88">
        <v>0.1</v>
      </c>
      <c r="M59" s="62">
        <f t="shared" si="4"/>
        <v>0.02</v>
      </c>
      <c r="N59" s="147">
        <f t="shared" si="5"/>
        <v>901.33779264214047</v>
      </c>
      <c r="O59" s="89" t="s">
        <v>153</v>
      </c>
      <c r="P59" s="90">
        <v>17640</v>
      </c>
      <c r="Q59" s="90">
        <f t="shared" si="6"/>
        <v>19404</v>
      </c>
      <c r="R59" s="90">
        <f t="shared" si="7"/>
        <v>1802.6755852842809</v>
      </c>
      <c r="S59" s="88">
        <v>0.5</v>
      </c>
      <c r="T59" s="90">
        <f t="shared" si="8"/>
        <v>901.33779264214047</v>
      </c>
      <c r="U59" s="64">
        <f t="shared" si="9"/>
        <v>342283.02675585286</v>
      </c>
      <c r="V59" s="64">
        <f t="shared" si="10"/>
        <v>123221.88963210704</v>
      </c>
      <c r="W59" s="64">
        <f t="shared" si="1"/>
        <v>219061.13712374581</v>
      </c>
      <c r="X59" s="64">
        <f t="shared" si="11"/>
        <v>219061.13712374581</v>
      </c>
    </row>
    <row r="60" spans="1:24" x14ac:dyDescent="0.2">
      <c r="A60" s="44">
        <f t="shared" si="12"/>
        <v>57</v>
      </c>
      <c r="B60" s="48" t="s">
        <v>207</v>
      </c>
      <c r="C60" s="50" t="s">
        <v>215</v>
      </c>
      <c r="D60" s="50" t="s">
        <v>209</v>
      </c>
      <c r="E60" s="44" t="s">
        <v>147</v>
      </c>
      <c r="F60" s="45">
        <v>347.8</v>
      </c>
      <c r="G60" s="90">
        <f t="shared" si="13"/>
        <v>32.311408398364925</v>
      </c>
      <c r="H60" s="87">
        <v>2004</v>
      </c>
      <c r="I60" s="87">
        <v>2022</v>
      </c>
      <c r="J60" s="87">
        <f t="shared" si="3"/>
        <v>18</v>
      </c>
      <c r="K60" s="87">
        <v>60</v>
      </c>
      <c r="L60" s="88">
        <v>0.1</v>
      </c>
      <c r="M60" s="62">
        <f t="shared" si="4"/>
        <v>1.5000000000000001E-2</v>
      </c>
      <c r="N60" s="147">
        <f t="shared" si="5"/>
        <v>1056.9258639910815</v>
      </c>
      <c r="O60" s="89" t="s">
        <v>244</v>
      </c>
      <c r="P60" s="90">
        <v>20685</v>
      </c>
      <c r="Q60" s="90">
        <f t="shared" si="6"/>
        <v>22753.500000000004</v>
      </c>
      <c r="R60" s="90">
        <f t="shared" si="7"/>
        <v>2113.8517279821631</v>
      </c>
      <c r="S60" s="88">
        <v>0.5</v>
      </c>
      <c r="T60" s="90">
        <f t="shared" si="8"/>
        <v>1056.9258639910815</v>
      </c>
      <c r="U60" s="64">
        <f t="shared" si="9"/>
        <v>367598.81549609819</v>
      </c>
      <c r="V60" s="64">
        <f t="shared" si="10"/>
        <v>99251.680183946519</v>
      </c>
      <c r="W60" s="64">
        <f t="shared" si="1"/>
        <v>268347.13531215169</v>
      </c>
      <c r="X60" s="64">
        <f t="shared" si="11"/>
        <v>268347.13531215169</v>
      </c>
    </row>
    <row r="61" spans="1:24" x14ac:dyDescent="0.2">
      <c r="A61" s="44">
        <f t="shared" si="12"/>
        <v>58</v>
      </c>
      <c r="B61" s="47" t="s">
        <v>238</v>
      </c>
      <c r="C61" s="50" t="s">
        <v>192</v>
      </c>
      <c r="D61" s="50" t="s">
        <v>150</v>
      </c>
      <c r="E61" s="44" t="s">
        <v>191</v>
      </c>
      <c r="F61" s="45">
        <v>345.24</v>
      </c>
      <c r="G61" s="90">
        <f t="shared" si="13"/>
        <v>32.073578595317727</v>
      </c>
      <c r="H61" s="87">
        <v>2004</v>
      </c>
      <c r="I61" s="87">
        <v>2022</v>
      </c>
      <c r="J61" s="87">
        <f t="shared" si="3"/>
        <v>18</v>
      </c>
      <c r="K61" s="87">
        <v>60</v>
      </c>
      <c r="L61" s="88">
        <v>0.1</v>
      </c>
      <c r="M61" s="62">
        <f t="shared" si="4"/>
        <v>1.5000000000000001E-2</v>
      </c>
      <c r="N61" s="147">
        <f t="shared" si="5"/>
        <v>1056.9258639910815</v>
      </c>
      <c r="O61" s="89" t="s">
        <v>244</v>
      </c>
      <c r="P61" s="90">
        <v>20685</v>
      </c>
      <c r="Q61" s="90">
        <f t="shared" si="6"/>
        <v>22753.500000000004</v>
      </c>
      <c r="R61" s="90">
        <f t="shared" si="7"/>
        <v>2113.8517279821631</v>
      </c>
      <c r="S61" s="88">
        <v>0.5</v>
      </c>
      <c r="T61" s="90">
        <f t="shared" si="8"/>
        <v>1056.9258639910815</v>
      </c>
      <c r="U61" s="64">
        <f t="shared" si="9"/>
        <v>364893.085284281</v>
      </c>
      <c r="V61" s="64">
        <f t="shared" si="10"/>
        <v>98521.133026755866</v>
      </c>
      <c r="W61" s="64">
        <f t="shared" si="1"/>
        <v>266371.95225752512</v>
      </c>
      <c r="X61" s="64">
        <f t="shared" si="11"/>
        <v>266371.95225752512</v>
      </c>
    </row>
    <row r="62" spans="1:24" x14ac:dyDescent="0.2">
      <c r="A62" s="44">
        <f t="shared" si="12"/>
        <v>59</v>
      </c>
      <c r="B62" s="48" t="s">
        <v>207</v>
      </c>
      <c r="C62" s="50" t="s">
        <v>232</v>
      </c>
      <c r="D62" s="50" t="s">
        <v>225</v>
      </c>
      <c r="E62" s="44" t="s">
        <v>147</v>
      </c>
      <c r="F62" s="45">
        <v>316.25</v>
      </c>
      <c r="G62" s="90">
        <f t="shared" si="13"/>
        <v>29.380341880341881</v>
      </c>
      <c r="H62" s="87">
        <v>2004</v>
      </c>
      <c r="I62" s="87">
        <v>2022</v>
      </c>
      <c r="J62" s="87">
        <f t="shared" si="3"/>
        <v>18</v>
      </c>
      <c r="K62" s="87">
        <v>45</v>
      </c>
      <c r="L62" s="88">
        <v>0.1</v>
      </c>
      <c r="M62" s="62">
        <f t="shared" si="4"/>
        <v>0.02</v>
      </c>
      <c r="N62" s="147">
        <f t="shared" si="5"/>
        <v>901.33779264214047</v>
      </c>
      <c r="O62" s="89" t="s">
        <v>153</v>
      </c>
      <c r="P62" s="90">
        <v>17640</v>
      </c>
      <c r="Q62" s="90">
        <f t="shared" si="6"/>
        <v>19404</v>
      </c>
      <c r="R62" s="90">
        <f t="shared" si="7"/>
        <v>1802.6755852842809</v>
      </c>
      <c r="S62" s="88">
        <v>0.5</v>
      </c>
      <c r="T62" s="90">
        <f t="shared" si="8"/>
        <v>901.33779264214047</v>
      </c>
      <c r="U62" s="64">
        <f t="shared" si="9"/>
        <v>285048.07692307694</v>
      </c>
      <c r="V62" s="64">
        <f t="shared" si="10"/>
        <v>102617.3076923077</v>
      </c>
      <c r="W62" s="64">
        <f t="shared" si="1"/>
        <v>182430.76923076925</v>
      </c>
      <c r="X62" s="64">
        <f t="shared" si="11"/>
        <v>182430.76923076925</v>
      </c>
    </row>
    <row r="63" spans="1:24" x14ac:dyDescent="0.2">
      <c r="A63" s="44">
        <f t="shared" si="12"/>
        <v>60</v>
      </c>
      <c r="B63" s="47" t="s">
        <v>238</v>
      </c>
      <c r="C63" s="50" t="s">
        <v>167</v>
      </c>
      <c r="D63" s="50" t="s">
        <v>146</v>
      </c>
      <c r="E63" s="44" t="s">
        <v>147</v>
      </c>
      <c r="F63" s="45">
        <v>300</v>
      </c>
      <c r="G63" s="90">
        <f t="shared" si="13"/>
        <v>27.87068004459309</v>
      </c>
      <c r="H63" s="87">
        <v>2004</v>
      </c>
      <c r="I63" s="87">
        <v>2022</v>
      </c>
      <c r="J63" s="87">
        <f t="shared" si="3"/>
        <v>18</v>
      </c>
      <c r="K63" s="87">
        <v>45</v>
      </c>
      <c r="L63" s="88">
        <v>0.1</v>
      </c>
      <c r="M63" s="62">
        <f t="shared" si="4"/>
        <v>0.02</v>
      </c>
      <c r="N63" s="147">
        <f t="shared" si="5"/>
        <v>901.33779264214047</v>
      </c>
      <c r="O63" s="89" t="s">
        <v>153</v>
      </c>
      <c r="P63" s="90">
        <v>17640</v>
      </c>
      <c r="Q63" s="90">
        <f t="shared" si="6"/>
        <v>19404</v>
      </c>
      <c r="R63" s="90">
        <f t="shared" si="7"/>
        <v>1802.6755852842809</v>
      </c>
      <c r="S63" s="88">
        <v>0.5</v>
      </c>
      <c r="T63" s="90">
        <f t="shared" si="8"/>
        <v>901.33779264214047</v>
      </c>
      <c r="U63" s="64">
        <f t="shared" si="9"/>
        <v>270401.33779264212</v>
      </c>
      <c r="V63" s="64">
        <f t="shared" si="10"/>
        <v>97344.48160535116</v>
      </c>
      <c r="W63" s="64">
        <f t="shared" si="1"/>
        <v>173056.85618729098</v>
      </c>
      <c r="X63" s="64">
        <f t="shared" si="11"/>
        <v>173056.85618729098</v>
      </c>
    </row>
    <row r="64" spans="1:24" x14ac:dyDescent="0.2">
      <c r="A64" s="44">
        <f t="shared" si="12"/>
        <v>61</v>
      </c>
      <c r="B64" s="47" t="s">
        <v>238</v>
      </c>
      <c r="C64" s="50" t="s">
        <v>160</v>
      </c>
      <c r="D64" s="50" t="s">
        <v>146</v>
      </c>
      <c r="E64" s="44" t="s">
        <v>161</v>
      </c>
      <c r="F64" s="45">
        <v>297.25</v>
      </c>
      <c r="G64" s="90">
        <f t="shared" si="13"/>
        <v>27.615198810850988</v>
      </c>
      <c r="H64" s="87">
        <v>2004</v>
      </c>
      <c r="I64" s="87">
        <v>2022</v>
      </c>
      <c r="J64" s="87">
        <f t="shared" si="3"/>
        <v>18</v>
      </c>
      <c r="K64" s="87">
        <v>45</v>
      </c>
      <c r="L64" s="88">
        <v>0.1</v>
      </c>
      <c r="M64" s="62">
        <f t="shared" si="4"/>
        <v>0.02</v>
      </c>
      <c r="N64" s="147">
        <f t="shared" si="5"/>
        <v>901.33779264214047</v>
      </c>
      <c r="O64" s="89" t="s">
        <v>153</v>
      </c>
      <c r="P64" s="90">
        <v>17640</v>
      </c>
      <c r="Q64" s="90">
        <f t="shared" si="6"/>
        <v>19404</v>
      </c>
      <c r="R64" s="90">
        <f t="shared" si="7"/>
        <v>1802.6755852842809</v>
      </c>
      <c r="S64" s="88">
        <v>0.5</v>
      </c>
      <c r="T64" s="90">
        <f t="shared" si="8"/>
        <v>901.33779264214047</v>
      </c>
      <c r="U64" s="64">
        <f t="shared" si="9"/>
        <v>267922.65886287624</v>
      </c>
      <c r="V64" s="64">
        <f t="shared" si="10"/>
        <v>96452.157190635451</v>
      </c>
      <c r="W64" s="64">
        <f t="shared" si="1"/>
        <v>171470.50167224079</v>
      </c>
      <c r="X64" s="64">
        <f t="shared" si="11"/>
        <v>171470.50167224079</v>
      </c>
    </row>
    <row r="65" spans="1:24" x14ac:dyDescent="0.2">
      <c r="A65" s="44">
        <f t="shared" si="12"/>
        <v>62</v>
      </c>
      <c r="B65" s="48" t="s">
        <v>207</v>
      </c>
      <c r="C65" s="50" t="s">
        <v>180</v>
      </c>
      <c r="D65" s="50" t="s">
        <v>209</v>
      </c>
      <c r="E65" s="44" t="s">
        <v>222</v>
      </c>
      <c r="F65" s="45">
        <v>270.3</v>
      </c>
      <c r="G65" s="90">
        <f t="shared" si="13"/>
        <v>25.111482720178376</v>
      </c>
      <c r="H65" s="87">
        <v>2004</v>
      </c>
      <c r="I65" s="87">
        <v>2022</v>
      </c>
      <c r="J65" s="87">
        <f t="shared" si="3"/>
        <v>18</v>
      </c>
      <c r="K65" s="87">
        <v>60</v>
      </c>
      <c r="L65" s="88">
        <v>0.1</v>
      </c>
      <c r="M65" s="62">
        <f t="shared" si="4"/>
        <v>1.5000000000000001E-2</v>
      </c>
      <c r="N65" s="147">
        <f t="shared" si="5"/>
        <v>1056.9258639910815</v>
      </c>
      <c r="O65" s="89" t="s">
        <v>244</v>
      </c>
      <c r="P65" s="90">
        <v>20685</v>
      </c>
      <c r="Q65" s="90">
        <f t="shared" si="6"/>
        <v>22753.500000000004</v>
      </c>
      <c r="R65" s="90">
        <f t="shared" si="7"/>
        <v>2113.8517279821631</v>
      </c>
      <c r="S65" s="88">
        <v>0.5</v>
      </c>
      <c r="T65" s="90">
        <f t="shared" si="8"/>
        <v>1056.9258639910815</v>
      </c>
      <c r="U65" s="64">
        <f t="shared" si="9"/>
        <v>285687.06103678932</v>
      </c>
      <c r="V65" s="64">
        <f t="shared" si="10"/>
        <v>77135.50647993313</v>
      </c>
      <c r="W65" s="64">
        <f t="shared" si="1"/>
        <v>208551.55455685619</v>
      </c>
      <c r="X65" s="64">
        <f t="shared" si="11"/>
        <v>208551.55455685619</v>
      </c>
    </row>
    <row r="66" spans="1:24" x14ac:dyDescent="0.2">
      <c r="A66" s="44">
        <f t="shared" si="12"/>
        <v>63</v>
      </c>
      <c r="B66" s="47" t="s">
        <v>238</v>
      </c>
      <c r="C66" s="50" t="s">
        <v>174</v>
      </c>
      <c r="D66" s="50" t="s">
        <v>150</v>
      </c>
      <c r="E66" s="44" t="s">
        <v>147</v>
      </c>
      <c r="F66" s="45">
        <v>264.5</v>
      </c>
      <c r="G66" s="90">
        <f t="shared" si="13"/>
        <v>24.572649572649574</v>
      </c>
      <c r="H66" s="87">
        <v>2004</v>
      </c>
      <c r="I66" s="87">
        <v>2022</v>
      </c>
      <c r="J66" s="87">
        <f t="shared" si="3"/>
        <v>18</v>
      </c>
      <c r="K66" s="87">
        <v>60</v>
      </c>
      <c r="L66" s="88">
        <v>0.1</v>
      </c>
      <c r="M66" s="62">
        <f t="shared" si="4"/>
        <v>1.5000000000000001E-2</v>
      </c>
      <c r="N66" s="147">
        <f t="shared" si="5"/>
        <v>1056.9258639910815</v>
      </c>
      <c r="O66" s="89" t="s">
        <v>244</v>
      </c>
      <c r="P66" s="90">
        <v>20685</v>
      </c>
      <c r="Q66" s="90">
        <f t="shared" si="6"/>
        <v>22753.500000000004</v>
      </c>
      <c r="R66" s="90">
        <f t="shared" si="7"/>
        <v>2113.8517279821631</v>
      </c>
      <c r="S66" s="88">
        <v>0.5</v>
      </c>
      <c r="T66" s="90">
        <f t="shared" si="8"/>
        <v>1056.9258639910815</v>
      </c>
      <c r="U66" s="64">
        <f t="shared" si="9"/>
        <v>279556.89102564106</v>
      </c>
      <c r="V66" s="64">
        <f t="shared" si="10"/>
        <v>75480.360576923093</v>
      </c>
      <c r="W66" s="64">
        <f t="shared" si="1"/>
        <v>204076.53044871797</v>
      </c>
      <c r="X66" s="64">
        <f t="shared" si="11"/>
        <v>204076.53044871797</v>
      </c>
    </row>
    <row r="67" spans="1:24" x14ac:dyDescent="0.2">
      <c r="A67" s="44">
        <f t="shared" si="12"/>
        <v>64</v>
      </c>
      <c r="B67" s="47" t="s">
        <v>238</v>
      </c>
      <c r="C67" s="50" t="s">
        <v>158</v>
      </c>
      <c r="D67" s="50" t="s">
        <v>150</v>
      </c>
      <c r="E67" s="44" t="s">
        <v>147</v>
      </c>
      <c r="F67" s="45">
        <v>208.12</v>
      </c>
      <c r="G67" s="90">
        <f t="shared" si="13"/>
        <v>19.33481976960238</v>
      </c>
      <c r="H67" s="87">
        <v>2004</v>
      </c>
      <c r="I67" s="87">
        <v>2022</v>
      </c>
      <c r="J67" s="87">
        <f t="shared" si="3"/>
        <v>18</v>
      </c>
      <c r="K67" s="87">
        <v>60</v>
      </c>
      <c r="L67" s="88">
        <v>0.1</v>
      </c>
      <c r="M67" s="62">
        <f t="shared" si="4"/>
        <v>1.5000000000000001E-2</v>
      </c>
      <c r="N67" s="147">
        <f t="shared" si="5"/>
        <v>1056.9258639910815</v>
      </c>
      <c r="O67" s="89" t="s">
        <v>244</v>
      </c>
      <c r="P67" s="90">
        <v>20685</v>
      </c>
      <c r="Q67" s="90">
        <f t="shared" si="6"/>
        <v>22753.500000000004</v>
      </c>
      <c r="R67" s="90">
        <f t="shared" si="7"/>
        <v>2113.8517279821631</v>
      </c>
      <c r="S67" s="88">
        <v>0.5</v>
      </c>
      <c r="T67" s="90">
        <f t="shared" si="8"/>
        <v>1056.9258639910815</v>
      </c>
      <c r="U67" s="64">
        <f t="shared" si="9"/>
        <v>219967.4108138239</v>
      </c>
      <c r="V67" s="64">
        <f t="shared" si="10"/>
        <v>59391.200919732459</v>
      </c>
      <c r="W67" s="64">
        <f t="shared" si="1"/>
        <v>160576.20989409144</v>
      </c>
      <c r="X67" s="64">
        <f t="shared" si="11"/>
        <v>160576.20989409144</v>
      </c>
    </row>
    <row r="68" spans="1:24" x14ac:dyDescent="0.2">
      <c r="A68" s="44">
        <f t="shared" si="12"/>
        <v>65</v>
      </c>
      <c r="B68" s="47" t="s">
        <v>238</v>
      </c>
      <c r="C68" s="50" t="s">
        <v>149</v>
      </c>
      <c r="D68" s="50" t="s">
        <v>150</v>
      </c>
      <c r="E68" s="44" t="s">
        <v>147</v>
      </c>
      <c r="F68" s="45">
        <v>201.25</v>
      </c>
      <c r="G68" s="90">
        <f t="shared" ref="G68:G75" si="14">F68/10.764</f>
        <v>18.696581196581199</v>
      </c>
      <c r="H68" s="87">
        <v>2004</v>
      </c>
      <c r="I68" s="87">
        <v>2022</v>
      </c>
      <c r="J68" s="87">
        <f t="shared" si="3"/>
        <v>18</v>
      </c>
      <c r="K68" s="87">
        <v>60</v>
      </c>
      <c r="L68" s="88">
        <v>0.1</v>
      </c>
      <c r="M68" s="62">
        <f t="shared" si="4"/>
        <v>1.5000000000000001E-2</v>
      </c>
      <c r="N68" s="147">
        <f t="shared" si="5"/>
        <v>1056.9258639910815</v>
      </c>
      <c r="O68" s="89" t="s">
        <v>244</v>
      </c>
      <c r="P68" s="90">
        <v>20685</v>
      </c>
      <c r="Q68" s="90">
        <f t="shared" si="6"/>
        <v>22753.500000000004</v>
      </c>
      <c r="R68" s="90">
        <f t="shared" si="7"/>
        <v>2113.8517279821631</v>
      </c>
      <c r="S68" s="88">
        <v>0.5</v>
      </c>
      <c r="T68" s="90">
        <f t="shared" si="8"/>
        <v>1056.9258639910815</v>
      </c>
      <c r="U68" s="64">
        <f t="shared" si="9"/>
        <v>212706.33012820515</v>
      </c>
      <c r="V68" s="64">
        <f t="shared" si="10"/>
        <v>57430.709134615397</v>
      </c>
      <c r="W68" s="64">
        <f t="shared" ref="W68:W75" si="15">MAX(U68-V68,0)</f>
        <v>155275.62099358975</v>
      </c>
      <c r="X68" s="64">
        <f t="shared" si="11"/>
        <v>155275.62099358975</v>
      </c>
    </row>
    <row r="69" spans="1:24" x14ac:dyDescent="0.2">
      <c r="A69" s="44">
        <f t="shared" si="12"/>
        <v>66</v>
      </c>
      <c r="B69" s="47" t="s">
        <v>238</v>
      </c>
      <c r="C69" s="50" t="s">
        <v>148</v>
      </c>
      <c r="D69" s="50" t="s">
        <v>146</v>
      </c>
      <c r="E69" s="44" t="s">
        <v>147</v>
      </c>
      <c r="F69" s="45">
        <v>180</v>
      </c>
      <c r="G69" s="90">
        <f t="shared" si="14"/>
        <v>16.722408026755854</v>
      </c>
      <c r="H69" s="87">
        <v>2004</v>
      </c>
      <c r="I69" s="87">
        <v>2022</v>
      </c>
      <c r="J69" s="87">
        <f t="shared" ref="J69:J75" si="16">I69-H69</f>
        <v>18</v>
      </c>
      <c r="K69" s="87">
        <v>45</v>
      </c>
      <c r="L69" s="88">
        <v>0.1</v>
      </c>
      <c r="M69" s="62">
        <f t="shared" ref="M69:M75" si="17">(1-L69)/K69</f>
        <v>0.02</v>
      </c>
      <c r="N69" s="147">
        <f t="shared" ref="N69:N75" si="18">T69</f>
        <v>901.33779264214047</v>
      </c>
      <c r="O69" s="89" t="s">
        <v>153</v>
      </c>
      <c r="P69" s="90">
        <v>17640</v>
      </c>
      <c r="Q69" s="90">
        <f t="shared" ref="Q69:Q74" si="19">P69*1.1</f>
        <v>19404</v>
      </c>
      <c r="R69" s="90">
        <f t="shared" ref="R69:R74" si="20">Q69/10.764</f>
        <v>1802.6755852842809</v>
      </c>
      <c r="S69" s="88">
        <v>0.5</v>
      </c>
      <c r="T69" s="90">
        <f t="shared" ref="T69:T74" si="21">S69*R69</f>
        <v>901.33779264214047</v>
      </c>
      <c r="U69" s="64">
        <f t="shared" ref="U69:U75" si="22">T69*F69</f>
        <v>162240.80267558529</v>
      </c>
      <c r="V69" s="64">
        <f t="shared" ref="V69:V75" si="23">U69*M69*J69</f>
        <v>58406.688963210705</v>
      </c>
      <c r="W69" s="64">
        <f t="shared" si="15"/>
        <v>103834.11371237459</v>
      </c>
      <c r="X69" s="64">
        <f t="shared" ref="X69:X75" si="24">W69</f>
        <v>103834.11371237459</v>
      </c>
    </row>
    <row r="70" spans="1:24" x14ac:dyDescent="0.2">
      <c r="A70" s="44">
        <f t="shared" si="12"/>
        <v>67</v>
      </c>
      <c r="B70" s="47" t="s">
        <v>238</v>
      </c>
      <c r="C70" s="50" t="s">
        <v>151</v>
      </c>
      <c r="D70" s="50" t="s">
        <v>152</v>
      </c>
      <c r="E70" s="44" t="s">
        <v>147</v>
      </c>
      <c r="F70" s="45">
        <v>175.5</v>
      </c>
      <c r="G70" s="90">
        <f t="shared" si="14"/>
        <v>16.304347826086957</v>
      </c>
      <c r="H70" s="87">
        <v>2004</v>
      </c>
      <c r="I70" s="87">
        <v>2022</v>
      </c>
      <c r="J70" s="87">
        <f t="shared" si="16"/>
        <v>18</v>
      </c>
      <c r="K70" s="87">
        <v>60</v>
      </c>
      <c r="L70" s="88">
        <v>0.1</v>
      </c>
      <c r="M70" s="62">
        <f t="shared" si="17"/>
        <v>1.5000000000000001E-2</v>
      </c>
      <c r="N70" s="147">
        <f t="shared" si="18"/>
        <v>1056.9258639910815</v>
      </c>
      <c r="O70" s="89" t="s">
        <v>244</v>
      </c>
      <c r="P70" s="90">
        <v>20685</v>
      </c>
      <c r="Q70" s="90">
        <f t="shared" si="19"/>
        <v>22753.500000000004</v>
      </c>
      <c r="R70" s="90">
        <f t="shared" si="20"/>
        <v>2113.8517279821631</v>
      </c>
      <c r="S70" s="88">
        <v>0.5</v>
      </c>
      <c r="T70" s="90">
        <f t="shared" si="21"/>
        <v>1056.9258639910815</v>
      </c>
      <c r="U70" s="64">
        <f t="shared" si="22"/>
        <v>185490.48913043481</v>
      </c>
      <c r="V70" s="64">
        <f t="shared" si="23"/>
        <v>50082.432065217406</v>
      </c>
      <c r="W70" s="64">
        <f t="shared" si="15"/>
        <v>135408.05706521741</v>
      </c>
      <c r="X70" s="64">
        <f t="shared" si="24"/>
        <v>135408.05706521741</v>
      </c>
    </row>
    <row r="71" spans="1:24" x14ac:dyDescent="0.2">
      <c r="A71" s="44">
        <f t="shared" si="12"/>
        <v>68</v>
      </c>
      <c r="B71" s="47" t="s">
        <v>238</v>
      </c>
      <c r="C71" s="50" t="s">
        <v>169</v>
      </c>
      <c r="D71" s="50" t="s">
        <v>150</v>
      </c>
      <c r="E71" s="44" t="s">
        <v>164</v>
      </c>
      <c r="F71" s="45">
        <v>166.09</v>
      </c>
      <c r="G71" s="90">
        <f t="shared" si="14"/>
        <v>15.430137495354888</v>
      </c>
      <c r="H71" s="87">
        <v>2004</v>
      </c>
      <c r="I71" s="87">
        <v>2022</v>
      </c>
      <c r="J71" s="87">
        <f t="shared" si="16"/>
        <v>18</v>
      </c>
      <c r="K71" s="87">
        <v>60</v>
      </c>
      <c r="L71" s="88">
        <v>0.1</v>
      </c>
      <c r="M71" s="62">
        <f t="shared" si="17"/>
        <v>1.5000000000000001E-2</v>
      </c>
      <c r="N71" s="147">
        <f t="shared" si="18"/>
        <v>1056.9258639910815</v>
      </c>
      <c r="O71" s="89" t="s">
        <v>244</v>
      </c>
      <c r="P71" s="90">
        <v>20685</v>
      </c>
      <c r="Q71" s="90">
        <f t="shared" si="19"/>
        <v>22753.500000000004</v>
      </c>
      <c r="R71" s="90">
        <f t="shared" si="20"/>
        <v>2113.8517279821631</v>
      </c>
      <c r="S71" s="88">
        <v>0.5</v>
      </c>
      <c r="T71" s="90">
        <f t="shared" si="21"/>
        <v>1056.9258639910815</v>
      </c>
      <c r="U71" s="64">
        <f t="shared" si="22"/>
        <v>175544.81675027873</v>
      </c>
      <c r="V71" s="64">
        <f t="shared" si="23"/>
        <v>47397.10052257526</v>
      </c>
      <c r="W71" s="64">
        <f t="shared" si="15"/>
        <v>128147.71622770347</v>
      </c>
      <c r="X71" s="64">
        <f t="shared" si="24"/>
        <v>128147.71622770347</v>
      </c>
    </row>
    <row r="72" spans="1:24" x14ac:dyDescent="0.2">
      <c r="A72" s="44">
        <f t="shared" si="12"/>
        <v>69</v>
      </c>
      <c r="B72" s="47" t="s">
        <v>238</v>
      </c>
      <c r="C72" s="50" t="s">
        <v>153</v>
      </c>
      <c r="D72" s="50" t="s">
        <v>146</v>
      </c>
      <c r="E72" s="44" t="s">
        <v>147</v>
      </c>
      <c r="F72" s="45">
        <v>146.62</v>
      </c>
      <c r="G72" s="90">
        <f t="shared" si="14"/>
        <v>13.621330360460796</v>
      </c>
      <c r="H72" s="87">
        <v>2004</v>
      </c>
      <c r="I72" s="87">
        <v>2022</v>
      </c>
      <c r="J72" s="87">
        <f t="shared" si="16"/>
        <v>18</v>
      </c>
      <c r="K72" s="87">
        <v>45</v>
      </c>
      <c r="L72" s="88">
        <v>0.1</v>
      </c>
      <c r="M72" s="62">
        <f t="shared" si="17"/>
        <v>0.02</v>
      </c>
      <c r="N72" s="147">
        <f t="shared" si="18"/>
        <v>901.33779264214047</v>
      </c>
      <c r="O72" s="89" t="s">
        <v>153</v>
      </c>
      <c r="P72" s="90">
        <v>17640</v>
      </c>
      <c r="Q72" s="90">
        <f t="shared" si="19"/>
        <v>19404</v>
      </c>
      <c r="R72" s="90">
        <f t="shared" si="20"/>
        <v>1802.6755852842809</v>
      </c>
      <c r="S72" s="88">
        <v>0.5</v>
      </c>
      <c r="T72" s="90">
        <f t="shared" si="21"/>
        <v>901.33779264214047</v>
      </c>
      <c r="U72" s="64">
        <f t="shared" si="22"/>
        <v>132154.14715719063</v>
      </c>
      <c r="V72" s="64">
        <f t="shared" si="23"/>
        <v>47575.492976588634</v>
      </c>
      <c r="W72" s="64">
        <f t="shared" si="15"/>
        <v>84578.654180601996</v>
      </c>
      <c r="X72" s="64">
        <f t="shared" si="24"/>
        <v>84578.654180601996</v>
      </c>
    </row>
    <row r="73" spans="1:24" x14ac:dyDescent="0.2">
      <c r="A73" s="44">
        <f t="shared" si="12"/>
        <v>70</v>
      </c>
      <c r="B73" s="47" t="s">
        <v>238</v>
      </c>
      <c r="C73" s="50" t="s">
        <v>155</v>
      </c>
      <c r="D73" s="50" t="s">
        <v>156</v>
      </c>
      <c r="E73" s="44" t="s">
        <v>147</v>
      </c>
      <c r="F73" s="45">
        <v>136.5</v>
      </c>
      <c r="G73" s="90">
        <f t="shared" si="14"/>
        <v>12.681159420289855</v>
      </c>
      <c r="H73" s="87">
        <v>2004</v>
      </c>
      <c r="I73" s="87">
        <v>2022</v>
      </c>
      <c r="J73" s="87">
        <f t="shared" si="16"/>
        <v>18</v>
      </c>
      <c r="K73" s="87">
        <v>60</v>
      </c>
      <c r="L73" s="88">
        <v>0.1</v>
      </c>
      <c r="M73" s="62">
        <f t="shared" si="17"/>
        <v>1.5000000000000001E-2</v>
      </c>
      <c r="N73" s="147">
        <f t="shared" si="18"/>
        <v>1056.9258639910815</v>
      </c>
      <c r="O73" s="89" t="s">
        <v>244</v>
      </c>
      <c r="P73" s="90">
        <v>20685</v>
      </c>
      <c r="Q73" s="90">
        <f t="shared" si="19"/>
        <v>22753.500000000004</v>
      </c>
      <c r="R73" s="90">
        <f t="shared" si="20"/>
        <v>2113.8517279821631</v>
      </c>
      <c r="S73" s="88">
        <v>0.5</v>
      </c>
      <c r="T73" s="90">
        <f t="shared" si="21"/>
        <v>1056.9258639910815</v>
      </c>
      <c r="U73" s="64">
        <f t="shared" si="22"/>
        <v>144270.38043478262</v>
      </c>
      <c r="V73" s="64">
        <f t="shared" si="23"/>
        <v>38953.002717391311</v>
      </c>
      <c r="W73" s="64">
        <f t="shared" si="15"/>
        <v>105317.37771739131</v>
      </c>
      <c r="X73" s="64">
        <f t="shared" si="24"/>
        <v>105317.37771739131</v>
      </c>
    </row>
    <row r="74" spans="1:24" x14ac:dyDescent="0.2">
      <c r="A74" s="44">
        <f t="shared" si="12"/>
        <v>71</v>
      </c>
      <c r="B74" s="47" t="s">
        <v>238</v>
      </c>
      <c r="C74" s="50" t="s">
        <v>154</v>
      </c>
      <c r="D74" s="50" t="s">
        <v>146</v>
      </c>
      <c r="E74" s="44" t="s">
        <v>147</v>
      </c>
      <c r="F74" s="45">
        <v>101.6</v>
      </c>
      <c r="G74" s="90">
        <f t="shared" si="14"/>
        <v>9.4388703084355257</v>
      </c>
      <c r="H74" s="87">
        <v>2004</v>
      </c>
      <c r="I74" s="87">
        <v>2022</v>
      </c>
      <c r="J74" s="87">
        <f t="shared" si="16"/>
        <v>18</v>
      </c>
      <c r="K74" s="87">
        <v>45</v>
      </c>
      <c r="L74" s="88">
        <v>0.1</v>
      </c>
      <c r="M74" s="62">
        <f t="shared" si="17"/>
        <v>0.02</v>
      </c>
      <c r="N74" s="147">
        <f t="shared" si="18"/>
        <v>901.33779264214047</v>
      </c>
      <c r="O74" s="89" t="s">
        <v>153</v>
      </c>
      <c r="P74" s="90">
        <v>17640</v>
      </c>
      <c r="Q74" s="90">
        <f t="shared" si="19"/>
        <v>19404</v>
      </c>
      <c r="R74" s="90">
        <f t="shared" si="20"/>
        <v>1802.6755852842809</v>
      </c>
      <c r="S74" s="88">
        <v>0.5</v>
      </c>
      <c r="T74" s="90">
        <f t="shared" si="21"/>
        <v>901.33779264214047</v>
      </c>
      <c r="U74" s="64">
        <f t="shared" si="22"/>
        <v>91575.919732441471</v>
      </c>
      <c r="V74" s="64">
        <f t="shared" si="23"/>
        <v>32967.331103678931</v>
      </c>
      <c r="W74" s="64">
        <f t="shared" si="15"/>
        <v>58608.58862876254</v>
      </c>
      <c r="X74" s="64">
        <f t="shared" si="24"/>
        <v>58608.58862876254</v>
      </c>
    </row>
    <row r="75" spans="1:24" x14ac:dyDescent="0.2">
      <c r="A75" s="44">
        <f t="shared" si="12"/>
        <v>72</v>
      </c>
      <c r="B75" s="48" t="s">
        <v>207</v>
      </c>
      <c r="C75" s="50" t="s">
        <v>237</v>
      </c>
      <c r="D75" s="50"/>
      <c r="E75" s="44"/>
      <c r="F75" s="45">
        <v>2133.9499999999998</v>
      </c>
      <c r="G75" s="90">
        <f t="shared" si="14"/>
        <v>198.2487922705314</v>
      </c>
      <c r="H75" s="87">
        <v>2004</v>
      </c>
      <c r="I75" s="87">
        <v>2022</v>
      </c>
      <c r="J75" s="87">
        <f t="shared" si="16"/>
        <v>18</v>
      </c>
      <c r="K75" s="87">
        <v>60</v>
      </c>
      <c r="L75" s="88">
        <v>0.1</v>
      </c>
      <c r="M75" s="62">
        <f t="shared" si="17"/>
        <v>1.5000000000000001E-2</v>
      </c>
      <c r="N75" s="147">
        <f t="shared" si="18"/>
        <v>0</v>
      </c>
      <c r="O75" s="87"/>
      <c r="P75" s="90"/>
      <c r="Q75" s="90"/>
      <c r="R75" s="90"/>
      <c r="S75" s="87"/>
      <c r="T75" s="87"/>
      <c r="U75" s="64">
        <f t="shared" si="22"/>
        <v>0</v>
      </c>
      <c r="V75" s="64">
        <f t="shared" si="23"/>
        <v>0</v>
      </c>
      <c r="W75" s="64">
        <f t="shared" si="15"/>
        <v>0</v>
      </c>
      <c r="X75" s="64">
        <f t="shared" si="24"/>
        <v>0</v>
      </c>
    </row>
  </sheetData>
  <autoFilter ref="A3:P75"/>
  <mergeCells count="2">
    <mergeCell ref="F1:G1"/>
    <mergeCell ref="A2:X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A80"/>
  <sheetViews>
    <sheetView topLeftCell="I21" workbookViewId="0">
      <selection activeCell="Y50" sqref="Y50"/>
    </sheetView>
  </sheetViews>
  <sheetFormatPr defaultRowHeight="12.75" x14ac:dyDescent="0.2"/>
  <cols>
    <col min="4" max="4" width="11.85546875" style="68" bestFit="1" customWidth="1"/>
    <col min="5" max="5" width="9.140625" style="72"/>
    <col min="6" max="6" width="11.85546875" bestFit="1" customWidth="1"/>
    <col min="8" max="8" width="11.85546875" bestFit="1" customWidth="1"/>
    <col min="9" max="11" width="9.140625" customWidth="1"/>
    <col min="12" max="12" width="9.28515625" style="68" customWidth="1"/>
    <col min="13" max="13" width="9.140625" style="68"/>
    <col min="14" max="14" width="15.5703125" bestFit="1" customWidth="1"/>
    <col min="15" max="15" width="12.85546875" bestFit="1" customWidth="1"/>
    <col min="16" max="16" width="14.5703125" bestFit="1" customWidth="1"/>
    <col min="17" max="17" width="17.28515625" bestFit="1" customWidth="1"/>
    <col min="21" max="21" width="14.5703125" bestFit="1" customWidth="1"/>
    <col min="22" max="22" width="12.85546875" bestFit="1" customWidth="1"/>
    <col min="25" max="25" width="14.5703125" bestFit="1" customWidth="1"/>
    <col min="27" max="27" width="14.5703125" bestFit="1" customWidth="1"/>
  </cols>
  <sheetData>
    <row r="3" spans="3:17" x14ac:dyDescent="0.2">
      <c r="C3" t="s">
        <v>425</v>
      </c>
      <c r="D3" s="68">
        <v>220416</v>
      </c>
    </row>
    <row r="4" spans="3:17" x14ac:dyDescent="0.2">
      <c r="C4" t="s">
        <v>207</v>
      </c>
      <c r="D4" s="68">
        <v>34726</v>
      </c>
    </row>
    <row r="5" spans="3:17" x14ac:dyDescent="0.2">
      <c r="C5" s="69" t="s">
        <v>426</v>
      </c>
      <c r="D5" s="70">
        <f>SUM(D3:D4)</f>
        <v>255142</v>
      </c>
      <c r="E5" s="72">
        <f>D5/4047</f>
        <v>63.044724487274522</v>
      </c>
      <c r="H5">
        <v>250900</v>
      </c>
      <c r="I5" s="67">
        <f>H5/4047</f>
        <v>61.996540647393132</v>
      </c>
    </row>
    <row r="10" spans="3:17" x14ac:dyDescent="0.2">
      <c r="E10" s="72">
        <v>23.01</v>
      </c>
    </row>
    <row r="11" spans="3:17" x14ac:dyDescent="0.2">
      <c r="E11" s="72">
        <v>2.68</v>
      </c>
      <c r="F11" s="71"/>
    </row>
    <row r="12" spans="3:17" x14ac:dyDescent="0.2">
      <c r="E12" s="72">
        <f>SUM(E10:E11)</f>
        <v>25.69</v>
      </c>
      <c r="F12" s="68">
        <f>E12*10000</f>
        <v>256900</v>
      </c>
    </row>
    <row r="15" spans="3:17" x14ac:dyDescent="0.2">
      <c r="E15" s="72">
        <v>1.2104999999999999</v>
      </c>
      <c r="Q15">
        <v>87578</v>
      </c>
    </row>
    <row r="16" spans="3:17" x14ac:dyDescent="0.2">
      <c r="E16" s="72">
        <v>0.71870000000000001</v>
      </c>
      <c r="Q16">
        <f>Q15*0.85</f>
        <v>74441.3</v>
      </c>
    </row>
    <row r="17" spans="3:24" x14ac:dyDescent="0.2">
      <c r="E17" s="72">
        <f>0.225/2</f>
        <v>0.1125</v>
      </c>
    </row>
    <row r="18" spans="3:24" x14ac:dyDescent="0.2">
      <c r="E18" s="72">
        <f>0.389/2</f>
        <v>0.19450000000000001</v>
      </c>
    </row>
    <row r="19" spans="3:24" x14ac:dyDescent="0.2">
      <c r="E19" s="72">
        <v>0.4446</v>
      </c>
    </row>
    <row r="20" spans="3:24" x14ac:dyDescent="0.2">
      <c r="E20" s="72">
        <f>SUM(E15:E19)</f>
        <v>2.6807999999999996</v>
      </c>
    </row>
    <row r="22" spans="3:24" ht="63.75" x14ac:dyDescent="0.2">
      <c r="M22" s="84" t="s">
        <v>457</v>
      </c>
      <c r="Q22">
        <v>4000</v>
      </c>
    </row>
    <row r="23" spans="3:24" x14ac:dyDescent="0.2">
      <c r="C23" s="51" t="s">
        <v>427</v>
      </c>
      <c r="D23" s="68">
        <v>1</v>
      </c>
      <c r="E23" s="72">
        <v>0.27700000000000002</v>
      </c>
      <c r="H23" t="str">
        <f>C23</f>
        <v>Khundi</v>
      </c>
      <c r="I23" s="82">
        <f>E64</f>
        <v>10.41</v>
      </c>
      <c r="K23" s="82">
        <f>SUM(I23:J23)</f>
        <v>10.41</v>
      </c>
      <c r="L23" s="68">
        <f>K23*10000</f>
        <v>104100</v>
      </c>
      <c r="M23" s="68">
        <v>4000</v>
      </c>
      <c r="N23" s="68">
        <f>M23*L23</f>
        <v>416400000</v>
      </c>
      <c r="O23">
        <v>47</v>
      </c>
      <c r="P23" s="68">
        <f>O23*10^5</f>
        <v>4700000</v>
      </c>
      <c r="Q23" s="145">
        <f>P23*K23</f>
        <v>48927000</v>
      </c>
      <c r="S23" s="68">
        <f>4000*4047</f>
        <v>16188000</v>
      </c>
      <c r="V23">
        <v>4700000</v>
      </c>
      <c r="W23">
        <v>10000</v>
      </c>
      <c r="X23">
        <f>V23/W23</f>
        <v>470</v>
      </c>
    </row>
    <row r="24" spans="3:24" x14ac:dyDescent="0.2">
      <c r="D24" s="68">
        <v>2</v>
      </c>
      <c r="E24" s="72">
        <v>0.41</v>
      </c>
      <c r="H24" t="str">
        <f>C66</f>
        <v>Kulchandi</v>
      </c>
      <c r="I24" s="82">
        <f>E78</f>
        <v>12.186300000000003</v>
      </c>
      <c r="J24">
        <v>1.2104999999999999</v>
      </c>
      <c r="K24" s="82">
        <f t="shared" ref="K24:K26" si="0">SUM(I24:J24)</f>
        <v>13.396800000000002</v>
      </c>
      <c r="L24" s="68">
        <f t="shared" ref="L24:L26" si="1">K24*10000</f>
        <v>133968.00000000003</v>
      </c>
      <c r="M24" s="68">
        <v>3300</v>
      </c>
      <c r="N24" s="68">
        <f t="shared" ref="N24:N26" si="2">M24*L24</f>
        <v>442094400.00000012</v>
      </c>
      <c r="O24">
        <v>44</v>
      </c>
      <c r="P24" s="68">
        <f t="shared" ref="P24:P26" si="3">O24*10^5</f>
        <v>4400000</v>
      </c>
      <c r="Q24" s="145">
        <f t="shared" ref="Q24:Q26" si="4">P24*K24</f>
        <v>58945920.000000007</v>
      </c>
    </row>
    <row r="25" spans="3:24" x14ac:dyDescent="0.2">
      <c r="D25" s="68">
        <v>3</v>
      </c>
      <c r="E25" s="72">
        <v>0.36899999999999999</v>
      </c>
      <c r="H25" t="str">
        <f>C80</f>
        <v>Dahiyaki</v>
      </c>
      <c r="I25" s="82">
        <f>E80</f>
        <v>0.41</v>
      </c>
      <c r="J25" s="82">
        <f>SUM(E16:E18)</f>
        <v>1.0257000000000001</v>
      </c>
      <c r="K25" s="82">
        <f t="shared" si="0"/>
        <v>1.4357</v>
      </c>
      <c r="L25" s="68">
        <f t="shared" si="1"/>
        <v>14357</v>
      </c>
      <c r="M25" s="68">
        <v>3800</v>
      </c>
      <c r="N25" s="68">
        <f t="shared" si="2"/>
        <v>54556600</v>
      </c>
      <c r="O25">
        <v>42</v>
      </c>
      <c r="P25" s="68">
        <f t="shared" si="3"/>
        <v>4200000</v>
      </c>
      <c r="Q25" s="145">
        <f t="shared" si="4"/>
        <v>6029940</v>
      </c>
    </row>
    <row r="26" spans="3:24" x14ac:dyDescent="0.2">
      <c r="D26" s="68">
        <v>4</v>
      </c>
      <c r="E26" s="72">
        <v>0.16400000000000001</v>
      </c>
      <c r="H26" t="s">
        <v>456</v>
      </c>
      <c r="I26" s="82">
        <f>E19</f>
        <v>0.4446</v>
      </c>
      <c r="K26" s="82">
        <f t="shared" si="0"/>
        <v>0.4446</v>
      </c>
      <c r="L26" s="68">
        <f t="shared" si="1"/>
        <v>4446</v>
      </c>
      <c r="M26" s="68">
        <v>3800</v>
      </c>
      <c r="N26" s="68">
        <f t="shared" si="2"/>
        <v>16894800</v>
      </c>
      <c r="O26">
        <v>42</v>
      </c>
      <c r="P26" s="68">
        <f t="shared" si="3"/>
        <v>4200000</v>
      </c>
      <c r="Q26" s="145">
        <f t="shared" si="4"/>
        <v>1867320</v>
      </c>
    </row>
    <row r="27" spans="3:24" x14ac:dyDescent="0.2">
      <c r="D27" s="68">
        <v>5</v>
      </c>
      <c r="E27" s="72">
        <v>0.113</v>
      </c>
      <c r="I27" s="82">
        <f>SUM(I23:I26)</f>
        <v>23.450900000000004</v>
      </c>
      <c r="K27" s="82">
        <f>SUM(K23:K26)</f>
        <v>25.687100000000004</v>
      </c>
      <c r="L27" s="68">
        <f>SUM(L23:L26)</f>
        <v>256871.00000000003</v>
      </c>
      <c r="N27" s="68">
        <f>SUM(N23:N26)</f>
        <v>929945800.00000012</v>
      </c>
      <c r="Q27" s="145">
        <f>SUM(Q23:Q26)</f>
        <v>115770180</v>
      </c>
      <c r="S27" s="68">
        <v>1500000</v>
      </c>
      <c r="T27" s="83">
        <f>S27*5</f>
        <v>7500000</v>
      </c>
    </row>
    <row r="28" spans="3:24" x14ac:dyDescent="0.2">
      <c r="D28" s="68">
        <v>6</v>
      </c>
      <c r="E28" s="72">
        <v>0.36899999999999999</v>
      </c>
      <c r="P28" s="74"/>
    </row>
    <row r="29" spans="3:24" x14ac:dyDescent="0.2">
      <c r="D29" s="68">
        <v>7</v>
      </c>
      <c r="E29" s="72">
        <v>0.22600000000000001</v>
      </c>
      <c r="P29" s="143">
        <f>P23/10000</f>
        <v>470</v>
      </c>
      <c r="Q29" s="143">
        <f>P29*4047/5</f>
        <v>380418</v>
      </c>
      <c r="S29">
        <v>2278</v>
      </c>
      <c r="T29">
        <v>4000</v>
      </c>
      <c r="U29" s="68">
        <f>T29*S29</f>
        <v>9112000</v>
      </c>
    </row>
    <row r="30" spans="3:24" x14ac:dyDescent="0.2">
      <c r="D30" s="68">
        <v>8</v>
      </c>
      <c r="E30" s="72">
        <v>0.184</v>
      </c>
      <c r="P30" s="143">
        <f t="shared" ref="P30:P32" si="5">P24/10000</f>
        <v>440</v>
      </c>
      <c r="Q30" s="143">
        <f t="shared" ref="Q30:Q32" si="6">P30*4047/5</f>
        <v>356136</v>
      </c>
      <c r="S30">
        <v>14400</v>
      </c>
      <c r="T30">
        <v>1500</v>
      </c>
      <c r="U30" s="68">
        <f t="shared" ref="U30:U31" si="7">T30*S30</f>
        <v>21600000</v>
      </c>
    </row>
    <row r="31" spans="3:24" x14ac:dyDescent="0.2">
      <c r="D31" s="68">
        <v>9</v>
      </c>
      <c r="E31" s="72">
        <v>0.42</v>
      </c>
      <c r="P31" s="143">
        <f t="shared" si="5"/>
        <v>420</v>
      </c>
      <c r="Q31" s="143">
        <f t="shared" si="6"/>
        <v>339948</v>
      </c>
      <c r="S31">
        <v>40</v>
      </c>
      <c r="T31">
        <v>1000000</v>
      </c>
      <c r="U31" s="68">
        <f t="shared" si="7"/>
        <v>40000000</v>
      </c>
    </row>
    <row r="32" spans="3:24" x14ac:dyDescent="0.2">
      <c r="D32" s="68">
        <v>10</v>
      </c>
      <c r="E32" s="72">
        <v>0.34799999999999998</v>
      </c>
      <c r="L32" s="68">
        <f>4047*10.764</f>
        <v>43561.907999999996</v>
      </c>
      <c r="M32" s="68">
        <v>5</v>
      </c>
      <c r="N32" s="67">
        <f>L32/M32</f>
        <v>8712.3815999999988</v>
      </c>
      <c r="P32" s="143">
        <f t="shared" si="5"/>
        <v>420</v>
      </c>
      <c r="Q32" s="143">
        <f t="shared" si="6"/>
        <v>339948</v>
      </c>
      <c r="U32" s="68">
        <f>SUM(U29:U31)</f>
        <v>70712000</v>
      </c>
    </row>
    <row r="33" spans="4:25" x14ac:dyDescent="0.2">
      <c r="D33" s="68">
        <v>11</v>
      </c>
      <c r="E33" s="72">
        <v>0.113</v>
      </c>
      <c r="P33" s="143"/>
    </row>
    <row r="34" spans="4:25" x14ac:dyDescent="0.2">
      <c r="D34" s="68">
        <v>12</v>
      </c>
      <c r="E34" s="72">
        <v>0.13300000000000001</v>
      </c>
      <c r="K34" s="75" t="s">
        <v>481</v>
      </c>
    </row>
    <row r="35" spans="4:25" x14ac:dyDescent="0.2">
      <c r="D35" s="68">
        <v>13</v>
      </c>
      <c r="E35" s="72">
        <v>0.215</v>
      </c>
      <c r="K35" s="51" t="s">
        <v>475</v>
      </c>
      <c r="L35" s="66" t="s">
        <v>476</v>
      </c>
    </row>
    <row r="36" spans="4:25" x14ac:dyDescent="0.2">
      <c r="D36" s="68">
        <v>14</v>
      </c>
      <c r="E36" s="72">
        <v>0.59399999999999997</v>
      </c>
      <c r="K36" s="71">
        <f>L27/4047</f>
        <v>63.471954534222888</v>
      </c>
      <c r="L36" s="67">
        <f>K36*5</f>
        <v>317.35977267111446</v>
      </c>
      <c r="M36" s="67">
        <v>317.36</v>
      </c>
      <c r="N36" s="139">
        <v>1000000</v>
      </c>
      <c r="O36" s="143">
        <f>N36*M36</f>
        <v>317360000</v>
      </c>
      <c r="Q36" s="51" t="s">
        <v>482</v>
      </c>
    </row>
    <row r="37" spans="4:25" x14ac:dyDescent="0.2">
      <c r="D37" s="68">
        <v>15</v>
      </c>
      <c r="E37" s="72">
        <v>0.22500000000000001</v>
      </c>
      <c r="N37" s="68"/>
      <c r="Q37" s="144">
        <v>1469285767</v>
      </c>
    </row>
    <row r="38" spans="4:25" x14ac:dyDescent="0.2">
      <c r="D38" s="68">
        <v>16</v>
      </c>
      <c r="E38" s="72">
        <v>0.154</v>
      </c>
      <c r="N38" s="68">
        <v>1200000</v>
      </c>
    </row>
    <row r="39" spans="4:25" x14ac:dyDescent="0.2">
      <c r="D39" s="68">
        <v>17</v>
      </c>
      <c r="E39" s="72">
        <v>0.22500000000000001</v>
      </c>
      <c r="N39" s="68">
        <f>N38*1.1</f>
        <v>1320000</v>
      </c>
      <c r="Q39" s="71">
        <f>Q37+O36+'Libberheri Sugar Building'!W67+'Libberhedi Dist.- Building'!U26</f>
        <v>2202332077.6161151</v>
      </c>
      <c r="U39" s="68">
        <v>10000</v>
      </c>
      <c r="V39" s="68">
        <v>4700000</v>
      </c>
    </row>
    <row r="40" spans="4:25" x14ac:dyDescent="0.2">
      <c r="D40" s="68">
        <v>18</v>
      </c>
      <c r="E40" s="72">
        <v>0.246</v>
      </c>
      <c r="N40" s="68"/>
      <c r="U40" s="67">
        <f>U39/4047</f>
        <v>2.4709661477637757</v>
      </c>
      <c r="V40" s="68">
        <f>V39/U40</f>
        <v>1902090</v>
      </c>
    </row>
    <row r="41" spans="4:25" x14ac:dyDescent="0.2">
      <c r="D41" s="68">
        <v>19</v>
      </c>
      <c r="E41" s="72">
        <v>0.19500000000000001</v>
      </c>
      <c r="V41" s="143">
        <f>V40/5</f>
        <v>380418</v>
      </c>
    </row>
    <row r="42" spans="4:25" ht="13.5" thickBot="1" x14ac:dyDescent="0.25">
      <c r="D42" s="68">
        <v>20</v>
      </c>
      <c r="E42" s="72">
        <v>0.22600000000000001</v>
      </c>
      <c r="P42" s="51" t="s">
        <v>483</v>
      </c>
      <c r="Q42" s="68">
        <f>O36</f>
        <v>317360000</v>
      </c>
    </row>
    <row r="43" spans="4:25" ht="15" thickBot="1" x14ac:dyDescent="0.25">
      <c r="D43" s="68">
        <v>21</v>
      </c>
      <c r="E43" s="72">
        <v>0.26600000000000001</v>
      </c>
      <c r="J43">
        <v>1</v>
      </c>
      <c r="K43" s="51" t="s">
        <v>477</v>
      </c>
      <c r="L43" s="140">
        <v>700000</v>
      </c>
      <c r="M43" s="66" t="s">
        <v>479</v>
      </c>
      <c r="P43" s="51" t="s">
        <v>484</v>
      </c>
      <c r="Q43" s="68">
        <f>'Libberheri Sugar Building'!W67+'Libberhedi Dist.- Building'!U26</f>
        <v>415686310.61611503</v>
      </c>
    </row>
    <row r="44" spans="4:25" ht="15" thickBot="1" x14ac:dyDescent="0.25">
      <c r="D44" s="68">
        <v>22</v>
      </c>
      <c r="E44" s="72">
        <v>0.215</v>
      </c>
      <c r="J44">
        <v>2</v>
      </c>
      <c r="K44" s="51" t="s">
        <v>478</v>
      </c>
      <c r="L44" s="142">
        <v>0.1</v>
      </c>
      <c r="P44" s="51" t="s">
        <v>485</v>
      </c>
      <c r="Q44" s="68">
        <f>U32</f>
        <v>70712000</v>
      </c>
    </row>
    <row r="45" spans="4:25" ht="15" thickBot="1" x14ac:dyDescent="0.25">
      <c r="D45" s="68">
        <v>23</v>
      </c>
      <c r="E45" s="72">
        <v>0.25600000000000001</v>
      </c>
      <c r="K45" s="51" t="s">
        <v>480</v>
      </c>
      <c r="L45" s="141">
        <v>800000</v>
      </c>
      <c r="M45" s="66" t="s">
        <v>479</v>
      </c>
      <c r="P45" s="51" t="s">
        <v>482</v>
      </c>
      <c r="Q45" s="68" t="e">
        <f>GETPIVOTDATA("Sum of FV",[1]Pivot!$A$4)</f>
        <v>#REF!</v>
      </c>
    </row>
    <row r="46" spans="4:25" x14ac:dyDescent="0.2">
      <c r="D46" s="68">
        <v>24</v>
      </c>
      <c r="E46" s="72">
        <v>0.379</v>
      </c>
      <c r="Q46" s="68" t="e">
        <f>SUM(Q42:Q45)</f>
        <v>#REF!</v>
      </c>
    </row>
    <row r="47" spans="4:25" x14ac:dyDescent="0.2">
      <c r="D47" s="68">
        <v>25</v>
      </c>
      <c r="E47" s="72">
        <v>0.65600000000000003</v>
      </c>
      <c r="Q47">
        <v>217.8</v>
      </c>
      <c r="W47">
        <v>2550</v>
      </c>
      <c r="X47">
        <v>75000000</v>
      </c>
      <c r="Y47" s="68">
        <f>X47/W47</f>
        <v>29411.764705882353</v>
      </c>
    </row>
    <row r="48" spans="4:25" x14ac:dyDescent="0.2">
      <c r="D48" s="68">
        <v>26</v>
      </c>
      <c r="E48" s="72">
        <v>0.17399999999999999</v>
      </c>
      <c r="Q48">
        <f>Q47*0.85</f>
        <v>185.13</v>
      </c>
      <c r="W48">
        <v>3050</v>
      </c>
      <c r="Y48" s="68">
        <f>X47/W48</f>
        <v>24590.163934426229</v>
      </c>
    </row>
    <row r="49" spans="4:27" x14ac:dyDescent="0.2">
      <c r="D49" s="68">
        <v>27</v>
      </c>
      <c r="E49" s="72">
        <v>0.34799999999999998</v>
      </c>
      <c r="Q49">
        <f>Q47*0.7</f>
        <v>152.46</v>
      </c>
      <c r="Y49">
        <v>35000</v>
      </c>
      <c r="Z49">
        <v>40000</v>
      </c>
      <c r="AA49" s="68">
        <f>Z49*W50</f>
        <v>67920000</v>
      </c>
    </row>
    <row r="50" spans="4:27" x14ac:dyDescent="0.2">
      <c r="D50" s="68">
        <v>28</v>
      </c>
      <c r="E50" s="72">
        <v>0.14799999999999999</v>
      </c>
      <c r="W50">
        <v>1698</v>
      </c>
      <c r="Y50" s="68">
        <f>Y49*W50</f>
        <v>59430000</v>
      </c>
    </row>
    <row r="51" spans="4:27" x14ac:dyDescent="0.2">
      <c r="D51" s="68">
        <v>29</v>
      </c>
      <c r="E51" s="72">
        <v>0.184</v>
      </c>
    </row>
    <row r="52" spans="4:27" x14ac:dyDescent="0.2">
      <c r="D52" s="68">
        <v>30</v>
      </c>
      <c r="E52" s="72">
        <v>0.14399999999999999</v>
      </c>
    </row>
    <row r="53" spans="4:27" x14ac:dyDescent="0.2">
      <c r="D53" s="68">
        <v>31</v>
      </c>
      <c r="E53" s="72">
        <v>0.54300000000000004</v>
      </c>
    </row>
    <row r="54" spans="4:27" x14ac:dyDescent="0.2">
      <c r="D54" s="68">
        <v>32</v>
      </c>
      <c r="E54" s="72">
        <v>0.23599999999999999</v>
      </c>
    </row>
    <row r="55" spans="4:27" x14ac:dyDescent="0.2">
      <c r="D55" s="68">
        <v>33</v>
      </c>
      <c r="E55" s="72">
        <v>0.13300000000000001</v>
      </c>
    </row>
    <row r="56" spans="4:27" x14ac:dyDescent="0.2">
      <c r="D56" s="68">
        <v>34</v>
      </c>
      <c r="E56" s="72">
        <v>0.307</v>
      </c>
    </row>
    <row r="57" spans="4:27" x14ac:dyDescent="0.2">
      <c r="D57" s="68">
        <v>35</v>
      </c>
      <c r="E57" s="72">
        <v>0.14799999999999999</v>
      </c>
    </row>
    <row r="58" spans="4:27" x14ac:dyDescent="0.2">
      <c r="D58" s="68">
        <v>36</v>
      </c>
      <c r="E58" s="72">
        <v>0.16400000000000001</v>
      </c>
    </row>
    <row r="59" spans="4:27" x14ac:dyDescent="0.2">
      <c r="D59" s="68">
        <v>37</v>
      </c>
      <c r="E59" s="72">
        <v>0.49199999999999999</v>
      </c>
    </row>
    <row r="60" spans="4:27" x14ac:dyDescent="0.2">
      <c r="D60" s="68">
        <v>38</v>
      </c>
      <c r="E60" s="72">
        <v>0.13500000000000001</v>
      </c>
    </row>
    <row r="61" spans="4:27" x14ac:dyDescent="0.2">
      <c r="D61" s="68">
        <v>39</v>
      </c>
      <c r="E61" s="72">
        <v>9.1999999999999998E-2</v>
      </c>
    </row>
    <row r="62" spans="4:27" x14ac:dyDescent="0.2">
      <c r="D62" s="68">
        <v>40</v>
      </c>
      <c r="E62" s="72">
        <v>9.1999999999999998E-2</v>
      </c>
    </row>
    <row r="63" spans="4:27" x14ac:dyDescent="0.2">
      <c r="D63" s="68">
        <v>41</v>
      </c>
      <c r="E63" s="72">
        <v>9.1999999999999998E-2</v>
      </c>
    </row>
    <row r="64" spans="4:27" x14ac:dyDescent="0.2">
      <c r="E64" s="72">
        <f>SUM(E23:E63)</f>
        <v>10.41</v>
      </c>
    </row>
    <row r="66" spans="3:9" x14ac:dyDescent="0.2">
      <c r="C66" s="51" t="s">
        <v>428</v>
      </c>
      <c r="D66" s="68">
        <v>1</v>
      </c>
      <c r="E66" s="72">
        <v>0.65100000000000002</v>
      </c>
    </row>
    <row r="67" spans="3:9" x14ac:dyDescent="0.2">
      <c r="D67" s="68">
        <v>2</v>
      </c>
      <c r="E67" s="72">
        <v>0.754</v>
      </c>
    </row>
    <row r="68" spans="3:9" x14ac:dyDescent="0.2">
      <c r="D68" s="68">
        <v>3</v>
      </c>
      <c r="E68" s="72">
        <v>4.8760000000000003</v>
      </c>
    </row>
    <row r="69" spans="3:9" x14ac:dyDescent="0.2">
      <c r="D69" s="68">
        <v>4</v>
      </c>
      <c r="E69" s="72">
        <v>0.27700000000000002</v>
      </c>
    </row>
    <row r="70" spans="3:9" x14ac:dyDescent="0.2">
      <c r="D70" s="68">
        <v>5</v>
      </c>
      <c r="E70" s="72">
        <v>0.371</v>
      </c>
    </row>
    <row r="71" spans="3:9" x14ac:dyDescent="0.2">
      <c r="D71" s="68">
        <v>6</v>
      </c>
      <c r="E71" s="72">
        <v>0.371</v>
      </c>
    </row>
    <row r="72" spans="3:9" x14ac:dyDescent="0.2">
      <c r="D72" s="68">
        <v>7</v>
      </c>
      <c r="E72" s="72">
        <v>0.372</v>
      </c>
    </row>
    <row r="73" spans="3:9" x14ac:dyDescent="0.2">
      <c r="D73" s="68">
        <v>8</v>
      </c>
      <c r="E73" s="72">
        <v>5.2999999999999999E-2</v>
      </c>
    </row>
    <row r="74" spans="3:9" x14ac:dyDescent="0.2">
      <c r="D74" s="68">
        <v>9</v>
      </c>
      <c r="E74" s="72">
        <v>0.372</v>
      </c>
    </row>
    <row r="75" spans="3:9" x14ac:dyDescent="0.2">
      <c r="D75" s="68">
        <v>10</v>
      </c>
      <c r="E75" s="72">
        <v>2.794</v>
      </c>
    </row>
    <row r="76" spans="3:9" x14ac:dyDescent="0.2">
      <c r="D76" s="68">
        <v>11</v>
      </c>
      <c r="E76" s="72">
        <v>0.71630000000000005</v>
      </c>
    </row>
    <row r="77" spans="3:9" x14ac:dyDescent="0.2">
      <c r="D77" s="68">
        <v>12</v>
      </c>
      <c r="E77" s="72">
        <v>0.57899999999999996</v>
      </c>
    </row>
    <row r="78" spans="3:9" x14ac:dyDescent="0.2">
      <c r="E78" s="72">
        <f>SUM(E66:E77)</f>
        <v>12.186300000000003</v>
      </c>
    </row>
    <row r="80" spans="3:9" x14ac:dyDescent="0.2">
      <c r="C80" s="51" t="s">
        <v>429</v>
      </c>
      <c r="D80" s="68">
        <v>1</v>
      </c>
      <c r="E80" s="72">
        <v>0.41</v>
      </c>
      <c r="F80" s="73">
        <f>E80+E78+E64</f>
        <v>23.006300000000003</v>
      </c>
      <c r="G80" s="71">
        <f>F80+E20</f>
        <v>25.687100000000001</v>
      </c>
      <c r="H80" s="74">
        <f>G80*10000</f>
        <v>256871</v>
      </c>
      <c r="I80" s="67">
        <f>H80/4047</f>
        <v>63.471954534222881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A87"/>
  <sheetViews>
    <sheetView tabSelected="1" topLeftCell="A52" workbookViewId="0">
      <selection activeCell="T79" sqref="T79"/>
    </sheetView>
  </sheetViews>
  <sheetFormatPr defaultRowHeight="12.75" x14ac:dyDescent="0.2"/>
  <cols>
    <col min="1" max="1" width="9.140625" style="51"/>
    <col min="2" max="2" width="18.7109375" style="51" hidden="1" customWidth="1"/>
    <col min="3" max="3" width="25.85546875" style="51" bestFit="1" customWidth="1"/>
    <col min="4" max="4" width="36.85546875" style="51" customWidth="1"/>
    <col min="5" max="5" width="9.140625" style="51" hidden="1" customWidth="1"/>
    <col min="6" max="6" width="13" style="66" customWidth="1"/>
    <col min="7" max="7" width="14.7109375" style="66" hidden="1" customWidth="1"/>
    <col min="8" max="8" width="13.28515625" style="51" hidden="1" customWidth="1"/>
    <col min="9" max="9" width="9.140625" style="51" hidden="1" customWidth="1"/>
    <col min="10" max="10" width="15" style="51" customWidth="1"/>
    <col min="11" max="11" width="9.140625" style="51" hidden="1" customWidth="1"/>
    <col min="12" max="12" width="12.28515625" style="51" hidden="1" customWidth="1"/>
    <col min="13" max="13" width="12.85546875" style="51" hidden="1" customWidth="1"/>
    <col min="14" max="14" width="9.140625" style="51" hidden="1" customWidth="1"/>
    <col min="15" max="15" width="14.85546875" style="51" hidden="1" customWidth="1"/>
    <col min="16" max="17" width="9.140625" style="51" hidden="1" customWidth="1"/>
    <col min="18" max="18" width="11.7109375" style="51" hidden="1" customWidth="1"/>
    <col min="19" max="19" width="13.28515625" style="51" hidden="1" customWidth="1"/>
    <col min="20" max="20" width="15.85546875" style="51" customWidth="1"/>
    <col min="21" max="21" width="17" style="51" hidden="1" customWidth="1"/>
    <col min="22" max="22" width="16.42578125" style="51" hidden="1" customWidth="1"/>
    <col min="23" max="23" width="14.42578125" style="51" customWidth="1"/>
    <col min="24" max="26" width="9.140625" style="51"/>
    <col min="27" max="27" width="16.140625" style="51" bestFit="1" customWidth="1"/>
    <col min="28" max="16384" width="9.140625" style="51"/>
  </cols>
  <sheetData>
    <row r="2" spans="1:27" ht="23.25" customHeight="1" x14ac:dyDescent="0.2">
      <c r="A2" s="157" t="s">
        <v>469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7" ht="15" hidden="1" x14ac:dyDescent="0.2">
      <c r="F3" s="155" t="s">
        <v>241</v>
      </c>
      <c r="G3" s="156"/>
      <c r="R3" s="51">
        <v>2022</v>
      </c>
      <c r="T3" s="111">
        <f>SUBTOTAL(9,T5:T65)</f>
        <v>607315796.70299983</v>
      </c>
      <c r="U3" s="111">
        <f t="shared" ref="U3:W3" si="0">SUBTOTAL(9,U5:U65)</f>
        <v>200995311.66560999</v>
      </c>
      <c r="V3" s="111">
        <f t="shared" si="0"/>
        <v>406320485.03739005</v>
      </c>
      <c r="W3" s="111">
        <f t="shared" si="0"/>
        <v>406320485.03739005</v>
      </c>
    </row>
    <row r="4" spans="1:27" s="92" customFormat="1" ht="60" x14ac:dyDescent="0.2">
      <c r="A4" s="107" t="s">
        <v>331</v>
      </c>
      <c r="B4" s="59" t="s">
        <v>242</v>
      </c>
      <c r="C4" s="59" t="s">
        <v>139</v>
      </c>
      <c r="D4" s="59" t="s">
        <v>141</v>
      </c>
      <c r="E4" s="61" t="s">
        <v>424</v>
      </c>
      <c r="F4" s="63" t="s">
        <v>409</v>
      </c>
      <c r="G4" s="63" t="s">
        <v>410</v>
      </c>
      <c r="H4" s="59" t="s">
        <v>412</v>
      </c>
      <c r="I4" s="59" t="s">
        <v>413</v>
      </c>
      <c r="J4" s="59" t="s">
        <v>414</v>
      </c>
      <c r="K4" s="59" t="s">
        <v>415</v>
      </c>
      <c r="L4" s="59" t="s">
        <v>416</v>
      </c>
      <c r="M4" s="59" t="s">
        <v>417</v>
      </c>
      <c r="N4" s="112" t="s">
        <v>0</v>
      </c>
      <c r="O4" s="108" t="s">
        <v>245</v>
      </c>
      <c r="P4" s="108" t="s">
        <v>246</v>
      </c>
      <c r="Q4" s="108" t="s">
        <v>247</v>
      </c>
      <c r="R4" s="108" t="s">
        <v>459</v>
      </c>
      <c r="S4" s="63" t="s">
        <v>458</v>
      </c>
      <c r="T4" s="59" t="s">
        <v>419</v>
      </c>
      <c r="U4" s="85" t="s">
        <v>420</v>
      </c>
      <c r="V4" s="85" t="s">
        <v>421</v>
      </c>
      <c r="W4" s="85" t="s">
        <v>422</v>
      </c>
    </row>
    <row r="5" spans="1:27" x14ac:dyDescent="0.2">
      <c r="A5" s="76">
        <v>1</v>
      </c>
      <c r="B5" s="76" t="s">
        <v>279</v>
      </c>
      <c r="C5" s="76" t="s">
        <v>252</v>
      </c>
      <c r="D5" s="86" t="s">
        <v>273</v>
      </c>
      <c r="E5" s="76">
        <v>20</v>
      </c>
      <c r="F5" s="78">
        <f>G5*10.764</f>
        <v>24488.1</v>
      </c>
      <c r="G5" s="78">
        <f>91*25</f>
        <v>2275</v>
      </c>
      <c r="H5" s="87">
        <v>2004</v>
      </c>
      <c r="I5" s="87">
        <v>2022</v>
      </c>
      <c r="J5" s="87">
        <f>I5-H5</f>
        <v>18</v>
      </c>
      <c r="K5" s="87">
        <v>45</v>
      </c>
      <c r="L5" s="88">
        <v>0.1</v>
      </c>
      <c r="M5" s="62">
        <f>(1-L5)/K5</f>
        <v>0.02</v>
      </c>
      <c r="N5" s="89" t="s">
        <v>153</v>
      </c>
      <c r="O5" s="90">
        <v>17640</v>
      </c>
      <c r="P5" s="90">
        <f>O5*1.1</f>
        <v>19404</v>
      </c>
      <c r="Q5" s="90">
        <f>P5/10.764</f>
        <v>1802.6755852842809</v>
      </c>
      <c r="R5" s="88">
        <v>0.9</v>
      </c>
      <c r="S5" s="91">
        <f>R5*Q5</f>
        <v>1622.4080267558529</v>
      </c>
      <c r="T5" s="64">
        <f t="shared" ref="T5:T36" si="1">S5*F5</f>
        <v>39729690</v>
      </c>
      <c r="U5" s="64">
        <f t="shared" ref="U5:U36" si="2">T5*M5*J5</f>
        <v>14302688.4</v>
      </c>
      <c r="V5" s="64">
        <f t="shared" ref="V5" si="3">MAX(T5-U5,0)</f>
        <v>25427001.600000001</v>
      </c>
      <c r="W5" s="64">
        <f>V5</f>
        <v>25427001.600000001</v>
      </c>
    </row>
    <row r="6" spans="1:27" s="125" customFormat="1" hidden="1" x14ac:dyDescent="0.2">
      <c r="A6" s="115">
        <v>2</v>
      </c>
      <c r="B6" s="115" t="s">
        <v>279</v>
      </c>
      <c r="C6" s="115" t="s">
        <v>253</v>
      </c>
      <c r="D6" s="116" t="s">
        <v>273</v>
      </c>
      <c r="E6" s="115">
        <v>27</v>
      </c>
      <c r="F6" s="117">
        <f t="shared" ref="F6:F65" si="4">G6*10.764</f>
        <v>17071.703999999998</v>
      </c>
      <c r="G6" s="117">
        <f>61*26</f>
        <v>1586</v>
      </c>
      <c r="H6" s="118">
        <v>2004</v>
      </c>
      <c r="I6" s="118">
        <v>2022</v>
      </c>
      <c r="J6" s="118">
        <f t="shared" ref="J6:J65" si="5">I6-H6</f>
        <v>18</v>
      </c>
      <c r="K6" s="118">
        <v>45</v>
      </c>
      <c r="L6" s="119">
        <v>0.1</v>
      </c>
      <c r="M6" s="120">
        <f t="shared" ref="M6:M65" si="6">(1-L6)/K6</f>
        <v>0.02</v>
      </c>
      <c r="N6" s="121" t="s">
        <v>153</v>
      </c>
      <c r="O6" s="122">
        <v>17640</v>
      </c>
      <c r="P6" s="122">
        <f t="shared" ref="P6:P65" si="7">O6*1.1</f>
        <v>19404</v>
      </c>
      <c r="Q6" s="122">
        <f t="shared" ref="Q6:Q65" si="8">P6/10.764</f>
        <v>1802.6755852842809</v>
      </c>
      <c r="R6" s="119">
        <v>0.6</v>
      </c>
      <c r="S6" s="123">
        <f t="shared" ref="S6:S65" si="9">R6*Q6</f>
        <v>1081.6053511705686</v>
      </c>
      <c r="T6" s="124">
        <f t="shared" si="1"/>
        <v>18464846.399999999</v>
      </c>
      <c r="U6" s="124">
        <f t="shared" si="2"/>
        <v>6647344.703999999</v>
      </c>
      <c r="V6" s="124">
        <f t="shared" ref="V6:V65" si="10">MAX(T6-U6,0)</f>
        <v>11817501.695999999</v>
      </c>
      <c r="W6" s="124">
        <f t="shared" ref="W6:W65" si="11">V6</f>
        <v>11817501.695999999</v>
      </c>
    </row>
    <row r="7" spans="1:27" x14ac:dyDescent="0.2">
      <c r="A7" s="76">
        <v>2</v>
      </c>
      <c r="B7" s="76" t="s">
        <v>279</v>
      </c>
      <c r="C7" s="76" t="s">
        <v>254</v>
      </c>
      <c r="D7" s="86" t="s">
        <v>273</v>
      </c>
      <c r="E7" s="76">
        <v>20</v>
      </c>
      <c r="F7" s="78">
        <f t="shared" si="4"/>
        <v>18837</v>
      </c>
      <c r="G7" s="78">
        <f>70*25</f>
        <v>1750</v>
      </c>
      <c r="H7" s="87">
        <v>2004</v>
      </c>
      <c r="I7" s="87">
        <v>2022</v>
      </c>
      <c r="J7" s="87">
        <f t="shared" si="5"/>
        <v>18</v>
      </c>
      <c r="K7" s="87">
        <v>45</v>
      </c>
      <c r="L7" s="88">
        <v>0.1</v>
      </c>
      <c r="M7" s="62">
        <f t="shared" si="6"/>
        <v>0.02</v>
      </c>
      <c r="N7" s="89" t="s">
        <v>153</v>
      </c>
      <c r="O7" s="90">
        <v>17640</v>
      </c>
      <c r="P7" s="90">
        <f t="shared" si="7"/>
        <v>19404</v>
      </c>
      <c r="Q7" s="90">
        <f t="shared" si="8"/>
        <v>1802.6755852842809</v>
      </c>
      <c r="R7" s="88">
        <v>0.9</v>
      </c>
      <c r="S7" s="91">
        <f t="shared" si="9"/>
        <v>1622.4080267558529</v>
      </c>
      <c r="T7" s="64">
        <f t="shared" si="1"/>
        <v>30561300</v>
      </c>
      <c r="U7" s="64">
        <f t="shared" si="2"/>
        <v>11002068</v>
      </c>
      <c r="V7" s="64">
        <f t="shared" si="10"/>
        <v>19559232</v>
      </c>
      <c r="W7" s="64">
        <f t="shared" si="11"/>
        <v>19559232</v>
      </c>
    </row>
    <row r="8" spans="1:27" x14ac:dyDescent="0.2">
      <c r="A8" s="76">
        <v>3</v>
      </c>
      <c r="B8" s="76" t="s">
        <v>279</v>
      </c>
      <c r="C8" s="76" t="s">
        <v>255</v>
      </c>
      <c r="D8" s="86" t="s">
        <v>273</v>
      </c>
      <c r="E8" s="76">
        <v>27</v>
      </c>
      <c r="F8" s="78">
        <f t="shared" si="4"/>
        <v>11302.199999999999</v>
      </c>
      <c r="G8" s="78">
        <f>42*25</f>
        <v>1050</v>
      </c>
      <c r="H8" s="87">
        <v>2004</v>
      </c>
      <c r="I8" s="87">
        <v>2022</v>
      </c>
      <c r="J8" s="87">
        <f t="shared" si="5"/>
        <v>18</v>
      </c>
      <c r="K8" s="87">
        <v>45</v>
      </c>
      <c r="L8" s="88">
        <v>0.1</v>
      </c>
      <c r="M8" s="62">
        <f t="shared" si="6"/>
        <v>0.02</v>
      </c>
      <c r="N8" s="89" t="s">
        <v>153</v>
      </c>
      <c r="O8" s="90">
        <v>17640</v>
      </c>
      <c r="P8" s="90">
        <f t="shared" si="7"/>
        <v>19404</v>
      </c>
      <c r="Q8" s="90">
        <f t="shared" si="8"/>
        <v>1802.6755852842809</v>
      </c>
      <c r="R8" s="88">
        <v>0.9</v>
      </c>
      <c r="S8" s="91">
        <f t="shared" si="9"/>
        <v>1622.4080267558529</v>
      </c>
      <c r="T8" s="64">
        <f t="shared" si="1"/>
        <v>18336780</v>
      </c>
      <c r="U8" s="64">
        <f t="shared" si="2"/>
        <v>6601240.8000000007</v>
      </c>
      <c r="V8" s="64">
        <f t="shared" si="10"/>
        <v>11735539.199999999</v>
      </c>
      <c r="W8" s="64">
        <f t="shared" si="11"/>
        <v>11735539.199999999</v>
      </c>
      <c r="Y8" s="51" t="s">
        <v>403</v>
      </c>
    </row>
    <row r="9" spans="1:27" x14ac:dyDescent="0.2">
      <c r="A9" s="76">
        <v>4</v>
      </c>
      <c r="B9" s="76" t="s">
        <v>279</v>
      </c>
      <c r="C9" s="76" t="s">
        <v>256</v>
      </c>
      <c r="D9" s="86" t="s">
        <v>273</v>
      </c>
      <c r="E9" s="76">
        <v>27</v>
      </c>
      <c r="F9" s="78">
        <f t="shared" si="4"/>
        <v>11625.119999999999</v>
      </c>
      <c r="G9" s="78">
        <f>36*30</f>
        <v>1080</v>
      </c>
      <c r="H9" s="87">
        <v>2004</v>
      </c>
      <c r="I9" s="87">
        <v>2022</v>
      </c>
      <c r="J9" s="87">
        <f t="shared" si="5"/>
        <v>18</v>
      </c>
      <c r="K9" s="87">
        <v>45</v>
      </c>
      <c r="L9" s="88">
        <v>0.1</v>
      </c>
      <c r="M9" s="62">
        <f t="shared" si="6"/>
        <v>0.02</v>
      </c>
      <c r="N9" s="89" t="s">
        <v>153</v>
      </c>
      <c r="O9" s="90">
        <v>17640</v>
      </c>
      <c r="P9" s="90">
        <f t="shared" si="7"/>
        <v>19404</v>
      </c>
      <c r="Q9" s="90">
        <f t="shared" si="8"/>
        <v>1802.6755852842809</v>
      </c>
      <c r="R9" s="88">
        <v>0.9</v>
      </c>
      <c r="S9" s="91">
        <f t="shared" si="9"/>
        <v>1622.4080267558529</v>
      </c>
      <c r="T9" s="64">
        <f t="shared" si="1"/>
        <v>18860688</v>
      </c>
      <c r="U9" s="64">
        <f t="shared" si="2"/>
        <v>6789847.6799999997</v>
      </c>
      <c r="V9" s="64">
        <f t="shared" si="10"/>
        <v>12070840.32</v>
      </c>
      <c r="W9" s="64">
        <f t="shared" si="11"/>
        <v>12070840.32</v>
      </c>
      <c r="Y9" s="51">
        <v>660</v>
      </c>
    </row>
    <row r="10" spans="1:27" x14ac:dyDescent="0.2">
      <c r="A10" s="76">
        <v>5</v>
      </c>
      <c r="B10" s="76" t="s">
        <v>279</v>
      </c>
      <c r="C10" s="76" t="s">
        <v>257</v>
      </c>
      <c r="D10" s="86" t="s">
        <v>273</v>
      </c>
      <c r="E10" s="76">
        <v>30</v>
      </c>
      <c r="F10" s="78">
        <f t="shared" si="4"/>
        <v>20150.207999999999</v>
      </c>
      <c r="G10" s="78">
        <f>72*26</f>
        <v>1872</v>
      </c>
      <c r="H10" s="87">
        <v>2004</v>
      </c>
      <c r="I10" s="87">
        <v>2022</v>
      </c>
      <c r="J10" s="87">
        <f t="shared" si="5"/>
        <v>18</v>
      </c>
      <c r="K10" s="87">
        <v>45</v>
      </c>
      <c r="L10" s="88">
        <v>0.1</v>
      </c>
      <c r="M10" s="62">
        <f t="shared" si="6"/>
        <v>0.02</v>
      </c>
      <c r="N10" s="89" t="s">
        <v>153</v>
      </c>
      <c r="O10" s="90">
        <v>17640</v>
      </c>
      <c r="P10" s="90">
        <f t="shared" si="7"/>
        <v>19404</v>
      </c>
      <c r="Q10" s="90">
        <f t="shared" si="8"/>
        <v>1802.6755852842809</v>
      </c>
      <c r="R10" s="88">
        <v>0.9</v>
      </c>
      <c r="S10" s="91">
        <f t="shared" si="9"/>
        <v>1622.4080267558529</v>
      </c>
      <c r="T10" s="64">
        <f t="shared" si="1"/>
        <v>32691859.199999999</v>
      </c>
      <c r="U10" s="64">
        <f t="shared" si="2"/>
        <v>11769069.312000001</v>
      </c>
      <c r="V10" s="64">
        <f t="shared" si="10"/>
        <v>20922789.887999997</v>
      </c>
      <c r="W10" s="64">
        <f t="shared" si="11"/>
        <v>20922789.887999997</v>
      </c>
      <c r="Y10" s="51">
        <v>800</v>
      </c>
    </row>
    <row r="11" spans="1:27" x14ac:dyDescent="0.2">
      <c r="A11" s="76">
        <v>6</v>
      </c>
      <c r="B11" s="76" t="s">
        <v>279</v>
      </c>
      <c r="C11" s="76" t="s">
        <v>258</v>
      </c>
      <c r="D11" s="86" t="s">
        <v>273</v>
      </c>
      <c r="E11" s="76">
        <v>30</v>
      </c>
      <c r="F11" s="78">
        <f t="shared" si="4"/>
        <v>8395.92</v>
      </c>
      <c r="G11" s="78">
        <f>30*26</f>
        <v>780</v>
      </c>
      <c r="H11" s="87">
        <v>2004</v>
      </c>
      <c r="I11" s="87">
        <v>2022</v>
      </c>
      <c r="J11" s="87">
        <f t="shared" si="5"/>
        <v>18</v>
      </c>
      <c r="K11" s="87">
        <v>45</v>
      </c>
      <c r="L11" s="88">
        <v>0.1</v>
      </c>
      <c r="M11" s="62">
        <f t="shared" si="6"/>
        <v>0.02</v>
      </c>
      <c r="N11" s="89" t="s">
        <v>153</v>
      </c>
      <c r="O11" s="90">
        <v>17640</v>
      </c>
      <c r="P11" s="90">
        <f t="shared" si="7"/>
        <v>19404</v>
      </c>
      <c r="Q11" s="90">
        <f t="shared" si="8"/>
        <v>1802.6755852842809</v>
      </c>
      <c r="R11" s="88">
        <v>0.9</v>
      </c>
      <c r="S11" s="91">
        <f t="shared" si="9"/>
        <v>1622.4080267558529</v>
      </c>
      <c r="T11" s="64">
        <f t="shared" si="1"/>
        <v>13621608</v>
      </c>
      <c r="U11" s="64">
        <f t="shared" si="2"/>
        <v>4903778.8800000008</v>
      </c>
      <c r="V11" s="64">
        <f t="shared" si="10"/>
        <v>8717829.1199999992</v>
      </c>
      <c r="W11" s="64">
        <f t="shared" si="11"/>
        <v>8717829.1199999992</v>
      </c>
      <c r="Y11" s="51">
        <v>140</v>
      </c>
    </row>
    <row r="12" spans="1:27" x14ac:dyDescent="0.2">
      <c r="A12" s="76">
        <v>7</v>
      </c>
      <c r="B12" s="76" t="s">
        <v>279</v>
      </c>
      <c r="C12" s="76" t="s">
        <v>259</v>
      </c>
      <c r="D12" s="86" t="s">
        <v>273</v>
      </c>
      <c r="E12" s="76">
        <v>25</v>
      </c>
      <c r="F12" s="78">
        <f t="shared" si="4"/>
        <v>13455</v>
      </c>
      <c r="G12" s="78">
        <f>50*25</f>
        <v>1250</v>
      </c>
      <c r="H12" s="87">
        <v>2004</v>
      </c>
      <c r="I12" s="87">
        <v>2022</v>
      </c>
      <c r="J12" s="87">
        <f t="shared" si="5"/>
        <v>18</v>
      </c>
      <c r="K12" s="87">
        <v>45</v>
      </c>
      <c r="L12" s="88">
        <v>0.1</v>
      </c>
      <c r="M12" s="62">
        <f t="shared" si="6"/>
        <v>0.02</v>
      </c>
      <c r="N12" s="89" t="s">
        <v>153</v>
      </c>
      <c r="O12" s="90">
        <v>17640</v>
      </c>
      <c r="P12" s="90">
        <f t="shared" si="7"/>
        <v>19404</v>
      </c>
      <c r="Q12" s="90">
        <f t="shared" si="8"/>
        <v>1802.6755852842809</v>
      </c>
      <c r="R12" s="88">
        <v>0.9</v>
      </c>
      <c r="S12" s="91">
        <f t="shared" si="9"/>
        <v>1622.4080267558529</v>
      </c>
      <c r="T12" s="64">
        <f t="shared" si="1"/>
        <v>21829500</v>
      </c>
      <c r="U12" s="64">
        <f t="shared" si="2"/>
        <v>7858620</v>
      </c>
      <c r="V12" s="64">
        <f t="shared" si="10"/>
        <v>13970880</v>
      </c>
      <c r="W12" s="64">
        <f t="shared" si="11"/>
        <v>13970880</v>
      </c>
      <c r="Y12" s="51">
        <v>220</v>
      </c>
    </row>
    <row r="13" spans="1:27" x14ac:dyDescent="0.2">
      <c r="A13" s="76">
        <v>8</v>
      </c>
      <c r="B13" s="76" t="s">
        <v>279</v>
      </c>
      <c r="C13" s="76" t="s">
        <v>260</v>
      </c>
      <c r="D13" s="86" t="s">
        <v>274</v>
      </c>
      <c r="E13" s="76">
        <v>3</v>
      </c>
      <c r="F13" s="78">
        <f t="shared" si="4"/>
        <v>1937.52</v>
      </c>
      <c r="G13" s="78">
        <f>30*6</f>
        <v>180</v>
      </c>
      <c r="H13" s="87">
        <v>2004</v>
      </c>
      <c r="I13" s="87">
        <v>2022</v>
      </c>
      <c r="J13" s="87">
        <f t="shared" si="5"/>
        <v>18</v>
      </c>
      <c r="K13" s="87">
        <v>60</v>
      </c>
      <c r="L13" s="88">
        <v>0.1</v>
      </c>
      <c r="M13" s="62">
        <f t="shared" si="6"/>
        <v>1.5000000000000001E-2</v>
      </c>
      <c r="N13" s="89" t="s">
        <v>244</v>
      </c>
      <c r="O13" s="90">
        <v>20685</v>
      </c>
      <c r="P13" s="90">
        <f t="shared" si="7"/>
        <v>22753.500000000004</v>
      </c>
      <c r="Q13" s="90">
        <f t="shared" si="8"/>
        <v>2113.8517279821631</v>
      </c>
      <c r="R13" s="88">
        <v>0.65</v>
      </c>
      <c r="S13" s="91">
        <f t="shared" si="9"/>
        <v>1374.003623188406</v>
      </c>
      <c r="T13" s="64">
        <f t="shared" si="1"/>
        <v>2662159.5000000005</v>
      </c>
      <c r="U13" s="64">
        <f t="shared" si="2"/>
        <v>718783.06500000018</v>
      </c>
      <c r="V13" s="64">
        <f t="shared" si="10"/>
        <v>1943376.4350000003</v>
      </c>
      <c r="W13" s="64">
        <f t="shared" si="11"/>
        <v>1943376.4350000003</v>
      </c>
      <c r="Y13" s="51">
        <f>SUM(Y9:Y12)</f>
        <v>1820</v>
      </c>
    </row>
    <row r="14" spans="1:27" x14ac:dyDescent="0.2">
      <c r="A14" s="76">
        <v>9</v>
      </c>
      <c r="B14" s="76" t="s">
        <v>279</v>
      </c>
      <c r="C14" s="76" t="s">
        <v>261</v>
      </c>
      <c r="D14" s="86" t="s">
        <v>274</v>
      </c>
      <c r="E14" s="76">
        <v>4</v>
      </c>
      <c r="F14" s="78">
        <f t="shared" si="4"/>
        <v>490.83839999999998</v>
      </c>
      <c r="G14" s="78">
        <f>8*5.7</f>
        <v>45.6</v>
      </c>
      <c r="H14" s="87">
        <v>2004</v>
      </c>
      <c r="I14" s="87">
        <v>2022</v>
      </c>
      <c r="J14" s="87">
        <f t="shared" si="5"/>
        <v>18</v>
      </c>
      <c r="K14" s="87">
        <v>60</v>
      </c>
      <c r="L14" s="88">
        <v>0.1</v>
      </c>
      <c r="M14" s="62">
        <f t="shared" si="6"/>
        <v>1.5000000000000001E-2</v>
      </c>
      <c r="N14" s="89" t="s">
        <v>244</v>
      </c>
      <c r="O14" s="90">
        <v>20685</v>
      </c>
      <c r="P14" s="90">
        <f t="shared" si="7"/>
        <v>22753.500000000004</v>
      </c>
      <c r="Q14" s="90">
        <f t="shared" si="8"/>
        <v>2113.8517279821631</v>
      </c>
      <c r="R14" s="88">
        <v>0.65</v>
      </c>
      <c r="S14" s="91">
        <f t="shared" si="9"/>
        <v>1374.003623188406</v>
      </c>
      <c r="T14" s="64">
        <f t="shared" si="1"/>
        <v>674413.74000000011</v>
      </c>
      <c r="U14" s="64">
        <f t="shared" si="2"/>
        <v>182091.70980000007</v>
      </c>
      <c r="V14" s="64">
        <f t="shared" si="10"/>
        <v>492322.03020000004</v>
      </c>
      <c r="W14" s="64">
        <f t="shared" si="11"/>
        <v>492322.03020000004</v>
      </c>
      <c r="Y14" s="51">
        <f>1800*8</f>
        <v>14400</v>
      </c>
      <c r="Z14" s="51">
        <v>1500</v>
      </c>
      <c r="AA14" s="126">
        <f>Z14*Y14</f>
        <v>21600000</v>
      </c>
    </row>
    <row r="15" spans="1:27" x14ac:dyDescent="0.2">
      <c r="A15" s="76">
        <v>10</v>
      </c>
      <c r="B15" s="76" t="s">
        <v>279</v>
      </c>
      <c r="C15" s="76" t="s">
        <v>262</v>
      </c>
      <c r="D15" s="86" t="s">
        <v>275</v>
      </c>
      <c r="E15" s="76">
        <v>3.6</v>
      </c>
      <c r="F15" s="78">
        <f t="shared" si="4"/>
        <v>639.38159999999993</v>
      </c>
      <c r="G15" s="78">
        <f>16.5*3.6</f>
        <v>59.4</v>
      </c>
      <c r="H15" s="87">
        <v>2004</v>
      </c>
      <c r="I15" s="87">
        <v>2022</v>
      </c>
      <c r="J15" s="87">
        <f t="shared" si="5"/>
        <v>18</v>
      </c>
      <c r="K15" s="87">
        <v>60</v>
      </c>
      <c r="L15" s="88">
        <v>0.1</v>
      </c>
      <c r="M15" s="62">
        <f t="shared" si="6"/>
        <v>1.5000000000000001E-2</v>
      </c>
      <c r="N15" s="89" t="s">
        <v>244</v>
      </c>
      <c r="O15" s="90">
        <v>20685</v>
      </c>
      <c r="P15" s="90">
        <f t="shared" si="7"/>
        <v>22753.500000000004</v>
      </c>
      <c r="Q15" s="90">
        <f t="shared" si="8"/>
        <v>2113.8517279821631</v>
      </c>
      <c r="R15" s="88">
        <v>0.65</v>
      </c>
      <c r="S15" s="91">
        <f t="shared" si="9"/>
        <v>1374.003623188406</v>
      </c>
      <c r="T15" s="64">
        <f t="shared" si="1"/>
        <v>878512.63500000001</v>
      </c>
      <c r="U15" s="64">
        <f t="shared" si="2"/>
        <v>237198.41145000001</v>
      </c>
      <c r="V15" s="64">
        <f t="shared" si="10"/>
        <v>641314.22355</v>
      </c>
      <c r="W15" s="64">
        <f t="shared" si="11"/>
        <v>641314.22355</v>
      </c>
      <c r="Y15" s="51">
        <v>2248</v>
      </c>
      <c r="Z15" s="51">
        <v>4000</v>
      </c>
      <c r="AA15" s="126">
        <f>Z15*Y15</f>
        <v>8992000</v>
      </c>
    </row>
    <row r="16" spans="1:27" x14ac:dyDescent="0.2">
      <c r="A16" s="76">
        <v>11</v>
      </c>
      <c r="B16" s="76" t="s">
        <v>279</v>
      </c>
      <c r="C16" s="76" t="s">
        <v>263</v>
      </c>
      <c r="D16" s="86" t="s">
        <v>275</v>
      </c>
      <c r="E16" s="76">
        <v>3.6</v>
      </c>
      <c r="F16" s="78">
        <f t="shared" si="4"/>
        <v>290.62799999999999</v>
      </c>
      <c r="G16" s="78">
        <f>7.5*3.6</f>
        <v>27</v>
      </c>
      <c r="H16" s="87">
        <v>2004</v>
      </c>
      <c r="I16" s="87">
        <v>2022</v>
      </c>
      <c r="J16" s="87">
        <f t="shared" si="5"/>
        <v>18</v>
      </c>
      <c r="K16" s="87">
        <v>60</v>
      </c>
      <c r="L16" s="88">
        <v>0.1</v>
      </c>
      <c r="M16" s="62">
        <f t="shared" si="6"/>
        <v>1.5000000000000001E-2</v>
      </c>
      <c r="N16" s="89" t="s">
        <v>244</v>
      </c>
      <c r="O16" s="90">
        <v>20685</v>
      </c>
      <c r="P16" s="90">
        <f t="shared" si="7"/>
        <v>22753.500000000004</v>
      </c>
      <c r="Q16" s="90">
        <f t="shared" si="8"/>
        <v>2113.8517279821631</v>
      </c>
      <c r="R16" s="88">
        <v>0.65</v>
      </c>
      <c r="S16" s="91">
        <f t="shared" si="9"/>
        <v>1374.003623188406</v>
      </c>
      <c r="T16" s="64">
        <f t="shared" si="1"/>
        <v>399323.92500000005</v>
      </c>
      <c r="U16" s="64">
        <f t="shared" si="2"/>
        <v>107817.45975000001</v>
      </c>
      <c r="V16" s="64">
        <f t="shared" si="10"/>
        <v>291506.46525000001</v>
      </c>
      <c r="W16" s="64">
        <f t="shared" si="11"/>
        <v>291506.46525000001</v>
      </c>
      <c r="Y16" s="51">
        <v>40</v>
      </c>
      <c r="Z16" s="51">
        <v>1000000</v>
      </c>
      <c r="AA16" s="126">
        <f>Z16*Y16</f>
        <v>40000000</v>
      </c>
    </row>
    <row r="17" spans="1:27" x14ac:dyDescent="0.2">
      <c r="A17" s="76">
        <v>12</v>
      </c>
      <c r="B17" s="76" t="s">
        <v>279</v>
      </c>
      <c r="C17" s="76" t="s">
        <v>264</v>
      </c>
      <c r="D17" s="86" t="s">
        <v>275</v>
      </c>
      <c r="E17" s="76">
        <v>3.6</v>
      </c>
      <c r="F17" s="78">
        <f t="shared" si="4"/>
        <v>139.50144</v>
      </c>
      <c r="G17" s="78">
        <f>3.6*3.6</f>
        <v>12.96</v>
      </c>
      <c r="H17" s="87">
        <v>2004</v>
      </c>
      <c r="I17" s="87">
        <v>2022</v>
      </c>
      <c r="J17" s="87">
        <f t="shared" si="5"/>
        <v>18</v>
      </c>
      <c r="K17" s="87">
        <v>60</v>
      </c>
      <c r="L17" s="88">
        <v>0.1</v>
      </c>
      <c r="M17" s="62">
        <f t="shared" si="6"/>
        <v>1.5000000000000001E-2</v>
      </c>
      <c r="N17" s="89" t="s">
        <v>244</v>
      </c>
      <c r="O17" s="90">
        <v>20685</v>
      </c>
      <c r="P17" s="90">
        <f t="shared" si="7"/>
        <v>22753.500000000004</v>
      </c>
      <c r="Q17" s="90">
        <f t="shared" si="8"/>
        <v>2113.8517279821631</v>
      </c>
      <c r="R17" s="88">
        <v>0.65</v>
      </c>
      <c r="S17" s="91">
        <f t="shared" si="9"/>
        <v>1374.003623188406</v>
      </c>
      <c r="T17" s="64">
        <f t="shared" si="1"/>
        <v>191675.48400000003</v>
      </c>
      <c r="U17" s="64">
        <f t="shared" si="2"/>
        <v>51752.380680000017</v>
      </c>
      <c r="V17" s="64">
        <f t="shared" si="10"/>
        <v>139923.10331999999</v>
      </c>
      <c r="W17" s="64">
        <f t="shared" si="11"/>
        <v>139923.10331999999</v>
      </c>
      <c r="AA17" s="126">
        <f>SUM(AA14:AA16)</f>
        <v>70592000</v>
      </c>
    </row>
    <row r="18" spans="1:27" x14ac:dyDescent="0.2">
      <c r="A18" s="76">
        <v>13</v>
      </c>
      <c r="B18" s="76" t="s">
        <v>279</v>
      </c>
      <c r="C18" s="76" t="s">
        <v>265</v>
      </c>
      <c r="D18" s="86" t="s">
        <v>275</v>
      </c>
      <c r="E18" s="76">
        <v>3</v>
      </c>
      <c r="F18" s="78">
        <f t="shared" si="4"/>
        <v>465.00479999999999</v>
      </c>
      <c r="G18" s="78">
        <f>12*3.6</f>
        <v>43.2</v>
      </c>
      <c r="H18" s="87">
        <v>2004</v>
      </c>
      <c r="I18" s="87">
        <v>2022</v>
      </c>
      <c r="J18" s="87">
        <f t="shared" si="5"/>
        <v>18</v>
      </c>
      <c r="K18" s="87">
        <v>60</v>
      </c>
      <c r="L18" s="88">
        <v>0.1</v>
      </c>
      <c r="M18" s="62">
        <f t="shared" si="6"/>
        <v>1.5000000000000001E-2</v>
      </c>
      <c r="N18" s="89" t="s">
        <v>244</v>
      </c>
      <c r="O18" s="90">
        <v>20685</v>
      </c>
      <c r="P18" s="90">
        <f t="shared" si="7"/>
        <v>22753.500000000004</v>
      </c>
      <c r="Q18" s="90">
        <f t="shared" si="8"/>
        <v>2113.8517279821631</v>
      </c>
      <c r="R18" s="88">
        <v>0.65</v>
      </c>
      <c r="S18" s="91">
        <f t="shared" si="9"/>
        <v>1374.003623188406</v>
      </c>
      <c r="T18" s="64">
        <f t="shared" si="1"/>
        <v>638918.28</v>
      </c>
      <c r="U18" s="64">
        <f t="shared" si="2"/>
        <v>172507.93560000003</v>
      </c>
      <c r="V18" s="64">
        <f t="shared" si="10"/>
        <v>466410.3444</v>
      </c>
      <c r="W18" s="64">
        <f t="shared" si="11"/>
        <v>466410.3444</v>
      </c>
    </row>
    <row r="19" spans="1:27" x14ac:dyDescent="0.2">
      <c r="A19" s="76">
        <v>14</v>
      </c>
      <c r="B19" s="76" t="s">
        <v>279</v>
      </c>
      <c r="C19" s="76" t="s">
        <v>266</v>
      </c>
      <c r="D19" s="86" t="s">
        <v>275</v>
      </c>
      <c r="E19" s="76">
        <v>4</v>
      </c>
      <c r="F19" s="78">
        <f t="shared" si="4"/>
        <v>777.16079999999999</v>
      </c>
      <c r="G19" s="78">
        <f>19*3.8</f>
        <v>72.2</v>
      </c>
      <c r="H19" s="87">
        <v>2004</v>
      </c>
      <c r="I19" s="87">
        <v>2022</v>
      </c>
      <c r="J19" s="87">
        <f t="shared" si="5"/>
        <v>18</v>
      </c>
      <c r="K19" s="87">
        <v>60</v>
      </c>
      <c r="L19" s="88">
        <v>0.1</v>
      </c>
      <c r="M19" s="62">
        <f t="shared" si="6"/>
        <v>1.5000000000000001E-2</v>
      </c>
      <c r="N19" s="89" t="s">
        <v>244</v>
      </c>
      <c r="O19" s="90">
        <v>20685</v>
      </c>
      <c r="P19" s="90">
        <f t="shared" si="7"/>
        <v>22753.500000000004</v>
      </c>
      <c r="Q19" s="90">
        <f t="shared" si="8"/>
        <v>2113.8517279821631</v>
      </c>
      <c r="R19" s="88">
        <v>0.65</v>
      </c>
      <c r="S19" s="91">
        <f t="shared" si="9"/>
        <v>1374.003623188406</v>
      </c>
      <c r="T19" s="64">
        <f t="shared" si="1"/>
        <v>1067821.7550000001</v>
      </c>
      <c r="U19" s="64">
        <f t="shared" si="2"/>
        <v>288311.87385000009</v>
      </c>
      <c r="V19" s="64">
        <f t="shared" si="10"/>
        <v>779509.88115000003</v>
      </c>
      <c r="W19" s="64">
        <f t="shared" si="11"/>
        <v>779509.88115000003</v>
      </c>
      <c r="Y19" s="51">
        <v>145900</v>
      </c>
    </row>
    <row r="20" spans="1:27" x14ac:dyDescent="0.2">
      <c r="A20" s="76">
        <v>15</v>
      </c>
      <c r="B20" s="76" t="s">
        <v>279</v>
      </c>
      <c r="C20" s="76" t="s">
        <v>267</v>
      </c>
      <c r="D20" s="86" t="s">
        <v>275</v>
      </c>
      <c r="E20" s="76">
        <v>4</v>
      </c>
      <c r="F20" s="78">
        <f t="shared" si="4"/>
        <v>777.16079999999999</v>
      </c>
      <c r="G20" s="78">
        <f>19*3.8</f>
        <v>72.2</v>
      </c>
      <c r="H20" s="87">
        <v>2004</v>
      </c>
      <c r="I20" s="87">
        <v>2022</v>
      </c>
      <c r="J20" s="87">
        <f t="shared" si="5"/>
        <v>18</v>
      </c>
      <c r="K20" s="87">
        <v>60</v>
      </c>
      <c r="L20" s="88">
        <v>0.1</v>
      </c>
      <c r="M20" s="62">
        <f t="shared" si="6"/>
        <v>1.5000000000000001E-2</v>
      </c>
      <c r="N20" s="89" t="s">
        <v>244</v>
      </c>
      <c r="O20" s="90">
        <v>20685</v>
      </c>
      <c r="P20" s="90">
        <f t="shared" si="7"/>
        <v>22753.500000000004</v>
      </c>
      <c r="Q20" s="90">
        <f t="shared" si="8"/>
        <v>2113.8517279821631</v>
      </c>
      <c r="R20" s="88">
        <v>0.65</v>
      </c>
      <c r="S20" s="91">
        <f t="shared" si="9"/>
        <v>1374.003623188406</v>
      </c>
      <c r="T20" s="64">
        <f t="shared" si="1"/>
        <v>1067821.7550000001</v>
      </c>
      <c r="U20" s="64">
        <f t="shared" si="2"/>
        <v>288311.87385000009</v>
      </c>
      <c r="V20" s="64">
        <f t="shared" si="10"/>
        <v>779509.88115000003</v>
      </c>
      <c r="W20" s="64">
        <f t="shared" si="11"/>
        <v>779509.88115000003</v>
      </c>
      <c r="Y20" s="51">
        <f>Y19/4047</f>
        <v>36.051396095873486</v>
      </c>
    </row>
    <row r="21" spans="1:27" x14ac:dyDescent="0.2">
      <c r="A21" s="76">
        <v>16</v>
      </c>
      <c r="B21" s="76" t="s">
        <v>279</v>
      </c>
      <c r="C21" s="76" t="s">
        <v>268</v>
      </c>
      <c r="D21" s="86" t="s">
        <v>275</v>
      </c>
      <c r="E21" s="76">
        <v>3</v>
      </c>
      <c r="F21" s="78">
        <f t="shared" si="4"/>
        <v>1162.5119999999999</v>
      </c>
      <c r="G21" s="78">
        <f>30*3.6</f>
        <v>108</v>
      </c>
      <c r="H21" s="87">
        <v>2004</v>
      </c>
      <c r="I21" s="87">
        <v>2022</v>
      </c>
      <c r="J21" s="87">
        <f t="shared" si="5"/>
        <v>18</v>
      </c>
      <c r="K21" s="87">
        <v>60</v>
      </c>
      <c r="L21" s="88">
        <v>0.1</v>
      </c>
      <c r="M21" s="62">
        <f t="shared" si="6"/>
        <v>1.5000000000000001E-2</v>
      </c>
      <c r="N21" s="89" t="s">
        <v>244</v>
      </c>
      <c r="O21" s="90">
        <v>20685</v>
      </c>
      <c r="P21" s="90">
        <f t="shared" si="7"/>
        <v>22753.500000000004</v>
      </c>
      <c r="Q21" s="90">
        <f t="shared" si="8"/>
        <v>2113.8517279821631</v>
      </c>
      <c r="R21" s="88">
        <v>0.65</v>
      </c>
      <c r="S21" s="91">
        <f t="shared" si="9"/>
        <v>1374.003623188406</v>
      </c>
      <c r="T21" s="64">
        <f t="shared" si="1"/>
        <v>1597295.7000000002</v>
      </c>
      <c r="U21" s="64">
        <f t="shared" si="2"/>
        <v>431269.83900000004</v>
      </c>
      <c r="V21" s="64">
        <f t="shared" si="10"/>
        <v>1166025.861</v>
      </c>
      <c r="W21" s="64">
        <f t="shared" si="11"/>
        <v>1166025.861</v>
      </c>
    </row>
    <row r="22" spans="1:27" x14ac:dyDescent="0.2">
      <c r="A22" s="76">
        <v>17</v>
      </c>
      <c r="B22" s="76" t="s">
        <v>279</v>
      </c>
      <c r="C22" s="76" t="s">
        <v>269</v>
      </c>
      <c r="D22" s="86" t="s">
        <v>273</v>
      </c>
      <c r="E22" s="76">
        <v>3</v>
      </c>
      <c r="F22" s="78">
        <f t="shared" si="4"/>
        <v>726.56999999999994</v>
      </c>
      <c r="G22" s="78">
        <f>15*4.5</f>
        <v>67.5</v>
      </c>
      <c r="H22" s="87">
        <v>2004</v>
      </c>
      <c r="I22" s="87">
        <v>2022</v>
      </c>
      <c r="J22" s="87">
        <f t="shared" si="5"/>
        <v>18</v>
      </c>
      <c r="K22" s="87">
        <v>45</v>
      </c>
      <c r="L22" s="88">
        <v>0.1</v>
      </c>
      <c r="M22" s="62">
        <f t="shared" si="6"/>
        <v>0.02</v>
      </c>
      <c r="N22" s="89" t="s">
        <v>153</v>
      </c>
      <c r="O22" s="90">
        <v>17640</v>
      </c>
      <c r="P22" s="90">
        <f t="shared" si="7"/>
        <v>19404</v>
      </c>
      <c r="Q22" s="90">
        <f t="shared" si="8"/>
        <v>1802.6755852842809</v>
      </c>
      <c r="R22" s="88">
        <v>0.5</v>
      </c>
      <c r="S22" s="91">
        <f t="shared" si="9"/>
        <v>901.33779264214047</v>
      </c>
      <c r="T22" s="64">
        <f t="shared" si="1"/>
        <v>654885</v>
      </c>
      <c r="U22" s="64">
        <f t="shared" si="2"/>
        <v>235758.6</v>
      </c>
      <c r="V22" s="64">
        <f t="shared" si="10"/>
        <v>419126.4</v>
      </c>
      <c r="W22" s="64">
        <f t="shared" si="11"/>
        <v>419126.4</v>
      </c>
    </row>
    <row r="23" spans="1:27" x14ac:dyDescent="0.2">
      <c r="A23" s="76">
        <v>18</v>
      </c>
      <c r="B23" s="76" t="s">
        <v>279</v>
      </c>
      <c r="C23" s="76" t="s">
        <v>270</v>
      </c>
      <c r="D23" s="86" t="s">
        <v>273</v>
      </c>
      <c r="E23" s="76">
        <v>3</v>
      </c>
      <c r="F23" s="78">
        <f t="shared" si="4"/>
        <v>1307.826</v>
      </c>
      <c r="G23" s="78">
        <f>27*4.5</f>
        <v>121.5</v>
      </c>
      <c r="H23" s="87">
        <v>2004</v>
      </c>
      <c r="I23" s="87">
        <v>2022</v>
      </c>
      <c r="J23" s="87">
        <f t="shared" si="5"/>
        <v>18</v>
      </c>
      <c r="K23" s="87">
        <v>45</v>
      </c>
      <c r="L23" s="88">
        <v>0.1</v>
      </c>
      <c r="M23" s="62">
        <f t="shared" si="6"/>
        <v>0.02</v>
      </c>
      <c r="N23" s="89" t="s">
        <v>153</v>
      </c>
      <c r="O23" s="90">
        <v>17640</v>
      </c>
      <c r="P23" s="90">
        <f t="shared" si="7"/>
        <v>19404</v>
      </c>
      <c r="Q23" s="90">
        <f t="shared" si="8"/>
        <v>1802.6755852842809</v>
      </c>
      <c r="R23" s="88">
        <v>0.6</v>
      </c>
      <c r="S23" s="91">
        <f t="shared" si="9"/>
        <v>1081.6053511705686</v>
      </c>
      <c r="T23" s="64">
        <f t="shared" si="1"/>
        <v>1414551.6</v>
      </c>
      <c r="U23" s="64">
        <f t="shared" si="2"/>
        <v>509238.57600000006</v>
      </c>
      <c r="V23" s="64">
        <f t="shared" si="10"/>
        <v>905313.02399999998</v>
      </c>
      <c r="W23" s="64">
        <f t="shared" si="11"/>
        <v>905313.02399999998</v>
      </c>
    </row>
    <row r="24" spans="1:27" x14ac:dyDescent="0.2">
      <c r="A24" s="76">
        <v>19</v>
      </c>
      <c r="B24" s="76" t="s">
        <v>279</v>
      </c>
      <c r="C24" s="76" t="s">
        <v>154</v>
      </c>
      <c r="D24" s="86" t="s">
        <v>276</v>
      </c>
      <c r="E24" s="76">
        <v>6</v>
      </c>
      <c r="F24" s="78">
        <f t="shared" si="4"/>
        <v>3771.7055999999993</v>
      </c>
      <c r="G24" s="78">
        <f>14.6*24</f>
        <v>350.4</v>
      </c>
      <c r="H24" s="87">
        <v>2004</v>
      </c>
      <c r="I24" s="87">
        <v>2022</v>
      </c>
      <c r="J24" s="87">
        <f t="shared" si="5"/>
        <v>18</v>
      </c>
      <c r="K24" s="87">
        <v>45</v>
      </c>
      <c r="L24" s="88">
        <v>0.1</v>
      </c>
      <c r="M24" s="62">
        <f t="shared" si="6"/>
        <v>0.02</v>
      </c>
      <c r="N24" s="89" t="s">
        <v>153</v>
      </c>
      <c r="O24" s="90">
        <v>17640</v>
      </c>
      <c r="P24" s="90">
        <f t="shared" si="7"/>
        <v>19404</v>
      </c>
      <c r="Q24" s="90">
        <f t="shared" si="8"/>
        <v>1802.6755852842809</v>
      </c>
      <c r="R24" s="88">
        <v>0.55000000000000004</v>
      </c>
      <c r="S24" s="91">
        <f t="shared" si="9"/>
        <v>991.4715719063546</v>
      </c>
      <c r="T24" s="64">
        <f t="shared" si="1"/>
        <v>3739538.8799999994</v>
      </c>
      <c r="U24" s="64">
        <f t="shared" si="2"/>
        <v>1346233.9967999998</v>
      </c>
      <c r="V24" s="64">
        <f t="shared" si="10"/>
        <v>2393304.8831999996</v>
      </c>
      <c r="W24" s="64">
        <f t="shared" si="11"/>
        <v>2393304.8831999996</v>
      </c>
    </row>
    <row r="25" spans="1:27" x14ac:dyDescent="0.2">
      <c r="A25" s="76">
        <v>20</v>
      </c>
      <c r="B25" s="76" t="s">
        <v>279</v>
      </c>
      <c r="C25" s="76" t="s">
        <v>271</v>
      </c>
      <c r="D25" s="86" t="s">
        <v>276</v>
      </c>
      <c r="E25" s="76">
        <v>16</v>
      </c>
      <c r="F25" s="78">
        <f t="shared" si="4"/>
        <v>25801.307999999997</v>
      </c>
      <c r="G25" s="78">
        <f>47*51</f>
        <v>2397</v>
      </c>
      <c r="H25" s="87">
        <v>2004</v>
      </c>
      <c r="I25" s="87">
        <v>2022</v>
      </c>
      <c r="J25" s="87">
        <f t="shared" si="5"/>
        <v>18</v>
      </c>
      <c r="K25" s="87">
        <v>45</v>
      </c>
      <c r="L25" s="88">
        <v>0.1</v>
      </c>
      <c r="M25" s="62">
        <f t="shared" si="6"/>
        <v>0.02</v>
      </c>
      <c r="N25" s="89" t="s">
        <v>153</v>
      </c>
      <c r="O25" s="90">
        <v>17640</v>
      </c>
      <c r="P25" s="90">
        <f t="shared" si="7"/>
        <v>19404</v>
      </c>
      <c r="Q25" s="90">
        <f t="shared" si="8"/>
        <v>1802.6755852842809</v>
      </c>
      <c r="R25" s="88">
        <v>0.65</v>
      </c>
      <c r="S25" s="91">
        <f t="shared" si="9"/>
        <v>1171.7391304347827</v>
      </c>
      <c r="T25" s="64">
        <f t="shared" si="1"/>
        <v>30232402.199999999</v>
      </c>
      <c r="U25" s="64">
        <f t="shared" si="2"/>
        <v>10883664.791999999</v>
      </c>
      <c r="V25" s="64">
        <f t="shared" si="10"/>
        <v>19348737.408</v>
      </c>
      <c r="W25" s="64">
        <f t="shared" si="11"/>
        <v>19348737.408</v>
      </c>
    </row>
    <row r="26" spans="1:27" x14ac:dyDescent="0.2">
      <c r="A26" s="76">
        <v>21</v>
      </c>
      <c r="B26" s="76" t="s">
        <v>279</v>
      </c>
      <c r="C26" s="76" t="s">
        <v>272</v>
      </c>
      <c r="D26" s="86" t="s">
        <v>277</v>
      </c>
      <c r="E26" s="76">
        <v>3</v>
      </c>
      <c r="F26" s="78">
        <f t="shared" si="4"/>
        <v>1307.826</v>
      </c>
      <c r="G26" s="78">
        <f>27*4.5</f>
        <v>121.5</v>
      </c>
      <c r="H26" s="87">
        <v>2004</v>
      </c>
      <c r="I26" s="87">
        <v>2022</v>
      </c>
      <c r="J26" s="87">
        <f t="shared" si="5"/>
        <v>18</v>
      </c>
      <c r="K26" s="87">
        <v>45</v>
      </c>
      <c r="L26" s="88">
        <v>0.1</v>
      </c>
      <c r="M26" s="62">
        <f t="shared" si="6"/>
        <v>0.02</v>
      </c>
      <c r="N26" s="89" t="s">
        <v>153</v>
      </c>
      <c r="O26" s="90">
        <v>17640</v>
      </c>
      <c r="P26" s="90">
        <f t="shared" si="7"/>
        <v>19404</v>
      </c>
      <c r="Q26" s="90">
        <f t="shared" si="8"/>
        <v>1802.6755852842809</v>
      </c>
      <c r="R26" s="88">
        <v>0.55000000000000004</v>
      </c>
      <c r="S26" s="91">
        <f t="shared" si="9"/>
        <v>991.4715719063546</v>
      </c>
      <c r="T26" s="64">
        <f t="shared" si="1"/>
        <v>1296672.3</v>
      </c>
      <c r="U26" s="64">
        <f t="shared" si="2"/>
        <v>466802.02799999999</v>
      </c>
      <c r="V26" s="64">
        <f t="shared" si="10"/>
        <v>829870.27200000011</v>
      </c>
      <c r="W26" s="64">
        <f t="shared" si="11"/>
        <v>829870.27200000011</v>
      </c>
    </row>
    <row r="27" spans="1:27" x14ac:dyDescent="0.2">
      <c r="A27" s="76">
        <v>22</v>
      </c>
      <c r="B27" s="76" t="s">
        <v>280</v>
      </c>
      <c r="C27" s="76" t="s">
        <v>281</v>
      </c>
      <c r="D27" s="76" t="s">
        <v>288</v>
      </c>
      <c r="E27" s="76">
        <v>2.5</v>
      </c>
      <c r="F27" s="78">
        <f t="shared" si="4"/>
        <v>139.93199999999999</v>
      </c>
      <c r="G27" s="78">
        <f>5*2.6</f>
        <v>13</v>
      </c>
      <c r="H27" s="87">
        <v>2004</v>
      </c>
      <c r="I27" s="87">
        <v>2022</v>
      </c>
      <c r="J27" s="87">
        <f t="shared" si="5"/>
        <v>18</v>
      </c>
      <c r="K27" s="87">
        <v>60</v>
      </c>
      <c r="L27" s="88">
        <v>0.1</v>
      </c>
      <c r="M27" s="62">
        <f t="shared" si="6"/>
        <v>1.5000000000000001E-2</v>
      </c>
      <c r="N27" s="89" t="s">
        <v>244</v>
      </c>
      <c r="O27" s="90">
        <v>20685</v>
      </c>
      <c r="P27" s="90">
        <f t="shared" si="7"/>
        <v>22753.500000000004</v>
      </c>
      <c r="Q27" s="90">
        <f t="shared" si="8"/>
        <v>2113.8517279821631</v>
      </c>
      <c r="R27" s="88">
        <v>0.6</v>
      </c>
      <c r="S27" s="91">
        <f t="shared" si="9"/>
        <v>1268.3110367892978</v>
      </c>
      <c r="T27" s="64">
        <f t="shared" si="1"/>
        <v>177477.3</v>
      </c>
      <c r="U27" s="64">
        <f t="shared" si="2"/>
        <v>47918.871000000006</v>
      </c>
      <c r="V27" s="64">
        <f t="shared" si="10"/>
        <v>129558.42899999997</v>
      </c>
      <c r="W27" s="64">
        <f t="shared" si="11"/>
        <v>129558.42899999997</v>
      </c>
    </row>
    <row r="28" spans="1:27" x14ac:dyDescent="0.2">
      <c r="A28" s="76">
        <v>23</v>
      </c>
      <c r="B28" s="76" t="s">
        <v>280</v>
      </c>
      <c r="C28" s="76" t="s">
        <v>281</v>
      </c>
      <c r="D28" s="76" t="s">
        <v>277</v>
      </c>
      <c r="E28" s="76">
        <v>2.5</v>
      </c>
      <c r="F28" s="78">
        <f t="shared" si="4"/>
        <v>139.93199999999999</v>
      </c>
      <c r="G28" s="78">
        <f>5*2.6</f>
        <v>13</v>
      </c>
      <c r="H28" s="87">
        <v>2004</v>
      </c>
      <c r="I28" s="87">
        <v>2022</v>
      </c>
      <c r="J28" s="87">
        <f t="shared" si="5"/>
        <v>18</v>
      </c>
      <c r="K28" s="87">
        <v>45</v>
      </c>
      <c r="L28" s="88">
        <v>0.1</v>
      </c>
      <c r="M28" s="62">
        <f t="shared" si="6"/>
        <v>0.02</v>
      </c>
      <c r="N28" s="89" t="s">
        <v>153</v>
      </c>
      <c r="O28" s="90">
        <v>17640</v>
      </c>
      <c r="P28" s="90">
        <f t="shared" si="7"/>
        <v>19404</v>
      </c>
      <c r="Q28" s="90">
        <f t="shared" si="8"/>
        <v>1802.6755852842809</v>
      </c>
      <c r="R28" s="88">
        <v>0.6</v>
      </c>
      <c r="S28" s="91">
        <f t="shared" si="9"/>
        <v>1081.6053511705686</v>
      </c>
      <c r="T28" s="64">
        <f t="shared" si="1"/>
        <v>151351.19999999998</v>
      </c>
      <c r="U28" s="64">
        <f t="shared" si="2"/>
        <v>54486.432000000001</v>
      </c>
      <c r="V28" s="64">
        <f t="shared" si="10"/>
        <v>96864.767999999982</v>
      </c>
      <c r="W28" s="64">
        <f t="shared" si="11"/>
        <v>96864.767999999982</v>
      </c>
    </row>
    <row r="29" spans="1:27" x14ac:dyDescent="0.2">
      <c r="A29" s="76">
        <v>24</v>
      </c>
      <c r="B29" s="76" t="s">
        <v>280</v>
      </c>
      <c r="C29" s="76" t="s">
        <v>282</v>
      </c>
      <c r="D29" s="76" t="s">
        <v>288</v>
      </c>
      <c r="E29" s="76">
        <v>2.5</v>
      </c>
      <c r="F29" s="78">
        <f t="shared" si="4"/>
        <v>215.27999999999997</v>
      </c>
      <c r="G29" s="78">
        <f>5*4</f>
        <v>20</v>
      </c>
      <c r="H29" s="87">
        <v>2004</v>
      </c>
      <c r="I29" s="87">
        <v>2022</v>
      </c>
      <c r="J29" s="87">
        <f t="shared" si="5"/>
        <v>18</v>
      </c>
      <c r="K29" s="87">
        <v>60</v>
      </c>
      <c r="L29" s="88">
        <v>0.1</v>
      </c>
      <c r="M29" s="62">
        <f t="shared" si="6"/>
        <v>1.5000000000000001E-2</v>
      </c>
      <c r="N29" s="89" t="s">
        <v>244</v>
      </c>
      <c r="O29" s="90">
        <v>20685</v>
      </c>
      <c r="P29" s="90">
        <f t="shared" si="7"/>
        <v>22753.500000000004</v>
      </c>
      <c r="Q29" s="90">
        <f t="shared" si="8"/>
        <v>2113.8517279821631</v>
      </c>
      <c r="R29" s="88">
        <v>0.65</v>
      </c>
      <c r="S29" s="91">
        <f t="shared" si="9"/>
        <v>1374.003623188406</v>
      </c>
      <c r="T29" s="64">
        <f t="shared" si="1"/>
        <v>295795.5</v>
      </c>
      <c r="U29" s="64">
        <f t="shared" si="2"/>
        <v>79864.785000000018</v>
      </c>
      <c r="V29" s="64">
        <f t="shared" si="10"/>
        <v>215930.71499999997</v>
      </c>
      <c r="W29" s="64">
        <f t="shared" si="11"/>
        <v>215930.71499999997</v>
      </c>
    </row>
    <row r="30" spans="1:27" x14ac:dyDescent="0.2">
      <c r="A30" s="76">
        <v>25</v>
      </c>
      <c r="B30" s="76" t="s">
        <v>280</v>
      </c>
      <c r="C30" s="76" t="s">
        <v>283</v>
      </c>
      <c r="D30" s="76" t="s">
        <v>288</v>
      </c>
      <c r="E30" s="76">
        <v>3</v>
      </c>
      <c r="F30" s="78">
        <f t="shared" si="4"/>
        <v>150.696</v>
      </c>
      <c r="G30" s="78">
        <f>4*3.5</f>
        <v>14</v>
      </c>
      <c r="H30" s="87">
        <v>2004</v>
      </c>
      <c r="I30" s="87">
        <v>2022</v>
      </c>
      <c r="J30" s="87">
        <f t="shared" si="5"/>
        <v>18</v>
      </c>
      <c r="K30" s="87">
        <v>60</v>
      </c>
      <c r="L30" s="88">
        <v>0.1</v>
      </c>
      <c r="M30" s="62">
        <f t="shared" si="6"/>
        <v>1.5000000000000001E-2</v>
      </c>
      <c r="N30" s="89" t="s">
        <v>244</v>
      </c>
      <c r="O30" s="90">
        <v>20685</v>
      </c>
      <c r="P30" s="90">
        <f t="shared" si="7"/>
        <v>22753.500000000004</v>
      </c>
      <c r="Q30" s="90">
        <f t="shared" si="8"/>
        <v>2113.8517279821631</v>
      </c>
      <c r="R30" s="88">
        <v>0.65</v>
      </c>
      <c r="S30" s="91">
        <f t="shared" si="9"/>
        <v>1374.003623188406</v>
      </c>
      <c r="T30" s="64">
        <f t="shared" si="1"/>
        <v>207056.85000000003</v>
      </c>
      <c r="U30" s="64">
        <f t="shared" si="2"/>
        <v>55905.349500000018</v>
      </c>
      <c r="V30" s="64">
        <f t="shared" si="10"/>
        <v>151151.50050000002</v>
      </c>
      <c r="W30" s="64">
        <f t="shared" si="11"/>
        <v>151151.50050000002</v>
      </c>
    </row>
    <row r="31" spans="1:27" x14ac:dyDescent="0.2">
      <c r="A31" s="76">
        <v>26</v>
      </c>
      <c r="B31" s="76" t="s">
        <v>280</v>
      </c>
      <c r="C31" s="76" t="s">
        <v>284</v>
      </c>
      <c r="D31" s="76" t="s">
        <v>288</v>
      </c>
      <c r="E31" s="76">
        <v>3</v>
      </c>
      <c r="F31" s="78">
        <f t="shared" si="4"/>
        <v>150.696</v>
      </c>
      <c r="G31" s="78">
        <f>4*3.5</f>
        <v>14</v>
      </c>
      <c r="H31" s="87">
        <v>2004</v>
      </c>
      <c r="I31" s="87">
        <v>2022</v>
      </c>
      <c r="J31" s="87">
        <f t="shared" si="5"/>
        <v>18</v>
      </c>
      <c r="K31" s="87">
        <v>60</v>
      </c>
      <c r="L31" s="88">
        <v>0.1</v>
      </c>
      <c r="M31" s="62">
        <f t="shared" si="6"/>
        <v>1.5000000000000001E-2</v>
      </c>
      <c r="N31" s="89" t="s">
        <v>244</v>
      </c>
      <c r="O31" s="90">
        <v>20685</v>
      </c>
      <c r="P31" s="90">
        <f t="shared" si="7"/>
        <v>22753.500000000004</v>
      </c>
      <c r="Q31" s="90">
        <f t="shared" si="8"/>
        <v>2113.8517279821631</v>
      </c>
      <c r="R31" s="88">
        <v>0.65</v>
      </c>
      <c r="S31" s="91">
        <f t="shared" si="9"/>
        <v>1374.003623188406</v>
      </c>
      <c r="T31" s="64">
        <f t="shared" si="1"/>
        <v>207056.85000000003</v>
      </c>
      <c r="U31" s="64">
        <f t="shared" si="2"/>
        <v>55905.349500000018</v>
      </c>
      <c r="V31" s="64">
        <f t="shared" si="10"/>
        <v>151151.50050000002</v>
      </c>
      <c r="W31" s="64">
        <f t="shared" si="11"/>
        <v>151151.50050000002</v>
      </c>
    </row>
    <row r="32" spans="1:27" x14ac:dyDescent="0.2">
      <c r="A32" s="76">
        <v>27</v>
      </c>
      <c r="B32" s="76" t="s">
        <v>280</v>
      </c>
      <c r="C32" s="76" t="s">
        <v>285</v>
      </c>
      <c r="D32" s="76" t="s">
        <v>288</v>
      </c>
      <c r="E32" s="76">
        <v>3</v>
      </c>
      <c r="F32" s="78">
        <f t="shared" si="4"/>
        <v>150.696</v>
      </c>
      <c r="G32" s="78">
        <f>4*3.5</f>
        <v>14</v>
      </c>
      <c r="H32" s="87">
        <v>2004</v>
      </c>
      <c r="I32" s="87">
        <v>2022</v>
      </c>
      <c r="J32" s="87">
        <f t="shared" si="5"/>
        <v>18</v>
      </c>
      <c r="K32" s="87">
        <v>60</v>
      </c>
      <c r="L32" s="88">
        <v>0.1</v>
      </c>
      <c r="M32" s="62">
        <f t="shared" si="6"/>
        <v>1.5000000000000001E-2</v>
      </c>
      <c r="N32" s="89" t="s">
        <v>244</v>
      </c>
      <c r="O32" s="90">
        <v>20685</v>
      </c>
      <c r="P32" s="90">
        <f t="shared" si="7"/>
        <v>22753.500000000004</v>
      </c>
      <c r="Q32" s="90">
        <f t="shared" si="8"/>
        <v>2113.8517279821631</v>
      </c>
      <c r="R32" s="88">
        <v>0.65</v>
      </c>
      <c r="S32" s="91">
        <f t="shared" si="9"/>
        <v>1374.003623188406</v>
      </c>
      <c r="T32" s="64">
        <f t="shared" si="1"/>
        <v>207056.85000000003</v>
      </c>
      <c r="U32" s="64">
        <f t="shared" si="2"/>
        <v>55905.349500000018</v>
      </c>
      <c r="V32" s="64">
        <f t="shared" si="10"/>
        <v>151151.50050000002</v>
      </c>
      <c r="W32" s="64">
        <f t="shared" si="11"/>
        <v>151151.50050000002</v>
      </c>
    </row>
    <row r="33" spans="1:23" x14ac:dyDescent="0.2">
      <c r="A33" s="76">
        <v>28</v>
      </c>
      <c r="B33" s="76" t="s">
        <v>280</v>
      </c>
      <c r="C33" s="76" t="s">
        <v>286</v>
      </c>
      <c r="D33" s="76" t="s">
        <v>288</v>
      </c>
      <c r="E33" s="76">
        <v>3</v>
      </c>
      <c r="F33" s="78">
        <f t="shared" si="4"/>
        <v>150.696</v>
      </c>
      <c r="G33" s="78">
        <f>4*3.5</f>
        <v>14</v>
      </c>
      <c r="H33" s="87">
        <v>2004</v>
      </c>
      <c r="I33" s="87">
        <v>2022</v>
      </c>
      <c r="J33" s="87">
        <f t="shared" si="5"/>
        <v>18</v>
      </c>
      <c r="K33" s="87">
        <v>60</v>
      </c>
      <c r="L33" s="88">
        <v>0.1</v>
      </c>
      <c r="M33" s="62">
        <f t="shared" si="6"/>
        <v>1.5000000000000001E-2</v>
      </c>
      <c r="N33" s="89" t="s">
        <v>244</v>
      </c>
      <c r="O33" s="90">
        <v>20685</v>
      </c>
      <c r="P33" s="90">
        <f t="shared" si="7"/>
        <v>22753.500000000004</v>
      </c>
      <c r="Q33" s="90">
        <f t="shared" si="8"/>
        <v>2113.8517279821631</v>
      </c>
      <c r="R33" s="88">
        <v>0.65</v>
      </c>
      <c r="S33" s="91">
        <f t="shared" si="9"/>
        <v>1374.003623188406</v>
      </c>
      <c r="T33" s="64">
        <f t="shared" si="1"/>
        <v>207056.85000000003</v>
      </c>
      <c r="U33" s="64">
        <f t="shared" si="2"/>
        <v>55905.349500000018</v>
      </c>
      <c r="V33" s="64">
        <f t="shared" si="10"/>
        <v>151151.50050000002</v>
      </c>
      <c r="W33" s="64">
        <f t="shared" si="11"/>
        <v>151151.50050000002</v>
      </c>
    </row>
    <row r="34" spans="1:23" x14ac:dyDescent="0.2">
      <c r="A34" s="76">
        <v>29</v>
      </c>
      <c r="B34" s="76" t="s">
        <v>280</v>
      </c>
      <c r="C34" s="76" t="s">
        <v>287</v>
      </c>
      <c r="D34" s="76" t="s">
        <v>288</v>
      </c>
      <c r="E34" s="76">
        <v>4</v>
      </c>
      <c r="F34" s="78">
        <f t="shared" si="4"/>
        <v>686.74319999999989</v>
      </c>
      <c r="G34" s="78">
        <f>11*5.8</f>
        <v>63.8</v>
      </c>
      <c r="H34" s="87">
        <v>2004</v>
      </c>
      <c r="I34" s="87">
        <v>2022</v>
      </c>
      <c r="J34" s="87">
        <f t="shared" si="5"/>
        <v>18</v>
      </c>
      <c r="K34" s="87">
        <v>60</v>
      </c>
      <c r="L34" s="88">
        <v>0.1</v>
      </c>
      <c r="M34" s="62">
        <f t="shared" si="6"/>
        <v>1.5000000000000001E-2</v>
      </c>
      <c r="N34" s="89" t="s">
        <v>244</v>
      </c>
      <c r="O34" s="90">
        <v>20685</v>
      </c>
      <c r="P34" s="90">
        <f t="shared" si="7"/>
        <v>22753.500000000004</v>
      </c>
      <c r="Q34" s="90">
        <f t="shared" si="8"/>
        <v>2113.8517279821631</v>
      </c>
      <c r="R34" s="88">
        <v>0.65</v>
      </c>
      <c r="S34" s="91">
        <f t="shared" si="9"/>
        <v>1374.003623188406</v>
      </c>
      <c r="T34" s="64">
        <f t="shared" si="1"/>
        <v>943587.64500000002</v>
      </c>
      <c r="U34" s="64">
        <f t="shared" si="2"/>
        <v>254768.66415000003</v>
      </c>
      <c r="V34" s="64">
        <f t="shared" si="10"/>
        <v>688818.98084999993</v>
      </c>
      <c r="W34" s="64">
        <f t="shared" si="11"/>
        <v>688818.98084999993</v>
      </c>
    </row>
    <row r="35" spans="1:23" x14ac:dyDescent="0.2">
      <c r="A35" s="76">
        <v>30</v>
      </c>
      <c r="B35" s="76" t="s">
        <v>280</v>
      </c>
      <c r="C35" s="76" t="s">
        <v>215</v>
      </c>
      <c r="D35" s="76" t="s">
        <v>288</v>
      </c>
      <c r="E35" s="76">
        <v>4</v>
      </c>
      <c r="F35" s="78">
        <f t="shared" si="4"/>
        <v>686.74319999999989</v>
      </c>
      <c r="G35" s="78">
        <f>11*5.8</f>
        <v>63.8</v>
      </c>
      <c r="H35" s="87">
        <v>2004</v>
      </c>
      <c r="I35" s="87">
        <v>2022</v>
      </c>
      <c r="J35" s="87">
        <f t="shared" si="5"/>
        <v>18</v>
      </c>
      <c r="K35" s="87">
        <v>60</v>
      </c>
      <c r="L35" s="88">
        <v>0.1</v>
      </c>
      <c r="M35" s="62">
        <f t="shared" si="6"/>
        <v>1.5000000000000001E-2</v>
      </c>
      <c r="N35" s="89" t="s">
        <v>244</v>
      </c>
      <c r="O35" s="90">
        <v>20685</v>
      </c>
      <c r="P35" s="90">
        <f t="shared" si="7"/>
        <v>22753.500000000004</v>
      </c>
      <c r="Q35" s="90">
        <f t="shared" si="8"/>
        <v>2113.8517279821631</v>
      </c>
      <c r="R35" s="88">
        <v>0.65</v>
      </c>
      <c r="S35" s="91">
        <f t="shared" si="9"/>
        <v>1374.003623188406</v>
      </c>
      <c r="T35" s="64">
        <f t="shared" si="1"/>
        <v>943587.64500000002</v>
      </c>
      <c r="U35" s="64">
        <f t="shared" si="2"/>
        <v>254768.66415000003</v>
      </c>
      <c r="V35" s="64">
        <f t="shared" si="10"/>
        <v>688818.98084999993</v>
      </c>
      <c r="W35" s="64">
        <f t="shared" si="11"/>
        <v>688818.98084999993</v>
      </c>
    </row>
    <row r="36" spans="1:23" x14ac:dyDescent="0.2">
      <c r="A36" s="76">
        <v>31</v>
      </c>
      <c r="B36" s="76" t="s">
        <v>289</v>
      </c>
      <c r="C36" s="76" t="s">
        <v>290</v>
      </c>
      <c r="D36" s="76" t="s">
        <v>273</v>
      </c>
      <c r="E36" s="76">
        <v>17</v>
      </c>
      <c r="F36" s="78">
        <f t="shared" si="4"/>
        <v>43594.2</v>
      </c>
      <c r="G36" s="78">
        <f>90*45</f>
        <v>4050</v>
      </c>
      <c r="H36" s="87">
        <v>2004</v>
      </c>
      <c r="I36" s="87">
        <v>2022</v>
      </c>
      <c r="J36" s="87">
        <f t="shared" si="5"/>
        <v>18</v>
      </c>
      <c r="K36" s="87">
        <v>50</v>
      </c>
      <c r="L36" s="88">
        <v>0.1</v>
      </c>
      <c r="M36" s="62">
        <f t="shared" si="6"/>
        <v>1.8000000000000002E-2</v>
      </c>
      <c r="N36" s="89" t="s">
        <v>153</v>
      </c>
      <c r="O36" s="90">
        <v>17640</v>
      </c>
      <c r="P36" s="90">
        <f t="shared" si="7"/>
        <v>19404</v>
      </c>
      <c r="Q36" s="90">
        <f t="shared" si="8"/>
        <v>1802.6755852842809</v>
      </c>
      <c r="R36" s="88">
        <v>0.9</v>
      </c>
      <c r="S36" s="91">
        <f t="shared" si="9"/>
        <v>1622.4080267558529</v>
      </c>
      <c r="T36" s="64">
        <f t="shared" si="1"/>
        <v>70727580</v>
      </c>
      <c r="U36" s="64">
        <f t="shared" si="2"/>
        <v>22915735.920000002</v>
      </c>
      <c r="V36" s="64">
        <f t="shared" si="10"/>
        <v>47811844.079999998</v>
      </c>
      <c r="W36" s="64">
        <f t="shared" si="11"/>
        <v>47811844.079999998</v>
      </c>
    </row>
    <row r="37" spans="1:23" x14ac:dyDescent="0.2">
      <c r="A37" s="76">
        <v>32</v>
      </c>
      <c r="B37" s="76" t="s">
        <v>289</v>
      </c>
      <c r="C37" s="76" t="s">
        <v>291</v>
      </c>
      <c r="D37" s="76" t="s">
        <v>273</v>
      </c>
      <c r="E37" s="76">
        <v>17</v>
      </c>
      <c r="F37" s="78">
        <f t="shared" si="4"/>
        <v>53820</v>
      </c>
      <c r="G37" s="78">
        <f>100*50</f>
        <v>5000</v>
      </c>
      <c r="H37" s="87">
        <v>2004</v>
      </c>
      <c r="I37" s="87">
        <v>2022</v>
      </c>
      <c r="J37" s="87">
        <f t="shared" si="5"/>
        <v>18</v>
      </c>
      <c r="K37" s="87">
        <v>50</v>
      </c>
      <c r="L37" s="88">
        <v>0.1</v>
      </c>
      <c r="M37" s="62">
        <f t="shared" si="6"/>
        <v>1.8000000000000002E-2</v>
      </c>
      <c r="N37" s="89" t="s">
        <v>153</v>
      </c>
      <c r="O37" s="90">
        <v>17640</v>
      </c>
      <c r="P37" s="90">
        <f t="shared" si="7"/>
        <v>19404</v>
      </c>
      <c r="Q37" s="90">
        <f t="shared" si="8"/>
        <v>1802.6755852842809</v>
      </c>
      <c r="R37" s="88">
        <v>0.9</v>
      </c>
      <c r="S37" s="91">
        <f t="shared" si="9"/>
        <v>1622.4080267558529</v>
      </c>
      <c r="T37" s="64">
        <f t="shared" ref="T37:T65" si="12">S37*F37</f>
        <v>87318000</v>
      </c>
      <c r="U37" s="64">
        <f t="shared" ref="U37:U65" si="13">T37*M37*J37</f>
        <v>28291032.000000004</v>
      </c>
      <c r="V37" s="64">
        <f t="shared" si="10"/>
        <v>59026968</v>
      </c>
      <c r="W37" s="64">
        <f t="shared" si="11"/>
        <v>59026968</v>
      </c>
    </row>
    <row r="38" spans="1:23" x14ac:dyDescent="0.2">
      <c r="A38" s="76">
        <v>33</v>
      </c>
      <c r="B38" s="76" t="s">
        <v>289</v>
      </c>
      <c r="C38" s="76" t="s">
        <v>292</v>
      </c>
      <c r="D38" s="76" t="s">
        <v>273</v>
      </c>
      <c r="E38" s="76">
        <v>17</v>
      </c>
      <c r="F38" s="78">
        <f t="shared" si="4"/>
        <v>53820</v>
      </c>
      <c r="G38" s="78">
        <f>100*50</f>
        <v>5000</v>
      </c>
      <c r="H38" s="87">
        <v>2004</v>
      </c>
      <c r="I38" s="87">
        <v>2022</v>
      </c>
      <c r="J38" s="87">
        <f t="shared" si="5"/>
        <v>18</v>
      </c>
      <c r="K38" s="87">
        <v>50</v>
      </c>
      <c r="L38" s="88">
        <v>0.1</v>
      </c>
      <c r="M38" s="62">
        <f t="shared" si="6"/>
        <v>1.8000000000000002E-2</v>
      </c>
      <c r="N38" s="89" t="s">
        <v>153</v>
      </c>
      <c r="O38" s="90">
        <v>17640</v>
      </c>
      <c r="P38" s="90">
        <f t="shared" si="7"/>
        <v>19404</v>
      </c>
      <c r="Q38" s="90">
        <f t="shared" si="8"/>
        <v>1802.6755852842809</v>
      </c>
      <c r="R38" s="88">
        <v>0.9</v>
      </c>
      <c r="S38" s="91">
        <f t="shared" si="9"/>
        <v>1622.4080267558529</v>
      </c>
      <c r="T38" s="64">
        <f t="shared" si="12"/>
        <v>87318000</v>
      </c>
      <c r="U38" s="64">
        <f t="shared" si="13"/>
        <v>28291032.000000004</v>
      </c>
      <c r="V38" s="64">
        <f t="shared" si="10"/>
        <v>59026968</v>
      </c>
      <c r="W38" s="64">
        <f t="shared" si="11"/>
        <v>59026968</v>
      </c>
    </row>
    <row r="39" spans="1:23" x14ac:dyDescent="0.2">
      <c r="A39" s="76">
        <v>34</v>
      </c>
      <c r="B39" s="76" t="s">
        <v>289</v>
      </c>
      <c r="C39" s="76" t="s">
        <v>293</v>
      </c>
      <c r="D39" s="76" t="s">
        <v>273</v>
      </c>
      <c r="E39" s="76">
        <v>11</v>
      </c>
      <c r="F39" s="78">
        <f t="shared" si="4"/>
        <v>13993.199999999999</v>
      </c>
      <c r="G39" s="78">
        <f>100*13</f>
        <v>1300</v>
      </c>
      <c r="H39" s="87">
        <v>2004</v>
      </c>
      <c r="I39" s="87">
        <v>2022</v>
      </c>
      <c r="J39" s="87">
        <f t="shared" si="5"/>
        <v>18</v>
      </c>
      <c r="K39" s="87">
        <v>50</v>
      </c>
      <c r="L39" s="88">
        <v>0.1</v>
      </c>
      <c r="M39" s="62">
        <f t="shared" si="6"/>
        <v>1.8000000000000002E-2</v>
      </c>
      <c r="N39" s="89" t="s">
        <v>153</v>
      </c>
      <c r="O39" s="90">
        <v>17640</v>
      </c>
      <c r="P39" s="90">
        <f t="shared" si="7"/>
        <v>19404</v>
      </c>
      <c r="Q39" s="90">
        <f t="shared" si="8"/>
        <v>1802.6755852842809</v>
      </c>
      <c r="R39" s="88">
        <v>0.9</v>
      </c>
      <c r="S39" s="91">
        <f t="shared" si="9"/>
        <v>1622.4080267558529</v>
      </c>
      <c r="T39" s="64">
        <f t="shared" si="12"/>
        <v>22702680</v>
      </c>
      <c r="U39" s="64">
        <f t="shared" si="13"/>
        <v>7355668.3200000012</v>
      </c>
      <c r="V39" s="64">
        <f t="shared" si="10"/>
        <v>15347011.68</v>
      </c>
      <c r="W39" s="64">
        <f t="shared" si="11"/>
        <v>15347011.68</v>
      </c>
    </row>
    <row r="40" spans="1:23" x14ac:dyDescent="0.2">
      <c r="A40" s="76">
        <v>35</v>
      </c>
      <c r="B40" s="76" t="s">
        <v>294</v>
      </c>
      <c r="C40" s="76" t="s">
        <v>295</v>
      </c>
      <c r="D40" s="76" t="s">
        <v>275</v>
      </c>
      <c r="E40" s="76">
        <v>4</v>
      </c>
      <c r="F40" s="78">
        <f t="shared" si="4"/>
        <v>3659.7599999999998</v>
      </c>
      <c r="G40" s="78">
        <f>17*20</f>
        <v>340</v>
      </c>
      <c r="H40" s="87">
        <v>2004</v>
      </c>
      <c r="I40" s="87">
        <v>2022</v>
      </c>
      <c r="J40" s="87">
        <f t="shared" si="5"/>
        <v>18</v>
      </c>
      <c r="K40" s="87">
        <v>60</v>
      </c>
      <c r="L40" s="88">
        <v>0.1</v>
      </c>
      <c r="M40" s="62">
        <f t="shared" si="6"/>
        <v>1.5000000000000001E-2</v>
      </c>
      <c r="N40" s="89" t="s">
        <v>244</v>
      </c>
      <c r="O40" s="90">
        <v>20685</v>
      </c>
      <c r="P40" s="90">
        <f t="shared" si="7"/>
        <v>22753.500000000004</v>
      </c>
      <c r="Q40" s="90">
        <f t="shared" si="8"/>
        <v>2113.8517279821631</v>
      </c>
      <c r="R40" s="88">
        <v>0.7</v>
      </c>
      <c r="S40" s="91">
        <f t="shared" si="9"/>
        <v>1479.696209587514</v>
      </c>
      <c r="T40" s="64">
        <f t="shared" si="12"/>
        <v>5415333</v>
      </c>
      <c r="U40" s="64">
        <f t="shared" si="13"/>
        <v>1462139.9100000001</v>
      </c>
      <c r="V40" s="64">
        <f t="shared" si="10"/>
        <v>3953193.09</v>
      </c>
      <c r="W40" s="64">
        <f t="shared" si="11"/>
        <v>3953193.09</v>
      </c>
    </row>
    <row r="41" spans="1:23" x14ac:dyDescent="0.2">
      <c r="A41" s="76">
        <v>36</v>
      </c>
      <c r="B41" s="76" t="s">
        <v>294</v>
      </c>
      <c r="C41" s="76" t="s">
        <v>296</v>
      </c>
      <c r="D41" s="76" t="s">
        <v>275</v>
      </c>
      <c r="E41" s="76">
        <v>3</v>
      </c>
      <c r="F41" s="78">
        <f t="shared" si="4"/>
        <v>1130.22</v>
      </c>
      <c r="G41" s="78">
        <f>12.5*8.4</f>
        <v>105</v>
      </c>
      <c r="H41" s="87">
        <v>2004</v>
      </c>
      <c r="I41" s="87">
        <v>2022</v>
      </c>
      <c r="J41" s="87">
        <f t="shared" si="5"/>
        <v>18</v>
      </c>
      <c r="K41" s="87">
        <v>60</v>
      </c>
      <c r="L41" s="88">
        <v>0.1</v>
      </c>
      <c r="M41" s="62">
        <f t="shared" si="6"/>
        <v>1.5000000000000001E-2</v>
      </c>
      <c r="N41" s="89" t="s">
        <v>244</v>
      </c>
      <c r="O41" s="90">
        <v>20685</v>
      </c>
      <c r="P41" s="90">
        <f t="shared" si="7"/>
        <v>22753.500000000004</v>
      </c>
      <c r="Q41" s="90">
        <f t="shared" si="8"/>
        <v>2113.8517279821631</v>
      </c>
      <c r="R41" s="88">
        <v>0.7</v>
      </c>
      <c r="S41" s="91">
        <f t="shared" si="9"/>
        <v>1479.696209587514</v>
      </c>
      <c r="T41" s="64">
        <f t="shared" si="12"/>
        <v>1672382.25</v>
      </c>
      <c r="U41" s="64">
        <f t="shared" si="13"/>
        <v>451543.20750000008</v>
      </c>
      <c r="V41" s="64">
        <f t="shared" si="10"/>
        <v>1220839.0425</v>
      </c>
      <c r="W41" s="64">
        <f t="shared" si="11"/>
        <v>1220839.0425</v>
      </c>
    </row>
    <row r="42" spans="1:23" x14ac:dyDescent="0.2">
      <c r="A42" s="76">
        <v>37</v>
      </c>
      <c r="B42" s="76" t="s">
        <v>294</v>
      </c>
      <c r="C42" s="76" t="s">
        <v>297</v>
      </c>
      <c r="D42" s="76" t="s">
        <v>275</v>
      </c>
      <c r="E42" s="76">
        <v>3</v>
      </c>
      <c r="F42" s="78">
        <f t="shared" si="4"/>
        <v>705.25727999999992</v>
      </c>
      <c r="G42" s="78">
        <f>8.4*7.8</f>
        <v>65.52</v>
      </c>
      <c r="H42" s="87">
        <v>2004</v>
      </c>
      <c r="I42" s="87">
        <v>2022</v>
      </c>
      <c r="J42" s="87">
        <f t="shared" si="5"/>
        <v>18</v>
      </c>
      <c r="K42" s="87">
        <v>60</v>
      </c>
      <c r="L42" s="88">
        <v>0.1</v>
      </c>
      <c r="M42" s="62">
        <f t="shared" si="6"/>
        <v>1.5000000000000001E-2</v>
      </c>
      <c r="N42" s="89" t="s">
        <v>244</v>
      </c>
      <c r="O42" s="90">
        <v>20685</v>
      </c>
      <c r="P42" s="90">
        <f t="shared" si="7"/>
        <v>22753.500000000004</v>
      </c>
      <c r="Q42" s="90">
        <f t="shared" si="8"/>
        <v>2113.8517279821631</v>
      </c>
      <c r="R42" s="88">
        <v>0.7</v>
      </c>
      <c r="S42" s="91">
        <f t="shared" si="9"/>
        <v>1479.696209587514</v>
      </c>
      <c r="T42" s="64">
        <f t="shared" si="12"/>
        <v>1043566.5239999999</v>
      </c>
      <c r="U42" s="64">
        <f t="shared" si="13"/>
        <v>281762.96148</v>
      </c>
      <c r="V42" s="64">
        <f t="shared" si="10"/>
        <v>761803.56251999992</v>
      </c>
      <c r="W42" s="64">
        <f t="shared" si="11"/>
        <v>761803.56251999992</v>
      </c>
    </row>
    <row r="43" spans="1:23" x14ac:dyDescent="0.2">
      <c r="A43" s="76">
        <v>38</v>
      </c>
      <c r="B43" s="76" t="s">
        <v>294</v>
      </c>
      <c r="C43" s="76" t="s">
        <v>298</v>
      </c>
      <c r="D43" s="76" t="s">
        <v>275</v>
      </c>
      <c r="E43" s="76">
        <v>3</v>
      </c>
      <c r="F43" s="78">
        <f t="shared" si="4"/>
        <v>188.36999999999998</v>
      </c>
      <c r="G43" s="78">
        <f>7*2.5</f>
        <v>17.5</v>
      </c>
      <c r="H43" s="87">
        <v>2004</v>
      </c>
      <c r="I43" s="87">
        <v>2022</v>
      </c>
      <c r="J43" s="87">
        <f t="shared" si="5"/>
        <v>18</v>
      </c>
      <c r="K43" s="87">
        <v>60</v>
      </c>
      <c r="L43" s="88">
        <v>0.1</v>
      </c>
      <c r="M43" s="62">
        <f t="shared" si="6"/>
        <v>1.5000000000000001E-2</v>
      </c>
      <c r="N43" s="89" t="s">
        <v>244</v>
      </c>
      <c r="O43" s="90">
        <v>20685</v>
      </c>
      <c r="P43" s="90">
        <f t="shared" si="7"/>
        <v>22753.500000000004</v>
      </c>
      <c r="Q43" s="90">
        <f t="shared" si="8"/>
        <v>2113.8517279821631</v>
      </c>
      <c r="R43" s="88">
        <v>0.65</v>
      </c>
      <c r="S43" s="91">
        <f t="shared" si="9"/>
        <v>1374.003623188406</v>
      </c>
      <c r="T43" s="64">
        <f t="shared" si="12"/>
        <v>258821.0625</v>
      </c>
      <c r="U43" s="64">
        <f t="shared" si="13"/>
        <v>69881.686875000014</v>
      </c>
      <c r="V43" s="64">
        <f t="shared" si="10"/>
        <v>188939.37562499999</v>
      </c>
      <c r="W43" s="64">
        <f t="shared" si="11"/>
        <v>188939.37562499999</v>
      </c>
    </row>
    <row r="44" spans="1:23" x14ac:dyDescent="0.2">
      <c r="A44" s="76">
        <v>39</v>
      </c>
      <c r="B44" s="76" t="s">
        <v>294</v>
      </c>
      <c r="C44" s="76" t="s">
        <v>299</v>
      </c>
      <c r="D44" s="76" t="s">
        <v>275</v>
      </c>
      <c r="E44" s="76">
        <v>3</v>
      </c>
      <c r="F44" s="78">
        <f t="shared" si="4"/>
        <v>511.28999999999996</v>
      </c>
      <c r="G44" s="78">
        <f>9.5*5</f>
        <v>47.5</v>
      </c>
      <c r="H44" s="87">
        <v>2004</v>
      </c>
      <c r="I44" s="87">
        <v>2022</v>
      </c>
      <c r="J44" s="87">
        <f t="shared" si="5"/>
        <v>18</v>
      </c>
      <c r="K44" s="87">
        <v>60</v>
      </c>
      <c r="L44" s="88">
        <v>0.1</v>
      </c>
      <c r="M44" s="62">
        <f t="shared" si="6"/>
        <v>1.5000000000000001E-2</v>
      </c>
      <c r="N44" s="89" t="s">
        <v>244</v>
      </c>
      <c r="O44" s="90">
        <v>20685</v>
      </c>
      <c r="P44" s="90">
        <f t="shared" si="7"/>
        <v>22753.500000000004</v>
      </c>
      <c r="Q44" s="90">
        <f t="shared" si="8"/>
        <v>2113.8517279821631</v>
      </c>
      <c r="R44" s="88">
        <v>0.65</v>
      </c>
      <c r="S44" s="91">
        <f t="shared" si="9"/>
        <v>1374.003623188406</v>
      </c>
      <c r="T44" s="64">
        <f t="shared" si="12"/>
        <v>702514.3125</v>
      </c>
      <c r="U44" s="64">
        <f t="shared" si="13"/>
        <v>189678.86437500003</v>
      </c>
      <c r="V44" s="64">
        <f t="shared" si="10"/>
        <v>512835.448125</v>
      </c>
      <c r="W44" s="64">
        <f t="shared" si="11"/>
        <v>512835.448125</v>
      </c>
    </row>
    <row r="45" spans="1:23" x14ac:dyDescent="0.2">
      <c r="A45" s="76">
        <v>40</v>
      </c>
      <c r="B45" s="76" t="s">
        <v>294</v>
      </c>
      <c r="C45" s="76" t="s">
        <v>300</v>
      </c>
      <c r="D45" s="76" t="s">
        <v>275</v>
      </c>
      <c r="E45" s="76">
        <v>2</v>
      </c>
      <c r="F45" s="78">
        <f t="shared" si="4"/>
        <v>86.111999999999995</v>
      </c>
      <c r="G45" s="78">
        <f>4*2</f>
        <v>8</v>
      </c>
      <c r="H45" s="87">
        <v>2004</v>
      </c>
      <c r="I45" s="87">
        <v>2022</v>
      </c>
      <c r="J45" s="87">
        <f t="shared" si="5"/>
        <v>18</v>
      </c>
      <c r="K45" s="87">
        <v>60</v>
      </c>
      <c r="L45" s="88">
        <v>0.1</v>
      </c>
      <c r="M45" s="62">
        <f t="shared" si="6"/>
        <v>1.5000000000000001E-2</v>
      </c>
      <c r="N45" s="89" t="s">
        <v>244</v>
      </c>
      <c r="O45" s="90">
        <v>20685</v>
      </c>
      <c r="P45" s="90">
        <f t="shared" si="7"/>
        <v>22753.500000000004</v>
      </c>
      <c r="Q45" s="90">
        <f t="shared" si="8"/>
        <v>2113.8517279821631</v>
      </c>
      <c r="R45" s="88">
        <v>0.65</v>
      </c>
      <c r="S45" s="91">
        <f t="shared" si="9"/>
        <v>1374.003623188406</v>
      </c>
      <c r="T45" s="64">
        <f t="shared" si="12"/>
        <v>118318.20000000001</v>
      </c>
      <c r="U45" s="64">
        <f t="shared" si="13"/>
        <v>31945.914000000008</v>
      </c>
      <c r="V45" s="64">
        <f t="shared" si="10"/>
        <v>86372.286000000007</v>
      </c>
      <c r="W45" s="64">
        <f t="shared" si="11"/>
        <v>86372.286000000007</v>
      </c>
    </row>
    <row r="46" spans="1:23" x14ac:dyDescent="0.2">
      <c r="A46" s="76">
        <v>41</v>
      </c>
      <c r="B46" s="76" t="s">
        <v>294</v>
      </c>
      <c r="C46" s="76" t="s">
        <v>301</v>
      </c>
      <c r="D46" s="76" t="s">
        <v>275</v>
      </c>
      <c r="E46" s="76">
        <v>3.1</v>
      </c>
      <c r="F46" s="78">
        <f t="shared" si="4"/>
        <v>930.00959999999998</v>
      </c>
      <c r="G46" s="78">
        <f>24*3.6</f>
        <v>86.4</v>
      </c>
      <c r="H46" s="87">
        <v>2004</v>
      </c>
      <c r="I46" s="87">
        <v>2022</v>
      </c>
      <c r="J46" s="87">
        <f t="shared" si="5"/>
        <v>18</v>
      </c>
      <c r="K46" s="87">
        <v>60</v>
      </c>
      <c r="L46" s="88">
        <v>0.1</v>
      </c>
      <c r="M46" s="62">
        <f t="shared" si="6"/>
        <v>1.5000000000000001E-2</v>
      </c>
      <c r="N46" s="89" t="s">
        <v>244</v>
      </c>
      <c r="O46" s="90">
        <v>20685</v>
      </c>
      <c r="P46" s="90">
        <f t="shared" si="7"/>
        <v>22753.500000000004</v>
      </c>
      <c r="Q46" s="90">
        <f t="shared" si="8"/>
        <v>2113.8517279821631</v>
      </c>
      <c r="R46" s="88">
        <v>0.7</v>
      </c>
      <c r="S46" s="91">
        <f t="shared" si="9"/>
        <v>1479.696209587514</v>
      </c>
      <c r="T46" s="64">
        <f t="shared" si="12"/>
        <v>1376131.68</v>
      </c>
      <c r="U46" s="64">
        <f t="shared" si="13"/>
        <v>371555.55359999998</v>
      </c>
      <c r="V46" s="64">
        <f t="shared" si="10"/>
        <v>1004576.1264</v>
      </c>
      <c r="W46" s="64">
        <f t="shared" si="11"/>
        <v>1004576.1264</v>
      </c>
    </row>
    <row r="47" spans="1:23" x14ac:dyDescent="0.2">
      <c r="A47" s="76">
        <v>42</v>
      </c>
      <c r="B47" s="76" t="s">
        <v>294</v>
      </c>
      <c r="C47" s="76" t="s">
        <v>302</v>
      </c>
      <c r="D47" s="76" t="s">
        <v>275</v>
      </c>
      <c r="E47" s="76">
        <v>3</v>
      </c>
      <c r="F47" s="78">
        <f t="shared" si="4"/>
        <v>116.2512</v>
      </c>
      <c r="G47" s="78">
        <f>3*3.6</f>
        <v>10.8</v>
      </c>
      <c r="H47" s="87">
        <v>2004</v>
      </c>
      <c r="I47" s="87">
        <v>2022</v>
      </c>
      <c r="J47" s="87">
        <f t="shared" si="5"/>
        <v>18</v>
      </c>
      <c r="K47" s="87">
        <v>60</v>
      </c>
      <c r="L47" s="88">
        <v>0.1</v>
      </c>
      <c r="M47" s="62">
        <f t="shared" si="6"/>
        <v>1.5000000000000001E-2</v>
      </c>
      <c r="N47" s="89" t="s">
        <v>244</v>
      </c>
      <c r="O47" s="90">
        <v>20685</v>
      </c>
      <c r="P47" s="90">
        <f t="shared" si="7"/>
        <v>22753.500000000004</v>
      </c>
      <c r="Q47" s="90">
        <f t="shared" si="8"/>
        <v>2113.8517279821631</v>
      </c>
      <c r="R47" s="88">
        <v>0.65</v>
      </c>
      <c r="S47" s="91">
        <f t="shared" si="9"/>
        <v>1374.003623188406</v>
      </c>
      <c r="T47" s="64">
        <f t="shared" si="12"/>
        <v>159729.57</v>
      </c>
      <c r="U47" s="64">
        <f t="shared" si="13"/>
        <v>43126.983900000007</v>
      </c>
      <c r="V47" s="64">
        <f t="shared" si="10"/>
        <v>116602.5861</v>
      </c>
      <c r="W47" s="64">
        <f t="shared" si="11"/>
        <v>116602.5861</v>
      </c>
    </row>
    <row r="48" spans="1:23" x14ac:dyDescent="0.2">
      <c r="A48" s="76">
        <v>43</v>
      </c>
      <c r="B48" s="76" t="s">
        <v>294</v>
      </c>
      <c r="C48" s="76" t="s">
        <v>303</v>
      </c>
      <c r="D48" s="76" t="s">
        <v>306</v>
      </c>
      <c r="E48" s="76">
        <v>3</v>
      </c>
      <c r="F48" s="78">
        <f t="shared" si="4"/>
        <v>2970.864</v>
      </c>
      <c r="G48" s="78">
        <f>46*6</f>
        <v>276</v>
      </c>
      <c r="H48" s="87">
        <v>2004</v>
      </c>
      <c r="I48" s="87">
        <v>2022</v>
      </c>
      <c r="J48" s="87">
        <f t="shared" si="5"/>
        <v>18</v>
      </c>
      <c r="K48" s="87">
        <v>45</v>
      </c>
      <c r="L48" s="88">
        <v>0.1</v>
      </c>
      <c r="M48" s="62">
        <f t="shared" si="6"/>
        <v>0.02</v>
      </c>
      <c r="N48" s="89" t="s">
        <v>153</v>
      </c>
      <c r="O48" s="90">
        <v>17640</v>
      </c>
      <c r="P48" s="90">
        <f t="shared" si="7"/>
        <v>19404</v>
      </c>
      <c r="Q48" s="90">
        <f t="shared" si="8"/>
        <v>1802.6755852842809</v>
      </c>
      <c r="R48" s="88">
        <v>0.6</v>
      </c>
      <c r="S48" s="91">
        <f t="shared" si="9"/>
        <v>1081.6053511705686</v>
      </c>
      <c r="T48" s="64">
        <f t="shared" si="12"/>
        <v>3213302.4000000004</v>
      </c>
      <c r="U48" s="64">
        <f t="shared" si="13"/>
        <v>1156788.8640000001</v>
      </c>
      <c r="V48" s="64">
        <f t="shared" si="10"/>
        <v>2056513.5360000003</v>
      </c>
      <c r="W48" s="64">
        <f t="shared" si="11"/>
        <v>2056513.5360000003</v>
      </c>
    </row>
    <row r="49" spans="1:23" x14ac:dyDescent="0.2">
      <c r="A49" s="76">
        <v>44</v>
      </c>
      <c r="B49" s="76" t="s">
        <v>294</v>
      </c>
      <c r="C49" s="76" t="s">
        <v>304</v>
      </c>
      <c r="D49" s="76" t="s">
        <v>306</v>
      </c>
      <c r="E49" s="76">
        <v>3</v>
      </c>
      <c r="F49" s="78">
        <f t="shared" si="4"/>
        <v>172.22399999999999</v>
      </c>
      <c r="G49" s="78">
        <f>4*4</f>
        <v>16</v>
      </c>
      <c r="H49" s="87">
        <v>2004</v>
      </c>
      <c r="I49" s="87">
        <v>2022</v>
      </c>
      <c r="J49" s="87">
        <f t="shared" si="5"/>
        <v>18</v>
      </c>
      <c r="K49" s="87">
        <v>45</v>
      </c>
      <c r="L49" s="88">
        <v>0.1</v>
      </c>
      <c r="M49" s="62">
        <f t="shared" si="6"/>
        <v>0.02</v>
      </c>
      <c r="N49" s="89" t="s">
        <v>153</v>
      </c>
      <c r="O49" s="90">
        <v>17640</v>
      </c>
      <c r="P49" s="90">
        <f t="shared" si="7"/>
        <v>19404</v>
      </c>
      <c r="Q49" s="90">
        <f t="shared" si="8"/>
        <v>1802.6755852842809</v>
      </c>
      <c r="R49" s="88">
        <v>0.6</v>
      </c>
      <c r="S49" s="91">
        <f t="shared" si="9"/>
        <v>1081.6053511705686</v>
      </c>
      <c r="T49" s="64">
        <f t="shared" si="12"/>
        <v>186278.39999999999</v>
      </c>
      <c r="U49" s="64">
        <f t="shared" si="13"/>
        <v>67060.224000000002</v>
      </c>
      <c r="V49" s="64">
        <f t="shared" si="10"/>
        <v>119218.17599999999</v>
      </c>
      <c r="W49" s="64">
        <f t="shared" si="11"/>
        <v>119218.17599999999</v>
      </c>
    </row>
    <row r="50" spans="1:23" x14ac:dyDescent="0.2">
      <c r="A50" s="76">
        <v>45</v>
      </c>
      <c r="B50" s="76" t="s">
        <v>294</v>
      </c>
      <c r="C50" s="76" t="s">
        <v>305</v>
      </c>
      <c r="D50" s="76" t="s">
        <v>307</v>
      </c>
      <c r="E50" s="76">
        <v>3</v>
      </c>
      <c r="F50" s="78">
        <f t="shared" si="4"/>
        <v>193.75199999999998</v>
      </c>
      <c r="G50" s="78">
        <f>6*3</f>
        <v>18</v>
      </c>
      <c r="H50" s="87">
        <v>2004</v>
      </c>
      <c r="I50" s="87">
        <v>2022</v>
      </c>
      <c r="J50" s="87">
        <f t="shared" si="5"/>
        <v>18</v>
      </c>
      <c r="K50" s="87">
        <v>60</v>
      </c>
      <c r="L50" s="88">
        <v>0.1</v>
      </c>
      <c r="M50" s="62">
        <f t="shared" si="6"/>
        <v>1.5000000000000001E-2</v>
      </c>
      <c r="N50" s="89" t="s">
        <v>244</v>
      </c>
      <c r="O50" s="90">
        <v>20685</v>
      </c>
      <c r="P50" s="90">
        <f t="shared" si="7"/>
        <v>22753.500000000004</v>
      </c>
      <c r="Q50" s="90">
        <f t="shared" si="8"/>
        <v>2113.8517279821631</v>
      </c>
      <c r="R50" s="88">
        <v>0.65</v>
      </c>
      <c r="S50" s="91">
        <f t="shared" si="9"/>
        <v>1374.003623188406</v>
      </c>
      <c r="T50" s="64">
        <f t="shared" si="12"/>
        <v>266215.95</v>
      </c>
      <c r="U50" s="64">
        <f t="shared" si="13"/>
        <v>71878.306500000006</v>
      </c>
      <c r="V50" s="64">
        <f t="shared" si="10"/>
        <v>194337.64350000001</v>
      </c>
      <c r="W50" s="64">
        <f t="shared" si="11"/>
        <v>194337.64350000001</v>
      </c>
    </row>
    <row r="51" spans="1:23" x14ac:dyDescent="0.2">
      <c r="A51" s="76">
        <v>46</v>
      </c>
      <c r="B51" s="76" t="s">
        <v>280</v>
      </c>
      <c r="C51" s="76" t="s">
        <v>308</v>
      </c>
      <c r="D51" s="76" t="s">
        <v>312</v>
      </c>
      <c r="E51" s="76">
        <v>3</v>
      </c>
      <c r="F51" s="78">
        <f t="shared" si="4"/>
        <v>455.31720000000001</v>
      </c>
      <c r="G51" s="78">
        <f>9*4.7</f>
        <v>42.300000000000004</v>
      </c>
      <c r="H51" s="87">
        <v>2004</v>
      </c>
      <c r="I51" s="87">
        <v>2022</v>
      </c>
      <c r="J51" s="87">
        <f t="shared" si="5"/>
        <v>18</v>
      </c>
      <c r="K51" s="87">
        <v>45</v>
      </c>
      <c r="L51" s="88">
        <v>0.1</v>
      </c>
      <c r="M51" s="62">
        <f t="shared" si="6"/>
        <v>0.02</v>
      </c>
      <c r="N51" s="89" t="s">
        <v>153</v>
      </c>
      <c r="O51" s="90">
        <v>17640</v>
      </c>
      <c r="P51" s="90">
        <f t="shared" si="7"/>
        <v>19404</v>
      </c>
      <c r="Q51" s="90">
        <f t="shared" si="8"/>
        <v>1802.6755852842809</v>
      </c>
      <c r="R51" s="88">
        <v>0.6</v>
      </c>
      <c r="S51" s="91">
        <f t="shared" si="9"/>
        <v>1081.6053511705686</v>
      </c>
      <c r="T51" s="64">
        <f t="shared" si="12"/>
        <v>492473.52</v>
      </c>
      <c r="U51" s="64">
        <f t="shared" si="13"/>
        <v>177290.46720000001</v>
      </c>
      <c r="V51" s="64">
        <f t="shared" si="10"/>
        <v>315183.0528</v>
      </c>
      <c r="W51" s="64">
        <f t="shared" si="11"/>
        <v>315183.0528</v>
      </c>
    </row>
    <row r="52" spans="1:23" x14ac:dyDescent="0.2">
      <c r="A52" s="76">
        <v>47</v>
      </c>
      <c r="B52" s="76" t="s">
        <v>280</v>
      </c>
      <c r="C52" s="76" t="s">
        <v>309</v>
      </c>
      <c r="D52" s="76" t="s">
        <v>306</v>
      </c>
      <c r="E52" s="76">
        <v>3</v>
      </c>
      <c r="F52" s="78">
        <f t="shared" si="4"/>
        <v>102.258</v>
      </c>
      <c r="G52" s="78">
        <f>3.8*2.5</f>
        <v>9.5</v>
      </c>
      <c r="H52" s="87">
        <v>2004</v>
      </c>
      <c r="I52" s="87">
        <v>2022</v>
      </c>
      <c r="J52" s="87">
        <f t="shared" si="5"/>
        <v>18</v>
      </c>
      <c r="K52" s="87">
        <v>45</v>
      </c>
      <c r="L52" s="88">
        <v>0.1</v>
      </c>
      <c r="M52" s="62">
        <f t="shared" si="6"/>
        <v>0.02</v>
      </c>
      <c r="N52" s="89" t="s">
        <v>153</v>
      </c>
      <c r="O52" s="90">
        <v>17640</v>
      </c>
      <c r="P52" s="90">
        <f t="shared" si="7"/>
        <v>19404</v>
      </c>
      <c r="Q52" s="90">
        <f t="shared" si="8"/>
        <v>1802.6755852842809</v>
      </c>
      <c r="R52" s="88">
        <v>0.6</v>
      </c>
      <c r="S52" s="91">
        <f t="shared" si="9"/>
        <v>1081.6053511705686</v>
      </c>
      <c r="T52" s="64">
        <f t="shared" si="12"/>
        <v>110602.8</v>
      </c>
      <c r="U52" s="64">
        <f t="shared" si="13"/>
        <v>39817.008000000002</v>
      </c>
      <c r="V52" s="64">
        <f t="shared" si="10"/>
        <v>70785.792000000001</v>
      </c>
      <c r="W52" s="64">
        <f t="shared" si="11"/>
        <v>70785.792000000001</v>
      </c>
    </row>
    <row r="53" spans="1:23" x14ac:dyDescent="0.2">
      <c r="A53" s="76">
        <v>48</v>
      </c>
      <c r="B53" s="76" t="s">
        <v>280</v>
      </c>
      <c r="C53" s="76" t="s">
        <v>310</v>
      </c>
      <c r="D53" s="76" t="s">
        <v>306</v>
      </c>
      <c r="E53" s="76">
        <v>3</v>
      </c>
      <c r="F53" s="78">
        <f t="shared" si="4"/>
        <v>80.72999999999999</v>
      </c>
      <c r="G53" s="78">
        <f>3*2.5</f>
        <v>7.5</v>
      </c>
      <c r="H53" s="87">
        <v>2004</v>
      </c>
      <c r="I53" s="87">
        <v>2022</v>
      </c>
      <c r="J53" s="87">
        <f t="shared" si="5"/>
        <v>18</v>
      </c>
      <c r="K53" s="87">
        <v>45</v>
      </c>
      <c r="L53" s="88">
        <v>0.1</v>
      </c>
      <c r="M53" s="62">
        <f t="shared" si="6"/>
        <v>0.02</v>
      </c>
      <c r="N53" s="89" t="s">
        <v>153</v>
      </c>
      <c r="O53" s="90">
        <v>17640</v>
      </c>
      <c r="P53" s="90">
        <f t="shared" si="7"/>
        <v>19404</v>
      </c>
      <c r="Q53" s="90">
        <f t="shared" si="8"/>
        <v>1802.6755852842809</v>
      </c>
      <c r="R53" s="88">
        <v>0.6</v>
      </c>
      <c r="S53" s="91">
        <f t="shared" si="9"/>
        <v>1081.6053511705686</v>
      </c>
      <c r="T53" s="64">
        <f t="shared" si="12"/>
        <v>87318</v>
      </c>
      <c r="U53" s="64">
        <f t="shared" si="13"/>
        <v>31434.480000000003</v>
      </c>
      <c r="V53" s="64">
        <f t="shared" si="10"/>
        <v>55883.519999999997</v>
      </c>
      <c r="W53" s="64">
        <f t="shared" si="11"/>
        <v>55883.519999999997</v>
      </c>
    </row>
    <row r="54" spans="1:23" x14ac:dyDescent="0.2">
      <c r="A54" s="76">
        <v>49</v>
      </c>
      <c r="B54" s="76" t="s">
        <v>280</v>
      </c>
      <c r="C54" s="76" t="s">
        <v>302</v>
      </c>
      <c r="D54" s="76" t="s">
        <v>275</v>
      </c>
      <c r="E54" s="76">
        <v>3</v>
      </c>
      <c r="F54" s="78">
        <f t="shared" si="4"/>
        <v>116.2512</v>
      </c>
      <c r="G54" s="78">
        <f>3*3.6</f>
        <v>10.8</v>
      </c>
      <c r="H54" s="87">
        <v>2004</v>
      </c>
      <c r="I54" s="87">
        <v>2022</v>
      </c>
      <c r="J54" s="87">
        <f t="shared" si="5"/>
        <v>18</v>
      </c>
      <c r="K54" s="87">
        <v>60</v>
      </c>
      <c r="L54" s="88">
        <v>0.1</v>
      </c>
      <c r="M54" s="62">
        <f t="shared" si="6"/>
        <v>1.5000000000000001E-2</v>
      </c>
      <c r="N54" s="89" t="s">
        <v>244</v>
      </c>
      <c r="O54" s="90">
        <v>20685</v>
      </c>
      <c r="P54" s="90">
        <f t="shared" si="7"/>
        <v>22753.500000000004</v>
      </c>
      <c r="Q54" s="90">
        <f t="shared" si="8"/>
        <v>2113.8517279821631</v>
      </c>
      <c r="R54" s="88">
        <v>0.65</v>
      </c>
      <c r="S54" s="91">
        <f t="shared" si="9"/>
        <v>1374.003623188406</v>
      </c>
      <c r="T54" s="64">
        <f t="shared" si="12"/>
        <v>159729.57</v>
      </c>
      <c r="U54" s="64">
        <f t="shared" si="13"/>
        <v>43126.983900000007</v>
      </c>
      <c r="V54" s="64">
        <f t="shared" si="10"/>
        <v>116602.5861</v>
      </c>
      <c r="W54" s="64">
        <f t="shared" si="11"/>
        <v>116602.5861</v>
      </c>
    </row>
    <row r="55" spans="1:23" x14ac:dyDescent="0.2">
      <c r="A55" s="76">
        <v>50</v>
      </c>
      <c r="B55" s="76" t="s">
        <v>280</v>
      </c>
      <c r="C55" s="76" t="s">
        <v>311</v>
      </c>
      <c r="D55" s="76" t="s">
        <v>306</v>
      </c>
      <c r="E55" s="76">
        <v>3.2</v>
      </c>
      <c r="F55" s="78">
        <f t="shared" si="4"/>
        <v>1278.7631999999999</v>
      </c>
      <c r="G55" s="78">
        <f>18*6.6</f>
        <v>118.8</v>
      </c>
      <c r="H55" s="87">
        <v>2004</v>
      </c>
      <c r="I55" s="87">
        <v>2022</v>
      </c>
      <c r="J55" s="87">
        <f t="shared" si="5"/>
        <v>18</v>
      </c>
      <c r="K55" s="87">
        <v>45</v>
      </c>
      <c r="L55" s="88">
        <v>0.1</v>
      </c>
      <c r="M55" s="62">
        <f t="shared" si="6"/>
        <v>0.02</v>
      </c>
      <c r="N55" s="89" t="s">
        <v>153</v>
      </c>
      <c r="O55" s="90">
        <v>17640</v>
      </c>
      <c r="P55" s="90">
        <f t="shared" si="7"/>
        <v>19404</v>
      </c>
      <c r="Q55" s="90">
        <f t="shared" si="8"/>
        <v>1802.6755852842809</v>
      </c>
      <c r="R55" s="88">
        <v>0.6</v>
      </c>
      <c r="S55" s="91">
        <f t="shared" si="9"/>
        <v>1081.6053511705686</v>
      </c>
      <c r="T55" s="64">
        <f t="shared" si="12"/>
        <v>1383117.1199999999</v>
      </c>
      <c r="U55" s="64">
        <f t="shared" si="13"/>
        <v>497922.16319999995</v>
      </c>
      <c r="V55" s="64">
        <f t="shared" si="10"/>
        <v>885194.95679999993</v>
      </c>
      <c r="W55" s="64">
        <f t="shared" si="11"/>
        <v>885194.95679999993</v>
      </c>
    </row>
    <row r="56" spans="1:23" x14ac:dyDescent="0.2">
      <c r="A56" s="76">
        <v>51</v>
      </c>
      <c r="B56" s="76" t="s">
        <v>322</v>
      </c>
      <c r="C56" s="76" t="s">
        <v>313</v>
      </c>
      <c r="D56" s="76" t="s">
        <v>319</v>
      </c>
      <c r="E56" s="76">
        <v>3</v>
      </c>
      <c r="F56" s="78">
        <f t="shared" si="4"/>
        <v>2368.08</v>
      </c>
      <c r="G56" s="78">
        <f>22*10</f>
        <v>220</v>
      </c>
      <c r="H56" s="87">
        <v>2004</v>
      </c>
      <c r="I56" s="87">
        <v>2022</v>
      </c>
      <c r="J56" s="87">
        <f t="shared" si="5"/>
        <v>18</v>
      </c>
      <c r="K56" s="87">
        <v>45</v>
      </c>
      <c r="L56" s="88">
        <v>0.1</v>
      </c>
      <c r="M56" s="62">
        <f t="shared" si="6"/>
        <v>0.02</v>
      </c>
      <c r="N56" s="89" t="s">
        <v>153</v>
      </c>
      <c r="O56" s="90">
        <v>17640</v>
      </c>
      <c r="P56" s="90">
        <f t="shared" si="7"/>
        <v>19404</v>
      </c>
      <c r="Q56" s="90">
        <f t="shared" si="8"/>
        <v>1802.6755852842809</v>
      </c>
      <c r="R56" s="88">
        <v>0.7</v>
      </c>
      <c r="S56" s="91">
        <f t="shared" si="9"/>
        <v>1261.8729096989966</v>
      </c>
      <c r="T56" s="64">
        <f t="shared" si="12"/>
        <v>2988216</v>
      </c>
      <c r="U56" s="64">
        <f t="shared" si="13"/>
        <v>1075757.76</v>
      </c>
      <c r="V56" s="64">
        <f t="shared" si="10"/>
        <v>1912458.24</v>
      </c>
      <c r="W56" s="64">
        <f t="shared" si="11"/>
        <v>1912458.24</v>
      </c>
    </row>
    <row r="57" spans="1:23" x14ac:dyDescent="0.2">
      <c r="A57" s="76">
        <v>52</v>
      </c>
      <c r="B57" s="76" t="s">
        <v>322</v>
      </c>
      <c r="C57" s="76" t="s">
        <v>314</v>
      </c>
      <c r="D57" s="76" t="s">
        <v>319</v>
      </c>
      <c r="E57" s="76">
        <v>3</v>
      </c>
      <c r="F57" s="78">
        <f t="shared" si="4"/>
        <v>2798.64</v>
      </c>
      <c r="G57" s="78">
        <f>26*10</f>
        <v>260</v>
      </c>
      <c r="H57" s="87">
        <v>2004</v>
      </c>
      <c r="I57" s="87">
        <v>2022</v>
      </c>
      <c r="J57" s="87">
        <f t="shared" si="5"/>
        <v>18</v>
      </c>
      <c r="K57" s="87">
        <v>45</v>
      </c>
      <c r="L57" s="88">
        <v>0.1</v>
      </c>
      <c r="M57" s="62">
        <f t="shared" si="6"/>
        <v>0.02</v>
      </c>
      <c r="N57" s="89" t="s">
        <v>153</v>
      </c>
      <c r="O57" s="90">
        <v>17640</v>
      </c>
      <c r="P57" s="90">
        <f t="shared" si="7"/>
        <v>19404</v>
      </c>
      <c r="Q57" s="90">
        <f t="shared" si="8"/>
        <v>1802.6755852842809</v>
      </c>
      <c r="R57" s="88">
        <v>0.7</v>
      </c>
      <c r="S57" s="91">
        <f t="shared" si="9"/>
        <v>1261.8729096989966</v>
      </c>
      <c r="T57" s="64">
        <f t="shared" si="12"/>
        <v>3531528</v>
      </c>
      <c r="U57" s="64">
        <f t="shared" si="13"/>
        <v>1271350.08</v>
      </c>
      <c r="V57" s="64">
        <f t="shared" si="10"/>
        <v>2260177.9199999999</v>
      </c>
      <c r="W57" s="64">
        <f t="shared" si="11"/>
        <v>2260177.9199999999</v>
      </c>
    </row>
    <row r="58" spans="1:23" x14ac:dyDescent="0.2">
      <c r="A58" s="76">
        <v>53</v>
      </c>
      <c r="B58" s="76" t="s">
        <v>322</v>
      </c>
      <c r="C58" s="76" t="s">
        <v>315</v>
      </c>
      <c r="D58" s="76" t="s">
        <v>275</v>
      </c>
      <c r="E58" s="76">
        <v>3</v>
      </c>
      <c r="F58" s="78">
        <f t="shared" si="4"/>
        <v>19375.199999999997</v>
      </c>
      <c r="G58" s="78">
        <f>100*18</f>
        <v>1800</v>
      </c>
      <c r="H58" s="87">
        <v>2004</v>
      </c>
      <c r="I58" s="87">
        <v>2022</v>
      </c>
      <c r="J58" s="87">
        <f t="shared" si="5"/>
        <v>18</v>
      </c>
      <c r="K58" s="87">
        <v>60</v>
      </c>
      <c r="L58" s="88">
        <v>0.1</v>
      </c>
      <c r="M58" s="62">
        <f t="shared" si="6"/>
        <v>1.5000000000000001E-2</v>
      </c>
      <c r="N58" s="89" t="s">
        <v>244</v>
      </c>
      <c r="O58" s="90">
        <v>20685</v>
      </c>
      <c r="P58" s="90">
        <f t="shared" si="7"/>
        <v>22753.500000000004</v>
      </c>
      <c r="Q58" s="90">
        <f t="shared" si="8"/>
        <v>2113.8517279821631</v>
      </c>
      <c r="R58" s="88">
        <v>0.7</v>
      </c>
      <c r="S58" s="91">
        <f t="shared" si="9"/>
        <v>1479.696209587514</v>
      </c>
      <c r="T58" s="64">
        <f t="shared" si="12"/>
        <v>28669409.999999996</v>
      </c>
      <c r="U58" s="64">
        <f t="shared" si="13"/>
        <v>7740740.6999999993</v>
      </c>
      <c r="V58" s="64">
        <f t="shared" si="10"/>
        <v>20928669.299999997</v>
      </c>
      <c r="W58" s="64">
        <f t="shared" si="11"/>
        <v>20928669.299999997</v>
      </c>
    </row>
    <row r="59" spans="1:23" x14ac:dyDescent="0.2">
      <c r="A59" s="76">
        <v>54</v>
      </c>
      <c r="B59" s="76" t="s">
        <v>322</v>
      </c>
      <c r="C59" s="76" t="s">
        <v>316</v>
      </c>
      <c r="D59" s="76" t="s">
        <v>320</v>
      </c>
      <c r="E59" s="76">
        <v>3</v>
      </c>
      <c r="F59" s="78">
        <f t="shared" si="4"/>
        <v>5812.5599999999995</v>
      </c>
      <c r="G59" s="78">
        <f>90*6</f>
        <v>540</v>
      </c>
      <c r="H59" s="87">
        <v>2004</v>
      </c>
      <c r="I59" s="87">
        <v>2022</v>
      </c>
      <c r="J59" s="87">
        <f t="shared" si="5"/>
        <v>18</v>
      </c>
      <c r="K59" s="87">
        <v>45</v>
      </c>
      <c r="L59" s="88">
        <v>0.1</v>
      </c>
      <c r="M59" s="62">
        <f t="shared" si="6"/>
        <v>0.02</v>
      </c>
      <c r="N59" s="89" t="s">
        <v>153</v>
      </c>
      <c r="O59" s="90">
        <v>17640</v>
      </c>
      <c r="P59" s="90">
        <f t="shared" si="7"/>
        <v>19404</v>
      </c>
      <c r="Q59" s="90">
        <f t="shared" si="8"/>
        <v>1802.6755852842809</v>
      </c>
      <c r="R59" s="88">
        <v>0.6</v>
      </c>
      <c r="S59" s="91">
        <f t="shared" si="9"/>
        <v>1081.6053511705686</v>
      </c>
      <c r="T59" s="64">
        <f t="shared" si="12"/>
        <v>6286896</v>
      </c>
      <c r="U59" s="64">
        <f t="shared" si="13"/>
        <v>2263282.56</v>
      </c>
      <c r="V59" s="64">
        <f t="shared" si="10"/>
        <v>4023613.4399999999</v>
      </c>
      <c r="W59" s="64">
        <f t="shared" si="11"/>
        <v>4023613.4399999999</v>
      </c>
    </row>
    <row r="60" spans="1:23" x14ac:dyDescent="0.2">
      <c r="A60" s="76">
        <v>55</v>
      </c>
      <c r="B60" s="76" t="s">
        <v>322</v>
      </c>
      <c r="C60" s="76" t="s">
        <v>317</v>
      </c>
      <c r="D60" s="76" t="s">
        <v>320</v>
      </c>
      <c r="E60" s="76">
        <v>3</v>
      </c>
      <c r="F60" s="78">
        <f t="shared" si="4"/>
        <v>12916.8</v>
      </c>
      <c r="G60" s="78">
        <f>60*20</f>
        <v>1200</v>
      </c>
      <c r="H60" s="87">
        <v>2004</v>
      </c>
      <c r="I60" s="87">
        <v>2022</v>
      </c>
      <c r="J60" s="87">
        <f t="shared" si="5"/>
        <v>18</v>
      </c>
      <c r="K60" s="87">
        <v>45</v>
      </c>
      <c r="L60" s="88">
        <v>0.1</v>
      </c>
      <c r="M60" s="62">
        <f t="shared" si="6"/>
        <v>0.02</v>
      </c>
      <c r="N60" s="89" t="s">
        <v>153</v>
      </c>
      <c r="O60" s="90">
        <v>17640</v>
      </c>
      <c r="P60" s="90">
        <f t="shared" si="7"/>
        <v>19404</v>
      </c>
      <c r="Q60" s="90">
        <f t="shared" si="8"/>
        <v>1802.6755852842809</v>
      </c>
      <c r="R60" s="88">
        <v>0.6</v>
      </c>
      <c r="S60" s="91">
        <f t="shared" si="9"/>
        <v>1081.6053511705686</v>
      </c>
      <c r="T60" s="64">
        <f t="shared" si="12"/>
        <v>13970880</v>
      </c>
      <c r="U60" s="64">
        <f t="shared" si="13"/>
        <v>5029516.8</v>
      </c>
      <c r="V60" s="64">
        <f t="shared" si="10"/>
        <v>8941363.1999999993</v>
      </c>
      <c r="W60" s="64">
        <f t="shared" si="11"/>
        <v>8941363.1999999993</v>
      </c>
    </row>
    <row r="61" spans="1:23" x14ac:dyDescent="0.2">
      <c r="A61" s="76">
        <v>56</v>
      </c>
      <c r="B61" s="76" t="s">
        <v>322</v>
      </c>
      <c r="C61" s="76" t="s">
        <v>318</v>
      </c>
      <c r="D61" s="76" t="s">
        <v>321</v>
      </c>
      <c r="E61" s="76">
        <v>3</v>
      </c>
      <c r="F61" s="78">
        <f t="shared" si="4"/>
        <v>5166.7199999999993</v>
      </c>
      <c r="G61" s="78">
        <f>120*4</f>
        <v>480</v>
      </c>
      <c r="H61" s="87">
        <v>2004</v>
      </c>
      <c r="I61" s="87">
        <v>2022</v>
      </c>
      <c r="J61" s="87">
        <f t="shared" si="5"/>
        <v>18</v>
      </c>
      <c r="K61" s="87">
        <v>45</v>
      </c>
      <c r="L61" s="88">
        <v>0.1</v>
      </c>
      <c r="M61" s="62">
        <f t="shared" si="6"/>
        <v>0.02</v>
      </c>
      <c r="N61" s="89" t="s">
        <v>153</v>
      </c>
      <c r="O61" s="90">
        <v>17640</v>
      </c>
      <c r="P61" s="90">
        <f t="shared" si="7"/>
        <v>19404</v>
      </c>
      <c r="Q61" s="90">
        <f t="shared" si="8"/>
        <v>1802.6755852842809</v>
      </c>
      <c r="R61" s="88">
        <v>0.55000000000000004</v>
      </c>
      <c r="S61" s="91">
        <f t="shared" si="9"/>
        <v>991.4715719063546</v>
      </c>
      <c r="T61" s="64">
        <f t="shared" si="12"/>
        <v>5122656</v>
      </c>
      <c r="U61" s="64">
        <f t="shared" si="13"/>
        <v>1844156.16</v>
      </c>
      <c r="V61" s="64">
        <f t="shared" si="10"/>
        <v>3278499.8399999999</v>
      </c>
      <c r="W61" s="64">
        <f t="shared" si="11"/>
        <v>3278499.8399999999</v>
      </c>
    </row>
    <row r="62" spans="1:23" x14ac:dyDescent="0.2">
      <c r="A62" s="76">
        <v>57</v>
      </c>
      <c r="B62" s="76" t="s">
        <v>325</v>
      </c>
      <c r="C62" s="76" t="s">
        <v>323</v>
      </c>
      <c r="D62" s="76" t="s">
        <v>275</v>
      </c>
      <c r="E62" s="76">
        <v>3</v>
      </c>
      <c r="F62" s="78">
        <f t="shared" si="4"/>
        <v>516.67200000000003</v>
      </c>
      <c r="G62" s="78">
        <f>12*4</f>
        <v>48</v>
      </c>
      <c r="H62" s="87">
        <v>2004</v>
      </c>
      <c r="I62" s="87">
        <v>2022</v>
      </c>
      <c r="J62" s="87">
        <f t="shared" si="5"/>
        <v>18</v>
      </c>
      <c r="K62" s="87">
        <v>60</v>
      </c>
      <c r="L62" s="88">
        <v>0.1</v>
      </c>
      <c r="M62" s="62">
        <f t="shared" si="6"/>
        <v>1.5000000000000001E-2</v>
      </c>
      <c r="N62" s="89" t="s">
        <v>244</v>
      </c>
      <c r="O62" s="90">
        <v>20685</v>
      </c>
      <c r="P62" s="90">
        <f t="shared" si="7"/>
        <v>22753.500000000004</v>
      </c>
      <c r="Q62" s="90">
        <f t="shared" si="8"/>
        <v>2113.8517279821631</v>
      </c>
      <c r="R62" s="88">
        <v>0.65</v>
      </c>
      <c r="S62" s="91">
        <f t="shared" si="9"/>
        <v>1374.003623188406</v>
      </c>
      <c r="T62" s="64">
        <f t="shared" si="12"/>
        <v>709909.20000000019</v>
      </c>
      <c r="U62" s="64">
        <f t="shared" si="13"/>
        <v>191675.48400000008</v>
      </c>
      <c r="V62" s="64">
        <f t="shared" si="10"/>
        <v>518233.71600000013</v>
      </c>
      <c r="W62" s="64">
        <f t="shared" si="11"/>
        <v>518233.71600000013</v>
      </c>
    </row>
    <row r="63" spans="1:23" x14ac:dyDescent="0.2">
      <c r="A63" s="76">
        <v>58</v>
      </c>
      <c r="B63" s="76" t="s">
        <v>325</v>
      </c>
      <c r="C63" s="76" t="s">
        <v>324</v>
      </c>
      <c r="D63" s="76" t="s">
        <v>326</v>
      </c>
      <c r="E63" s="76"/>
      <c r="F63" s="78">
        <f t="shared" si="4"/>
        <v>48438</v>
      </c>
      <c r="G63" s="78">
        <f>180*25</f>
        <v>4500</v>
      </c>
      <c r="H63" s="87">
        <v>2004</v>
      </c>
      <c r="I63" s="87">
        <v>2022</v>
      </c>
      <c r="J63" s="87">
        <f t="shared" si="5"/>
        <v>18</v>
      </c>
      <c r="K63" s="87">
        <v>60</v>
      </c>
      <c r="L63" s="88">
        <v>0.1</v>
      </c>
      <c r="M63" s="62">
        <f t="shared" si="6"/>
        <v>1.5000000000000001E-2</v>
      </c>
      <c r="N63" s="89" t="s">
        <v>244</v>
      </c>
      <c r="O63" s="90">
        <v>20685</v>
      </c>
      <c r="P63" s="90">
        <f t="shared" si="7"/>
        <v>22753.500000000004</v>
      </c>
      <c r="Q63" s="90">
        <f t="shared" si="8"/>
        <v>2113.8517279821631</v>
      </c>
      <c r="R63" s="88">
        <v>0.35</v>
      </c>
      <c r="S63" s="91">
        <f t="shared" si="9"/>
        <v>739.84810479375699</v>
      </c>
      <c r="T63" s="64">
        <f t="shared" si="12"/>
        <v>35836762.5</v>
      </c>
      <c r="U63" s="64">
        <f t="shared" si="13"/>
        <v>9675925.875</v>
      </c>
      <c r="V63" s="64">
        <f t="shared" si="10"/>
        <v>26160836.625</v>
      </c>
      <c r="W63" s="64">
        <f t="shared" si="11"/>
        <v>26160836.625</v>
      </c>
    </row>
    <row r="64" spans="1:23" hidden="1" x14ac:dyDescent="0.2">
      <c r="A64" s="76">
        <v>59</v>
      </c>
      <c r="B64" s="115" t="s">
        <v>327</v>
      </c>
      <c r="C64" s="76" t="s">
        <v>328</v>
      </c>
      <c r="D64" s="76" t="s">
        <v>330</v>
      </c>
      <c r="E64" s="76"/>
      <c r="F64" s="78">
        <f t="shared" si="4"/>
        <v>6867.4319999999998</v>
      </c>
      <c r="G64" s="78">
        <f>29*22</f>
        <v>638</v>
      </c>
      <c r="H64" s="87">
        <v>2004</v>
      </c>
      <c r="I64" s="87">
        <v>2022</v>
      </c>
      <c r="J64" s="87">
        <f t="shared" si="5"/>
        <v>18</v>
      </c>
      <c r="K64" s="87">
        <v>45</v>
      </c>
      <c r="L64" s="88">
        <v>0.1</v>
      </c>
      <c r="M64" s="62">
        <f t="shared" si="6"/>
        <v>0.02</v>
      </c>
      <c r="N64" s="89" t="s">
        <v>153</v>
      </c>
      <c r="O64" s="90">
        <v>17640</v>
      </c>
      <c r="P64" s="90">
        <f t="shared" si="7"/>
        <v>19404</v>
      </c>
      <c r="Q64" s="90">
        <f t="shared" si="8"/>
        <v>1802.6755852842809</v>
      </c>
      <c r="R64" s="88">
        <v>0.6</v>
      </c>
      <c r="S64" s="91">
        <f t="shared" si="9"/>
        <v>1081.6053511705686</v>
      </c>
      <c r="T64" s="64">
        <f t="shared" si="12"/>
        <v>7427851.2000000002</v>
      </c>
      <c r="U64" s="64">
        <f t="shared" si="13"/>
        <v>2674026.432</v>
      </c>
      <c r="V64" s="64">
        <f t="shared" si="10"/>
        <v>4753824.7680000002</v>
      </c>
      <c r="W64" s="64">
        <f t="shared" si="11"/>
        <v>4753824.7680000002</v>
      </c>
    </row>
    <row r="65" spans="1:23" hidden="1" x14ac:dyDescent="0.2">
      <c r="A65" s="76">
        <v>61</v>
      </c>
      <c r="B65" s="115" t="s">
        <v>327</v>
      </c>
      <c r="C65" s="76" t="s">
        <v>329</v>
      </c>
      <c r="D65" s="76" t="s">
        <v>326</v>
      </c>
      <c r="E65" s="76">
        <v>1.1000000000000001</v>
      </c>
      <c r="F65" s="78">
        <f t="shared" si="4"/>
        <v>1291.6799999999998</v>
      </c>
      <c r="G65" s="78">
        <f>100*1.2</f>
        <v>120</v>
      </c>
      <c r="H65" s="87">
        <v>2004</v>
      </c>
      <c r="I65" s="87">
        <v>2022</v>
      </c>
      <c r="J65" s="87">
        <f t="shared" si="5"/>
        <v>18</v>
      </c>
      <c r="K65" s="87">
        <v>60</v>
      </c>
      <c r="L65" s="88">
        <v>0.1</v>
      </c>
      <c r="M65" s="62">
        <f t="shared" si="6"/>
        <v>1.5000000000000001E-2</v>
      </c>
      <c r="N65" s="89" t="s">
        <v>244</v>
      </c>
      <c r="O65" s="90">
        <v>20685</v>
      </c>
      <c r="P65" s="90">
        <f t="shared" si="7"/>
        <v>22753.500000000004</v>
      </c>
      <c r="Q65" s="90">
        <f t="shared" si="8"/>
        <v>2113.8517279821631</v>
      </c>
      <c r="R65" s="88">
        <v>0.35</v>
      </c>
      <c r="S65" s="91">
        <f t="shared" si="9"/>
        <v>739.84810479375699</v>
      </c>
      <c r="T65" s="64">
        <f t="shared" si="12"/>
        <v>955646.99999999988</v>
      </c>
      <c r="U65" s="64">
        <f t="shared" si="13"/>
        <v>258024.69</v>
      </c>
      <c r="V65" s="64">
        <f t="shared" si="10"/>
        <v>697622.30999999982</v>
      </c>
      <c r="W65" s="64">
        <f t="shared" si="11"/>
        <v>697622.30999999982</v>
      </c>
    </row>
    <row r="66" spans="1:23" x14ac:dyDescent="0.2">
      <c r="A66" s="76"/>
      <c r="B66" s="76"/>
      <c r="C66" s="76"/>
      <c r="D66" s="76"/>
      <c r="E66" s="76"/>
      <c r="F66" s="78"/>
      <c r="G66" s="78"/>
      <c r="H66" s="87"/>
      <c r="I66" s="87"/>
      <c r="J66" s="87"/>
      <c r="K66" s="87"/>
      <c r="L66" s="88"/>
      <c r="M66" s="62"/>
      <c r="N66" s="89"/>
      <c r="O66" s="90"/>
      <c r="P66" s="90"/>
      <c r="Q66" s="90"/>
      <c r="R66" s="88"/>
      <c r="S66" s="91"/>
      <c r="T66" s="64"/>
      <c r="U66" s="64"/>
      <c r="V66" s="64"/>
      <c r="W66" s="64"/>
    </row>
    <row r="67" spans="1:23" x14ac:dyDescent="0.2">
      <c r="A67" s="113"/>
      <c r="B67" s="113"/>
      <c r="C67" s="113"/>
      <c r="D67" s="113"/>
      <c r="E67" s="113"/>
      <c r="F67" s="114">
        <f>SUBTOTAL(9,F5:F65)</f>
        <v>425637.40751999989</v>
      </c>
      <c r="G67" s="114">
        <f>SUM(G5:G65)</f>
        <v>41886.679999999993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27">
        <f t="shared" ref="T67:W67" si="14">SUBTOTAL(9,T5:T65)</f>
        <v>607315796.70299983</v>
      </c>
      <c r="U67" s="127">
        <f t="shared" si="14"/>
        <v>200995311.66560999</v>
      </c>
      <c r="V67" s="127">
        <f t="shared" si="14"/>
        <v>406320485.03739005</v>
      </c>
      <c r="W67" s="127">
        <f t="shared" si="14"/>
        <v>406320485.03739005</v>
      </c>
    </row>
    <row r="76" spans="1:23" x14ac:dyDescent="0.2">
      <c r="C76" s="75" t="s">
        <v>451</v>
      </c>
      <c r="V76" s="126">
        <f>T67</f>
        <v>607315796.70299983</v>
      </c>
    </row>
    <row r="77" spans="1:23" x14ac:dyDescent="0.2">
      <c r="B77" s="76">
        <v>1</v>
      </c>
      <c r="C77" s="78" t="s">
        <v>425</v>
      </c>
      <c r="D77" s="150">
        <f>F77/10.764</f>
        <v>39542.679999999993</v>
      </c>
      <c r="E77" s="78">
        <f>D77*10.764</f>
        <v>425637.40751999989</v>
      </c>
      <c r="F77" s="66">
        <f>F67</f>
        <v>425637.40751999989</v>
      </c>
      <c r="J77" s="126">
        <f>T67</f>
        <v>607315796.70299983</v>
      </c>
      <c r="T77" s="126">
        <f>W67</f>
        <v>406320485.03739005</v>
      </c>
      <c r="V77" s="51">
        <f>'Libberhedi Dist.- Building'!S26</f>
        <v>9450402.8849999998</v>
      </c>
    </row>
    <row r="78" spans="1:23" x14ac:dyDescent="0.2">
      <c r="B78" s="76">
        <v>2</v>
      </c>
      <c r="C78" s="78" t="s">
        <v>207</v>
      </c>
      <c r="D78" s="150">
        <f t="shared" ref="D78" si="15">F78/10.764</f>
        <v>762.86750000000006</v>
      </c>
      <c r="E78" s="78">
        <f>D78*10.764</f>
        <v>8211.5057699999998</v>
      </c>
      <c r="F78" s="66">
        <f>'Libberhedi Dist.- Building'!H26</f>
        <v>8211.5057699999998</v>
      </c>
      <c r="J78" s="126">
        <f>'Libberhedi Dist.- Building'!S26</f>
        <v>9450402.8849999998</v>
      </c>
      <c r="T78" s="126">
        <f>'Libberhedi Dist.- Building'!U26</f>
        <v>9365825.5787250008</v>
      </c>
      <c r="V78" s="126">
        <f>AA17</f>
        <v>70592000</v>
      </c>
    </row>
    <row r="79" spans="1:23" x14ac:dyDescent="0.2">
      <c r="B79" s="79"/>
      <c r="C79" s="77" t="s">
        <v>426</v>
      </c>
      <c r="D79" s="77">
        <f>SUBTOTAL(9,D77:D78)</f>
        <v>40305.547499999993</v>
      </c>
      <c r="E79" s="77">
        <f>SUM(E77:E78)</f>
        <v>433848.91328999988</v>
      </c>
      <c r="F79" s="77">
        <f>SUBTOTAL(9,F77:F78)</f>
        <v>433848.91328999988</v>
      </c>
      <c r="J79" s="151">
        <f>SUBTOTAL(9,J77:J78)</f>
        <v>616766199.58799982</v>
      </c>
      <c r="T79" s="151">
        <f>SUBTOTAL(9,T77:T78)</f>
        <v>415686310.61611503</v>
      </c>
      <c r="V79" s="66">
        <f>SUBTOTAL(9,V76:V78)</f>
        <v>687358199.58799982</v>
      </c>
    </row>
    <row r="80" spans="1:23" x14ac:dyDescent="0.2">
      <c r="T80" s="126">
        <f>V78</f>
        <v>70592000</v>
      </c>
    </row>
    <row r="81" spans="4:20" x14ac:dyDescent="0.2">
      <c r="T81" s="126">
        <f>T80+T79</f>
        <v>486278310.61611503</v>
      </c>
    </row>
    <row r="83" spans="4:20" x14ac:dyDescent="0.2">
      <c r="T83" s="66">
        <v>254000000</v>
      </c>
    </row>
    <row r="84" spans="4:20" x14ac:dyDescent="0.2">
      <c r="T84" s="126">
        <f>T79</f>
        <v>415686310.61611503</v>
      </c>
    </row>
    <row r="85" spans="4:20" x14ac:dyDescent="0.2">
      <c r="D85" s="78">
        <v>41886.679999999993</v>
      </c>
      <c r="E85" s="78">
        <v>450868.22351999988</v>
      </c>
    </row>
    <row r="86" spans="4:20" x14ac:dyDescent="0.2">
      <c r="D86" s="78">
        <v>762.86749999999995</v>
      </c>
      <c r="E86" s="78">
        <v>8211.5057699999998</v>
      </c>
    </row>
    <row r="87" spans="4:20" x14ac:dyDescent="0.2">
      <c r="D87" s="77">
        <f>SUM(D85:D86)</f>
        <v>42649.547499999993</v>
      </c>
      <c r="E87" s="77">
        <f>SUM(E85:E86)</f>
        <v>459079.72928999987</v>
      </c>
    </row>
  </sheetData>
  <autoFilter ref="A4:W65">
    <filterColumn colId="1">
      <colorFilter dxfId="1"/>
    </filterColumn>
  </autoFilter>
  <mergeCells count="2">
    <mergeCell ref="F3:G3"/>
    <mergeCell ref="A2:W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3:Z44"/>
  <sheetViews>
    <sheetView workbookViewId="0">
      <selection activeCell="U29" sqref="U29"/>
    </sheetView>
  </sheetViews>
  <sheetFormatPr defaultRowHeight="12.75" x14ac:dyDescent="0.2"/>
  <cols>
    <col min="1" max="2" width="9.140625" style="14"/>
    <col min="3" max="3" width="0" style="14" hidden="1" customWidth="1"/>
    <col min="4" max="4" width="22.140625" style="14" bestFit="1" customWidth="1"/>
    <col min="5" max="5" width="34.28515625" style="14" bestFit="1" customWidth="1"/>
    <col min="6" max="6" width="9.140625" style="105" customWidth="1"/>
    <col min="7" max="7" width="10.42578125" style="106" bestFit="1" customWidth="1"/>
    <col min="8" max="8" width="10.28515625" style="106" bestFit="1" customWidth="1"/>
    <col min="9" max="9" width="10" style="14" hidden="1" customWidth="1"/>
    <col min="10" max="10" width="11.5703125" style="14" hidden="1" customWidth="1"/>
    <col min="11" max="11" width="10.42578125" style="14" customWidth="1"/>
    <col min="12" max="12" width="12" style="14" hidden="1" customWidth="1"/>
    <col min="13" max="16" width="0" style="14" hidden="1" customWidth="1"/>
    <col min="17" max="17" width="13.42578125" style="14" hidden="1" customWidth="1"/>
    <col min="18" max="18" width="16.140625" style="14" customWidth="1"/>
    <col min="19" max="19" width="17.28515625" style="14" bestFit="1" customWidth="1"/>
    <col min="20" max="20" width="14.5703125" style="14" hidden="1" customWidth="1"/>
    <col min="21" max="21" width="17.7109375" style="14" bestFit="1" customWidth="1"/>
    <col min="22" max="25" width="9.140625" style="14"/>
    <col min="26" max="26" width="17.28515625" style="14" bestFit="1" customWidth="1"/>
    <col min="27" max="16384" width="9.140625" style="14"/>
  </cols>
  <sheetData>
    <row r="3" spans="2:22" s="95" customFormat="1" ht="60" x14ac:dyDescent="0.2">
      <c r="B3" s="107" t="s">
        <v>331</v>
      </c>
      <c r="C3" s="59" t="s">
        <v>242</v>
      </c>
      <c r="D3" s="59" t="s">
        <v>139</v>
      </c>
      <c r="E3" s="59" t="s">
        <v>141</v>
      </c>
      <c r="F3" s="61" t="s">
        <v>424</v>
      </c>
      <c r="G3" s="63" t="s">
        <v>410</v>
      </c>
      <c r="H3" s="63" t="s">
        <v>450</v>
      </c>
      <c r="I3" s="59" t="s">
        <v>412</v>
      </c>
      <c r="J3" s="59" t="s">
        <v>413</v>
      </c>
      <c r="K3" s="59" t="s">
        <v>414</v>
      </c>
      <c r="L3" s="59" t="s">
        <v>415</v>
      </c>
      <c r="M3" s="59" t="s">
        <v>416</v>
      </c>
      <c r="N3" s="59" t="s">
        <v>417</v>
      </c>
      <c r="O3" s="108" t="s">
        <v>245</v>
      </c>
      <c r="P3" s="108" t="s">
        <v>246</v>
      </c>
      <c r="Q3" s="108" t="s">
        <v>459</v>
      </c>
      <c r="R3" s="63" t="s">
        <v>458</v>
      </c>
      <c r="S3" s="59" t="s">
        <v>419</v>
      </c>
      <c r="T3" s="59" t="s">
        <v>420</v>
      </c>
      <c r="U3" s="59" t="s">
        <v>422</v>
      </c>
    </row>
    <row r="4" spans="2:22" hidden="1" x14ac:dyDescent="0.2">
      <c r="B4" s="99">
        <v>1</v>
      </c>
      <c r="C4" s="100" t="s">
        <v>207</v>
      </c>
      <c r="D4" s="100" t="s">
        <v>253</v>
      </c>
      <c r="E4" s="100" t="s">
        <v>351</v>
      </c>
      <c r="F4" s="101">
        <v>40</v>
      </c>
      <c r="G4" s="102">
        <f>90*17.8</f>
        <v>1602</v>
      </c>
      <c r="H4" s="102">
        <f>G4*10.764</f>
        <v>17243.928</v>
      </c>
      <c r="I4" s="99">
        <v>2021</v>
      </c>
      <c r="J4" s="99">
        <v>2022</v>
      </c>
      <c r="K4" s="99">
        <f>J4-I4</f>
        <v>1</v>
      </c>
      <c r="L4" s="99">
        <v>45</v>
      </c>
      <c r="M4" s="103">
        <v>0.1</v>
      </c>
      <c r="N4" s="99">
        <f>(1-M4)/L4</f>
        <v>0.02</v>
      </c>
      <c r="O4" s="90">
        <v>17640</v>
      </c>
      <c r="P4" s="109">
        <f>O4*1.1</f>
        <v>19404</v>
      </c>
      <c r="Q4" s="103">
        <v>0.5</v>
      </c>
      <c r="R4" s="102">
        <f>Q4*P4/10.764</f>
        <v>901.33779264214047</v>
      </c>
      <c r="S4" s="102">
        <f>R4*H4</f>
        <v>15542604</v>
      </c>
      <c r="T4" s="102">
        <f>S4*N4*K4</f>
        <v>310852.08</v>
      </c>
      <c r="U4" s="102">
        <f>S4-T4</f>
        <v>15231751.92</v>
      </c>
      <c r="V4" s="106"/>
    </row>
    <row r="5" spans="2:22" hidden="1" x14ac:dyDescent="0.2">
      <c r="B5" s="99">
        <v>2</v>
      </c>
      <c r="C5" s="99"/>
      <c r="D5" s="100" t="s">
        <v>440</v>
      </c>
      <c r="E5" s="100" t="s">
        <v>446</v>
      </c>
      <c r="F5" s="101">
        <v>8</v>
      </c>
      <c r="G5" s="102">
        <f>29*43.5</f>
        <v>1261.5</v>
      </c>
      <c r="H5" s="102">
        <f t="shared" ref="H5:H24" si="0">G5*10.764</f>
        <v>13578.786</v>
      </c>
      <c r="I5" s="99">
        <v>2021</v>
      </c>
      <c r="J5" s="99">
        <v>2022</v>
      </c>
      <c r="K5" s="99">
        <f t="shared" ref="K5:K24" si="1">J5-I5</f>
        <v>1</v>
      </c>
      <c r="L5" s="99">
        <v>45</v>
      </c>
      <c r="M5" s="103">
        <v>0.1</v>
      </c>
      <c r="N5" s="99">
        <f t="shared" ref="N5:N24" si="2">(1-M5)/L5</f>
        <v>0.02</v>
      </c>
      <c r="O5" s="90">
        <v>17640</v>
      </c>
      <c r="P5" s="109">
        <f t="shared" ref="P5:P24" si="3">O5*1.1</f>
        <v>19404</v>
      </c>
      <c r="Q5" s="103">
        <v>0.5</v>
      </c>
      <c r="R5" s="102">
        <f t="shared" ref="R5:R24" si="4">Q5*P5/10.764</f>
        <v>901.33779264214047</v>
      </c>
      <c r="S5" s="102">
        <f t="shared" ref="S5:S24" si="5">R5*H5</f>
        <v>12239073</v>
      </c>
      <c r="T5" s="102">
        <f t="shared" ref="T5:T24" si="6">S5*N5*K5</f>
        <v>244781.46</v>
      </c>
      <c r="U5" s="102">
        <f t="shared" ref="U5:U24" si="7">S5-T5</f>
        <v>11994291.539999999</v>
      </c>
    </row>
    <row r="6" spans="2:22" hidden="1" x14ac:dyDescent="0.2">
      <c r="B6" s="99">
        <v>3</v>
      </c>
      <c r="C6" s="99"/>
      <c r="D6" s="100" t="s">
        <v>442</v>
      </c>
      <c r="E6" s="100" t="s">
        <v>446</v>
      </c>
      <c r="F6" s="101">
        <v>8</v>
      </c>
      <c r="G6" s="102">
        <f>32.5*21.6</f>
        <v>702</v>
      </c>
      <c r="H6" s="102">
        <f t="shared" si="0"/>
        <v>7556.3279999999995</v>
      </c>
      <c r="I6" s="99">
        <v>2021</v>
      </c>
      <c r="J6" s="99">
        <v>2022</v>
      </c>
      <c r="K6" s="99">
        <f t="shared" si="1"/>
        <v>1</v>
      </c>
      <c r="L6" s="99">
        <v>45</v>
      </c>
      <c r="M6" s="103">
        <v>0.1</v>
      </c>
      <c r="N6" s="99">
        <f t="shared" si="2"/>
        <v>0.02</v>
      </c>
      <c r="O6" s="90">
        <v>17640</v>
      </c>
      <c r="P6" s="109">
        <f t="shared" si="3"/>
        <v>19404</v>
      </c>
      <c r="Q6" s="103">
        <v>0.5</v>
      </c>
      <c r="R6" s="102">
        <f t="shared" si="4"/>
        <v>901.33779264214047</v>
      </c>
      <c r="S6" s="102">
        <f t="shared" si="5"/>
        <v>6810804</v>
      </c>
      <c r="T6" s="102">
        <f t="shared" si="6"/>
        <v>136216.08000000002</v>
      </c>
      <c r="U6" s="102">
        <f t="shared" si="7"/>
        <v>6674587.9199999999</v>
      </c>
    </row>
    <row r="7" spans="2:22" hidden="1" x14ac:dyDescent="0.2">
      <c r="B7" s="99">
        <v>4</v>
      </c>
      <c r="C7" s="99"/>
      <c r="D7" s="100" t="s">
        <v>436</v>
      </c>
      <c r="E7" s="100" t="s">
        <v>444</v>
      </c>
      <c r="F7" s="101">
        <v>11</v>
      </c>
      <c r="G7" s="102">
        <f>31*20</f>
        <v>620</v>
      </c>
      <c r="H7" s="102">
        <f t="shared" si="0"/>
        <v>6673.6799999999994</v>
      </c>
      <c r="I7" s="99">
        <v>2021</v>
      </c>
      <c r="J7" s="99">
        <v>2022</v>
      </c>
      <c r="K7" s="99">
        <f t="shared" si="1"/>
        <v>1</v>
      </c>
      <c r="L7" s="99">
        <v>60</v>
      </c>
      <c r="M7" s="103">
        <v>0.1</v>
      </c>
      <c r="N7" s="99">
        <f t="shared" si="2"/>
        <v>1.5000000000000001E-2</v>
      </c>
      <c r="O7" s="90">
        <v>17640</v>
      </c>
      <c r="P7" s="109">
        <f t="shared" si="3"/>
        <v>19404</v>
      </c>
      <c r="Q7" s="103">
        <v>0.5</v>
      </c>
      <c r="R7" s="102">
        <f t="shared" si="4"/>
        <v>901.33779264214047</v>
      </c>
      <c r="S7" s="102">
        <f t="shared" si="5"/>
        <v>6015239.9999999991</v>
      </c>
      <c r="T7" s="102">
        <f t="shared" si="6"/>
        <v>90228.599999999991</v>
      </c>
      <c r="U7" s="102">
        <f t="shared" si="7"/>
        <v>5925011.3999999994</v>
      </c>
    </row>
    <row r="8" spans="2:22" hidden="1" x14ac:dyDescent="0.2">
      <c r="B8" s="99">
        <v>5</v>
      </c>
      <c r="C8" s="99"/>
      <c r="D8" s="100" t="s">
        <v>449</v>
      </c>
      <c r="E8" s="100" t="s">
        <v>351</v>
      </c>
      <c r="F8" s="101">
        <v>30</v>
      </c>
      <c r="G8" s="102">
        <f>25.95*20.5</f>
        <v>531.97500000000002</v>
      </c>
      <c r="H8" s="102">
        <f t="shared" si="0"/>
        <v>5726.1788999999999</v>
      </c>
      <c r="I8" s="99">
        <v>2021</v>
      </c>
      <c r="J8" s="99">
        <v>2022</v>
      </c>
      <c r="K8" s="99">
        <f t="shared" si="1"/>
        <v>1</v>
      </c>
      <c r="L8" s="99">
        <v>45</v>
      </c>
      <c r="M8" s="103">
        <v>0.1</v>
      </c>
      <c r="N8" s="99">
        <f t="shared" si="2"/>
        <v>0.02</v>
      </c>
      <c r="O8" s="90">
        <v>17640</v>
      </c>
      <c r="P8" s="109">
        <f t="shared" si="3"/>
        <v>19404</v>
      </c>
      <c r="Q8" s="103">
        <v>0.5</v>
      </c>
      <c r="R8" s="102">
        <f t="shared" si="4"/>
        <v>901.33779264214047</v>
      </c>
      <c r="S8" s="102">
        <f t="shared" si="5"/>
        <v>5161221.45</v>
      </c>
      <c r="T8" s="102">
        <f t="shared" si="6"/>
        <v>103224.429</v>
      </c>
      <c r="U8" s="102">
        <f t="shared" si="7"/>
        <v>5057997.0209999997</v>
      </c>
    </row>
    <row r="9" spans="2:22" hidden="1" x14ac:dyDescent="0.2">
      <c r="B9" s="99">
        <v>6</v>
      </c>
      <c r="C9" s="99"/>
      <c r="D9" s="100" t="s">
        <v>447</v>
      </c>
      <c r="E9" s="100" t="s">
        <v>351</v>
      </c>
      <c r="F9" s="101">
        <v>23</v>
      </c>
      <c r="G9" s="102">
        <f>24*17.8</f>
        <v>427.20000000000005</v>
      </c>
      <c r="H9" s="102">
        <f t="shared" si="0"/>
        <v>4598.3807999999999</v>
      </c>
      <c r="I9" s="99">
        <v>2021</v>
      </c>
      <c r="J9" s="99">
        <v>2022</v>
      </c>
      <c r="K9" s="99">
        <f t="shared" si="1"/>
        <v>1</v>
      </c>
      <c r="L9" s="99">
        <v>45</v>
      </c>
      <c r="M9" s="103">
        <v>0.1</v>
      </c>
      <c r="N9" s="99">
        <f t="shared" si="2"/>
        <v>0.02</v>
      </c>
      <c r="O9" s="90">
        <v>17640</v>
      </c>
      <c r="P9" s="109">
        <f t="shared" si="3"/>
        <v>19404</v>
      </c>
      <c r="Q9" s="103">
        <v>0.5</v>
      </c>
      <c r="R9" s="102">
        <f t="shared" si="4"/>
        <v>901.33779264214047</v>
      </c>
      <c r="S9" s="102">
        <f t="shared" si="5"/>
        <v>4144694.4</v>
      </c>
      <c r="T9" s="102">
        <f t="shared" si="6"/>
        <v>82893.888000000006</v>
      </c>
      <c r="U9" s="102">
        <f t="shared" si="7"/>
        <v>4061800.5120000001</v>
      </c>
    </row>
    <row r="10" spans="2:22" hidden="1" x14ac:dyDescent="0.2">
      <c r="B10" s="99">
        <v>7</v>
      </c>
      <c r="C10" s="99"/>
      <c r="D10" s="100" t="s">
        <v>439</v>
      </c>
      <c r="E10" s="100" t="s">
        <v>446</v>
      </c>
      <c r="F10" s="101">
        <v>7.2</v>
      </c>
      <c r="G10" s="102">
        <f>18.2*19.4</f>
        <v>353.08</v>
      </c>
      <c r="H10" s="102">
        <f t="shared" si="0"/>
        <v>3800.5531199999996</v>
      </c>
      <c r="I10" s="99">
        <v>2021</v>
      </c>
      <c r="J10" s="99">
        <v>2022</v>
      </c>
      <c r="K10" s="99">
        <f t="shared" si="1"/>
        <v>1</v>
      </c>
      <c r="L10" s="99">
        <v>45</v>
      </c>
      <c r="M10" s="103">
        <v>0.1</v>
      </c>
      <c r="N10" s="99">
        <f t="shared" si="2"/>
        <v>0.02</v>
      </c>
      <c r="O10" s="90">
        <v>17640</v>
      </c>
      <c r="P10" s="109">
        <f t="shared" si="3"/>
        <v>19404</v>
      </c>
      <c r="Q10" s="103">
        <v>0.5</v>
      </c>
      <c r="R10" s="102">
        <f t="shared" si="4"/>
        <v>901.33779264214047</v>
      </c>
      <c r="S10" s="102">
        <f t="shared" si="5"/>
        <v>3425582.1599999997</v>
      </c>
      <c r="T10" s="102">
        <f t="shared" si="6"/>
        <v>68511.643199999991</v>
      </c>
      <c r="U10" s="102">
        <f t="shared" si="7"/>
        <v>3357070.5167999999</v>
      </c>
    </row>
    <row r="11" spans="2:22" hidden="1" x14ac:dyDescent="0.2">
      <c r="B11" s="99">
        <v>8</v>
      </c>
      <c r="C11" s="99"/>
      <c r="D11" s="100" t="s">
        <v>443</v>
      </c>
      <c r="E11" s="100" t="s">
        <v>446</v>
      </c>
      <c r="F11" s="101">
        <v>8</v>
      </c>
      <c r="G11" s="102">
        <f>32.5*8.5</f>
        <v>276.25</v>
      </c>
      <c r="H11" s="102">
        <f t="shared" si="0"/>
        <v>2973.5549999999998</v>
      </c>
      <c r="I11" s="99">
        <v>2021</v>
      </c>
      <c r="J11" s="99">
        <v>2022</v>
      </c>
      <c r="K11" s="99">
        <f t="shared" si="1"/>
        <v>1</v>
      </c>
      <c r="L11" s="99">
        <v>45</v>
      </c>
      <c r="M11" s="103">
        <v>0.1</v>
      </c>
      <c r="N11" s="99">
        <f t="shared" si="2"/>
        <v>0.02</v>
      </c>
      <c r="O11" s="90">
        <v>17640</v>
      </c>
      <c r="P11" s="109">
        <f t="shared" si="3"/>
        <v>19404</v>
      </c>
      <c r="Q11" s="103">
        <v>0.5</v>
      </c>
      <c r="R11" s="102">
        <f t="shared" si="4"/>
        <v>901.33779264214047</v>
      </c>
      <c r="S11" s="102">
        <f t="shared" si="5"/>
        <v>2680177.5</v>
      </c>
      <c r="T11" s="102">
        <f t="shared" si="6"/>
        <v>53603.55</v>
      </c>
      <c r="U11" s="102">
        <f t="shared" si="7"/>
        <v>2626573.9500000002</v>
      </c>
    </row>
    <row r="12" spans="2:22" x14ac:dyDescent="0.2">
      <c r="B12" s="99">
        <v>1</v>
      </c>
      <c r="C12" s="99"/>
      <c r="D12" s="110" t="s">
        <v>431</v>
      </c>
      <c r="E12" s="100" t="s">
        <v>444</v>
      </c>
      <c r="F12" s="101">
        <v>3.5</v>
      </c>
      <c r="G12" s="102">
        <f>22*12</f>
        <v>264</v>
      </c>
      <c r="H12" s="102">
        <f t="shared" si="0"/>
        <v>2841.6959999999999</v>
      </c>
      <c r="I12" s="99">
        <v>2022</v>
      </c>
      <c r="J12" s="99">
        <v>2022</v>
      </c>
      <c r="K12" s="99">
        <f t="shared" si="1"/>
        <v>0</v>
      </c>
      <c r="L12" s="99">
        <v>60</v>
      </c>
      <c r="M12" s="103">
        <v>0.1</v>
      </c>
      <c r="N12" s="99">
        <f t="shared" si="2"/>
        <v>1.5000000000000001E-2</v>
      </c>
      <c r="O12" s="90">
        <v>17640</v>
      </c>
      <c r="P12" s="109">
        <f t="shared" si="3"/>
        <v>19404</v>
      </c>
      <c r="Q12" s="103">
        <v>0.9</v>
      </c>
      <c r="R12" s="102">
        <f t="shared" si="4"/>
        <v>1622.4080267558531</v>
      </c>
      <c r="S12" s="102">
        <f t="shared" si="5"/>
        <v>4610390.4000000004</v>
      </c>
      <c r="T12" s="102">
        <f t="shared" si="6"/>
        <v>0</v>
      </c>
      <c r="U12" s="102">
        <f t="shared" si="7"/>
        <v>4610390.4000000004</v>
      </c>
    </row>
    <row r="13" spans="2:22" hidden="1" x14ac:dyDescent="0.2">
      <c r="B13" s="99">
        <v>10</v>
      </c>
      <c r="C13" s="99"/>
      <c r="D13" s="100" t="s">
        <v>434</v>
      </c>
      <c r="E13" s="100" t="s">
        <v>351</v>
      </c>
      <c r="F13" s="101">
        <v>9</v>
      </c>
      <c r="G13" s="102">
        <f>25*10.5</f>
        <v>262.5</v>
      </c>
      <c r="H13" s="102">
        <f t="shared" si="0"/>
        <v>2825.5499999999997</v>
      </c>
      <c r="I13" s="99">
        <v>2021</v>
      </c>
      <c r="J13" s="99">
        <v>2022</v>
      </c>
      <c r="K13" s="99">
        <f t="shared" si="1"/>
        <v>1</v>
      </c>
      <c r="L13" s="99">
        <v>45</v>
      </c>
      <c r="M13" s="103">
        <v>0.1</v>
      </c>
      <c r="N13" s="99">
        <f t="shared" si="2"/>
        <v>0.02</v>
      </c>
      <c r="O13" s="90">
        <v>17640</v>
      </c>
      <c r="P13" s="109">
        <f t="shared" si="3"/>
        <v>19404</v>
      </c>
      <c r="Q13" s="103">
        <v>0.5</v>
      </c>
      <c r="R13" s="102">
        <f t="shared" si="4"/>
        <v>901.33779264214047</v>
      </c>
      <c r="S13" s="102">
        <f t="shared" si="5"/>
        <v>2546774.9999999995</v>
      </c>
      <c r="T13" s="102">
        <f t="shared" si="6"/>
        <v>50935.499999999993</v>
      </c>
      <c r="U13" s="102">
        <f t="shared" si="7"/>
        <v>2495839.4999999995</v>
      </c>
    </row>
    <row r="14" spans="2:22" hidden="1" x14ac:dyDescent="0.2">
      <c r="B14" s="99">
        <v>11</v>
      </c>
      <c r="C14" s="99"/>
      <c r="D14" s="100" t="s">
        <v>435</v>
      </c>
      <c r="E14" s="100" t="s">
        <v>444</v>
      </c>
      <c r="F14" s="101">
        <v>9</v>
      </c>
      <c r="G14" s="102">
        <f>18.2*13</f>
        <v>236.6</v>
      </c>
      <c r="H14" s="102">
        <f t="shared" si="0"/>
        <v>2546.7623999999996</v>
      </c>
      <c r="I14" s="99">
        <v>2021</v>
      </c>
      <c r="J14" s="99">
        <v>2022</v>
      </c>
      <c r="K14" s="99">
        <f t="shared" si="1"/>
        <v>1</v>
      </c>
      <c r="L14" s="99">
        <v>60</v>
      </c>
      <c r="M14" s="103">
        <v>0.1</v>
      </c>
      <c r="N14" s="99">
        <f t="shared" si="2"/>
        <v>1.5000000000000001E-2</v>
      </c>
      <c r="O14" s="90">
        <v>17640</v>
      </c>
      <c r="P14" s="109">
        <f t="shared" si="3"/>
        <v>19404</v>
      </c>
      <c r="Q14" s="103">
        <v>0.5</v>
      </c>
      <c r="R14" s="102">
        <f t="shared" si="4"/>
        <v>901.33779264214047</v>
      </c>
      <c r="S14" s="102">
        <f t="shared" si="5"/>
        <v>2295493.1999999997</v>
      </c>
      <c r="T14" s="102">
        <f t="shared" si="6"/>
        <v>34432.398000000001</v>
      </c>
      <c r="U14" s="102">
        <f t="shared" si="7"/>
        <v>2261060.8019999997</v>
      </c>
    </row>
    <row r="15" spans="2:22" hidden="1" x14ac:dyDescent="0.2">
      <c r="B15" s="99">
        <v>12</v>
      </c>
      <c r="C15" s="99"/>
      <c r="D15" s="100" t="s">
        <v>437</v>
      </c>
      <c r="E15" s="100" t="s">
        <v>446</v>
      </c>
      <c r="F15" s="101">
        <v>2.12</v>
      </c>
      <c r="G15" s="102">
        <f>15*14</f>
        <v>210</v>
      </c>
      <c r="H15" s="102">
        <f t="shared" si="0"/>
        <v>2260.44</v>
      </c>
      <c r="I15" s="99">
        <v>2021</v>
      </c>
      <c r="J15" s="99">
        <v>2022</v>
      </c>
      <c r="K15" s="99">
        <f t="shared" si="1"/>
        <v>1</v>
      </c>
      <c r="L15" s="99">
        <v>45</v>
      </c>
      <c r="M15" s="103">
        <v>0.1</v>
      </c>
      <c r="N15" s="99">
        <f t="shared" si="2"/>
        <v>0.02</v>
      </c>
      <c r="O15" s="90">
        <v>17640</v>
      </c>
      <c r="P15" s="109">
        <f t="shared" si="3"/>
        <v>19404</v>
      </c>
      <c r="Q15" s="103">
        <v>0.5</v>
      </c>
      <c r="R15" s="102">
        <f t="shared" si="4"/>
        <v>901.33779264214047</v>
      </c>
      <c r="S15" s="102">
        <f t="shared" si="5"/>
        <v>2037420</v>
      </c>
      <c r="T15" s="102">
        <f t="shared" si="6"/>
        <v>40748.400000000001</v>
      </c>
      <c r="U15" s="102">
        <f t="shared" si="7"/>
        <v>1996671.6</v>
      </c>
    </row>
    <row r="16" spans="2:22" x14ac:dyDescent="0.2">
      <c r="B16" s="99">
        <v>2</v>
      </c>
      <c r="C16" s="99"/>
      <c r="D16" s="110" t="s">
        <v>210</v>
      </c>
      <c r="E16" s="100" t="s">
        <v>444</v>
      </c>
      <c r="F16" s="101">
        <v>3.2</v>
      </c>
      <c r="G16" s="102">
        <f>18*7.4</f>
        <v>133.20000000000002</v>
      </c>
      <c r="H16" s="102">
        <f t="shared" si="0"/>
        <v>1433.7648000000002</v>
      </c>
      <c r="I16" s="99">
        <v>2021</v>
      </c>
      <c r="J16" s="99">
        <v>2022</v>
      </c>
      <c r="K16" s="99">
        <f t="shared" si="1"/>
        <v>1</v>
      </c>
      <c r="L16" s="99">
        <v>60</v>
      </c>
      <c r="M16" s="103">
        <v>0.1</v>
      </c>
      <c r="N16" s="99">
        <f t="shared" si="2"/>
        <v>1.5000000000000001E-2</v>
      </c>
      <c r="O16" s="90">
        <v>17640</v>
      </c>
      <c r="P16" s="109">
        <f t="shared" si="3"/>
        <v>19404</v>
      </c>
      <c r="Q16" s="103">
        <v>0.5</v>
      </c>
      <c r="R16" s="102">
        <f t="shared" si="4"/>
        <v>901.33779264214047</v>
      </c>
      <c r="S16" s="102">
        <f t="shared" si="5"/>
        <v>1292306.4000000001</v>
      </c>
      <c r="T16" s="102">
        <f t="shared" si="6"/>
        <v>19384.596000000005</v>
      </c>
      <c r="U16" s="102">
        <f t="shared" si="7"/>
        <v>1272921.8040000002</v>
      </c>
    </row>
    <row r="17" spans="2:26" x14ac:dyDescent="0.2">
      <c r="B17" s="99">
        <v>3</v>
      </c>
      <c r="C17" s="99"/>
      <c r="D17" s="110" t="s">
        <v>438</v>
      </c>
      <c r="E17" s="100" t="s">
        <v>351</v>
      </c>
      <c r="F17" s="101">
        <v>3.5</v>
      </c>
      <c r="G17" s="102">
        <f>18*5</f>
        <v>90</v>
      </c>
      <c r="H17" s="102">
        <f t="shared" si="0"/>
        <v>968.76</v>
      </c>
      <c r="I17" s="99">
        <v>2021</v>
      </c>
      <c r="J17" s="99">
        <v>2022</v>
      </c>
      <c r="K17" s="99">
        <f t="shared" si="1"/>
        <v>1</v>
      </c>
      <c r="L17" s="99">
        <v>45</v>
      </c>
      <c r="M17" s="103">
        <v>0.1</v>
      </c>
      <c r="N17" s="99">
        <f t="shared" si="2"/>
        <v>0.02</v>
      </c>
      <c r="O17" s="90">
        <v>17640</v>
      </c>
      <c r="P17" s="109">
        <f t="shared" si="3"/>
        <v>19404</v>
      </c>
      <c r="Q17" s="103">
        <v>0.5</v>
      </c>
      <c r="R17" s="102">
        <f t="shared" si="4"/>
        <v>901.33779264214047</v>
      </c>
      <c r="S17" s="102">
        <f t="shared" si="5"/>
        <v>873180</v>
      </c>
      <c r="T17" s="102">
        <f t="shared" si="6"/>
        <v>17463.599999999999</v>
      </c>
      <c r="U17" s="102">
        <f t="shared" si="7"/>
        <v>855716.4</v>
      </c>
    </row>
    <row r="18" spans="2:26" x14ac:dyDescent="0.2">
      <c r="B18" s="99">
        <v>4</v>
      </c>
      <c r="C18" s="99"/>
      <c r="D18" s="110" t="s">
        <v>441</v>
      </c>
      <c r="E18" s="100" t="s">
        <v>351</v>
      </c>
      <c r="F18" s="101">
        <v>4.9000000000000004</v>
      </c>
      <c r="G18" s="102">
        <f>13*6.3</f>
        <v>81.899999999999991</v>
      </c>
      <c r="H18" s="102">
        <f t="shared" si="0"/>
        <v>881.57159999999988</v>
      </c>
      <c r="I18" s="99">
        <v>2021</v>
      </c>
      <c r="J18" s="99">
        <v>2022</v>
      </c>
      <c r="K18" s="99">
        <f t="shared" si="1"/>
        <v>1</v>
      </c>
      <c r="L18" s="99">
        <v>45</v>
      </c>
      <c r="M18" s="103">
        <v>0.1</v>
      </c>
      <c r="N18" s="99">
        <f t="shared" si="2"/>
        <v>0.02</v>
      </c>
      <c r="O18" s="90">
        <v>17640</v>
      </c>
      <c r="P18" s="109">
        <f t="shared" si="3"/>
        <v>19404</v>
      </c>
      <c r="Q18" s="103">
        <v>0.5</v>
      </c>
      <c r="R18" s="102">
        <f t="shared" si="4"/>
        <v>901.33779264214047</v>
      </c>
      <c r="S18" s="102">
        <f t="shared" si="5"/>
        <v>794593.79999999993</v>
      </c>
      <c r="T18" s="102">
        <f t="shared" si="6"/>
        <v>15891.875999999998</v>
      </c>
      <c r="U18" s="102">
        <f t="shared" si="7"/>
        <v>778701.92399999988</v>
      </c>
    </row>
    <row r="19" spans="2:26" x14ac:dyDescent="0.2">
      <c r="B19" s="99">
        <v>5</v>
      </c>
      <c r="C19" s="99"/>
      <c r="D19" s="110" t="s">
        <v>448</v>
      </c>
      <c r="E19" s="100" t="s">
        <v>444</v>
      </c>
      <c r="F19" s="101">
        <v>4.9000000000000004</v>
      </c>
      <c r="G19" s="102">
        <f>13*6.3</f>
        <v>81.899999999999991</v>
      </c>
      <c r="H19" s="102">
        <f t="shared" si="0"/>
        <v>881.57159999999988</v>
      </c>
      <c r="I19" s="99">
        <v>2021</v>
      </c>
      <c r="J19" s="99">
        <v>2022</v>
      </c>
      <c r="K19" s="99">
        <f t="shared" si="1"/>
        <v>1</v>
      </c>
      <c r="L19" s="99">
        <v>60</v>
      </c>
      <c r="M19" s="103">
        <v>0.1</v>
      </c>
      <c r="N19" s="99">
        <f t="shared" si="2"/>
        <v>1.5000000000000001E-2</v>
      </c>
      <c r="O19" s="90">
        <v>17640</v>
      </c>
      <c r="P19" s="109">
        <f t="shared" si="3"/>
        <v>19404</v>
      </c>
      <c r="Q19" s="103">
        <v>0.5</v>
      </c>
      <c r="R19" s="102">
        <f t="shared" si="4"/>
        <v>901.33779264214047</v>
      </c>
      <c r="S19" s="102">
        <f t="shared" si="5"/>
        <v>794593.79999999993</v>
      </c>
      <c r="T19" s="102">
        <f t="shared" si="6"/>
        <v>11918.906999999999</v>
      </c>
      <c r="U19" s="102">
        <f t="shared" si="7"/>
        <v>782674.89299999992</v>
      </c>
    </row>
    <row r="20" spans="2:26" x14ac:dyDescent="0.2">
      <c r="B20" s="99">
        <v>6</v>
      </c>
      <c r="C20" s="99"/>
      <c r="D20" s="110" t="s">
        <v>430</v>
      </c>
      <c r="E20" s="100" t="s">
        <v>351</v>
      </c>
      <c r="F20" s="101">
        <v>2.8</v>
      </c>
      <c r="G20" s="102">
        <f>15*5</f>
        <v>75</v>
      </c>
      <c r="H20" s="102">
        <f t="shared" si="0"/>
        <v>807.3</v>
      </c>
      <c r="I20" s="99">
        <v>2021</v>
      </c>
      <c r="J20" s="99">
        <v>2022</v>
      </c>
      <c r="K20" s="99">
        <f t="shared" si="1"/>
        <v>1</v>
      </c>
      <c r="L20" s="99">
        <v>45</v>
      </c>
      <c r="M20" s="103">
        <v>0.1</v>
      </c>
      <c r="N20" s="99">
        <f t="shared" si="2"/>
        <v>0.02</v>
      </c>
      <c r="O20" s="90">
        <v>17640</v>
      </c>
      <c r="P20" s="109">
        <f t="shared" si="3"/>
        <v>19404</v>
      </c>
      <c r="Q20" s="103">
        <v>0.5</v>
      </c>
      <c r="R20" s="102">
        <f t="shared" si="4"/>
        <v>901.33779264214047</v>
      </c>
      <c r="S20" s="102">
        <f t="shared" si="5"/>
        <v>727650</v>
      </c>
      <c r="T20" s="102">
        <f t="shared" si="6"/>
        <v>14553</v>
      </c>
      <c r="U20" s="102">
        <f t="shared" si="7"/>
        <v>713097</v>
      </c>
    </row>
    <row r="21" spans="2:26" hidden="1" x14ac:dyDescent="0.2">
      <c r="B21" s="99">
        <v>18</v>
      </c>
      <c r="C21" s="99"/>
      <c r="D21" s="100" t="s">
        <v>433</v>
      </c>
      <c r="E21" s="100" t="s">
        <v>445</v>
      </c>
      <c r="F21" s="101">
        <v>7.25</v>
      </c>
      <c r="G21" s="102">
        <f>9.6*6.4</f>
        <v>61.44</v>
      </c>
      <c r="H21" s="102">
        <f t="shared" si="0"/>
        <v>661.34015999999997</v>
      </c>
      <c r="I21" s="99">
        <v>2021</v>
      </c>
      <c r="J21" s="99">
        <v>2022</v>
      </c>
      <c r="K21" s="99">
        <f t="shared" si="1"/>
        <v>1</v>
      </c>
      <c r="L21" s="99">
        <v>45</v>
      </c>
      <c r="M21" s="103">
        <v>0.1</v>
      </c>
      <c r="N21" s="99">
        <f t="shared" si="2"/>
        <v>0.02</v>
      </c>
      <c r="O21" s="90">
        <v>17640</v>
      </c>
      <c r="P21" s="109">
        <f t="shared" si="3"/>
        <v>19404</v>
      </c>
      <c r="Q21" s="103">
        <v>0.5</v>
      </c>
      <c r="R21" s="102">
        <f t="shared" si="4"/>
        <v>901.33779264214047</v>
      </c>
      <c r="S21" s="102">
        <f t="shared" si="5"/>
        <v>596090.88</v>
      </c>
      <c r="T21" s="102">
        <f t="shared" si="6"/>
        <v>11921.8176</v>
      </c>
      <c r="U21" s="102">
        <f t="shared" si="7"/>
        <v>584169.06240000005</v>
      </c>
    </row>
    <row r="22" spans="2:26" x14ac:dyDescent="0.2">
      <c r="B22" s="99">
        <v>7</v>
      </c>
      <c r="C22" s="99"/>
      <c r="D22" s="110" t="s">
        <v>432</v>
      </c>
      <c r="E22" s="100" t="s">
        <v>444</v>
      </c>
      <c r="F22" s="101">
        <v>2.7</v>
      </c>
      <c r="G22" s="102">
        <f>3.7*3.65</f>
        <v>13.505000000000001</v>
      </c>
      <c r="H22" s="102">
        <f t="shared" si="0"/>
        <v>145.36781999999999</v>
      </c>
      <c r="I22" s="99">
        <v>2021</v>
      </c>
      <c r="J22" s="99">
        <v>2022</v>
      </c>
      <c r="K22" s="99">
        <f t="shared" si="1"/>
        <v>1</v>
      </c>
      <c r="L22" s="99">
        <v>60</v>
      </c>
      <c r="M22" s="103">
        <v>0.1</v>
      </c>
      <c r="N22" s="99">
        <f t="shared" si="2"/>
        <v>1.5000000000000001E-2</v>
      </c>
      <c r="O22" s="90">
        <v>17640</v>
      </c>
      <c r="P22" s="109">
        <f t="shared" si="3"/>
        <v>19404</v>
      </c>
      <c r="Q22" s="103">
        <v>0.5</v>
      </c>
      <c r="R22" s="102">
        <f t="shared" si="4"/>
        <v>901.33779264214047</v>
      </c>
      <c r="S22" s="102">
        <f t="shared" si="5"/>
        <v>131025.51</v>
      </c>
      <c r="T22" s="102">
        <f t="shared" si="6"/>
        <v>1965.38265</v>
      </c>
      <c r="U22" s="102">
        <f t="shared" si="7"/>
        <v>129060.12735</v>
      </c>
    </row>
    <row r="23" spans="2:26" x14ac:dyDescent="0.2">
      <c r="B23" s="99">
        <v>8</v>
      </c>
      <c r="C23" s="99"/>
      <c r="D23" s="110" t="s">
        <v>358</v>
      </c>
      <c r="E23" s="100" t="s">
        <v>444</v>
      </c>
      <c r="F23" s="101">
        <v>3</v>
      </c>
      <c r="G23" s="102">
        <f>3.75*3.15</f>
        <v>11.8125</v>
      </c>
      <c r="H23" s="102">
        <f t="shared" si="0"/>
        <v>127.14975</v>
      </c>
      <c r="I23" s="99">
        <v>2021</v>
      </c>
      <c r="J23" s="99">
        <v>2022</v>
      </c>
      <c r="K23" s="99">
        <f t="shared" si="1"/>
        <v>1</v>
      </c>
      <c r="L23" s="99">
        <v>60</v>
      </c>
      <c r="M23" s="103">
        <v>0.1</v>
      </c>
      <c r="N23" s="99">
        <f t="shared" si="2"/>
        <v>1.5000000000000001E-2</v>
      </c>
      <c r="O23" s="90">
        <v>17640</v>
      </c>
      <c r="P23" s="109">
        <f t="shared" si="3"/>
        <v>19404</v>
      </c>
      <c r="Q23" s="103">
        <v>0.5</v>
      </c>
      <c r="R23" s="102">
        <f t="shared" si="4"/>
        <v>901.33779264214047</v>
      </c>
      <c r="S23" s="102">
        <f t="shared" si="5"/>
        <v>114604.875</v>
      </c>
      <c r="T23" s="102">
        <f t="shared" si="6"/>
        <v>1719.0731250000001</v>
      </c>
      <c r="U23" s="102">
        <f t="shared" si="7"/>
        <v>112885.801875</v>
      </c>
    </row>
    <row r="24" spans="2:26" x14ac:dyDescent="0.2">
      <c r="B24" s="99">
        <v>9</v>
      </c>
      <c r="C24" s="99"/>
      <c r="D24" s="110" t="s">
        <v>155</v>
      </c>
      <c r="E24" s="100" t="s">
        <v>444</v>
      </c>
      <c r="F24" s="101">
        <v>3</v>
      </c>
      <c r="G24" s="102">
        <f>3.5*3.3</f>
        <v>11.549999999999999</v>
      </c>
      <c r="H24" s="102">
        <f t="shared" si="0"/>
        <v>124.32419999999998</v>
      </c>
      <c r="I24" s="99">
        <v>2021</v>
      </c>
      <c r="J24" s="99">
        <v>2022</v>
      </c>
      <c r="K24" s="99">
        <f t="shared" si="1"/>
        <v>1</v>
      </c>
      <c r="L24" s="99">
        <v>60</v>
      </c>
      <c r="M24" s="103">
        <v>0.1</v>
      </c>
      <c r="N24" s="99">
        <f t="shared" si="2"/>
        <v>1.5000000000000001E-2</v>
      </c>
      <c r="O24" s="90">
        <v>17640</v>
      </c>
      <c r="P24" s="109">
        <f t="shared" si="3"/>
        <v>19404</v>
      </c>
      <c r="Q24" s="103">
        <v>0.5</v>
      </c>
      <c r="R24" s="102">
        <f t="shared" si="4"/>
        <v>901.33779264214047</v>
      </c>
      <c r="S24" s="102">
        <f t="shared" si="5"/>
        <v>112058.09999999998</v>
      </c>
      <c r="T24" s="102">
        <f t="shared" si="6"/>
        <v>1680.8714999999997</v>
      </c>
      <c r="U24" s="102">
        <f t="shared" si="7"/>
        <v>110377.22849999998</v>
      </c>
    </row>
    <row r="25" spans="2:26" x14ac:dyDescent="0.2">
      <c r="B25" s="99"/>
      <c r="C25" s="99"/>
      <c r="D25" s="110"/>
      <c r="E25" s="100"/>
      <c r="F25" s="101"/>
      <c r="G25" s="102"/>
      <c r="H25" s="102"/>
      <c r="I25" s="99"/>
      <c r="J25" s="99"/>
      <c r="K25" s="99"/>
      <c r="L25" s="99"/>
      <c r="M25" s="103"/>
      <c r="N25" s="99"/>
      <c r="O25" s="90"/>
      <c r="P25" s="109"/>
      <c r="Q25" s="103"/>
      <c r="R25" s="102"/>
      <c r="S25" s="102"/>
      <c r="T25" s="102"/>
      <c r="U25" s="102"/>
    </row>
    <row r="26" spans="2:26" x14ac:dyDescent="0.2">
      <c r="B26" s="99"/>
      <c r="C26" s="99"/>
      <c r="D26" s="99"/>
      <c r="E26" s="99"/>
      <c r="F26" s="101"/>
      <c r="G26" s="104">
        <f t="shared" ref="G26:H26" si="8">SUBTOTAL(9,G4:G24)</f>
        <v>762.86749999999995</v>
      </c>
      <c r="H26" s="104">
        <f t="shared" si="8"/>
        <v>8211.5057699999998</v>
      </c>
      <c r="I26" s="99"/>
      <c r="J26" s="99"/>
      <c r="K26" s="99"/>
      <c r="L26" s="99"/>
      <c r="M26" s="99"/>
      <c r="N26" s="99"/>
      <c r="O26" s="99"/>
      <c r="P26" s="99"/>
      <c r="Q26" s="99"/>
      <c r="R26" s="104"/>
      <c r="S26" s="104">
        <f>SUBTOTAL(9,S4:S24)</f>
        <v>9450402.8849999998</v>
      </c>
      <c r="T26" s="104">
        <f t="shared" ref="T26:U26" si="9">SUBTOTAL(9,T4:T24)</f>
        <v>84577.306274999981</v>
      </c>
      <c r="U26" s="104">
        <f t="shared" si="9"/>
        <v>9365825.5787250008</v>
      </c>
    </row>
    <row r="27" spans="2:26" x14ac:dyDescent="0.2">
      <c r="Z27" s="131">
        <v>253888000</v>
      </c>
    </row>
    <row r="28" spans="2:26" x14ac:dyDescent="0.2">
      <c r="Z28" s="130">
        <f>'Libberheri Sugar Building'!T79</f>
        <v>415686310.61611503</v>
      </c>
    </row>
    <row r="29" spans="2:26" x14ac:dyDescent="0.2">
      <c r="S29" s="129">
        <f>'Libberheri Sugar Building'!T67</f>
        <v>607315796.70299983</v>
      </c>
      <c r="U29" s="129">
        <f>'Libberheri Sugar Building'!V67</f>
        <v>406320485.03739005</v>
      </c>
      <c r="Z29" s="130">
        <v>70592000</v>
      </c>
    </row>
    <row r="30" spans="2:26" x14ac:dyDescent="0.2">
      <c r="S30" s="129">
        <f>S26</f>
        <v>9450402.8849999998</v>
      </c>
      <c r="U30" s="129">
        <f>U26</f>
        <v>9365825.5787250008</v>
      </c>
      <c r="Z30" s="130">
        <v>1560945051</v>
      </c>
    </row>
    <row r="31" spans="2:26" x14ac:dyDescent="0.2">
      <c r="S31" s="129">
        <f>SUBTOTAL(9,S29:S30)</f>
        <v>616766199.58799982</v>
      </c>
      <c r="T31" s="129"/>
      <c r="U31" s="129">
        <f>SUBTOTAL(9,U29:U30)</f>
        <v>415686310.61611503</v>
      </c>
      <c r="Z31" s="106">
        <f>SUBTOTAL(9,Z27:Z30)</f>
        <v>2301111361.6161151</v>
      </c>
    </row>
    <row r="32" spans="2:26" x14ac:dyDescent="0.2">
      <c r="E32" s="106">
        <f>'Libberheri Sugar Building'!C67</f>
        <v>0</v>
      </c>
      <c r="G32" s="106">
        <f>'Libberheri Sugar Building'!G67</f>
        <v>41886.679999999993</v>
      </c>
      <c r="H32" s="106">
        <f>'Libberheri Sugar Building'!F67</f>
        <v>425637.40751999989</v>
      </c>
      <c r="Z32" s="14">
        <v>227</v>
      </c>
    </row>
    <row r="33" spans="5:26" x14ac:dyDescent="0.2">
      <c r="E33" s="106">
        <f>E26</f>
        <v>0</v>
      </c>
      <c r="G33" s="106">
        <f>G26</f>
        <v>762.86749999999995</v>
      </c>
      <c r="H33" s="106">
        <f>H26</f>
        <v>8211.5057699999998</v>
      </c>
      <c r="U33" s="130">
        <v>70592000</v>
      </c>
      <c r="Z33" s="14">
        <f>Z32*0.85</f>
        <v>192.95</v>
      </c>
    </row>
    <row r="34" spans="5:26" x14ac:dyDescent="0.2">
      <c r="G34" s="132">
        <f>SUBTOTAL(9,G32:G33)</f>
        <v>42649.547499999993</v>
      </c>
      <c r="H34" s="132">
        <f>SUBTOTAL(9,H32:H33)</f>
        <v>433848.91328999988</v>
      </c>
      <c r="U34" s="128">
        <f>U33+U31</f>
        <v>486278310.61611503</v>
      </c>
      <c r="Z34" s="14">
        <f>Z32*0.75</f>
        <v>170.25</v>
      </c>
    </row>
    <row r="39" spans="5:26" x14ac:dyDescent="0.2">
      <c r="F39" s="105">
        <v>670</v>
      </c>
      <c r="G39" s="106">
        <v>900</v>
      </c>
    </row>
    <row r="40" spans="5:26" x14ac:dyDescent="0.2">
      <c r="E40" s="93" t="s">
        <v>468</v>
      </c>
      <c r="F40" s="105">
        <f>F39/10.764</f>
        <v>62.244518766257897</v>
      </c>
      <c r="G40" s="105">
        <f>G39/10.764</f>
        <v>83.612040133779274</v>
      </c>
    </row>
    <row r="42" spans="5:26" x14ac:dyDescent="0.2">
      <c r="G42" s="106">
        <v>900</v>
      </c>
      <c r="H42" s="106">
        <v>2800</v>
      </c>
      <c r="K42" s="106">
        <f>H42*G42</f>
        <v>2520000</v>
      </c>
    </row>
    <row r="43" spans="5:26" x14ac:dyDescent="0.2">
      <c r="K43" s="106">
        <f>K42*0.85</f>
        <v>2142000</v>
      </c>
    </row>
    <row r="44" spans="5:26" x14ac:dyDescent="0.2">
      <c r="K44" s="106">
        <f>K42*0.75</f>
        <v>1890000</v>
      </c>
    </row>
  </sheetData>
  <autoFilter ref="B3:U25">
    <filterColumn colId="2">
      <colorFilter dxfId="0"/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66"/>
  <sheetViews>
    <sheetView workbookViewId="0">
      <selection activeCell="M11" sqref="M11"/>
    </sheetView>
  </sheetViews>
  <sheetFormatPr defaultRowHeight="12.75" x14ac:dyDescent="0.2"/>
  <cols>
    <col min="2" max="2" width="31.5703125" bestFit="1" customWidth="1"/>
  </cols>
  <sheetData>
    <row r="5" spans="2:5" x14ac:dyDescent="0.2">
      <c r="B5" s="51" t="s">
        <v>452</v>
      </c>
      <c r="C5" s="51" t="s">
        <v>453</v>
      </c>
      <c r="D5" s="51" t="s">
        <v>454</v>
      </c>
      <c r="E5" s="51" t="s">
        <v>455</v>
      </c>
    </row>
    <row r="6" spans="2:5" x14ac:dyDescent="0.2">
      <c r="B6" s="51" t="s">
        <v>291</v>
      </c>
      <c r="C6" s="80" t="s">
        <v>273</v>
      </c>
      <c r="D6" s="51">
        <v>17</v>
      </c>
      <c r="E6" s="66">
        <v>53820</v>
      </c>
    </row>
    <row r="7" spans="2:5" x14ac:dyDescent="0.2">
      <c r="B7" s="51" t="s">
        <v>292</v>
      </c>
      <c r="C7" s="80" t="s">
        <v>273</v>
      </c>
      <c r="D7" s="51">
        <v>17</v>
      </c>
      <c r="E7" s="66">
        <v>53820</v>
      </c>
    </row>
    <row r="8" spans="2:5" x14ac:dyDescent="0.2">
      <c r="B8" s="51" t="s">
        <v>324</v>
      </c>
      <c r="C8" s="80" t="s">
        <v>326</v>
      </c>
      <c r="D8" s="51"/>
      <c r="E8" s="66">
        <v>48438</v>
      </c>
    </row>
    <row r="9" spans="2:5" x14ac:dyDescent="0.2">
      <c r="B9" s="51" t="s">
        <v>290</v>
      </c>
      <c r="C9" s="80" t="s">
        <v>273</v>
      </c>
      <c r="D9" s="51">
        <v>17</v>
      </c>
      <c r="E9" s="66">
        <v>43594.2</v>
      </c>
    </row>
    <row r="10" spans="2:5" x14ac:dyDescent="0.2">
      <c r="B10" s="51" t="s">
        <v>271</v>
      </c>
      <c r="C10" s="54" t="s">
        <v>276</v>
      </c>
      <c r="D10" s="51">
        <v>16</v>
      </c>
      <c r="E10" s="66">
        <v>25801.307999999997</v>
      </c>
    </row>
    <row r="11" spans="2:5" x14ac:dyDescent="0.2">
      <c r="B11" s="51" t="s">
        <v>252</v>
      </c>
      <c r="C11" s="54" t="s">
        <v>273</v>
      </c>
      <c r="D11" s="51">
        <v>20</v>
      </c>
      <c r="E11" s="66">
        <v>24488.1</v>
      </c>
    </row>
    <row r="12" spans="2:5" x14ac:dyDescent="0.2">
      <c r="B12" s="51" t="s">
        <v>257</v>
      </c>
      <c r="C12" s="54" t="s">
        <v>273</v>
      </c>
      <c r="D12" s="51">
        <v>30</v>
      </c>
      <c r="E12" s="66">
        <v>20150.207999999999</v>
      </c>
    </row>
    <row r="13" spans="2:5" x14ac:dyDescent="0.2">
      <c r="B13" s="51" t="s">
        <v>315</v>
      </c>
      <c r="C13" s="80" t="s">
        <v>275</v>
      </c>
      <c r="D13" s="51">
        <v>3</v>
      </c>
      <c r="E13" s="66">
        <v>19375.199999999997</v>
      </c>
    </row>
    <row r="14" spans="2:5" x14ac:dyDescent="0.2">
      <c r="B14" s="51" t="s">
        <v>254</v>
      </c>
      <c r="C14" s="54" t="s">
        <v>273</v>
      </c>
      <c r="D14" s="51">
        <v>20</v>
      </c>
      <c r="E14" s="66">
        <v>18837</v>
      </c>
    </row>
    <row r="15" spans="2:5" x14ac:dyDescent="0.2">
      <c r="B15" s="51" t="s">
        <v>253</v>
      </c>
      <c r="C15" s="54" t="s">
        <v>273</v>
      </c>
      <c r="D15" s="51">
        <v>27</v>
      </c>
      <c r="E15" s="66">
        <v>17071.703999999998</v>
      </c>
    </row>
    <row r="16" spans="2:5" x14ac:dyDescent="0.2">
      <c r="B16" s="51" t="s">
        <v>293</v>
      </c>
      <c r="C16" s="80" t="s">
        <v>273</v>
      </c>
      <c r="D16" s="51">
        <v>11</v>
      </c>
      <c r="E16" s="66">
        <v>13993.199999999999</v>
      </c>
    </row>
    <row r="17" spans="2:5" x14ac:dyDescent="0.2">
      <c r="B17" s="51" t="s">
        <v>259</v>
      </c>
      <c r="C17" s="54" t="s">
        <v>273</v>
      </c>
      <c r="D17" s="51">
        <v>25</v>
      </c>
      <c r="E17" s="66">
        <v>13455</v>
      </c>
    </row>
    <row r="18" spans="2:5" x14ac:dyDescent="0.2">
      <c r="B18" s="51" t="s">
        <v>317</v>
      </c>
      <c r="C18" s="80" t="s">
        <v>320</v>
      </c>
      <c r="D18" s="51">
        <v>3</v>
      </c>
      <c r="E18" s="66">
        <v>12916.8</v>
      </c>
    </row>
    <row r="19" spans="2:5" x14ac:dyDescent="0.2">
      <c r="B19" s="51" t="s">
        <v>256</v>
      </c>
      <c r="C19" s="54" t="s">
        <v>273</v>
      </c>
      <c r="D19" s="51">
        <v>27</v>
      </c>
      <c r="E19" s="66">
        <v>11625.119999999999</v>
      </c>
    </row>
    <row r="20" spans="2:5" x14ac:dyDescent="0.2">
      <c r="B20" s="51" t="s">
        <v>255</v>
      </c>
      <c r="C20" s="54" t="s">
        <v>273</v>
      </c>
      <c r="D20" s="51">
        <v>27</v>
      </c>
      <c r="E20" s="66">
        <v>11302.199999999999</v>
      </c>
    </row>
    <row r="21" spans="2:5" x14ac:dyDescent="0.2">
      <c r="B21" s="51" t="s">
        <v>258</v>
      </c>
      <c r="C21" s="54" t="s">
        <v>273</v>
      </c>
      <c r="D21" s="51">
        <v>30</v>
      </c>
      <c r="E21" s="66">
        <v>8395.92</v>
      </c>
    </row>
    <row r="22" spans="2:5" x14ac:dyDescent="0.2">
      <c r="B22" s="51" t="s">
        <v>328</v>
      </c>
      <c r="C22" s="80" t="s">
        <v>330</v>
      </c>
      <c r="D22" s="51"/>
      <c r="E22" s="66">
        <v>6867.4319999999998</v>
      </c>
    </row>
    <row r="23" spans="2:5" x14ac:dyDescent="0.2">
      <c r="B23" s="51" t="s">
        <v>316</v>
      </c>
      <c r="C23" s="80" t="s">
        <v>320</v>
      </c>
      <c r="D23" s="51">
        <v>3</v>
      </c>
      <c r="E23" s="66">
        <v>5812.5599999999995</v>
      </c>
    </row>
    <row r="24" spans="2:5" x14ac:dyDescent="0.2">
      <c r="B24" s="51" t="s">
        <v>318</v>
      </c>
      <c r="C24" s="80" t="s">
        <v>321</v>
      </c>
      <c r="D24" s="51">
        <v>3</v>
      </c>
      <c r="E24" s="66">
        <v>5166.7199999999993</v>
      </c>
    </row>
    <row r="25" spans="2:5" x14ac:dyDescent="0.2">
      <c r="B25" s="51" t="s">
        <v>154</v>
      </c>
      <c r="C25" s="54" t="s">
        <v>276</v>
      </c>
      <c r="D25" s="51">
        <v>6</v>
      </c>
      <c r="E25" s="66">
        <v>3771.7055999999993</v>
      </c>
    </row>
    <row r="26" spans="2:5" x14ac:dyDescent="0.2">
      <c r="B26" s="51" t="s">
        <v>295</v>
      </c>
      <c r="C26" s="80" t="s">
        <v>275</v>
      </c>
      <c r="D26" s="51">
        <v>4</v>
      </c>
      <c r="E26" s="66">
        <v>3659.7599999999998</v>
      </c>
    </row>
    <row r="27" spans="2:5" x14ac:dyDescent="0.2">
      <c r="B27" s="51" t="s">
        <v>303</v>
      </c>
      <c r="C27" s="80" t="s">
        <v>306</v>
      </c>
      <c r="D27" s="51">
        <v>3</v>
      </c>
      <c r="E27" s="66">
        <v>2970.864</v>
      </c>
    </row>
    <row r="28" spans="2:5" x14ac:dyDescent="0.2">
      <c r="B28" s="51" t="s">
        <v>314</v>
      </c>
      <c r="C28" s="51" t="s">
        <v>319</v>
      </c>
      <c r="D28" s="51">
        <v>3</v>
      </c>
      <c r="E28" s="66">
        <v>2798.64</v>
      </c>
    </row>
    <row r="29" spans="2:5" x14ac:dyDescent="0.2">
      <c r="B29" s="51" t="s">
        <v>313</v>
      </c>
      <c r="C29" s="51" t="s">
        <v>319</v>
      </c>
      <c r="D29" s="51">
        <v>3</v>
      </c>
      <c r="E29" s="66">
        <v>2368.08</v>
      </c>
    </row>
    <row r="30" spans="2:5" x14ac:dyDescent="0.2">
      <c r="B30" s="51" t="s">
        <v>260</v>
      </c>
      <c r="C30" s="81" t="s">
        <v>274</v>
      </c>
      <c r="D30" s="51">
        <v>3</v>
      </c>
      <c r="E30" s="66">
        <v>1937.52</v>
      </c>
    </row>
    <row r="31" spans="2:5" x14ac:dyDescent="0.2">
      <c r="B31" s="51" t="s">
        <v>270</v>
      </c>
      <c r="C31" s="81" t="s">
        <v>273</v>
      </c>
      <c r="D31" s="51">
        <v>3</v>
      </c>
      <c r="E31" s="66">
        <v>1307.826</v>
      </c>
    </row>
    <row r="32" spans="2:5" x14ac:dyDescent="0.2">
      <c r="B32" s="51" t="s">
        <v>272</v>
      </c>
      <c r="C32" s="81" t="s">
        <v>277</v>
      </c>
      <c r="D32" s="51">
        <v>3</v>
      </c>
      <c r="E32" s="66">
        <v>1307.826</v>
      </c>
    </row>
    <row r="33" spans="2:5" x14ac:dyDescent="0.2">
      <c r="B33" s="51" t="s">
        <v>329</v>
      </c>
      <c r="C33" s="51" t="s">
        <v>326</v>
      </c>
      <c r="D33" s="51">
        <v>1.1000000000000001</v>
      </c>
      <c r="E33" s="66">
        <v>1291.6799999999998</v>
      </c>
    </row>
    <row r="34" spans="2:5" x14ac:dyDescent="0.2">
      <c r="B34" s="51" t="s">
        <v>311</v>
      </c>
      <c r="C34" s="51" t="s">
        <v>306</v>
      </c>
      <c r="D34" s="51">
        <v>3.2</v>
      </c>
      <c r="E34" s="66">
        <v>1278.7631999999999</v>
      </c>
    </row>
    <row r="35" spans="2:5" x14ac:dyDescent="0.2">
      <c r="B35" s="51" t="s">
        <v>268</v>
      </c>
      <c r="C35" s="81" t="s">
        <v>275</v>
      </c>
      <c r="D35" s="51">
        <v>3</v>
      </c>
      <c r="E35" s="66">
        <v>1162.5119999999999</v>
      </c>
    </row>
    <row r="36" spans="2:5" x14ac:dyDescent="0.2">
      <c r="B36" s="51" t="s">
        <v>296</v>
      </c>
      <c r="C36" s="51" t="s">
        <v>275</v>
      </c>
      <c r="D36" s="51">
        <v>3</v>
      </c>
      <c r="E36" s="66">
        <v>1130.22</v>
      </c>
    </row>
    <row r="37" spans="2:5" x14ac:dyDescent="0.2">
      <c r="B37" s="51" t="s">
        <v>301</v>
      </c>
      <c r="C37" s="51" t="s">
        <v>275</v>
      </c>
      <c r="D37" s="51">
        <v>3.1</v>
      </c>
      <c r="E37" s="66">
        <v>930.00959999999998</v>
      </c>
    </row>
    <row r="38" spans="2:5" x14ac:dyDescent="0.2">
      <c r="B38" s="51" t="s">
        <v>266</v>
      </c>
      <c r="C38" s="81" t="s">
        <v>275</v>
      </c>
      <c r="D38" s="51">
        <v>4</v>
      </c>
      <c r="E38" s="66">
        <v>777.16079999999999</v>
      </c>
    </row>
    <row r="39" spans="2:5" x14ac:dyDescent="0.2">
      <c r="B39" s="51" t="s">
        <v>267</v>
      </c>
      <c r="C39" s="81" t="s">
        <v>275</v>
      </c>
      <c r="D39" s="51">
        <v>4</v>
      </c>
      <c r="E39" s="66">
        <v>777.16079999999999</v>
      </c>
    </row>
    <row r="40" spans="2:5" x14ac:dyDescent="0.2">
      <c r="B40" s="51" t="s">
        <v>269</v>
      </c>
      <c r="C40" s="81" t="s">
        <v>273</v>
      </c>
      <c r="D40" s="51">
        <v>3</v>
      </c>
      <c r="E40" s="66">
        <v>726.56999999999994</v>
      </c>
    </row>
    <row r="41" spans="2:5" x14ac:dyDescent="0.2">
      <c r="B41" s="51" t="s">
        <v>297</v>
      </c>
      <c r="C41" s="51" t="s">
        <v>275</v>
      </c>
      <c r="D41" s="51">
        <v>3</v>
      </c>
      <c r="E41" s="66">
        <v>705.25727999999992</v>
      </c>
    </row>
    <row r="42" spans="2:5" x14ac:dyDescent="0.2">
      <c r="B42" s="51" t="s">
        <v>287</v>
      </c>
      <c r="C42" s="51" t="s">
        <v>288</v>
      </c>
      <c r="D42" s="51">
        <v>4</v>
      </c>
      <c r="E42" s="66">
        <v>686.74319999999989</v>
      </c>
    </row>
    <row r="43" spans="2:5" x14ac:dyDescent="0.2">
      <c r="B43" s="51" t="s">
        <v>215</v>
      </c>
      <c r="C43" s="51" t="s">
        <v>288</v>
      </c>
      <c r="D43" s="51">
        <v>4</v>
      </c>
      <c r="E43" s="66">
        <v>686.74319999999989</v>
      </c>
    </row>
    <row r="44" spans="2:5" x14ac:dyDescent="0.2">
      <c r="B44" s="51" t="s">
        <v>262</v>
      </c>
      <c r="C44" s="81" t="s">
        <v>275</v>
      </c>
      <c r="D44" s="51">
        <v>3.6</v>
      </c>
      <c r="E44" s="66">
        <v>639.38159999999993</v>
      </c>
    </row>
    <row r="45" spans="2:5" x14ac:dyDescent="0.2">
      <c r="B45" s="51" t="s">
        <v>323</v>
      </c>
      <c r="C45" s="51" t="s">
        <v>275</v>
      </c>
      <c r="D45" s="51">
        <v>3</v>
      </c>
      <c r="E45" s="66">
        <v>516.67200000000003</v>
      </c>
    </row>
    <row r="46" spans="2:5" x14ac:dyDescent="0.2">
      <c r="B46" s="51" t="s">
        <v>299</v>
      </c>
      <c r="C46" s="51" t="s">
        <v>275</v>
      </c>
      <c r="D46" s="51">
        <v>3</v>
      </c>
      <c r="E46" s="66">
        <v>511.28999999999996</v>
      </c>
    </row>
    <row r="47" spans="2:5" x14ac:dyDescent="0.2">
      <c r="B47" s="51" t="s">
        <v>261</v>
      </c>
      <c r="C47" s="81" t="s">
        <v>274</v>
      </c>
      <c r="D47" s="51">
        <v>4</v>
      </c>
      <c r="E47" s="66">
        <v>490.83839999999998</v>
      </c>
    </row>
    <row r="48" spans="2:5" x14ac:dyDescent="0.2">
      <c r="B48" s="51" t="s">
        <v>265</v>
      </c>
      <c r="C48" s="81" t="s">
        <v>275</v>
      </c>
      <c r="D48" s="51">
        <v>3</v>
      </c>
      <c r="E48" s="66">
        <v>465.00479999999999</v>
      </c>
    </row>
    <row r="49" spans="2:5" x14ac:dyDescent="0.2">
      <c r="B49" s="51" t="s">
        <v>308</v>
      </c>
      <c r="C49" s="51" t="s">
        <v>312</v>
      </c>
      <c r="D49" s="51">
        <v>3</v>
      </c>
      <c r="E49" s="66">
        <v>455.31720000000001</v>
      </c>
    </row>
    <row r="50" spans="2:5" x14ac:dyDescent="0.2">
      <c r="B50" s="51" t="s">
        <v>263</v>
      </c>
      <c r="C50" s="81" t="s">
        <v>275</v>
      </c>
      <c r="D50" s="51">
        <v>3.6</v>
      </c>
      <c r="E50" s="66">
        <v>290.62799999999999</v>
      </c>
    </row>
    <row r="51" spans="2:5" x14ac:dyDescent="0.2">
      <c r="B51" s="51" t="s">
        <v>282</v>
      </c>
      <c r="C51" s="51" t="s">
        <v>288</v>
      </c>
      <c r="D51" s="51">
        <v>2.5</v>
      </c>
      <c r="E51" s="66">
        <v>215.27999999999997</v>
      </c>
    </row>
    <row r="52" spans="2:5" x14ac:dyDescent="0.2">
      <c r="B52" s="51" t="s">
        <v>305</v>
      </c>
      <c r="C52" s="51" t="s">
        <v>307</v>
      </c>
      <c r="D52" s="51">
        <v>3</v>
      </c>
      <c r="E52" s="66">
        <v>193.75199999999998</v>
      </c>
    </row>
    <row r="53" spans="2:5" x14ac:dyDescent="0.2">
      <c r="B53" s="51" t="s">
        <v>298</v>
      </c>
      <c r="C53" s="51" t="s">
        <v>275</v>
      </c>
      <c r="D53" s="51">
        <v>3</v>
      </c>
      <c r="E53" s="66">
        <v>188.36999999999998</v>
      </c>
    </row>
    <row r="54" spans="2:5" x14ac:dyDescent="0.2">
      <c r="B54" s="51" t="s">
        <v>304</v>
      </c>
      <c r="C54" s="51" t="s">
        <v>306</v>
      </c>
      <c r="D54" s="51">
        <v>3</v>
      </c>
      <c r="E54" s="66">
        <v>172.22399999999999</v>
      </c>
    </row>
    <row r="55" spans="2:5" x14ac:dyDescent="0.2">
      <c r="B55" s="51" t="s">
        <v>283</v>
      </c>
      <c r="C55" s="51" t="s">
        <v>288</v>
      </c>
      <c r="D55" s="51">
        <v>3</v>
      </c>
      <c r="E55" s="66">
        <v>150.696</v>
      </c>
    </row>
    <row r="56" spans="2:5" x14ac:dyDescent="0.2">
      <c r="B56" s="51" t="s">
        <v>284</v>
      </c>
      <c r="C56" s="51" t="s">
        <v>288</v>
      </c>
      <c r="D56" s="51">
        <v>3</v>
      </c>
      <c r="E56" s="66">
        <v>150.696</v>
      </c>
    </row>
    <row r="57" spans="2:5" x14ac:dyDescent="0.2">
      <c r="B57" s="51" t="s">
        <v>285</v>
      </c>
      <c r="C57" s="51" t="s">
        <v>288</v>
      </c>
      <c r="D57" s="51">
        <v>3</v>
      </c>
      <c r="E57" s="66">
        <v>150.696</v>
      </c>
    </row>
    <row r="58" spans="2:5" x14ac:dyDescent="0.2">
      <c r="B58" s="51" t="s">
        <v>286</v>
      </c>
      <c r="C58" s="51" t="s">
        <v>288</v>
      </c>
      <c r="D58" s="51">
        <v>3</v>
      </c>
      <c r="E58" s="66">
        <v>150.696</v>
      </c>
    </row>
    <row r="59" spans="2:5" x14ac:dyDescent="0.2">
      <c r="B59" s="51" t="s">
        <v>281</v>
      </c>
      <c r="C59" s="51" t="s">
        <v>288</v>
      </c>
      <c r="D59" s="51">
        <v>2.5</v>
      </c>
      <c r="E59" s="66">
        <v>139.93199999999999</v>
      </c>
    </row>
    <row r="60" spans="2:5" x14ac:dyDescent="0.2">
      <c r="B60" s="51" t="s">
        <v>281</v>
      </c>
      <c r="C60" s="51" t="s">
        <v>277</v>
      </c>
      <c r="D60" s="51">
        <v>2.5</v>
      </c>
      <c r="E60" s="66">
        <v>139.93199999999999</v>
      </c>
    </row>
    <row r="61" spans="2:5" x14ac:dyDescent="0.2">
      <c r="B61" s="51" t="s">
        <v>264</v>
      </c>
      <c r="C61" s="81" t="s">
        <v>275</v>
      </c>
      <c r="D61" s="51">
        <v>3.6</v>
      </c>
      <c r="E61" s="66">
        <v>139.50144</v>
      </c>
    </row>
    <row r="62" spans="2:5" x14ac:dyDescent="0.2">
      <c r="B62" s="51" t="s">
        <v>302</v>
      </c>
      <c r="C62" s="51" t="s">
        <v>275</v>
      </c>
      <c r="D62" s="51">
        <v>3</v>
      </c>
      <c r="E62" s="66">
        <v>116.2512</v>
      </c>
    </row>
    <row r="63" spans="2:5" x14ac:dyDescent="0.2">
      <c r="B63" s="51" t="s">
        <v>302</v>
      </c>
      <c r="C63" s="51" t="s">
        <v>275</v>
      </c>
      <c r="D63" s="51">
        <v>3</v>
      </c>
      <c r="E63" s="66">
        <v>116.2512</v>
      </c>
    </row>
    <row r="64" spans="2:5" x14ac:dyDescent="0.2">
      <c r="B64" s="51" t="s">
        <v>309</v>
      </c>
      <c r="C64" s="51" t="s">
        <v>306</v>
      </c>
      <c r="D64" s="51">
        <v>3</v>
      </c>
      <c r="E64" s="66">
        <v>102.258</v>
      </c>
    </row>
    <row r="65" spans="2:5" x14ac:dyDescent="0.2">
      <c r="B65" s="51" t="s">
        <v>300</v>
      </c>
      <c r="C65" s="51" t="s">
        <v>275</v>
      </c>
      <c r="D65" s="51">
        <v>2</v>
      </c>
      <c r="E65" s="66">
        <v>86.111999999999995</v>
      </c>
    </row>
    <row r="66" spans="2:5" x14ac:dyDescent="0.2">
      <c r="B66" s="51" t="s">
        <v>310</v>
      </c>
      <c r="C66" s="51" t="s">
        <v>306</v>
      </c>
      <c r="D66" s="51">
        <v>3</v>
      </c>
      <c r="E66" s="66">
        <v>80.72999999999999</v>
      </c>
    </row>
  </sheetData>
  <autoFilter ref="B5:E5">
    <sortState ref="B6:E66">
      <sortCondition descending="1" ref="E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0"/>
  <sheetViews>
    <sheetView workbookViewId="0">
      <selection activeCell="F50" sqref="F50"/>
    </sheetView>
  </sheetViews>
  <sheetFormatPr defaultRowHeight="12.75" x14ac:dyDescent="0.2"/>
  <cols>
    <col min="1" max="1" width="9.140625" style="14"/>
    <col min="2" max="2" width="10.140625" style="14" bestFit="1" customWidth="1"/>
    <col min="3" max="3" width="11.85546875" style="106" bestFit="1" customWidth="1"/>
    <col min="4" max="4" width="13.5703125" style="14" bestFit="1" customWidth="1"/>
    <col min="5" max="5" width="6.7109375" style="105" bestFit="1" customWidth="1"/>
    <col min="6" max="16384" width="9.140625" style="14"/>
  </cols>
  <sheetData>
    <row r="4" spans="2:5" s="6" customFormat="1" ht="25.5" x14ac:dyDescent="0.2">
      <c r="B4" s="136" t="s">
        <v>470</v>
      </c>
      <c r="C4" s="137" t="s">
        <v>471</v>
      </c>
      <c r="D4" s="136" t="s">
        <v>472</v>
      </c>
      <c r="E4" s="138" t="s">
        <v>473</v>
      </c>
    </row>
    <row r="5" spans="2:5" x14ac:dyDescent="0.2">
      <c r="B5" s="135">
        <v>44652</v>
      </c>
      <c r="C5" s="102">
        <v>400000</v>
      </c>
      <c r="D5" s="99">
        <v>23</v>
      </c>
      <c r="E5" s="101">
        <v>72.459999999999994</v>
      </c>
    </row>
    <row r="6" spans="2:5" x14ac:dyDescent="0.2">
      <c r="B6" s="135">
        <v>44653</v>
      </c>
      <c r="C6" s="102">
        <v>404000</v>
      </c>
      <c r="D6" s="99">
        <v>23</v>
      </c>
      <c r="E6" s="101">
        <v>73.19</v>
      </c>
    </row>
    <row r="7" spans="2:5" x14ac:dyDescent="0.2">
      <c r="B7" s="135">
        <v>44654</v>
      </c>
      <c r="C7" s="102">
        <v>388400</v>
      </c>
      <c r="D7" s="99">
        <v>23</v>
      </c>
      <c r="E7" s="101">
        <v>70.36</v>
      </c>
    </row>
    <row r="8" spans="2:5" x14ac:dyDescent="0.2">
      <c r="B8" s="135">
        <v>44655</v>
      </c>
      <c r="C8" s="102">
        <v>388900</v>
      </c>
      <c r="D8" s="99">
        <v>23</v>
      </c>
      <c r="E8" s="101">
        <v>70.45</v>
      </c>
    </row>
    <row r="9" spans="2:5" x14ac:dyDescent="0.2">
      <c r="B9" s="135">
        <v>44656</v>
      </c>
      <c r="C9" s="102">
        <v>289400</v>
      </c>
      <c r="D9" s="99">
        <v>23</v>
      </c>
      <c r="E9" s="101">
        <v>54.06</v>
      </c>
    </row>
    <row r="10" spans="2:5" x14ac:dyDescent="0.2">
      <c r="B10" s="135">
        <v>44657</v>
      </c>
      <c r="C10" s="102">
        <v>347300</v>
      </c>
      <c r="D10" s="99">
        <v>23</v>
      </c>
      <c r="E10" s="101">
        <v>62.92</v>
      </c>
    </row>
    <row r="11" spans="2:5" x14ac:dyDescent="0.2">
      <c r="B11" s="135">
        <v>44658</v>
      </c>
      <c r="C11" s="102">
        <v>389300</v>
      </c>
      <c r="D11" s="99">
        <v>23</v>
      </c>
      <c r="E11" s="101">
        <v>70.53</v>
      </c>
    </row>
    <row r="12" spans="2:5" x14ac:dyDescent="0.2">
      <c r="B12" s="135">
        <v>44659</v>
      </c>
      <c r="C12" s="102">
        <v>384200</v>
      </c>
      <c r="D12" s="99">
        <v>23</v>
      </c>
      <c r="E12" s="101">
        <v>69.599999999999994</v>
      </c>
    </row>
    <row r="13" spans="2:5" x14ac:dyDescent="0.2">
      <c r="B13" s="135">
        <v>44660</v>
      </c>
      <c r="C13" s="102">
        <v>386000</v>
      </c>
      <c r="D13" s="99">
        <v>23</v>
      </c>
      <c r="E13" s="101">
        <v>69.930000000000007</v>
      </c>
    </row>
    <row r="14" spans="2:5" x14ac:dyDescent="0.2">
      <c r="B14" s="135">
        <v>44661</v>
      </c>
      <c r="C14" s="102">
        <v>396000</v>
      </c>
      <c r="D14" s="99">
        <v>23</v>
      </c>
      <c r="E14" s="101">
        <v>71.739999999999995</v>
      </c>
    </row>
    <row r="15" spans="2:5" x14ac:dyDescent="0.2">
      <c r="B15" s="135">
        <v>44662</v>
      </c>
      <c r="C15" s="102">
        <v>385000</v>
      </c>
      <c r="D15" s="99">
        <v>23</v>
      </c>
      <c r="E15" s="101">
        <v>69.75</v>
      </c>
    </row>
    <row r="16" spans="2:5" x14ac:dyDescent="0.2">
      <c r="B16" s="135">
        <v>44663</v>
      </c>
      <c r="C16" s="102">
        <v>384000</v>
      </c>
      <c r="D16" s="99">
        <v>23</v>
      </c>
      <c r="E16" s="101">
        <v>69.569999999999993</v>
      </c>
    </row>
    <row r="17" spans="2:5" x14ac:dyDescent="0.2">
      <c r="B17" s="135">
        <v>44664</v>
      </c>
      <c r="C17" s="102">
        <v>386000</v>
      </c>
      <c r="D17" s="99">
        <v>23</v>
      </c>
      <c r="E17" s="101">
        <v>69.930000000000007</v>
      </c>
    </row>
    <row r="18" spans="2:5" x14ac:dyDescent="0.2">
      <c r="B18" s="135">
        <v>44665</v>
      </c>
      <c r="C18" s="102">
        <v>348000</v>
      </c>
      <c r="D18" s="99">
        <v>23</v>
      </c>
      <c r="E18" s="101">
        <v>63.04</v>
      </c>
    </row>
    <row r="19" spans="2:5" x14ac:dyDescent="0.2">
      <c r="B19" s="135">
        <v>44666</v>
      </c>
      <c r="C19" s="102">
        <v>267000</v>
      </c>
      <c r="D19" s="99">
        <v>23</v>
      </c>
      <c r="E19" s="101">
        <v>48.37</v>
      </c>
    </row>
    <row r="20" spans="2:5" x14ac:dyDescent="0.2">
      <c r="B20" s="135"/>
      <c r="C20" s="102"/>
      <c r="D20" s="133" t="s">
        <v>474</v>
      </c>
      <c r="E20" s="134">
        <f>AVERAGE(E5:E19)</f>
        <v>67.06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"/>
  <sheetViews>
    <sheetView workbookViewId="0">
      <selection activeCell="G5" sqref="G5"/>
    </sheetView>
  </sheetViews>
  <sheetFormatPr defaultRowHeight="12.75" x14ac:dyDescent="0.2"/>
  <cols>
    <col min="1" max="3" width="9.140625" style="51"/>
    <col min="4" max="4" width="13.140625" style="51" customWidth="1"/>
    <col min="5" max="5" width="16" style="51" customWidth="1"/>
    <col min="6" max="6" width="13.28515625" style="51" customWidth="1"/>
    <col min="7" max="7" width="14.28515625" style="51" customWidth="1"/>
    <col min="8" max="16384" width="9.140625" style="51"/>
  </cols>
  <sheetData>
    <row r="3" spans="3:11" s="94" customFormat="1" ht="32.25" customHeight="1" x14ac:dyDescent="0.2">
      <c r="C3" s="159" t="s">
        <v>460</v>
      </c>
      <c r="D3" s="159"/>
      <c r="E3" s="159"/>
      <c r="F3" s="159"/>
      <c r="G3" s="159"/>
      <c r="H3" s="159"/>
      <c r="I3" s="159"/>
      <c r="J3" s="159"/>
      <c r="K3" s="159"/>
    </row>
    <row r="4" spans="3:11" s="94" customFormat="1" ht="76.5" x14ac:dyDescent="0.2">
      <c r="C4" s="96" t="s">
        <v>331</v>
      </c>
      <c r="D4" s="96" t="s">
        <v>139</v>
      </c>
      <c r="E4" s="97" t="s">
        <v>461</v>
      </c>
      <c r="F4" s="96" t="s">
        <v>462</v>
      </c>
      <c r="G4" s="98" t="s">
        <v>463</v>
      </c>
      <c r="H4" s="98" t="s">
        <v>464</v>
      </c>
      <c r="I4" s="98" t="s">
        <v>465</v>
      </c>
      <c r="J4" s="98" t="s">
        <v>466</v>
      </c>
      <c r="K4" s="98" t="s">
        <v>467</v>
      </c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"/>
  <sheetViews>
    <sheetView topLeftCell="A27" workbookViewId="0">
      <selection activeCell="E4" sqref="E4:E57"/>
    </sheetView>
  </sheetViews>
  <sheetFormatPr defaultRowHeight="12.75" x14ac:dyDescent="0.2"/>
  <cols>
    <col min="2" max="2" width="18.140625" bestFit="1" customWidth="1"/>
    <col min="3" max="3" width="35.140625" bestFit="1" customWidth="1"/>
    <col min="4" max="4" width="36.85546875" bestFit="1" customWidth="1"/>
    <col min="5" max="5" width="9.140625" style="68"/>
    <col min="6" max="6" width="13" style="68" bestFit="1" customWidth="1"/>
    <col min="7" max="8" width="12.42578125" customWidth="1"/>
    <col min="9" max="9" width="10.42578125" customWidth="1"/>
    <col min="10" max="10" width="11.5703125" customWidth="1"/>
    <col min="11" max="11" width="10.85546875" customWidth="1"/>
    <col min="14" max="14" width="13" customWidth="1"/>
    <col min="15" max="15" width="11.140625" bestFit="1" customWidth="1"/>
    <col min="21" max="21" width="17.28515625" bestFit="1" customWidth="1"/>
    <col min="22" max="22" width="14.5703125" bestFit="1" customWidth="1"/>
    <col min="23" max="23" width="15.140625" bestFit="1" customWidth="1"/>
    <col min="24" max="24" width="13.5703125" bestFit="1" customWidth="1"/>
  </cols>
  <sheetData>
    <row r="2" spans="1:24" ht="15" x14ac:dyDescent="0.2">
      <c r="A2" s="51"/>
      <c r="B2" s="51"/>
      <c r="C2" s="51"/>
      <c r="D2" s="51"/>
      <c r="E2" s="66"/>
      <c r="F2" s="160" t="s">
        <v>241</v>
      </c>
      <c r="G2" s="16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>
        <v>2022</v>
      </c>
      <c r="T2" s="51"/>
      <c r="U2" s="58">
        <f>SUM(U4:U58)</f>
        <v>324274179.39840001</v>
      </c>
      <c r="V2" s="58">
        <f>SUM(V4:V58)</f>
        <v>108347373.05792402</v>
      </c>
      <c r="W2" s="58">
        <f>SUM(W4:W58)</f>
        <v>215926806.3404761</v>
      </c>
    </row>
    <row r="3" spans="1:24" s="6" customFormat="1" ht="60" x14ac:dyDescent="0.2">
      <c r="A3" s="107" t="s">
        <v>331</v>
      </c>
      <c r="B3" s="59" t="s">
        <v>242</v>
      </c>
      <c r="C3" s="59" t="s">
        <v>139</v>
      </c>
      <c r="D3" s="59" t="s">
        <v>141</v>
      </c>
      <c r="E3" s="63" t="s">
        <v>424</v>
      </c>
      <c r="F3" s="63" t="s">
        <v>409</v>
      </c>
      <c r="G3" s="61" t="s">
        <v>410</v>
      </c>
      <c r="H3" s="59" t="s">
        <v>412</v>
      </c>
      <c r="I3" s="59" t="s">
        <v>413</v>
      </c>
      <c r="J3" s="59" t="s">
        <v>414</v>
      </c>
      <c r="K3" s="59" t="s">
        <v>415</v>
      </c>
      <c r="L3" s="59" t="s">
        <v>416</v>
      </c>
      <c r="M3" s="59" t="s">
        <v>417</v>
      </c>
      <c r="N3" s="63" t="s">
        <v>418</v>
      </c>
      <c r="O3" s="108" t="s">
        <v>0</v>
      </c>
      <c r="P3" s="108" t="s">
        <v>245</v>
      </c>
      <c r="Q3" s="108" t="s">
        <v>246</v>
      </c>
      <c r="R3" s="108" t="s">
        <v>247</v>
      </c>
      <c r="S3" s="108"/>
      <c r="T3" s="108" t="s">
        <v>248</v>
      </c>
      <c r="U3" s="59" t="s">
        <v>419</v>
      </c>
      <c r="V3" s="59" t="s">
        <v>420</v>
      </c>
      <c r="W3" s="59" t="s">
        <v>421</v>
      </c>
      <c r="X3" s="59" t="s">
        <v>422</v>
      </c>
    </row>
    <row r="4" spans="1:24" x14ac:dyDescent="0.2">
      <c r="A4" s="148">
        <v>1</v>
      </c>
      <c r="B4" s="76" t="s">
        <v>279</v>
      </c>
      <c r="C4" s="148" t="s">
        <v>252</v>
      </c>
      <c r="D4" s="148" t="s">
        <v>351</v>
      </c>
      <c r="E4" s="149">
        <v>20</v>
      </c>
      <c r="F4" s="78">
        <f>G4*10.764</f>
        <v>17437.68</v>
      </c>
      <c r="G4" s="76">
        <f>60*27</f>
        <v>1620</v>
      </c>
      <c r="H4" s="87">
        <v>2004</v>
      </c>
      <c r="I4" s="87">
        <v>2022</v>
      </c>
      <c r="J4" s="87">
        <f>I4-H4</f>
        <v>18</v>
      </c>
      <c r="K4" s="87">
        <v>45</v>
      </c>
      <c r="L4" s="88">
        <v>0.1</v>
      </c>
      <c r="M4" s="62">
        <f>(1-L4)/K4</f>
        <v>0.02</v>
      </c>
      <c r="N4" s="91">
        <f>T4</f>
        <v>901.33779264214047</v>
      </c>
      <c r="O4" s="89" t="s">
        <v>153</v>
      </c>
      <c r="P4" s="90">
        <v>17640</v>
      </c>
      <c r="Q4" s="90">
        <f>P4*1.1</f>
        <v>19404</v>
      </c>
      <c r="R4" s="90">
        <f>Q4/10.764</f>
        <v>1802.6755852842809</v>
      </c>
      <c r="S4" s="88">
        <v>0.5</v>
      </c>
      <c r="T4" s="91">
        <f>S4*R4</f>
        <v>901.33779264214047</v>
      </c>
      <c r="U4" s="64">
        <f>T4*F4</f>
        <v>15717240</v>
      </c>
      <c r="V4" s="64">
        <f>U4*M4*J4</f>
        <v>5658206.3999999994</v>
      </c>
      <c r="W4" s="64">
        <f t="shared" ref="W4" si="0">MAX(U4-V4,0)</f>
        <v>10059033.600000001</v>
      </c>
      <c r="X4" s="64">
        <f>W4</f>
        <v>10059033.600000001</v>
      </c>
    </row>
    <row r="5" spans="1:24" x14ac:dyDescent="0.2">
      <c r="A5" s="148">
        <f>INT(INT(A4)+1)</f>
        <v>2</v>
      </c>
      <c r="B5" s="76" t="s">
        <v>279</v>
      </c>
      <c r="C5" s="148" t="s">
        <v>255</v>
      </c>
      <c r="D5" s="148" t="s">
        <v>351</v>
      </c>
      <c r="E5" s="149">
        <v>20</v>
      </c>
      <c r="F5" s="78">
        <f t="shared" ref="F5:F58" si="1">G5*10.764</f>
        <v>10898.55</v>
      </c>
      <c r="G5" s="148">
        <f>37.5*27</f>
        <v>1012.5</v>
      </c>
      <c r="H5" s="87">
        <v>2004</v>
      </c>
      <c r="I5" s="87">
        <v>2022</v>
      </c>
      <c r="J5" s="87">
        <f t="shared" ref="J5:J58" si="2">I5-H5</f>
        <v>18</v>
      </c>
      <c r="K5" s="87">
        <v>45</v>
      </c>
      <c r="L5" s="88">
        <v>0.1</v>
      </c>
      <c r="M5" s="62">
        <f t="shared" ref="M5:M58" si="3">(1-L5)/K5</f>
        <v>0.02</v>
      </c>
      <c r="N5" s="91">
        <f t="shared" ref="N5:N58" si="4">T5</f>
        <v>901.33779264214047</v>
      </c>
      <c r="O5" s="148" t="s">
        <v>153</v>
      </c>
      <c r="P5" s="90">
        <v>17640</v>
      </c>
      <c r="Q5" s="90">
        <f t="shared" ref="Q5:Q21" si="5">P5*1.1</f>
        <v>19404</v>
      </c>
      <c r="R5" s="90">
        <f t="shared" ref="R5:R21" si="6">Q5/10.764</f>
        <v>1802.6755852842809</v>
      </c>
      <c r="S5" s="88">
        <v>0.5</v>
      </c>
      <c r="T5" s="91">
        <f t="shared" ref="T5:T17" si="7">S5*R5</f>
        <v>901.33779264214047</v>
      </c>
      <c r="U5" s="64">
        <f t="shared" ref="U5:U58" si="8">T5*F5</f>
        <v>9823275</v>
      </c>
      <c r="V5" s="64">
        <f t="shared" ref="V5:V58" si="9">U5*M5*J5</f>
        <v>3536379</v>
      </c>
      <c r="W5" s="64">
        <f t="shared" ref="W5:W58" si="10">MAX(U5-V5,0)</f>
        <v>6286896</v>
      </c>
      <c r="X5" s="64">
        <f t="shared" ref="X5:X58" si="11">W5</f>
        <v>6286896</v>
      </c>
    </row>
    <row r="6" spans="1:24" x14ac:dyDescent="0.2">
      <c r="A6" s="148">
        <f t="shared" ref="A6:A58" si="12">INT(INT(A5)+1)</f>
        <v>3</v>
      </c>
      <c r="B6" s="76" t="s">
        <v>279</v>
      </c>
      <c r="C6" s="148" t="s">
        <v>257</v>
      </c>
      <c r="D6" s="148" t="s">
        <v>351</v>
      </c>
      <c r="E6" s="149">
        <v>20</v>
      </c>
      <c r="F6" s="78">
        <f t="shared" si="1"/>
        <v>29208.113999999998</v>
      </c>
      <c r="G6" s="148">
        <f>100.5*27</f>
        <v>2713.5</v>
      </c>
      <c r="H6" s="87">
        <v>2004</v>
      </c>
      <c r="I6" s="87">
        <v>2022</v>
      </c>
      <c r="J6" s="87">
        <f t="shared" si="2"/>
        <v>18</v>
      </c>
      <c r="K6" s="87">
        <v>45</v>
      </c>
      <c r="L6" s="88">
        <v>0.1</v>
      </c>
      <c r="M6" s="62">
        <f t="shared" si="3"/>
        <v>0.02</v>
      </c>
      <c r="N6" s="91">
        <f t="shared" si="4"/>
        <v>901.33779264214047</v>
      </c>
      <c r="O6" s="148" t="s">
        <v>153</v>
      </c>
      <c r="P6" s="90">
        <v>17640</v>
      </c>
      <c r="Q6" s="90">
        <f t="shared" si="5"/>
        <v>19404</v>
      </c>
      <c r="R6" s="90">
        <f t="shared" si="6"/>
        <v>1802.6755852842809</v>
      </c>
      <c r="S6" s="88">
        <v>0.5</v>
      </c>
      <c r="T6" s="91">
        <f t="shared" si="7"/>
        <v>901.33779264214047</v>
      </c>
      <c r="U6" s="64">
        <f t="shared" si="8"/>
        <v>26326376.999999996</v>
      </c>
      <c r="V6" s="64">
        <f t="shared" si="9"/>
        <v>9477495.7199999988</v>
      </c>
      <c r="W6" s="64">
        <f t="shared" si="10"/>
        <v>16848881.279999997</v>
      </c>
      <c r="X6" s="64">
        <f t="shared" si="11"/>
        <v>16848881.279999997</v>
      </c>
    </row>
    <row r="7" spans="1:24" x14ac:dyDescent="0.2">
      <c r="A7" s="148">
        <f t="shared" si="12"/>
        <v>4</v>
      </c>
      <c r="B7" s="76" t="s">
        <v>279</v>
      </c>
      <c r="C7" s="148" t="s">
        <v>258</v>
      </c>
      <c r="D7" s="148" t="s">
        <v>351</v>
      </c>
      <c r="E7" s="149">
        <v>20</v>
      </c>
      <c r="F7" s="78">
        <f t="shared" si="1"/>
        <v>13078.259999999998</v>
      </c>
      <c r="G7" s="148">
        <f>45*27</f>
        <v>1215</v>
      </c>
      <c r="H7" s="87">
        <v>2004</v>
      </c>
      <c r="I7" s="87">
        <v>2022</v>
      </c>
      <c r="J7" s="87">
        <f t="shared" si="2"/>
        <v>18</v>
      </c>
      <c r="K7" s="87">
        <v>45</v>
      </c>
      <c r="L7" s="88">
        <v>0.1</v>
      </c>
      <c r="M7" s="62">
        <f t="shared" si="3"/>
        <v>0.02</v>
      </c>
      <c r="N7" s="91">
        <f t="shared" si="4"/>
        <v>901.33779264214047</v>
      </c>
      <c r="O7" s="148" t="s">
        <v>153</v>
      </c>
      <c r="P7" s="90">
        <v>17640</v>
      </c>
      <c r="Q7" s="90">
        <f t="shared" si="5"/>
        <v>19404</v>
      </c>
      <c r="R7" s="90">
        <f t="shared" si="6"/>
        <v>1802.6755852842809</v>
      </c>
      <c r="S7" s="88">
        <v>0.5</v>
      </c>
      <c r="T7" s="91">
        <f t="shared" si="7"/>
        <v>901.33779264214047</v>
      </c>
      <c r="U7" s="64">
        <f t="shared" si="8"/>
        <v>11787929.999999998</v>
      </c>
      <c r="V7" s="64">
        <f t="shared" si="9"/>
        <v>4243654.8</v>
      </c>
      <c r="W7" s="64">
        <f t="shared" si="10"/>
        <v>7544275.1999999983</v>
      </c>
      <c r="X7" s="64">
        <f t="shared" si="11"/>
        <v>7544275.1999999983</v>
      </c>
    </row>
    <row r="8" spans="1:24" x14ac:dyDescent="0.2">
      <c r="A8" s="148">
        <f t="shared" si="12"/>
        <v>5</v>
      </c>
      <c r="B8" s="76" t="s">
        <v>279</v>
      </c>
      <c r="C8" s="148" t="s">
        <v>254</v>
      </c>
      <c r="D8" s="148" t="s">
        <v>351</v>
      </c>
      <c r="E8" s="149">
        <v>20</v>
      </c>
      <c r="F8" s="78">
        <f t="shared" si="1"/>
        <v>9687.5999999999985</v>
      </c>
      <c r="G8" s="148">
        <f>37.5*24</f>
        <v>900</v>
      </c>
      <c r="H8" s="87">
        <v>2004</v>
      </c>
      <c r="I8" s="87">
        <v>2022</v>
      </c>
      <c r="J8" s="87">
        <f t="shared" si="2"/>
        <v>18</v>
      </c>
      <c r="K8" s="87">
        <v>45</v>
      </c>
      <c r="L8" s="88">
        <v>0.1</v>
      </c>
      <c r="M8" s="62">
        <f t="shared" si="3"/>
        <v>0.02</v>
      </c>
      <c r="N8" s="91">
        <f t="shared" si="4"/>
        <v>901.33779264214047</v>
      </c>
      <c r="O8" s="148" t="s">
        <v>153</v>
      </c>
      <c r="P8" s="90">
        <v>17640</v>
      </c>
      <c r="Q8" s="90">
        <f t="shared" si="5"/>
        <v>19404</v>
      </c>
      <c r="R8" s="90">
        <f t="shared" si="6"/>
        <v>1802.6755852842809</v>
      </c>
      <c r="S8" s="88">
        <v>0.5</v>
      </c>
      <c r="T8" s="91">
        <f t="shared" si="7"/>
        <v>901.33779264214047</v>
      </c>
      <c r="U8" s="64">
        <f t="shared" si="8"/>
        <v>8731799.9999999981</v>
      </c>
      <c r="V8" s="64">
        <f t="shared" si="9"/>
        <v>3143447.9999999995</v>
      </c>
      <c r="W8" s="64">
        <f t="shared" si="10"/>
        <v>5588351.9999999981</v>
      </c>
      <c r="X8" s="64">
        <f t="shared" si="11"/>
        <v>5588351.9999999981</v>
      </c>
    </row>
    <row r="9" spans="1:24" x14ac:dyDescent="0.2">
      <c r="A9" s="148">
        <f t="shared" si="12"/>
        <v>6</v>
      </c>
      <c r="B9" s="76" t="s">
        <v>279</v>
      </c>
      <c r="C9" s="148" t="s">
        <v>253</v>
      </c>
      <c r="D9" s="148" t="s">
        <v>351</v>
      </c>
      <c r="E9" s="149">
        <v>35</v>
      </c>
      <c r="F9" s="78">
        <f t="shared" si="1"/>
        <v>6393.8159999999998</v>
      </c>
      <c r="G9" s="148">
        <f>27*22</f>
        <v>594</v>
      </c>
      <c r="H9" s="87">
        <v>2004</v>
      </c>
      <c r="I9" s="87">
        <v>2022</v>
      </c>
      <c r="J9" s="87">
        <f t="shared" si="2"/>
        <v>18</v>
      </c>
      <c r="K9" s="87">
        <v>45</v>
      </c>
      <c r="L9" s="88">
        <v>0.1</v>
      </c>
      <c r="M9" s="62">
        <f t="shared" si="3"/>
        <v>0.02</v>
      </c>
      <c r="N9" s="91">
        <f t="shared" si="4"/>
        <v>901.33779264214047</v>
      </c>
      <c r="O9" s="148" t="s">
        <v>153</v>
      </c>
      <c r="P9" s="90">
        <v>17640</v>
      </c>
      <c r="Q9" s="90">
        <f t="shared" si="5"/>
        <v>19404</v>
      </c>
      <c r="R9" s="90">
        <f t="shared" si="6"/>
        <v>1802.6755852842809</v>
      </c>
      <c r="S9" s="88">
        <v>0.5</v>
      </c>
      <c r="T9" s="91">
        <f t="shared" si="7"/>
        <v>901.33779264214047</v>
      </c>
      <c r="U9" s="64">
        <f t="shared" si="8"/>
        <v>5762988</v>
      </c>
      <c r="V9" s="64">
        <f t="shared" si="9"/>
        <v>2074675.6800000002</v>
      </c>
      <c r="W9" s="64">
        <f t="shared" si="10"/>
        <v>3688312.32</v>
      </c>
      <c r="X9" s="64">
        <f t="shared" si="11"/>
        <v>3688312.32</v>
      </c>
    </row>
    <row r="10" spans="1:24" x14ac:dyDescent="0.2">
      <c r="A10" s="148">
        <f t="shared" si="12"/>
        <v>7</v>
      </c>
      <c r="B10" s="76" t="s">
        <v>279</v>
      </c>
      <c r="C10" s="148" t="s">
        <v>259</v>
      </c>
      <c r="D10" s="148" t="s">
        <v>351</v>
      </c>
      <c r="E10" s="149">
        <v>10</v>
      </c>
      <c r="F10" s="78">
        <f t="shared" si="1"/>
        <v>6781.32</v>
      </c>
      <c r="G10" s="148">
        <f>30*21</f>
        <v>630</v>
      </c>
      <c r="H10" s="87">
        <v>2004</v>
      </c>
      <c r="I10" s="87">
        <v>2022</v>
      </c>
      <c r="J10" s="87">
        <f t="shared" si="2"/>
        <v>18</v>
      </c>
      <c r="K10" s="87">
        <v>45</v>
      </c>
      <c r="L10" s="88">
        <v>0.1</v>
      </c>
      <c r="M10" s="62">
        <f t="shared" si="3"/>
        <v>0.02</v>
      </c>
      <c r="N10" s="91">
        <f t="shared" si="4"/>
        <v>901.33779264214047</v>
      </c>
      <c r="O10" s="148" t="s">
        <v>153</v>
      </c>
      <c r="P10" s="90">
        <v>17640</v>
      </c>
      <c r="Q10" s="90">
        <f t="shared" si="5"/>
        <v>19404</v>
      </c>
      <c r="R10" s="90">
        <f t="shared" si="6"/>
        <v>1802.6755852842809</v>
      </c>
      <c r="S10" s="88">
        <v>0.5</v>
      </c>
      <c r="T10" s="91">
        <f t="shared" si="7"/>
        <v>901.33779264214047</v>
      </c>
      <c r="U10" s="64">
        <f t="shared" si="8"/>
        <v>6112260</v>
      </c>
      <c r="V10" s="64">
        <f t="shared" si="9"/>
        <v>2200413.6</v>
      </c>
      <c r="W10" s="64">
        <f t="shared" si="10"/>
        <v>3911846.4</v>
      </c>
      <c r="X10" s="64">
        <f t="shared" si="11"/>
        <v>3911846.4</v>
      </c>
    </row>
    <row r="11" spans="1:24" x14ac:dyDescent="0.2">
      <c r="A11" s="148">
        <f t="shared" si="12"/>
        <v>8</v>
      </c>
      <c r="B11" s="76" t="s">
        <v>279</v>
      </c>
      <c r="C11" s="148" t="s">
        <v>256</v>
      </c>
      <c r="D11" s="148" t="s">
        <v>351</v>
      </c>
      <c r="E11" s="149">
        <v>8</v>
      </c>
      <c r="F11" s="78">
        <f t="shared" si="1"/>
        <v>14834.137499999999</v>
      </c>
      <c r="G11" s="148">
        <f>36.75*37.5</f>
        <v>1378.125</v>
      </c>
      <c r="H11" s="87">
        <v>2004</v>
      </c>
      <c r="I11" s="87">
        <v>2022</v>
      </c>
      <c r="J11" s="87">
        <f t="shared" si="2"/>
        <v>18</v>
      </c>
      <c r="K11" s="87">
        <v>45</v>
      </c>
      <c r="L11" s="88">
        <v>0.1</v>
      </c>
      <c r="M11" s="62">
        <f t="shared" si="3"/>
        <v>0.02</v>
      </c>
      <c r="N11" s="91">
        <f t="shared" si="4"/>
        <v>901.33779264214047</v>
      </c>
      <c r="O11" s="148" t="s">
        <v>153</v>
      </c>
      <c r="P11" s="90">
        <v>17640</v>
      </c>
      <c r="Q11" s="90">
        <f t="shared" si="5"/>
        <v>19404</v>
      </c>
      <c r="R11" s="90">
        <f t="shared" si="6"/>
        <v>1802.6755852842809</v>
      </c>
      <c r="S11" s="88">
        <v>0.5</v>
      </c>
      <c r="T11" s="91">
        <f t="shared" si="7"/>
        <v>901.33779264214047</v>
      </c>
      <c r="U11" s="64">
        <f t="shared" si="8"/>
        <v>13370568.749999998</v>
      </c>
      <c r="V11" s="64">
        <f t="shared" si="9"/>
        <v>4813404.7499999991</v>
      </c>
      <c r="W11" s="64">
        <f t="shared" si="10"/>
        <v>8557164</v>
      </c>
      <c r="X11" s="64">
        <f t="shared" si="11"/>
        <v>8557164</v>
      </c>
    </row>
    <row r="12" spans="1:24" x14ac:dyDescent="0.2">
      <c r="A12" s="148">
        <f t="shared" si="12"/>
        <v>9</v>
      </c>
      <c r="B12" s="76" t="s">
        <v>279</v>
      </c>
      <c r="C12" s="148" t="s">
        <v>332</v>
      </c>
      <c r="D12" s="148" t="s">
        <v>351</v>
      </c>
      <c r="E12" s="149">
        <v>5</v>
      </c>
      <c r="F12" s="78">
        <f t="shared" si="1"/>
        <v>4520.88</v>
      </c>
      <c r="G12" s="148">
        <f>30*14</f>
        <v>420</v>
      </c>
      <c r="H12" s="87">
        <v>2004</v>
      </c>
      <c r="I12" s="87">
        <v>2022</v>
      </c>
      <c r="J12" s="87">
        <f t="shared" si="2"/>
        <v>18</v>
      </c>
      <c r="K12" s="87">
        <v>45</v>
      </c>
      <c r="L12" s="88">
        <v>0.1</v>
      </c>
      <c r="M12" s="62">
        <f t="shared" si="3"/>
        <v>0.02</v>
      </c>
      <c r="N12" s="91">
        <f t="shared" si="4"/>
        <v>901.33779264214047</v>
      </c>
      <c r="O12" s="148" t="s">
        <v>153</v>
      </c>
      <c r="P12" s="90">
        <v>17640</v>
      </c>
      <c r="Q12" s="90">
        <f t="shared" si="5"/>
        <v>19404</v>
      </c>
      <c r="R12" s="90">
        <f t="shared" si="6"/>
        <v>1802.6755852842809</v>
      </c>
      <c r="S12" s="88">
        <v>0.5</v>
      </c>
      <c r="T12" s="91">
        <f t="shared" si="7"/>
        <v>901.33779264214047</v>
      </c>
      <c r="U12" s="64">
        <f t="shared" si="8"/>
        <v>4074840</v>
      </c>
      <c r="V12" s="64">
        <f t="shared" si="9"/>
        <v>1466942.4000000001</v>
      </c>
      <c r="W12" s="64">
        <f t="shared" si="10"/>
        <v>2607897.5999999996</v>
      </c>
      <c r="X12" s="64">
        <f t="shared" si="11"/>
        <v>2607897.5999999996</v>
      </c>
    </row>
    <row r="13" spans="1:24" x14ac:dyDescent="0.2">
      <c r="A13" s="148">
        <f t="shared" si="12"/>
        <v>10</v>
      </c>
      <c r="B13" s="76" t="s">
        <v>279</v>
      </c>
      <c r="C13" s="148" t="s">
        <v>333</v>
      </c>
      <c r="D13" s="148" t="s">
        <v>351</v>
      </c>
      <c r="E13" s="149">
        <v>4.5</v>
      </c>
      <c r="F13" s="78">
        <f t="shared" si="1"/>
        <v>1243.242</v>
      </c>
      <c r="G13" s="148">
        <f>21*5.5</f>
        <v>115.5</v>
      </c>
      <c r="H13" s="87">
        <v>2004</v>
      </c>
      <c r="I13" s="87">
        <v>2022</v>
      </c>
      <c r="J13" s="87">
        <f t="shared" si="2"/>
        <v>18</v>
      </c>
      <c r="K13" s="87">
        <v>45</v>
      </c>
      <c r="L13" s="88">
        <v>0.1</v>
      </c>
      <c r="M13" s="62">
        <f t="shared" si="3"/>
        <v>0.02</v>
      </c>
      <c r="N13" s="91">
        <f t="shared" si="4"/>
        <v>901.33779264214047</v>
      </c>
      <c r="O13" s="148" t="s">
        <v>153</v>
      </c>
      <c r="P13" s="90">
        <v>17640</v>
      </c>
      <c r="Q13" s="90">
        <f t="shared" si="5"/>
        <v>19404</v>
      </c>
      <c r="R13" s="90">
        <f t="shared" si="6"/>
        <v>1802.6755852842809</v>
      </c>
      <c r="S13" s="88">
        <v>0.5</v>
      </c>
      <c r="T13" s="91">
        <f t="shared" si="7"/>
        <v>901.33779264214047</v>
      </c>
      <c r="U13" s="64">
        <f t="shared" si="8"/>
        <v>1120581</v>
      </c>
      <c r="V13" s="64">
        <f t="shared" si="9"/>
        <v>403409.16</v>
      </c>
      <c r="W13" s="64">
        <f t="shared" si="10"/>
        <v>717171.84000000008</v>
      </c>
      <c r="X13" s="64">
        <f t="shared" si="11"/>
        <v>717171.84000000008</v>
      </c>
    </row>
    <row r="14" spans="1:24" x14ac:dyDescent="0.2">
      <c r="A14" s="148">
        <f t="shared" si="12"/>
        <v>11</v>
      </c>
      <c r="B14" s="76" t="s">
        <v>279</v>
      </c>
      <c r="C14" s="148" t="s">
        <v>334</v>
      </c>
      <c r="D14" s="148" t="s">
        <v>351</v>
      </c>
      <c r="E14" s="149">
        <v>6</v>
      </c>
      <c r="F14" s="78">
        <f t="shared" si="1"/>
        <v>355.21199999999999</v>
      </c>
      <c r="G14" s="148">
        <f>6*5.5</f>
        <v>33</v>
      </c>
      <c r="H14" s="87">
        <v>2004</v>
      </c>
      <c r="I14" s="87">
        <v>2022</v>
      </c>
      <c r="J14" s="87">
        <f t="shared" si="2"/>
        <v>18</v>
      </c>
      <c r="K14" s="87">
        <v>45</v>
      </c>
      <c r="L14" s="88">
        <v>0.1</v>
      </c>
      <c r="M14" s="62">
        <f t="shared" si="3"/>
        <v>0.02</v>
      </c>
      <c r="N14" s="91">
        <f t="shared" si="4"/>
        <v>901.33779264214047</v>
      </c>
      <c r="O14" s="148" t="s">
        <v>153</v>
      </c>
      <c r="P14" s="90">
        <v>17640</v>
      </c>
      <c r="Q14" s="90">
        <f t="shared" si="5"/>
        <v>19404</v>
      </c>
      <c r="R14" s="90">
        <f t="shared" si="6"/>
        <v>1802.6755852842809</v>
      </c>
      <c r="S14" s="88">
        <v>0.5</v>
      </c>
      <c r="T14" s="91">
        <f t="shared" si="7"/>
        <v>901.33779264214047</v>
      </c>
      <c r="U14" s="64">
        <f t="shared" si="8"/>
        <v>320166</v>
      </c>
      <c r="V14" s="64">
        <f t="shared" si="9"/>
        <v>115259.76</v>
      </c>
      <c r="W14" s="64">
        <f t="shared" si="10"/>
        <v>204906.23999999999</v>
      </c>
      <c r="X14" s="64">
        <f t="shared" si="11"/>
        <v>204906.23999999999</v>
      </c>
    </row>
    <row r="15" spans="1:24" x14ac:dyDescent="0.2">
      <c r="A15" s="148">
        <f t="shared" si="12"/>
        <v>12</v>
      </c>
      <c r="B15" s="76" t="s">
        <v>279</v>
      </c>
      <c r="C15" s="148" t="s">
        <v>335</v>
      </c>
      <c r="D15" s="148" t="s">
        <v>351</v>
      </c>
      <c r="E15" s="149">
        <v>5</v>
      </c>
      <c r="F15" s="78">
        <f t="shared" si="1"/>
        <v>753.4799999999999</v>
      </c>
      <c r="G15" s="148">
        <f>5*14</f>
        <v>70</v>
      </c>
      <c r="H15" s="87">
        <v>2004</v>
      </c>
      <c r="I15" s="87">
        <v>2022</v>
      </c>
      <c r="J15" s="87">
        <f t="shared" si="2"/>
        <v>18</v>
      </c>
      <c r="K15" s="87">
        <v>45</v>
      </c>
      <c r="L15" s="88">
        <v>0.1</v>
      </c>
      <c r="M15" s="62">
        <f t="shared" si="3"/>
        <v>0.02</v>
      </c>
      <c r="N15" s="91">
        <f t="shared" si="4"/>
        <v>901.33779264214047</v>
      </c>
      <c r="O15" s="148" t="s">
        <v>153</v>
      </c>
      <c r="P15" s="90">
        <v>17640</v>
      </c>
      <c r="Q15" s="90">
        <f t="shared" si="5"/>
        <v>19404</v>
      </c>
      <c r="R15" s="90">
        <f t="shared" si="6"/>
        <v>1802.6755852842809</v>
      </c>
      <c r="S15" s="88">
        <v>0.5</v>
      </c>
      <c r="T15" s="91">
        <f t="shared" si="7"/>
        <v>901.33779264214047</v>
      </c>
      <c r="U15" s="64">
        <f t="shared" si="8"/>
        <v>679139.99999999988</v>
      </c>
      <c r="V15" s="64">
        <f t="shared" si="9"/>
        <v>244490.39999999997</v>
      </c>
      <c r="W15" s="64">
        <f t="shared" si="10"/>
        <v>434649.59999999992</v>
      </c>
      <c r="X15" s="64">
        <f t="shared" si="11"/>
        <v>434649.59999999992</v>
      </c>
    </row>
    <row r="16" spans="1:24" x14ac:dyDescent="0.2">
      <c r="A16" s="148">
        <f t="shared" si="12"/>
        <v>13</v>
      </c>
      <c r="B16" s="76" t="s">
        <v>279</v>
      </c>
      <c r="C16" s="148" t="s">
        <v>154</v>
      </c>
      <c r="D16" s="148" t="s">
        <v>351</v>
      </c>
      <c r="E16" s="149">
        <v>5</v>
      </c>
      <c r="F16" s="78">
        <f t="shared" si="1"/>
        <v>4520.88</v>
      </c>
      <c r="G16" s="148">
        <f>30*14</f>
        <v>420</v>
      </c>
      <c r="H16" s="87">
        <v>2004</v>
      </c>
      <c r="I16" s="87">
        <v>2022</v>
      </c>
      <c r="J16" s="87">
        <f t="shared" si="2"/>
        <v>18</v>
      </c>
      <c r="K16" s="87">
        <v>45</v>
      </c>
      <c r="L16" s="88">
        <v>0.1</v>
      </c>
      <c r="M16" s="62">
        <f t="shared" si="3"/>
        <v>0.02</v>
      </c>
      <c r="N16" s="91">
        <f t="shared" si="4"/>
        <v>901.33779264214047</v>
      </c>
      <c r="O16" s="148" t="s">
        <v>153</v>
      </c>
      <c r="P16" s="90">
        <v>17640</v>
      </c>
      <c r="Q16" s="90">
        <f t="shared" si="5"/>
        <v>19404</v>
      </c>
      <c r="R16" s="90">
        <f t="shared" si="6"/>
        <v>1802.6755852842809</v>
      </c>
      <c r="S16" s="88">
        <v>0.5</v>
      </c>
      <c r="T16" s="91">
        <f t="shared" si="7"/>
        <v>901.33779264214047</v>
      </c>
      <c r="U16" s="64">
        <f t="shared" si="8"/>
        <v>4074840</v>
      </c>
      <c r="V16" s="64">
        <f t="shared" si="9"/>
        <v>1466942.4000000001</v>
      </c>
      <c r="W16" s="64">
        <f t="shared" si="10"/>
        <v>2607897.5999999996</v>
      </c>
      <c r="X16" s="64">
        <f t="shared" si="11"/>
        <v>2607897.5999999996</v>
      </c>
    </row>
    <row r="17" spans="1:24" x14ac:dyDescent="0.2">
      <c r="A17" s="148">
        <f t="shared" si="12"/>
        <v>14</v>
      </c>
      <c r="B17" s="76" t="s">
        <v>279</v>
      </c>
      <c r="C17" s="148" t="s">
        <v>336</v>
      </c>
      <c r="D17" s="148" t="s">
        <v>352</v>
      </c>
      <c r="E17" s="149">
        <v>5</v>
      </c>
      <c r="F17" s="78">
        <f t="shared" si="1"/>
        <v>3229.2</v>
      </c>
      <c r="G17" s="148">
        <f>30*10</f>
        <v>300</v>
      </c>
      <c r="H17" s="148">
        <v>2004</v>
      </c>
      <c r="I17" s="87">
        <v>2022</v>
      </c>
      <c r="J17" s="87">
        <f t="shared" si="2"/>
        <v>18</v>
      </c>
      <c r="K17" s="87">
        <v>60</v>
      </c>
      <c r="L17" s="88">
        <v>0.1</v>
      </c>
      <c r="M17" s="62">
        <f t="shared" si="3"/>
        <v>1.5000000000000001E-2</v>
      </c>
      <c r="N17" s="91">
        <f t="shared" si="4"/>
        <v>1056.9258639910815</v>
      </c>
      <c r="O17" s="148" t="s">
        <v>244</v>
      </c>
      <c r="P17" s="90">
        <v>20685</v>
      </c>
      <c r="Q17" s="90">
        <f t="shared" si="5"/>
        <v>22753.500000000004</v>
      </c>
      <c r="R17" s="90">
        <f t="shared" si="6"/>
        <v>2113.8517279821631</v>
      </c>
      <c r="S17" s="88">
        <v>0.5</v>
      </c>
      <c r="T17" s="91">
        <f t="shared" si="7"/>
        <v>1056.9258639910815</v>
      </c>
      <c r="U17" s="64">
        <f t="shared" si="8"/>
        <v>3413025.0000000005</v>
      </c>
      <c r="V17" s="64">
        <f t="shared" si="9"/>
        <v>921516.75000000023</v>
      </c>
      <c r="W17" s="64">
        <f t="shared" si="10"/>
        <v>2491508.25</v>
      </c>
      <c r="X17" s="64">
        <f t="shared" si="11"/>
        <v>2491508.25</v>
      </c>
    </row>
    <row r="18" spans="1:24" x14ac:dyDescent="0.2">
      <c r="A18" s="148">
        <f t="shared" si="12"/>
        <v>15</v>
      </c>
      <c r="B18" s="76" t="s">
        <v>279</v>
      </c>
      <c r="C18" s="148" t="s">
        <v>337</v>
      </c>
      <c r="D18" s="148" t="s">
        <v>352</v>
      </c>
      <c r="E18" s="149">
        <v>5</v>
      </c>
      <c r="F18" s="78">
        <f t="shared" si="1"/>
        <v>775.00799999999992</v>
      </c>
      <c r="G18" s="148">
        <f>12*6</f>
        <v>72</v>
      </c>
      <c r="H18" s="148">
        <v>2004</v>
      </c>
      <c r="I18" s="87">
        <v>2022</v>
      </c>
      <c r="J18" s="87">
        <f t="shared" si="2"/>
        <v>18</v>
      </c>
      <c r="K18" s="87">
        <v>60</v>
      </c>
      <c r="L18" s="88">
        <v>0.1</v>
      </c>
      <c r="M18" s="62">
        <f t="shared" si="3"/>
        <v>1.5000000000000001E-2</v>
      </c>
      <c r="N18" s="91">
        <f t="shared" si="4"/>
        <v>1056.9258639910815</v>
      </c>
      <c r="O18" s="148" t="s">
        <v>244</v>
      </c>
      <c r="P18" s="90">
        <v>20685</v>
      </c>
      <c r="Q18" s="90">
        <f t="shared" si="5"/>
        <v>22753.500000000004</v>
      </c>
      <c r="R18" s="90">
        <f t="shared" si="6"/>
        <v>2113.8517279821631</v>
      </c>
      <c r="S18" s="88">
        <v>0.5</v>
      </c>
      <c r="T18" s="91">
        <f t="shared" ref="T18:T21" si="13">S18*R18</f>
        <v>1056.9258639910815</v>
      </c>
      <c r="U18" s="64">
        <f t="shared" si="8"/>
        <v>819126</v>
      </c>
      <c r="V18" s="64">
        <f t="shared" si="9"/>
        <v>221164.02000000002</v>
      </c>
      <c r="W18" s="64">
        <f t="shared" si="10"/>
        <v>597961.98</v>
      </c>
      <c r="X18" s="64">
        <f t="shared" si="11"/>
        <v>597961.98</v>
      </c>
    </row>
    <row r="19" spans="1:24" x14ac:dyDescent="0.2">
      <c r="A19" s="148">
        <f t="shared" si="12"/>
        <v>16</v>
      </c>
      <c r="B19" s="76" t="s">
        <v>279</v>
      </c>
      <c r="C19" s="148" t="s">
        <v>338</v>
      </c>
      <c r="D19" s="148" t="s">
        <v>352</v>
      </c>
      <c r="E19" s="149">
        <v>5</v>
      </c>
      <c r="F19" s="78">
        <f t="shared" si="1"/>
        <v>1937.52</v>
      </c>
      <c r="G19" s="148">
        <f>30*6</f>
        <v>180</v>
      </c>
      <c r="H19" s="148">
        <v>2004</v>
      </c>
      <c r="I19" s="87">
        <v>2022</v>
      </c>
      <c r="J19" s="87">
        <f t="shared" si="2"/>
        <v>18</v>
      </c>
      <c r="K19" s="87">
        <v>60</v>
      </c>
      <c r="L19" s="88">
        <v>0.1</v>
      </c>
      <c r="M19" s="62">
        <f t="shared" si="3"/>
        <v>1.5000000000000001E-2</v>
      </c>
      <c r="N19" s="91">
        <f t="shared" si="4"/>
        <v>1056.9258639910815</v>
      </c>
      <c r="O19" s="148" t="s">
        <v>244</v>
      </c>
      <c r="P19" s="90">
        <v>20685</v>
      </c>
      <c r="Q19" s="90">
        <f t="shared" si="5"/>
        <v>22753.500000000004</v>
      </c>
      <c r="R19" s="90">
        <f t="shared" si="6"/>
        <v>2113.8517279821631</v>
      </c>
      <c r="S19" s="88">
        <v>0.5</v>
      </c>
      <c r="T19" s="91">
        <f t="shared" si="13"/>
        <v>1056.9258639910815</v>
      </c>
      <c r="U19" s="64">
        <f t="shared" si="8"/>
        <v>2047815.0000000002</v>
      </c>
      <c r="V19" s="64">
        <f t="shared" si="9"/>
        <v>552910.05000000005</v>
      </c>
      <c r="W19" s="64">
        <f t="shared" si="10"/>
        <v>1494904.9500000002</v>
      </c>
      <c r="X19" s="64">
        <f t="shared" si="11"/>
        <v>1494904.9500000002</v>
      </c>
    </row>
    <row r="20" spans="1:24" x14ac:dyDescent="0.2">
      <c r="A20" s="148">
        <f t="shared" si="12"/>
        <v>17</v>
      </c>
      <c r="B20" s="76" t="s">
        <v>279</v>
      </c>
      <c r="C20" s="148" t="s">
        <v>339</v>
      </c>
      <c r="D20" s="148" t="s">
        <v>352</v>
      </c>
      <c r="E20" s="149">
        <v>4</v>
      </c>
      <c r="F20" s="78">
        <f t="shared" si="1"/>
        <v>2389.6079999999997</v>
      </c>
      <c r="G20" s="148">
        <f>37*6</f>
        <v>222</v>
      </c>
      <c r="H20" s="148">
        <v>2004</v>
      </c>
      <c r="I20" s="87">
        <v>2022</v>
      </c>
      <c r="J20" s="87">
        <f t="shared" si="2"/>
        <v>18</v>
      </c>
      <c r="K20" s="87">
        <v>60</v>
      </c>
      <c r="L20" s="88">
        <v>0.1</v>
      </c>
      <c r="M20" s="62">
        <f t="shared" si="3"/>
        <v>1.5000000000000001E-2</v>
      </c>
      <c r="N20" s="91">
        <f t="shared" si="4"/>
        <v>1056.9258639910815</v>
      </c>
      <c r="O20" s="148" t="s">
        <v>244</v>
      </c>
      <c r="P20" s="90">
        <v>20685</v>
      </c>
      <c r="Q20" s="90">
        <f t="shared" si="5"/>
        <v>22753.500000000004</v>
      </c>
      <c r="R20" s="90">
        <f t="shared" si="6"/>
        <v>2113.8517279821631</v>
      </c>
      <c r="S20" s="88">
        <v>0.5</v>
      </c>
      <c r="T20" s="91">
        <f t="shared" si="13"/>
        <v>1056.9258639910815</v>
      </c>
      <c r="U20" s="64">
        <f t="shared" si="8"/>
        <v>2525638.5</v>
      </c>
      <c r="V20" s="64">
        <f t="shared" si="9"/>
        <v>681922.39500000002</v>
      </c>
      <c r="W20" s="64">
        <f t="shared" si="10"/>
        <v>1843716.105</v>
      </c>
      <c r="X20" s="64">
        <f t="shared" si="11"/>
        <v>1843716.105</v>
      </c>
    </row>
    <row r="21" spans="1:24" x14ac:dyDescent="0.2">
      <c r="A21" s="148">
        <f t="shared" si="12"/>
        <v>18</v>
      </c>
      <c r="B21" s="76" t="s">
        <v>279</v>
      </c>
      <c r="C21" s="148" t="s">
        <v>340</v>
      </c>
      <c r="D21" s="148" t="s">
        <v>352</v>
      </c>
      <c r="E21" s="149">
        <v>4</v>
      </c>
      <c r="F21" s="78">
        <f t="shared" si="1"/>
        <v>645.83999999999992</v>
      </c>
      <c r="G21" s="148">
        <f>15*4</f>
        <v>60</v>
      </c>
      <c r="H21" s="148">
        <v>2004</v>
      </c>
      <c r="I21" s="87">
        <v>2022</v>
      </c>
      <c r="J21" s="87">
        <f t="shared" si="2"/>
        <v>18</v>
      </c>
      <c r="K21" s="87">
        <v>60</v>
      </c>
      <c r="L21" s="88">
        <v>0.1</v>
      </c>
      <c r="M21" s="62">
        <f t="shared" si="3"/>
        <v>1.5000000000000001E-2</v>
      </c>
      <c r="N21" s="91">
        <f t="shared" si="4"/>
        <v>1056.9258639910815</v>
      </c>
      <c r="O21" s="148" t="s">
        <v>244</v>
      </c>
      <c r="P21" s="90">
        <v>20685</v>
      </c>
      <c r="Q21" s="90">
        <f t="shared" si="5"/>
        <v>22753.500000000004</v>
      </c>
      <c r="R21" s="90">
        <f t="shared" si="6"/>
        <v>2113.8517279821631</v>
      </c>
      <c r="S21" s="88">
        <v>0.5</v>
      </c>
      <c r="T21" s="91">
        <f t="shared" si="13"/>
        <v>1056.9258639910815</v>
      </c>
      <c r="U21" s="64">
        <f t="shared" si="8"/>
        <v>682605</v>
      </c>
      <c r="V21" s="64">
        <f t="shared" si="9"/>
        <v>184303.35</v>
      </c>
      <c r="W21" s="64">
        <f t="shared" si="10"/>
        <v>498301.65</v>
      </c>
      <c r="X21" s="64">
        <f t="shared" si="11"/>
        <v>498301.65</v>
      </c>
    </row>
    <row r="22" spans="1:24" x14ac:dyDescent="0.2">
      <c r="A22" s="148">
        <f t="shared" si="12"/>
        <v>19</v>
      </c>
      <c r="B22" s="76" t="s">
        <v>279</v>
      </c>
      <c r="C22" s="148" t="s">
        <v>341</v>
      </c>
      <c r="D22" s="148" t="s">
        <v>353</v>
      </c>
      <c r="E22" s="149">
        <v>4</v>
      </c>
      <c r="F22" s="78">
        <f t="shared" si="1"/>
        <v>968.76</v>
      </c>
      <c r="G22" s="148">
        <f>15*6</f>
        <v>90</v>
      </c>
      <c r="H22" s="87">
        <v>2004</v>
      </c>
      <c r="I22" s="87">
        <v>2022</v>
      </c>
      <c r="J22" s="87">
        <f t="shared" si="2"/>
        <v>18</v>
      </c>
      <c r="K22" s="87">
        <v>45</v>
      </c>
      <c r="L22" s="88">
        <v>0.1</v>
      </c>
      <c r="M22" s="62">
        <f t="shared" si="3"/>
        <v>0.02</v>
      </c>
      <c r="N22" s="91">
        <f t="shared" si="4"/>
        <v>901.33779264214047</v>
      </c>
      <c r="O22" s="148" t="s">
        <v>153</v>
      </c>
      <c r="P22" s="90">
        <v>17640</v>
      </c>
      <c r="Q22" s="90">
        <f t="shared" ref="Q22:Q25" si="14">P22*1.1</f>
        <v>19404</v>
      </c>
      <c r="R22" s="90">
        <f t="shared" ref="R22:R25" si="15">Q22/10.764</f>
        <v>1802.6755852842809</v>
      </c>
      <c r="S22" s="88">
        <v>0.5</v>
      </c>
      <c r="T22" s="91">
        <f t="shared" ref="T22:T25" si="16">S22*R22</f>
        <v>901.33779264214047</v>
      </c>
      <c r="U22" s="64">
        <f t="shared" si="8"/>
        <v>873180</v>
      </c>
      <c r="V22" s="64">
        <f t="shared" si="9"/>
        <v>314344.8</v>
      </c>
      <c r="W22" s="64">
        <f t="shared" si="10"/>
        <v>558835.19999999995</v>
      </c>
      <c r="X22" s="64">
        <f t="shared" si="11"/>
        <v>558835.19999999995</v>
      </c>
    </row>
    <row r="23" spans="1:24" x14ac:dyDescent="0.2">
      <c r="A23" s="148">
        <f t="shared" si="12"/>
        <v>20</v>
      </c>
      <c r="B23" s="76" t="s">
        <v>279</v>
      </c>
      <c r="C23" s="148" t="s">
        <v>342</v>
      </c>
      <c r="D23" s="148" t="s">
        <v>353</v>
      </c>
      <c r="E23" s="149">
        <v>4</v>
      </c>
      <c r="F23" s="78">
        <f t="shared" si="1"/>
        <v>968.76</v>
      </c>
      <c r="G23" s="148">
        <f>15*6</f>
        <v>90</v>
      </c>
      <c r="H23" s="87">
        <v>2004</v>
      </c>
      <c r="I23" s="87">
        <v>2022</v>
      </c>
      <c r="J23" s="87">
        <f t="shared" si="2"/>
        <v>18</v>
      </c>
      <c r="K23" s="87">
        <v>45</v>
      </c>
      <c r="L23" s="88">
        <v>0.1</v>
      </c>
      <c r="M23" s="62">
        <f t="shared" si="3"/>
        <v>0.02</v>
      </c>
      <c r="N23" s="91">
        <f t="shared" si="4"/>
        <v>901.33779264214047</v>
      </c>
      <c r="O23" s="148" t="s">
        <v>153</v>
      </c>
      <c r="P23" s="90">
        <v>17640</v>
      </c>
      <c r="Q23" s="90">
        <f t="shared" si="14"/>
        <v>19404</v>
      </c>
      <c r="R23" s="90">
        <f t="shared" si="15"/>
        <v>1802.6755852842809</v>
      </c>
      <c r="S23" s="88">
        <v>0.5</v>
      </c>
      <c r="T23" s="91">
        <f t="shared" si="16"/>
        <v>901.33779264214047</v>
      </c>
      <c r="U23" s="64">
        <f t="shared" si="8"/>
        <v>873180</v>
      </c>
      <c r="V23" s="64">
        <f t="shared" si="9"/>
        <v>314344.8</v>
      </c>
      <c r="W23" s="64">
        <f t="shared" si="10"/>
        <v>558835.19999999995</v>
      </c>
      <c r="X23" s="64">
        <f t="shared" si="11"/>
        <v>558835.19999999995</v>
      </c>
    </row>
    <row r="24" spans="1:24" x14ac:dyDescent="0.2">
      <c r="A24" s="148">
        <f t="shared" si="12"/>
        <v>21</v>
      </c>
      <c r="B24" s="76" t="s">
        <v>279</v>
      </c>
      <c r="C24" s="148" t="s">
        <v>343</v>
      </c>
      <c r="D24" s="148" t="s">
        <v>353</v>
      </c>
      <c r="E24" s="149">
        <v>4</v>
      </c>
      <c r="F24" s="78">
        <f t="shared" si="1"/>
        <v>1388.5559999999998</v>
      </c>
      <c r="G24" s="148">
        <f>21.5*6</f>
        <v>129</v>
      </c>
      <c r="H24" s="87">
        <v>2004</v>
      </c>
      <c r="I24" s="87">
        <v>2022</v>
      </c>
      <c r="J24" s="87">
        <f t="shared" si="2"/>
        <v>18</v>
      </c>
      <c r="K24" s="87">
        <v>45</v>
      </c>
      <c r="L24" s="88">
        <v>0.1</v>
      </c>
      <c r="M24" s="62">
        <f t="shared" si="3"/>
        <v>0.02</v>
      </c>
      <c r="N24" s="91">
        <f t="shared" si="4"/>
        <v>901.33779264214047</v>
      </c>
      <c r="O24" s="148" t="s">
        <v>153</v>
      </c>
      <c r="P24" s="90">
        <v>17640</v>
      </c>
      <c r="Q24" s="90">
        <f t="shared" si="14"/>
        <v>19404</v>
      </c>
      <c r="R24" s="90">
        <f t="shared" si="15"/>
        <v>1802.6755852842809</v>
      </c>
      <c r="S24" s="88">
        <v>0.5</v>
      </c>
      <c r="T24" s="91">
        <f t="shared" si="16"/>
        <v>901.33779264214047</v>
      </c>
      <c r="U24" s="64">
        <f t="shared" si="8"/>
        <v>1251557.9999999998</v>
      </c>
      <c r="V24" s="64">
        <f t="shared" si="9"/>
        <v>450560.87999999995</v>
      </c>
      <c r="W24" s="64">
        <f t="shared" si="10"/>
        <v>800997.11999999988</v>
      </c>
      <c r="X24" s="64">
        <f t="shared" si="11"/>
        <v>800997.11999999988</v>
      </c>
    </row>
    <row r="25" spans="1:24" x14ac:dyDescent="0.2">
      <c r="A25" s="148">
        <f t="shared" si="12"/>
        <v>22</v>
      </c>
      <c r="B25" s="76" t="s">
        <v>279</v>
      </c>
      <c r="C25" s="148" t="s">
        <v>344</v>
      </c>
      <c r="D25" s="148" t="s">
        <v>352</v>
      </c>
      <c r="E25" s="149">
        <v>4</v>
      </c>
      <c r="F25" s="78">
        <f t="shared" si="1"/>
        <v>1291.6799999999998</v>
      </c>
      <c r="G25" s="148">
        <f>24*5</f>
        <v>120</v>
      </c>
      <c r="H25" s="148">
        <v>2004</v>
      </c>
      <c r="I25" s="87">
        <v>2022</v>
      </c>
      <c r="J25" s="87">
        <f t="shared" si="2"/>
        <v>18</v>
      </c>
      <c r="K25" s="87">
        <v>60</v>
      </c>
      <c r="L25" s="88">
        <v>0.1</v>
      </c>
      <c r="M25" s="62">
        <f t="shared" si="3"/>
        <v>1.5000000000000001E-2</v>
      </c>
      <c r="N25" s="91">
        <f t="shared" si="4"/>
        <v>1056.9258639910815</v>
      </c>
      <c r="O25" s="148" t="s">
        <v>244</v>
      </c>
      <c r="P25" s="90">
        <v>20685</v>
      </c>
      <c r="Q25" s="90">
        <f t="shared" si="14"/>
        <v>22753.500000000004</v>
      </c>
      <c r="R25" s="90">
        <f t="shared" si="15"/>
        <v>2113.8517279821631</v>
      </c>
      <c r="S25" s="88">
        <v>0.5</v>
      </c>
      <c r="T25" s="91">
        <f t="shared" si="16"/>
        <v>1056.9258639910815</v>
      </c>
      <c r="U25" s="64">
        <f t="shared" si="8"/>
        <v>1365210</v>
      </c>
      <c r="V25" s="64">
        <f t="shared" si="9"/>
        <v>368606.7</v>
      </c>
      <c r="W25" s="64">
        <f t="shared" si="10"/>
        <v>996603.3</v>
      </c>
      <c r="X25" s="64">
        <f t="shared" si="11"/>
        <v>996603.3</v>
      </c>
    </row>
    <row r="26" spans="1:24" x14ac:dyDescent="0.2">
      <c r="A26" s="148">
        <f t="shared" si="12"/>
        <v>23</v>
      </c>
      <c r="B26" s="76" t="s">
        <v>279</v>
      </c>
      <c r="C26" s="148" t="s">
        <v>283</v>
      </c>
      <c r="D26" s="148" t="s">
        <v>353</v>
      </c>
      <c r="E26" s="149">
        <v>4</v>
      </c>
      <c r="F26" s="78">
        <f t="shared" si="1"/>
        <v>125.93879999999999</v>
      </c>
      <c r="G26" s="148">
        <f>3.9*3</f>
        <v>11.7</v>
      </c>
      <c r="H26" s="87">
        <v>2004</v>
      </c>
      <c r="I26" s="87">
        <v>2022</v>
      </c>
      <c r="J26" s="87">
        <f t="shared" si="2"/>
        <v>18</v>
      </c>
      <c r="K26" s="87">
        <v>45</v>
      </c>
      <c r="L26" s="88">
        <v>0.1</v>
      </c>
      <c r="M26" s="62">
        <f t="shared" si="3"/>
        <v>0.02</v>
      </c>
      <c r="N26" s="91">
        <f t="shared" si="4"/>
        <v>901.33779264214047</v>
      </c>
      <c r="O26" s="148" t="s">
        <v>153</v>
      </c>
      <c r="P26" s="90">
        <v>17640</v>
      </c>
      <c r="Q26" s="90">
        <f t="shared" ref="Q26:Q29" si="17">P26*1.1</f>
        <v>19404</v>
      </c>
      <c r="R26" s="90">
        <f t="shared" ref="R26:R29" si="18">Q26/10.764</f>
        <v>1802.6755852842809</v>
      </c>
      <c r="S26" s="88">
        <v>0.5</v>
      </c>
      <c r="T26" s="91">
        <f t="shared" ref="T26:T29" si="19">S26*R26</f>
        <v>901.33779264214047</v>
      </c>
      <c r="U26" s="64">
        <f t="shared" si="8"/>
        <v>113513.4</v>
      </c>
      <c r="V26" s="64">
        <f t="shared" si="9"/>
        <v>40864.824000000001</v>
      </c>
      <c r="W26" s="64">
        <f t="shared" si="10"/>
        <v>72648.576000000001</v>
      </c>
      <c r="X26" s="64">
        <f t="shared" si="11"/>
        <v>72648.576000000001</v>
      </c>
    </row>
    <row r="27" spans="1:24" x14ac:dyDescent="0.2">
      <c r="A27" s="148">
        <f t="shared" si="12"/>
        <v>24</v>
      </c>
      <c r="B27" s="76" t="s">
        <v>279</v>
      </c>
      <c r="C27" s="148" t="s">
        <v>284</v>
      </c>
      <c r="D27" s="148" t="s">
        <v>353</v>
      </c>
      <c r="E27" s="149">
        <v>4</v>
      </c>
      <c r="F27" s="78">
        <f t="shared" si="1"/>
        <v>125.93879999999999</v>
      </c>
      <c r="G27" s="148">
        <f>3.9*3</f>
        <v>11.7</v>
      </c>
      <c r="H27" s="87">
        <v>2004</v>
      </c>
      <c r="I27" s="87">
        <v>2022</v>
      </c>
      <c r="J27" s="87">
        <f t="shared" si="2"/>
        <v>18</v>
      </c>
      <c r="K27" s="87">
        <v>45</v>
      </c>
      <c r="L27" s="88">
        <v>0.1</v>
      </c>
      <c r="M27" s="62">
        <f t="shared" si="3"/>
        <v>0.02</v>
      </c>
      <c r="N27" s="91">
        <f t="shared" si="4"/>
        <v>901.33779264214047</v>
      </c>
      <c r="O27" s="148" t="s">
        <v>153</v>
      </c>
      <c r="P27" s="90">
        <v>17640</v>
      </c>
      <c r="Q27" s="90">
        <f t="shared" si="17"/>
        <v>19404</v>
      </c>
      <c r="R27" s="90">
        <f t="shared" si="18"/>
        <v>1802.6755852842809</v>
      </c>
      <c r="S27" s="88">
        <v>0.5</v>
      </c>
      <c r="T27" s="91">
        <f t="shared" si="19"/>
        <v>901.33779264214047</v>
      </c>
      <c r="U27" s="64">
        <f t="shared" si="8"/>
        <v>113513.4</v>
      </c>
      <c r="V27" s="64">
        <f t="shared" si="9"/>
        <v>40864.824000000001</v>
      </c>
      <c r="W27" s="64">
        <f t="shared" si="10"/>
        <v>72648.576000000001</v>
      </c>
      <c r="X27" s="64">
        <f t="shared" si="11"/>
        <v>72648.576000000001</v>
      </c>
    </row>
    <row r="28" spans="1:24" x14ac:dyDescent="0.2">
      <c r="A28" s="148">
        <f t="shared" si="12"/>
        <v>25</v>
      </c>
      <c r="B28" s="76" t="s">
        <v>279</v>
      </c>
      <c r="C28" s="148" t="s">
        <v>285</v>
      </c>
      <c r="D28" s="148" t="s">
        <v>353</v>
      </c>
      <c r="E28" s="149">
        <v>4</v>
      </c>
      <c r="F28" s="78">
        <f t="shared" si="1"/>
        <v>125.93879999999999</v>
      </c>
      <c r="G28" s="148">
        <f>3.9*3</f>
        <v>11.7</v>
      </c>
      <c r="H28" s="87">
        <v>2004</v>
      </c>
      <c r="I28" s="87">
        <v>2022</v>
      </c>
      <c r="J28" s="87">
        <f t="shared" si="2"/>
        <v>18</v>
      </c>
      <c r="K28" s="87">
        <v>45</v>
      </c>
      <c r="L28" s="88">
        <v>0.1</v>
      </c>
      <c r="M28" s="62">
        <f t="shared" si="3"/>
        <v>0.02</v>
      </c>
      <c r="N28" s="91">
        <f t="shared" si="4"/>
        <v>901.33779264214047</v>
      </c>
      <c r="O28" s="148" t="s">
        <v>153</v>
      </c>
      <c r="P28" s="90">
        <v>17640</v>
      </c>
      <c r="Q28" s="90">
        <f t="shared" si="17"/>
        <v>19404</v>
      </c>
      <c r="R28" s="90">
        <f t="shared" si="18"/>
        <v>1802.6755852842809</v>
      </c>
      <c r="S28" s="88">
        <v>0.5</v>
      </c>
      <c r="T28" s="91">
        <f t="shared" si="19"/>
        <v>901.33779264214047</v>
      </c>
      <c r="U28" s="64">
        <f t="shared" si="8"/>
        <v>113513.4</v>
      </c>
      <c r="V28" s="64">
        <f t="shared" si="9"/>
        <v>40864.824000000001</v>
      </c>
      <c r="W28" s="64">
        <f t="shared" si="10"/>
        <v>72648.576000000001</v>
      </c>
      <c r="X28" s="64">
        <f t="shared" si="11"/>
        <v>72648.576000000001</v>
      </c>
    </row>
    <row r="29" spans="1:24" x14ac:dyDescent="0.2">
      <c r="A29" s="148">
        <f t="shared" si="12"/>
        <v>26</v>
      </c>
      <c r="B29" s="76" t="s">
        <v>279</v>
      </c>
      <c r="C29" s="148" t="s">
        <v>345</v>
      </c>
      <c r="D29" s="148" t="s">
        <v>352</v>
      </c>
      <c r="E29" s="149">
        <v>3</v>
      </c>
      <c r="F29" s="78">
        <f t="shared" si="1"/>
        <v>258.33600000000001</v>
      </c>
      <c r="G29" s="148">
        <f>6*4</f>
        <v>24</v>
      </c>
      <c r="H29" s="148">
        <v>2004</v>
      </c>
      <c r="I29" s="87">
        <v>2022</v>
      </c>
      <c r="J29" s="87">
        <f t="shared" si="2"/>
        <v>18</v>
      </c>
      <c r="K29" s="87">
        <v>60</v>
      </c>
      <c r="L29" s="88">
        <v>0.1</v>
      </c>
      <c r="M29" s="62">
        <f t="shared" si="3"/>
        <v>1.5000000000000001E-2</v>
      </c>
      <c r="N29" s="91">
        <f t="shared" si="4"/>
        <v>1056.9258639910815</v>
      </c>
      <c r="O29" s="148" t="s">
        <v>244</v>
      </c>
      <c r="P29" s="90">
        <v>20685</v>
      </c>
      <c r="Q29" s="90">
        <f t="shared" si="17"/>
        <v>22753.500000000004</v>
      </c>
      <c r="R29" s="90">
        <f t="shared" si="18"/>
        <v>2113.8517279821631</v>
      </c>
      <c r="S29" s="88">
        <v>0.5</v>
      </c>
      <c r="T29" s="91">
        <f t="shared" si="19"/>
        <v>1056.9258639910815</v>
      </c>
      <c r="U29" s="64">
        <f t="shared" si="8"/>
        <v>273042.00000000006</v>
      </c>
      <c r="V29" s="64">
        <f t="shared" si="9"/>
        <v>73721.340000000026</v>
      </c>
      <c r="W29" s="64">
        <f t="shared" si="10"/>
        <v>199320.66000000003</v>
      </c>
      <c r="X29" s="64">
        <f t="shared" si="11"/>
        <v>199320.66000000003</v>
      </c>
    </row>
    <row r="30" spans="1:24" x14ac:dyDescent="0.2">
      <c r="A30" s="148">
        <f t="shared" si="12"/>
        <v>27</v>
      </c>
      <c r="B30" s="76" t="s">
        <v>279</v>
      </c>
      <c r="C30" s="148" t="s">
        <v>346</v>
      </c>
      <c r="D30" s="148" t="s">
        <v>353</v>
      </c>
      <c r="E30" s="149">
        <v>4</v>
      </c>
      <c r="F30" s="78">
        <f t="shared" si="1"/>
        <v>258.33600000000001</v>
      </c>
      <c r="G30" s="148">
        <f>6*4</f>
        <v>24</v>
      </c>
      <c r="H30" s="87">
        <v>2004</v>
      </c>
      <c r="I30" s="87">
        <v>2022</v>
      </c>
      <c r="J30" s="87">
        <f t="shared" si="2"/>
        <v>18</v>
      </c>
      <c r="K30" s="87">
        <v>45</v>
      </c>
      <c r="L30" s="88">
        <v>0.1</v>
      </c>
      <c r="M30" s="62">
        <f t="shared" si="3"/>
        <v>0.02</v>
      </c>
      <c r="N30" s="91">
        <f t="shared" si="4"/>
        <v>901.33779264214047</v>
      </c>
      <c r="O30" s="148" t="s">
        <v>153</v>
      </c>
      <c r="P30" s="90">
        <v>17640</v>
      </c>
      <c r="Q30" s="90">
        <f t="shared" ref="Q30:Q38" si="20">P30*1.1</f>
        <v>19404</v>
      </c>
      <c r="R30" s="90">
        <f t="shared" ref="R30:R38" si="21">Q30/10.764</f>
        <v>1802.6755852842809</v>
      </c>
      <c r="S30" s="88">
        <v>0.5</v>
      </c>
      <c r="T30" s="91">
        <f t="shared" ref="T30:T38" si="22">S30*R30</f>
        <v>901.33779264214047</v>
      </c>
      <c r="U30" s="64">
        <f t="shared" si="8"/>
        <v>232848</v>
      </c>
      <c r="V30" s="64">
        <f t="shared" si="9"/>
        <v>83825.279999999999</v>
      </c>
      <c r="W30" s="64">
        <f t="shared" si="10"/>
        <v>149022.72</v>
      </c>
      <c r="X30" s="64">
        <f t="shared" si="11"/>
        <v>149022.72</v>
      </c>
    </row>
    <row r="31" spans="1:24" x14ac:dyDescent="0.2">
      <c r="A31" s="148">
        <f t="shared" si="12"/>
        <v>28</v>
      </c>
      <c r="B31" s="76" t="s">
        <v>279</v>
      </c>
      <c r="C31" s="148" t="s">
        <v>347</v>
      </c>
      <c r="D31" s="148" t="s">
        <v>353</v>
      </c>
      <c r="E31" s="149">
        <v>4</v>
      </c>
      <c r="F31" s="78">
        <f t="shared" si="1"/>
        <v>129.16800000000001</v>
      </c>
      <c r="G31" s="148">
        <f>4*3</f>
        <v>12</v>
      </c>
      <c r="H31" s="87">
        <v>2004</v>
      </c>
      <c r="I31" s="87">
        <v>2022</v>
      </c>
      <c r="J31" s="87">
        <f t="shared" si="2"/>
        <v>18</v>
      </c>
      <c r="K31" s="87">
        <v>45</v>
      </c>
      <c r="L31" s="88">
        <v>0.1</v>
      </c>
      <c r="M31" s="62">
        <f t="shared" si="3"/>
        <v>0.02</v>
      </c>
      <c r="N31" s="91">
        <f t="shared" si="4"/>
        <v>901.33779264214047</v>
      </c>
      <c r="O31" s="148" t="s">
        <v>153</v>
      </c>
      <c r="P31" s="90">
        <v>17640</v>
      </c>
      <c r="Q31" s="90">
        <f t="shared" si="20"/>
        <v>19404</v>
      </c>
      <c r="R31" s="90">
        <f t="shared" si="21"/>
        <v>1802.6755852842809</v>
      </c>
      <c r="S31" s="88">
        <v>0.5</v>
      </c>
      <c r="T31" s="91">
        <f t="shared" si="22"/>
        <v>901.33779264214047</v>
      </c>
      <c r="U31" s="64">
        <f t="shared" si="8"/>
        <v>116424</v>
      </c>
      <c r="V31" s="64">
        <f t="shared" si="9"/>
        <v>41912.639999999999</v>
      </c>
      <c r="W31" s="64">
        <f t="shared" si="10"/>
        <v>74511.360000000001</v>
      </c>
      <c r="X31" s="64">
        <f t="shared" si="11"/>
        <v>74511.360000000001</v>
      </c>
    </row>
    <row r="32" spans="1:24" x14ac:dyDescent="0.2">
      <c r="A32" s="148">
        <f t="shared" si="12"/>
        <v>29</v>
      </c>
      <c r="B32" s="76" t="s">
        <v>279</v>
      </c>
      <c r="C32" s="148" t="s">
        <v>348</v>
      </c>
      <c r="D32" s="148" t="s">
        <v>353</v>
      </c>
      <c r="E32" s="149">
        <v>4</v>
      </c>
      <c r="F32" s="78">
        <f t="shared" si="1"/>
        <v>129.16800000000001</v>
      </c>
      <c r="G32" s="148">
        <f>4*3</f>
        <v>12</v>
      </c>
      <c r="H32" s="87">
        <v>2004</v>
      </c>
      <c r="I32" s="87">
        <v>2022</v>
      </c>
      <c r="J32" s="87">
        <f t="shared" si="2"/>
        <v>18</v>
      </c>
      <c r="K32" s="87">
        <v>45</v>
      </c>
      <c r="L32" s="88">
        <v>0.1</v>
      </c>
      <c r="M32" s="62">
        <f t="shared" si="3"/>
        <v>0.02</v>
      </c>
      <c r="N32" s="91">
        <f t="shared" si="4"/>
        <v>901.33779264214047</v>
      </c>
      <c r="O32" s="148" t="s">
        <v>153</v>
      </c>
      <c r="P32" s="90">
        <v>17640</v>
      </c>
      <c r="Q32" s="90">
        <f t="shared" si="20"/>
        <v>19404</v>
      </c>
      <c r="R32" s="90">
        <f t="shared" si="21"/>
        <v>1802.6755852842809</v>
      </c>
      <c r="S32" s="88">
        <v>0.5</v>
      </c>
      <c r="T32" s="91">
        <f t="shared" si="22"/>
        <v>901.33779264214047</v>
      </c>
      <c r="U32" s="64">
        <f t="shared" si="8"/>
        <v>116424</v>
      </c>
      <c r="V32" s="64">
        <f t="shared" si="9"/>
        <v>41912.639999999999</v>
      </c>
      <c r="W32" s="64">
        <f t="shared" si="10"/>
        <v>74511.360000000001</v>
      </c>
      <c r="X32" s="64">
        <f t="shared" si="11"/>
        <v>74511.360000000001</v>
      </c>
    </row>
    <row r="33" spans="1:24" x14ac:dyDescent="0.2">
      <c r="A33" s="148">
        <f t="shared" si="12"/>
        <v>30</v>
      </c>
      <c r="B33" s="76" t="s">
        <v>279</v>
      </c>
      <c r="C33" s="148" t="s">
        <v>287</v>
      </c>
      <c r="D33" s="148" t="s">
        <v>353</v>
      </c>
      <c r="E33" s="149">
        <v>6</v>
      </c>
      <c r="F33" s="78">
        <f t="shared" si="1"/>
        <v>770.5904544</v>
      </c>
      <c r="G33" s="148">
        <f>9.78*7.32</f>
        <v>71.589600000000004</v>
      </c>
      <c r="H33" s="87">
        <v>2004</v>
      </c>
      <c r="I33" s="87">
        <v>2022</v>
      </c>
      <c r="J33" s="87">
        <f t="shared" si="2"/>
        <v>18</v>
      </c>
      <c r="K33" s="87">
        <v>45</v>
      </c>
      <c r="L33" s="88">
        <v>0.1</v>
      </c>
      <c r="M33" s="62">
        <f t="shared" si="3"/>
        <v>0.02</v>
      </c>
      <c r="N33" s="91">
        <f t="shared" si="4"/>
        <v>901.33779264214047</v>
      </c>
      <c r="O33" s="148" t="s">
        <v>153</v>
      </c>
      <c r="P33" s="90">
        <v>17640</v>
      </c>
      <c r="Q33" s="90">
        <f t="shared" si="20"/>
        <v>19404</v>
      </c>
      <c r="R33" s="90">
        <f t="shared" si="21"/>
        <v>1802.6755852842809</v>
      </c>
      <c r="S33" s="88">
        <v>0.5</v>
      </c>
      <c r="T33" s="91">
        <f t="shared" si="22"/>
        <v>901.33779264214047</v>
      </c>
      <c r="U33" s="64">
        <f t="shared" si="8"/>
        <v>694562.29920000001</v>
      </c>
      <c r="V33" s="64">
        <f t="shared" si="9"/>
        <v>250042.42771200003</v>
      </c>
      <c r="W33" s="64">
        <f t="shared" si="10"/>
        <v>444519.87148799998</v>
      </c>
      <c r="X33" s="64">
        <f t="shared" si="11"/>
        <v>444519.87148799998</v>
      </c>
    </row>
    <row r="34" spans="1:24" x14ac:dyDescent="0.2">
      <c r="A34" s="148">
        <f t="shared" si="12"/>
        <v>31</v>
      </c>
      <c r="B34" s="76" t="s">
        <v>279</v>
      </c>
      <c r="C34" s="148" t="s">
        <v>349</v>
      </c>
      <c r="D34" s="148" t="s">
        <v>353</v>
      </c>
      <c r="E34" s="149">
        <v>6</v>
      </c>
      <c r="F34" s="78">
        <f t="shared" si="1"/>
        <v>770.5904544</v>
      </c>
      <c r="G34" s="148">
        <f>9.78*7.32</f>
        <v>71.589600000000004</v>
      </c>
      <c r="H34" s="87">
        <v>2004</v>
      </c>
      <c r="I34" s="87">
        <v>2022</v>
      </c>
      <c r="J34" s="87">
        <f t="shared" si="2"/>
        <v>18</v>
      </c>
      <c r="K34" s="87">
        <v>45</v>
      </c>
      <c r="L34" s="88">
        <v>0.1</v>
      </c>
      <c r="M34" s="62">
        <f t="shared" si="3"/>
        <v>0.02</v>
      </c>
      <c r="N34" s="91">
        <f t="shared" si="4"/>
        <v>901.33779264214047</v>
      </c>
      <c r="O34" s="148" t="s">
        <v>153</v>
      </c>
      <c r="P34" s="90">
        <v>17640</v>
      </c>
      <c r="Q34" s="90">
        <f t="shared" si="20"/>
        <v>19404</v>
      </c>
      <c r="R34" s="90">
        <f t="shared" si="21"/>
        <v>1802.6755852842809</v>
      </c>
      <c r="S34" s="88">
        <v>0.5</v>
      </c>
      <c r="T34" s="91">
        <f t="shared" si="22"/>
        <v>901.33779264214047</v>
      </c>
      <c r="U34" s="64">
        <f t="shared" si="8"/>
        <v>694562.29920000001</v>
      </c>
      <c r="V34" s="64">
        <f t="shared" si="9"/>
        <v>250042.42771200003</v>
      </c>
      <c r="W34" s="64">
        <f t="shared" si="10"/>
        <v>444519.87148799998</v>
      </c>
      <c r="X34" s="64">
        <f t="shared" si="11"/>
        <v>444519.87148799998</v>
      </c>
    </row>
    <row r="35" spans="1:24" x14ac:dyDescent="0.2">
      <c r="A35" s="148">
        <f t="shared" si="12"/>
        <v>32</v>
      </c>
      <c r="B35" s="76" t="s">
        <v>279</v>
      </c>
      <c r="C35" s="148" t="s">
        <v>350</v>
      </c>
      <c r="D35" s="148" t="s">
        <v>353</v>
      </c>
      <c r="E35" s="149">
        <v>7</v>
      </c>
      <c r="F35" s="78">
        <f t="shared" si="1"/>
        <v>1485.432</v>
      </c>
      <c r="G35" s="148">
        <f>23*6</f>
        <v>138</v>
      </c>
      <c r="H35" s="87">
        <v>2004</v>
      </c>
      <c r="I35" s="87">
        <v>2022</v>
      </c>
      <c r="J35" s="87">
        <f t="shared" si="2"/>
        <v>18</v>
      </c>
      <c r="K35" s="87">
        <v>45</v>
      </c>
      <c r="L35" s="88">
        <v>0.1</v>
      </c>
      <c r="M35" s="62">
        <f t="shared" si="3"/>
        <v>0.02</v>
      </c>
      <c r="N35" s="91">
        <f t="shared" si="4"/>
        <v>901.33779264214047</v>
      </c>
      <c r="O35" s="148" t="s">
        <v>153</v>
      </c>
      <c r="P35" s="90">
        <v>17640</v>
      </c>
      <c r="Q35" s="90">
        <f t="shared" si="20"/>
        <v>19404</v>
      </c>
      <c r="R35" s="90">
        <f t="shared" si="21"/>
        <v>1802.6755852842809</v>
      </c>
      <c r="S35" s="88">
        <v>0.5</v>
      </c>
      <c r="T35" s="91">
        <f t="shared" si="22"/>
        <v>901.33779264214047</v>
      </c>
      <c r="U35" s="64">
        <f t="shared" si="8"/>
        <v>1338876</v>
      </c>
      <c r="V35" s="64">
        <f t="shared" si="9"/>
        <v>481995.36</v>
      </c>
      <c r="W35" s="64">
        <f t="shared" si="10"/>
        <v>856880.64000000001</v>
      </c>
      <c r="X35" s="64">
        <f t="shared" si="11"/>
        <v>856880.64000000001</v>
      </c>
    </row>
    <row r="36" spans="1:24" x14ac:dyDescent="0.2">
      <c r="A36" s="148">
        <f t="shared" si="12"/>
        <v>33</v>
      </c>
      <c r="B36" s="148" t="s">
        <v>356</v>
      </c>
      <c r="C36" s="148" t="s">
        <v>354</v>
      </c>
      <c r="D36" s="148" t="s">
        <v>351</v>
      </c>
      <c r="E36" s="149">
        <v>17.5</v>
      </c>
      <c r="F36" s="78">
        <f t="shared" si="1"/>
        <v>58125.599999999999</v>
      </c>
      <c r="G36" s="148">
        <f>120*45</f>
        <v>5400</v>
      </c>
      <c r="H36" s="87">
        <v>2004</v>
      </c>
      <c r="I36" s="87">
        <v>2022</v>
      </c>
      <c r="J36" s="87">
        <f t="shared" si="2"/>
        <v>18</v>
      </c>
      <c r="K36" s="87">
        <v>45</v>
      </c>
      <c r="L36" s="88">
        <v>0.1</v>
      </c>
      <c r="M36" s="62">
        <f t="shared" si="3"/>
        <v>0.02</v>
      </c>
      <c r="N36" s="91">
        <f t="shared" si="4"/>
        <v>901.33779264214047</v>
      </c>
      <c r="O36" s="148" t="s">
        <v>153</v>
      </c>
      <c r="P36" s="90">
        <v>17640</v>
      </c>
      <c r="Q36" s="90">
        <f t="shared" si="20"/>
        <v>19404</v>
      </c>
      <c r="R36" s="90">
        <f t="shared" si="21"/>
        <v>1802.6755852842809</v>
      </c>
      <c r="S36" s="88">
        <v>0.5</v>
      </c>
      <c r="T36" s="91">
        <f t="shared" si="22"/>
        <v>901.33779264214047</v>
      </c>
      <c r="U36" s="64">
        <f t="shared" si="8"/>
        <v>52390800</v>
      </c>
      <c r="V36" s="64">
        <f t="shared" si="9"/>
        <v>18860688</v>
      </c>
      <c r="W36" s="64">
        <f t="shared" si="10"/>
        <v>33530112</v>
      </c>
      <c r="X36" s="64">
        <f t="shared" si="11"/>
        <v>33530112</v>
      </c>
    </row>
    <row r="37" spans="1:24" x14ac:dyDescent="0.2">
      <c r="A37" s="148">
        <f t="shared" si="12"/>
        <v>34</v>
      </c>
      <c r="B37" s="148" t="s">
        <v>356</v>
      </c>
      <c r="C37" s="148" t="s">
        <v>355</v>
      </c>
      <c r="D37" s="148" t="s">
        <v>351</v>
      </c>
      <c r="E37" s="149">
        <v>17.5</v>
      </c>
      <c r="F37" s="78">
        <f t="shared" si="1"/>
        <v>58125.599999999999</v>
      </c>
      <c r="G37" s="148">
        <f>120*45</f>
        <v>5400</v>
      </c>
      <c r="H37" s="87">
        <v>2004</v>
      </c>
      <c r="I37" s="87">
        <v>2022</v>
      </c>
      <c r="J37" s="87">
        <f t="shared" si="2"/>
        <v>18</v>
      </c>
      <c r="K37" s="87">
        <v>45</v>
      </c>
      <c r="L37" s="88">
        <v>0.1</v>
      </c>
      <c r="M37" s="62">
        <f t="shared" si="3"/>
        <v>0.02</v>
      </c>
      <c r="N37" s="91">
        <f t="shared" si="4"/>
        <v>901.33779264214047</v>
      </c>
      <c r="O37" s="148" t="s">
        <v>153</v>
      </c>
      <c r="P37" s="90">
        <v>17640</v>
      </c>
      <c r="Q37" s="90">
        <f t="shared" si="20"/>
        <v>19404</v>
      </c>
      <c r="R37" s="90">
        <f t="shared" si="21"/>
        <v>1802.6755852842809</v>
      </c>
      <c r="S37" s="88">
        <v>0.5</v>
      </c>
      <c r="T37" s="91">
        <f t="shared" si="22"/>
        <v>901.33779264214047</v>
      </c>
      <c r="U37" s="64">
        <f t="shared" si="8"/>
        <v>52390800</v>
      </c>
      <c r="V37" s="64">
        <f t="shared" si="9"/>
        <v>18860688</v>
      </c>
      <c r="W37" s="64">
        <f t="shared" si="10"/>
        <v>33530112</v>
      </c>
      <c r="X37" s="64">
        <f t="shared" si="11"/>
        <v>33530112</v>
      </c>
    </row>
    <row r="38" spans="1:24" x14ac:dyDescent="0.2">
      <c r="A38" s="148">
        <f t="shared" si="12"/>
        <v>35</v>
      </c>
      <c r="B38" s="148" t="s">
        <v>294</v>
      </c>
      <c r="C38" s="148" t="s">
        <v>357</v>
      </c>
      <c r="D38" s="148" t="s">
        <v>352</v>
      </c>
      <c r="E38" s="149">
        <v>4</v>
      </c>
      <c r="F38" s="78">
        <f t="shared" si="1"/>
        <v>16199.82</v>
      </c>
      <c r="G38" s="148">
        <f>35*43</f>
        <v>1505</v>
      </c>
      <c r="H38" s="148">
        <v>2004</v>
      </c>
      <c r="I38" s="87">
        <v>2022</v>
      </c>
      <c r="J38" s="87">
        <f t="shared" si="2"/>
        <v>18</v>
      </c>
      <c r="K38" s="87">
        <v>60</v>
      </c>
      <c r="L38" s="88">
        <v>0.1</v>
      </c>
      <c r="M38" s="62">
        <f t="shared" si="3"/>
        <v>1.5000000000000001E-2</v>
      </c>
      <c r="N38" s="91">
        <f t="shared" si="4"/>
        <v>1056.9258639910815</v>
      </c>
      <c r="O38" s="148" t="s">
        <v>244</v>
      </c>
      <c r="P38" s="90">
        <v>20685</v>
      </c>
      <c r="Q38" s="90">
        <f t="shared" si="20"/>
        <v>22753.500000000004</v>
      </c>
      <c r="R38" s="90">
        <f t="shared" si="21"/>
        <v>2113.8517279821631</v>
      </c>
      <c r="S38" s="88">
        <v>0.5</v>
      </c>
      <c r="T38" s="91">
        <f t="shared" si="22"/>
        <v>1056.9258639910815</v>
      </c>
      <c r="U38" s="64">
        <f t="shared" si="8"/>
        <v>17122008.750000004</v>
      </c>
      <c r="V38" s="64">
        <f t="shared" si="9"/>
        <v>4622942.3625000007</v>
      </c>
      <c r="W38" s="64">
        <f t="shared" si="10"/>
        <v>12499066.387500003</v>
      </c>
      <c r="X38" s="64">
        <f t="shared" si="11"/>
        <v>12499066.387500003</v>
      </c>
    </row>
    <row r="39" spans="1:24" x14ac:dyDescent="0.2">
      <c r="A39" s="148">
        <f t="shared" si="12"/>
        <v>36</v>
      </c>
      <c r="B39" s="148" t="s">
        <v>294</v>
      </c>
      <c r="C39" s="148" t="s">
        <v>358</v>
      </c>
      <c r="D39" s="148" t="s">
        <v>353</v>
      </c>
      <c r="E39" s="149">
        <v>3</v>
      </c>
      <c r="F39" s="78">
        <f t="shared" si="1"/>
        <v>1291.6799999999998</v>
      </c>
      <c r="G39" s="148">
        <f>30*4</f>
        <v>120</v>
      </c>
      <c r="H39" s="87">
        <v>2004</v>
      </c>
      <c r="I39" s="87">
        <v>2022</v>
      </c>
      <c r="J39" s="87">
        <f t="shared" si="2"/>
        <v>18</v>
      </c>
      <c r="K39" s="87">
        <v>45</v>
      </c>
      <c r="L39" s="88">
        <v>0.1</v>
      </c>
      <c r="M39" s="62">
        <f t="shared" si="3"/>
        <v>0.02</v>
      </c>
      <c r="N39" s="91">
        <f t="shared" si="4"/>
        <v>901.33779264214047</v>
      </c>
      <c r="O39" s="148" t="s">
        <v>153</v>
      </c>
      <c r="P39" s="90">
        <v>17640</v>
      </c>
      <c r="Q39" s="90">
        <f>P39*1.1</f>
        <v>19404</v>
      </c>
      <c r="R39" s="90">
        <f>Q39/10.764</f>
        <v>1802.6755852842809</v>
      </c>
      <c r="S39" s="88">
        <v>0.5</v>
      </c>
      <c r="T39" s="91">
        <f>S39*R39</f>
        <v>901.33779264214047</v>
      </c>
      <c r="U39" s="64">
        <f t="shared" si="8"/>
        <v>1164239.9999999998</v>
      </c>
      <c r="V39" s="64">
        <f t="shared" si="9"/>
        <v>419126.39999999991</v>
      </c>
      <c r="W39" s="64">
        <f t="shared" si="10"/>
        <v>745113.59999999986</v>
      </c>
      <c r="X39" s="64">
        <f t="shared" si="11"/>
        <v>745113.59999999986</v>
      </c>
    </row>
    <row r="40" spans="1:24" x14ac:dyDescent="0.2">
      <c r="A40" s="148">
        <f t="shared" si="12"/>
        <v>37</v>
      </c>
      <c r="B40" s="148" t="s">
        <v>294</v>
      </c>
      <c r="C40" s="148" t="s">
        <v>301</v>
      </c>
      <c r="D40" s="148" t="s">
        <v>352</v>
      </c>
      <c r="E40" s="149">
        <v>7</v>
      </c>
      <c r="F40" s="78">
        <f t="shared" si="1"/>
        <v>258.33600000000001</v>
      </c>
      <c r="G40" s="148">
        <f>6*4</f>
        <v>24</v>
      </c>
      <c r="H40" s="148">
        <v>2004</v>
      </c>
      <c r="I40" s="87">
        <v>2022</v>
      </c>
      <c r="J40" s="87">
        <f t="shared" si="2"/>
        <v>18</v>
      </c>
      <c r="K40" s="87">
        <v>60</v>
      </c>
      <c r="L40" s="88">
        <v>0.1</v>
      </c>
      <c r="M40" s="62">
        <f t="shared" si="3"/>
        <v>1.5000000000000001E-2</v>
      </c>
      <c r="N40" s="91">
        <f t="shared" si="4"/>
        <v>1056.9258639910815</v>
      </c>
      <c r="O40" s="148" t="s">
        <v>244</v>
      </c>
      <c r="P40" s="90">
        <v>20685</v>
      </c>
      <c r="Q40" s="90">
        <f t="shared" ref="Q40:Q41" si="23">P40*1.1</f>
        <v>22753.500000000004</v>
      </c>
      <c r="R40" s="90">
        <f t="shared" ref="R40:R41" si="24">Q40/10.764</f>
        <v>2113.8517279821631</v>
      </c>
      <c r="S40" s="88">
        <v>0.5</v>
      </c>
      <c r="T40" s="91">
        <f t="shared" ref="T40:T41" si="25">S40*R40</f>
        <v>1056.9258639910815</v>
      </c>
      <c r="U40" s="64">
        <f t="shared" si="8"/>
        <v>273042.00000000006</v>
      </c>
      <c r="V40" s="64">
        <f t="shared" si="9"/>
        <v>73721.340000000026</v>
      </c>
      <c r="W40" s="64">
        <f t="shared" si="10"/>
        <v>199320.66000000003</v>
      </c>
      <c r="X40" s="64">
        <f t="shared" si="11"/>
        <v>199320.66000000003</v>
      </c>
    </row>
    <row r="41" spans="1:24" x14ac:dyDescent="0.2">
      <c r="A41" s="148">
        <f t="shared" si="12"/>
        <v>38</v>
      </c>
      <c r="B41" s="148" t="s">
        <v>294</v>
      </c>
      <c r="C41" s="148" t="s">
        <v>303</v>
      </c>
      <c r="D41" s="148" t="s">
        <v>363</v>
      </c>
      <c r="E41" s="149">
        <v>3</v>
      </c>
      <c r="F41" s="78">
        <f t="shared" si="1"/>
        <v>1076.3999999999999</v>
      </c>
      <c r="G41" s="148">
        <f>25*4</f>
        <v>100</v>
      </c>
      <c r="H41" s="148">
        <v>2004</v>
      </c>
      <c r="I41" s="87">
        <v>2022</v>
      </c>
      <c r="J41" s="87">
        <f t="shared" si="2"/>
        <v>18</v>
      </c>
      <c r="K41" s="87">
        <v>60</v>
      </c>
      <c r="L41" s="88">
        <v>0.1</v>
      </c>
      <c r="M41" s="62">
        <f t="shared" si="3"/>
        <v>1.5000000000000001E-2</v>
      </c>
      <c r="N41" s="91">
        <f t="shared" si="4"/>
        <v>1056.9258639910815</v>
      </c>
      <c r="O41" s="148" t="s">
        <v>244</v>
      </c>
      <c r="P41" s="90">
        <v>20685</v>
      </c>
      <c r="Q41" s="90">
        <f t="shared" si="23"/>
        <v>22753.500000000004</v>
      </c>
      <c r="R41" s="90">
        <f t="shared" si="24"/>
        <v>2113.8517279821631</v>
      </c>
      <c r="S41" s="88">
        <v>0.5</v>
      </c>
      <c r="T41" s="91">
        <f t="shared" si="25"/>
        <v>1056.9258639910815</v>
      </c>
      <c r="U41" s="64">
        <f t="shared" si="8"/>
        <v>1137675</v>
      </c>
      <c r="V41" s="64">
        <f t="shared" si="9"/>
        <v>307172.25</v>
      </c>
      <c r="W41" s="64">
        <f t="shared" si="10"/>
        <v>830502.75</v>
      </c>
      <c r="X41" s="64">
        <f t="shared" si="11"/>
        <v>830502.75</v>
      </c>
    </row>
    <row r="42" spans="1:24" x14ac:dyDescent="0.2">
      <c r="A42" s="148">
        <f t="shared" si="12"/>
        <v>39</v>
      </c>
      <c r="B42" s="148" t="s">
        <v>294</v>
      </c>
      <c r="C42" s="148" t="s">
        <v>359</v>
      </c>
      <c r="D42" s="148" t="s">
        <v>353</v>
      </c>
      <c r="E42" s="149">
        <v>3</v>
      </c>
      <c r="F42" s="78">
        <f t="shared" si="1"/>
        <v>322.91999999999996</v>
      </c>
      <c r="G42" s="148">
        <f>10*3</f>
        <v>30</v>
      </c>
      <c r="H42" s="87">
        <v>2004</v>
      </c>
      <c r="I42" s="87">
        <v>2022</v>
      </c>
      <c r="J42" s="87">
        <f t="shared" si="2"/>
        <v>18</v>
      </c>
      <c r="K42" s="87">
        <v>45</v>
      </c>
      <c r="L42" s="88">
        <v>0.1</v>
      </c>
      <c r="M42" s="62">
        <f t="shared" si="3"/>
        <v>0.02</v>
      </c>
      <c r="N42" s="91">
        <f t="shared" si="4"/>
        <v>901.33779264214047</v>
      </c>
      <c r="O42" s="148" t="s">
        <v>153</v>
      </c>
      <c r="P42" s="90">
        <v>17640</v>
      </c>
      <c r="Q42" s="90">
        <f>P42*1.1</f>
        <v>19404</v>
      </c>
      <c r="R42" s="90">
        <f>Q42/10.764</f>
        <v>1802.6755852842809</v>
      </c>
      <c r="S42" s="88">
        <v>0.5</v>
      </c>
      <c r="T42" s="91">
        <f>S42*R42</f>
        <v>901.33779264214047</v>
      </c>
      <c r="U42" s="64">
        <f t="shared" si="8"/>
        <v>291059.99999999994</v>
      </c>
      <c r="V42" s="64">
        <f t="shared" si="9"/>
        <v>104781.59999999998</v>
      </c>
      <c r="W42" s="64">
        <f t="shared" si="10"/>
        <v>186278.39999999997</v>
      </c>
      <c r="X42" s="64">
        <f t="shared" si="11"/>
        <v>186278.39999999997</v>
      </c>
    </row>
    <row r="43" spans="1:24" x14ac:dyDescent="0.2">
      <c r="A43" s="148">
        <f t="shared" si="12"/>
        <v>40</v>
      </c>
      <c r="B43" s="148" t="s">
        <v>294</v>
      </c>
      <c r="C43" s="148" t="s">
        <v>308</v>
      </c>
      <c r="D43" s="148" t="s">
        <v>352</v>
      </c>
      <c r="E43" s="149">
        <v>4</v>
      </c>
      <c r="F43" s="78">
        <f t="shared" si="1"/>
        <v>3355.6769999999997</v>
      </c>
      <c r="G43" s="148">
        <f>14.5*21.5</f>
        <v>311.75</v>
      </c>
      <c r="H43" s="148">
        <v>2004</v>
      </c>
      <c r="I43" s="87">
        <v>2022</v>
      </c>
      <c r="J43" s="87">
        <f t="shared" si="2"/>
        <v>18</v>
      </c>
      <c r="K43" s="87">
        <v>60</v>
      </c>
      <c r="L43" s="88">
        <v>0.1</v>
      </c>
      <c r="M43" s="62">
        <f t="shared" si="3"/>
        <v>1.5000000000000001E-2</v>
      </c>
      <c r="N43" s="91">
        <f t="shared" si="4"/>
        <v>1056.9258639910815</v>
      </c>
      <c r="O43" s="148" t="s">
        <v>244</v>
      </c>
      <c r="P43" s="90">
        <v>20685</v>
      </c>
      <c r="Q43" s="90">
        <f t="shared" ref="Q43:Q46" si="26">P43*1.1</f>
        <v>22753.500000000004</v>
      </c>
      <c r="R43" s="90">
        <f t="shared" ref="R43:R46" si="27">Q43/10.764</f>
        <v>2113.8517279821631</v>
      </c>
      <c r="S43" s="88">
        <v>0.5</v>
      </c>
      <c r="T43" s="91">
        <f t="shared" ref="T43:T46" si="28">S43*R43</f>
        <v>1056.9258639910815</v>
      </c>
      <c r="U43" s="64">
        <f t="shared" si="8"/>
        <v>3546701.8125</v>
      </c>
      <c r="V43" s="64">
        <f t="shared" si="9"/>
        <v>957609.48937500012</v>
      </c>
      <c r="W43" s="64">
        <f t="shared" si="10"/>
        <v>2589092.3231250001</v>
      </c>
      <c r="X43" s="64">
        <f t="shared" si="11"/>
        <v>2589092.3231250001</v>
      </c>
    </row>
    <row r="44" spans="1:24" x14ac:dyDescent="0.2">
      <c r="A44" s="148">
        <f t="shared" si="12"/>
        <v>41</v>
      </c>
      <c r="B44" s="148" t="s">
        <v>294</v>
      </c>
      <c r="C44" s="148" t="s">
        <v>208</v>
      </c>
      <c r="D44" s="148" t="s">
        <v>352</v>
      </c>
      <c r="E44" s="149">
        <v>4</v>
      </c>
      <c r="F44" s="78">
        <f t="shared" si="1"/>
        <v>1808.3519999999999</v>
      </c>
      <c r="G44" s="148">
        <f>12*14</f>
        <v>168</v>
      </c>
      <c r="H44" s="148">
        <v>2004</v>
      </c>
      <c r="I44" s="87">
        <v>2022</v>
      </c>
      <c r="J44" s="87">
        <f t="shared" si="2"/>
        <v>18</v>
      </c>
      <c r="K44" s="87">
        <v>60</v>
      </c>
      <c r="L44" s="88">
        <v>0.1</v>
      </c>
      <c r="M44" s="62">
        <f t="shared" si="3"/>
        <v>1.5000000000000001E-2</v>
      </c>
      <c r="N44" s="91">
        <f t="shared" si="4"/>
        <v>1056.9258639910815</v>
      </c>
      <c r="O44" s="148" t="s">
        <v>244</v>
      </c>
      <c r="P44" s="90">
        <v>20685</v>
      </c>
      <c r="Q44" s="90">
        <f t="shared" si="26"/>
        <v>22753.500000000004</v>
      </c>
      <c r="R44" s="90">
        <f t="shared" si="27"/>
        <v>2113.8517279821631</v>
      </c>
      <c r="S44" s="88">
        <v>0.5</v>
      </c>
      <c r="T44" s="91">
        <f t="shared" si="28"/>
        <v>1056.9258639910815</v>
      </c>
      <c r="U44" s="64">
        <f t="shared" si="8"/>
        <v>1911294.0000000002</v>
      </c>
      <c r="V44" s="64">
        <f t="shared" si="9"/>
        <v>516049.38000000012</v>
      </c>
      <c r="W44" s="64">
        <f t="shared" si="10"/>
        <v>1395244.62</v>
      </c>
      <c r="X44" s="64">
        <f t="shared" si="11"/>
        <v>1395244.62</v>
      </c>
    </row>
    <row r="45" spans="1:24" x14ac:dyDescent="0.2">
      <c r="A45" s="148">
        <f t="shared" si="12"/>
        <v>42</v>
      </c>
      <c r="B45" s="148" t="s">
        <v>294</v>
      </c>
      <c r="C45" s="148" t="s">
        <v>360</v>
      </c>
      <c r="D45" s="148" t="s">
        <v>352</v>
      </c>
      <c r="E45" s="149">
        <v>4</v>
      </c>
      <c r="F45" s="78">
        <f t="shared" si="1"/>
        <v>129.16800000000001</v>
      </c>
      <c r="G45" s="148">
        <f>4*3</f>
        <v>12</v>
      </c>
      <c r="H45" s="148">
        <v>2004</v>
      </c>
      <c r="I45" s="87">
        <v>2022</v>
      </c>
      <c r="J45" s="87">
        <f t="shared" si="2"/>
        <v>18</v>
      </c>
      <c r="K45" s="87">
        <v>60</v>
      </c>
      <c r="L45" s="88">
        <v>0.1</v>
      </c>
      <c r="M45" s="62">
        <f t="shared" si="3"/>
        <v>1.5000000000000001E-2</v>
      </c>
      <c r="N45" s="91">
        <f t="shared" si="4"/>
        <v>1056.9258639910815</v>
      </c>
      <c r="O45" s="148" t="s">
        <v>244</v>
      </c>
      <c r="P45" s="90">
        <v>20685</v>
      </c>
      <c r="Q45" s="90">
        <f t="shared" si="26"/>
        <v>22753.500000000004</v>
      </c>
      <c r="R45" s="90">
        <f t="shared" si="27"/>
        <v>2113.8517279821631</v>
      </c>
      <c r="S45" s="88">
        <v>0.5</v>
      </c>
      <c r="T45" s="91">
        <f t="shared" si="28"/>
        <v>1056.9258639910815</v>
      </c>
      <c r="U45" s="64">
        <f t="shared" si="8"/>
        <v>136521.00000000003</v>
      </c>
      <c r="V45" s="64">
        <f t="shared" si="9"/>
        <v>36860.670000000013</v>
      </c>
      <c r="W45" s="64">
        <f t="shared" si="10"/>
        <v>99660.330000000016</v>
      </c>
      <c r="X45" s="64">
        <f t="shared" si="11"/>
        <v>99660.330000000016</v>
      </c>
    </row>
    <row r="46" spans="1:24" x14ac:dyDescent="0.2">
      <c r="A46" s="148">
        <f t="shared" si="12"/>
        <v>43</v>
      </c>
      <c r="B46" s="148" t="s">
        <v>294</v>
      </c>
      <c r="C46" s="148" t="s">
        <v>361</v>
      </c>
      <c r="D46" s="148" t="s">
        <v>352</v>
      </c>
      <c r="E46" s="149">
        <v>4</v>
      </c>
      <c r="F46" s="78">
        <f t="shared" si="1"/>
        <v>129.16800000000001</v>
      </c>
      <c r="G46" s="148">
        <f>4*3</f>
        <v>12</v>
      </c>
      <c r="H46" s="148">
        <v>2004</v>
      </c>
      <c r="I46" s="87">
        <v>2022</v>
      </c>
      <c r="J46" s="87">
        <f t="shared" si="2"/>
        <v>18</v>
      </c>
      <c r="K46" s="87">
        <v>60</v>
      </c>
      <c r="L46" s="88">
        <v>0.1</v>
      </c>
      <c r="M46" s="62">
        <f t="shared" si="3"/>
        <v>1.5000000000000001E-2</v>
      </c>
      <c r="N46" s="91">
        <f t="shared" si="4"/>
        <v>1056.9258639910815</v>
      </c>
      <c r="O46" s="148" t="s">
        <v>244</v>
      </c>
      <c r="P46" s="90">
        <v>20685</v>
      </c>
      <c r="Q46" s="90">
        <f t="shared" si="26"/>
        <v>22753.500000000004</v>
      </c>
      <c r="R46" s="90">
        <f t="shared" si="27"/>
        <v>2113.8517279821631</v>
      </c>
      <c r="S46" s="88">
        <v>0.5</v>
      </c>
      <c r="T46" s="91">
        <f t="shared" si="28"/>
        <v>1056.9258639910815</v>
      </c>
      <c r="U46" s="64">
        <f t="shared" si="8"/>
        <v>136521.00000000003</v>
      </c>
      <c r="V46" s="64">
        <f t="shared" si="9"/>
        <v>36860.670000000013</v>
      </c>
      <c r="W46" s="64">
        <f t="shared" si="10"/>
        <v>99660.330000000016</v>
      </c>
      <c r="X46" s="64">
        <f t="shared" si="11"/>
        <v>99660.330000000016</v>
      </c>
    </row>
    <row r="47" spans="1:24" x14ac:dyDescent="0.2">
      <c r="A47" s="148">
        <f t="shared" si="12"/>
        <v>44</v>
      </c>
      <c r="B47" s="148" t="s">
        <v>294</v>
      </c>
      <c r="C47" s="148" t="s">
        <v>302</v>
      </c>
      <c r="D47" s="148" t="s">
        <v>364</v>
      </c>
      <c r="E47" s="149">
        <v>3</v>
      </c>
      <c r="F47" s="78">
        <f t="shared" si="1"/>
        <v>215.27999999999997</v>
      </c>
      <c r="G47" s="148">
        <f>5*4</f>
        <v>20</v>
      </c>
      <c r="H47" s="87">
        <v>2004</v>
      </c>
      <c r="I47" s="87">
        <v>2022</v>
      </c>
      <c r="J47" s="87">
        <f t="shared" si="2"/>
        <v>18</v>
      </c>
      <c r="K47" s="87">
        <v>45</v>
      </c>
      <c r="L47" s="88">
        <v>0.1</v>
      </c>
      <c r="M47" s="62">
        <f t="shared" si="3"/>
        <v>0.02</v>
      </c>
      <c r="N47" s="91">
        <f t="shared" si="4"/>
        <v>901.33779264214047</v>
      </c>
      <c r="O47" s="148" t="s">
        <v>153</v>
      </c>
      <c r="P47" s="90">
        <v>17640</v>
      </c>
      <c r="Q47" s="90">
        <f>P47*1.1</f>
        <v>19404</v>
      </c>
      <c r="R47" s="90">
        <f>Q47/10.764</f>
        <v>1802.6755852842809</v>
      </c>
      <c r="S47" s="88">
        <v>0.5</v>
      </c>
      <c r="T47" s="91">
        <f>S47*R47</f>
        <v>901.33779264214047</v>
      </c>
      <c r="U47" s="64">
        <f t="shared" si="8"/>
        <v>194039.99999999997</v>
      </c>
      <c r="V47" s="64">
        <f t="shared" si="9"/>
        <v>69854.399999999994</v>
      </c>
      <c r="W47" s="64">
        <f t="shared" si="10"/>
        <v>124185.59999999998</v>
      </c>
      <c r="X47" s="64">
        <f t="shared" si="11"/>
        <v>124185.59999999998</v>
      </c>
    </row>
    <row r="48" spans="1:24" x14ac:dyDescent="0.2">
      <c r="A48" s="148">
        <f t="shared" si="12"/>
        <v>45</v>
      </c>
      <c r="B48" s="148" t="s">
        <v>294</v>
      </c>
      <c r="C48" s="148" t="s">
        <v>362</v>
      </c>
      <c r="D48" s="148" t="s">
        <v>352</v>
      </c>
      <c r="E48" s="149">
        <v>3</v>
      </c>
      <c r="F48" s="78">
        <f t="shared" si="1"/>
        <v>251.87759999999997</v>
      </c>
      <c r="G48" s="148">
        <f>6*3.9</f>
        <v>23.4</v>
      </c>
      <c r="H48" s="148">
        <v>2004</v>
      </c>
      <c r="I48" s="87">
        <v>2022</v>
      </c>
      <c r="J48" s="87">
        <f t="shared" si="2"/>
        <v>18</v>
      </c>
      <c r="K48" s="87">
        <v>60</v>
      </c>
      <c r="L48" s="88">
        <v>0.1</v>
      </c>
      <c r="M48" s="62">
        <f t="shared" si="3"/>
        <v>1.5000000000000001E-2</v>
      </c>
      <c r="N48" s="91">
        <f t="shared" si="4"/>
        <v>1056.9258639910815</v>
      </c>
      <c r="O48" s="148" t="s">
        <v>244</v>
      </c>
      <c r="P48" s="90">
        <v>20685</v>
      </c>
      <c r="Q48" s="90">
        <f t="shared" ref="Q48:Q49" si="29">P48*1.1</f>
        <v>22753.500000000004</v>
      </c>
      <c r="R48" s="90">
        <f t="shared" ref="R48:R49" si="30">Q48/10.764</f>
        <v>2113.8517279821631</v>
      </c>
      <c r="S48" s="88">
        <v>0.5</v>
      </c>
      <c r="T48" s="91">
        <f t="shared" ref="T48:T49" si="31">S48*R48</f>
        <v>1056.9258639910815</v>
      </c>
      <c r="U48" s="64">
        <f t="shared" si="8"/>
        <v>266215.95</v>
      </c>
      <c r="V48" s="64">
        <f t="shared" si="9"/>
        <v>71878.306500000006</v>
      </c>
      <c r="W48" s="64">
        <f t="shared" si="10"/>
        <v>194337.64350000001</v>
      </c>
      <c r="X48" s="64">
        <f t="shared" si="11"/>
        <v>194337.64350000001</v>
      </c>
    </row>
    <row r="49" spans="1:24" x14ac:dyDescent="0.2">
      <c r="A49" s="148">
        <f t="shared" si="12"/>
        <v>46</v>
      </c>
      <c r="B49" s="148" t="s">
        <v>294</v>
      </c>
      <c r="C49" s="148" t="s">
        <v>300</v>
      </c>
      <c r="D49" s="148" t="s">
        <v>326</v>
      </c>
      <c r="E49" s="149">
        <v>2</v>
      </c>
      <c r="F49" s="78">
        <f t="shared" si="1"/>
        <v>193.75199999999998</v>
      </c>
      <c r="G49" s="148">
        <f>6*3</f>
        <v>18</v>
      </c>
      <c r="H49" s="148">
        <v>2004</v>
      </c>
      <c r="I49" s="87">
        <v>2022</v>
      </c>
      <c r="J49" s="87">
        <f t="shared" si="2"/>
        <v>18</v>
      </c>
      <c r="K49" s="87">
        <v>60</v>
      </c>
      <c r="L49" s="88">
        <v>0.1</v>
      </c>
      <c r="M49" s="62">
        <f t="shared" si="3"/>
        <v>1.5000000000000001E-2</v>
      </c>
      <c r="N49" s="91">
        <f t="shared" si="4"/>
        <v>1056.9258639910815</v>
      </c>
      <c r="O49" s="148" t="s">
        <v>244</v>
      </c>
      <c r="P49" s="90">
        <v>20685</v>
      </c>
      <c r="Q49" s="90">
        <f t="shared" si="29"/>
        <v>22753.500000000004</v>
      </c>
      <c r="R49" s="90">
        <f t="shared" si="30"/>
        <v>2113.8517279821631</v>
      </c>
      <c r="S49" s="88">
        <v>0.5</v>
      </c>
      <c r="T49" s="91">
        <f t="shared" si="31"/>
        <v>1056.9258639910815</v>
      </c>
      <c r="U49" s="64">
        <f t="shared" si="8"/>
        <v>204781.5</v>
      </c>
      <c r="V49" s="64">
        <f t="shared" si="9"/>
        <v>55291.005000000005</v>
      </c>
      <c r="W49" s="64">
        <f t="shared" si="10"/>
        <v>149490.495</v>
      </c>
      <c r="X49" s="64">
        <f t="shared" si="11"/>
        <v>149490.495</v>
      </c>
    </row>
    <row r="50" spans="1:24" x14ac:dyDescent="0.2">
      <c r="A50" s="148">
        <f t="shared" si="12"/>
        <v>47</v>
      </c>
      <c r="B50" s="148" t="s">
        <v>294</v>
      </c>
      <c r="C50" s="148" t="s">
        <v>311</v>
      </c>
      <c r="D50" s="148" t="s">
        <v>353</v>
      </c>
      <c r="E50" s="149">
        <v>3</v>
      </c>
      <c r="F50" s="78">
        <f t="shared" si="1"/>
        <v>440.78579999999994</v>
      </c>
      <c r="G50" s="148">
        <f>9.1*4.5</f>
        <v>40.949999999999996</v>
      </c>
      <c r="H50" s="87">
        <v>2004</v>
      </c>
      <c r="I50" s="87">
        <v>2022</v>
      </c>
      <c r="J50" s="87">
        <f t="shared" si="2"/>
        <v>18</v>
      </c>
      <c r="K50" s="87">
        <v>45</v>
      </c>
      <c r="L50" s="88">
        <v>0.1</v>
      </c>
      <c r="M50" s="62">
        <f t="shared" si="3"/>
        <v>0.02</v>
      </c>
      <c r="N50" s="91">
        <f t="shared" si="4"/>
        <v>901.33779264214047</v>
      </c>
      <c r="O50" s="148" t="s">
        <v>153</v>
      </c>
      <c r="P50" s="90">
        <v>17640</v>
      </c>
      <c r="Q50" s="90">
        <f>P50*1.1</f>
        <v>19404</v>
      </c>
      <c r="R50" s="90">
        <f>Q50/10.764</f>
        <v>1802.6755852842809</v>
      </c>
      <c r="S50" s="88">
        <v>0.5</v>
      </c>
      <c r="T50" s="91">
        <f>S50*R50</f>
        <v>901.33779264214047</v>
      </c>
      <c r="U50" s="64">
        <f t="shared" si="8"/>
        <v>397296.89999999997</v>
      </c>
      <c r="V50" s="64">
        <f t="shared" si="9"/>
        <v>143026.88399999999</v>
      </c>
      <c r="W50" s="64">
        <f t="shared" si="10"/>
        <v>254270.01599999997</v>
      </c>
      <c r="X50" s="64">
        <f t="shared" si="11"/>
        <v>254270.01599999997</v>
      </c>
    </row>
    <row r="51" spans="1:24" x14ac:dyDescent="0.2">
      <c r="A51" s="148">
        <f t="shared" si="12"/>
        <v>48</v>
      </c>
      <c r="B51" s="148" t="s">
        <v>322</v>
      </c>
      <c r="C51" s="148" t="s">
        <v>365</v>
      </c>
      <c r="D51" s="148" t="s">
        <v>368</v>
      </c>
      <c r="E51" s="149">
        <v>4</v>
      </c>
      <c r="F51" s="78">
        <f t="shared" si="1"/>
        <v>20004.894</v>
      </c>
      <c r="G51" s="148">
        <f>63*29.5</f>
        <v>1858.5</v>
      </c>
      <c r="H51" s="148">
        <v>2004</v>
      </c>
      <c r="I51" s="87">
        <v>2022</v>
      </c>
      <c r="J51" s="87">
        <f t="shared" si="2"/>
        <v>18</v>
      </c>
      <c r="K51" s="87">
        <v>60</v>
      </c>
      <c r="L51" s="88">
        <v>0.1</v>
      </c>
      <c r="M51" s="62">
        <f t="shared" si="3"/>
        <v>1.5000000000000001E-2</v>
      </c>
      <c r="N51" s="91">
        <f t="shared" si="4"/>
        <v>1056.9258639910815</v>
      </c>
      <c r="O51" s="148" t="s">
        <v>244</v>
      </c>
      <c r="P51" s="90">
        <v>20685</v>
      </c>
      <c r="Q51" s="90">
        <f t="shared" ref="Q51:Q55" si="32">P51*1.1</f>
        <v>22753.500000000004</v>
      </c>
      <c r="R51" s="90">
        <f t="shared" ref="R51:R55" si="33">Q51/10.764</f>
        <v>2113.8517279821631</v>
      </c>
      <c r="S51" s="88">
        <v>0.5</v>
      </c>
      <c r="T51" s="91">
        <f t="shared" ref="T51:T55" si="34">S51*R51</f>
        <v>1056.9258639910815</v>
      </c>
      <c r="U51" s="64">
        <f t="shared" si="8"/>
        <v>21143689.875000004</v>
      </c>
      <c r="V51" s="64">
        <f t="shared" si="9"/>
        <v>5708796.2662500013</v>
      </c>
      <c r="W51" s="64">
        <f t="shared" si="10"/>
        <v>15434893.608750002</v>
      </c>
      <c r="X51" s="64">
        <f t="shared" si="11"/>
        <v>15434893.608750002</v>
      </c>
    </row>
    <row r="52" spans="1:24" x14ac:dyDescent="0.2">
      <c r="A52" s="148">
        <f t="shared" si="12"/>
        <v>49</v>
      </c>
      <c r="B52" s="148" t="s">
        <v>322</v>
      </c>
      <c r="C52" s="148" t="s">
        <v>366</v>
      </c>
      <c r="D52" s="148" t="s">
        <v>364</v>
      </c>
      <c r="E52" s="149">
        <v>3</v>
      </c>
      <c r="F52" s="78">
        <f t="shared" si="1"/>
        <v>4650.0479999999998</v>
      </c>
      <c r="G52" s="148">
        <f>108*4</f>
        <v>432</v>
      </c>
      <c r="H52" s="148">
        <v>2004</v>
      </c>
      <c r="I52" s="87">
        <v>2022</v>
      </c>
      <c r="J52" s="87">
        <f t="shared" si="2"/>
        <v>18</v>
      </c>
      <c r="K52" s="87">
        <v>60</v>
      </c>
      <c r="L52" s="88">
        <v>0.1</v>
      </c>
      <c r="M52" s="62">
        <f t="shared" si="3"/>
        <v>1.5000000000000001E-2</v>
      </c>
      <c r="N52" s="91">
        <f t="shared" si="4"/>
        <v>1056.9258639910815</v>
      </c>
      <c r="O52" s="148" t="s">
        <v>244</v>
      </c>
      <c r="P52" s="90">
        <v>20685</v>
      </c>
      <c r="Q52" s="90">
        <f t="shared" si="32"/>
        <v>22753.500000000004</v>
      </c>
      <c r="R52" s="90">
        <f t="shared" si="33"/>
        <v>2113.8517279821631</v>
      </c>
      <c r="S52" s="88">
        <v>0.5</v>
      </c>
      <c r="T52" s="91">
        <f t="shared" si="34"/>
        <v>1056.9258639910815</v>
      </c>
      <c r="U52" s="64">
        <f t="shared" si="8"/>
        <v>4914756.0000000009</v>
      </c>
      <c r="V52" s="64">
        <f t="shared" si="9"/>
        <v>1326984.1200000006</v>
      </c>
      <c r="W52" s="64">
        <f t="shared" si="10"/>
        <v>3587771.8800000004</v>
      </c>
      <c r="X52" s="64">
        <f t="shared" si="11"/>
        <v>3587771.8800000004</v>
      </c>
    </row>
    <row r="53" spans="1:24" x14ac:dyDescent="0.2">
      <c r="A53" s="148">
        <f t="shared" si="12"/>
        <v>50</v>
      </c>
      <c r="B53" s="148" t="s">
        <v>322</v>
      </c>
      <c r="C53" s="148" t="s">
        <v>367</v>
      </c>
      <c r="D53" s="148" t="s">
        <v>368</v>
      </c>
      <c r="E53" s="149">
        <v>5</v>
      </c>
      <c r="F53" s="78">
        <f t="shared" si="1"/>
        <v>3431.0249999999996</v>
      </c>
      <c r="G53" s="148">
        <f>12.5*25.5</f>
        <v>318.75</v>
      </c>
      <c r="H53" s="148">
        <v>2004</v>
      </c>
      <c r="I53" s="87">
        <v>2022</v>
      </c>
      <c r="J53" s="87">
        <f t="shared" si="2"/>
        <v>18</v>
      </c>
      <c r="K53" s="87">
        <v>60</v>
      </c>
      <c r="L53" s="88">
        <v>0.1</v>
      </c>
      <c r="M53" s="62">
        <f t="shared" si="3"/>
        <v>1.5000000000000001E-2</v>
      </c>
      <c r="N53" s="91">
        <f t="shared" si="4"/>
        <v>1056.9258639910815</v>
      </c>
      <c r="O53" s="148" t="s">
        <v>244</v>
      </c>
      <c r="P53" s="90">
        <v>20685</v>
      </c>
      <c r="Q53" s="90">
        <f t="shared" si="32"/>
        <v>22753.500000000004</v>
      </c>
      <c r="R53" s="90">
        <f t="shared" si="33"/>
        <v>2113.8517279821631</v>
      </c>
      <c r="S53" s="88">
        <v>0.5</v>
      </c>
      <c r="T53" s="91">
        <f t="shared" si="34"/>
        <v>1056.9258639910815</v>
      </c>
      <c r="U53" s="64">
        <f t="shared" si="8"/>
        <v>3626339.0625</v>
      </c>
      <c r="V53" s="64">
        <f t="shared" si="9"/>
        <v>979111.54687500012</v>
      </c>
      <c r="W53" s="64">
        <f t="shared" si="10"/>
        <v>2647227.515625</v>
      </c>
      <c r="X53" s="64">
        <f t="shared" si="11"/>
        <v>2647227.515625</v>
      </c>
    </row>
    <row r="54" spans="1:24" x14ac:dyDescent="0.2">
      <c r="A54" s="148">
        <f t="shared" si="12"/>
        <v>51</v>
      </c>
      <c r="B54" s="148" t="s">
        <v>325</v>
      </c>
      <c r="C54" s="148" t="s">
        <v>324</v>
      </c>
      <c r="D54" s="148" t="s">
        <v>326</v>
      </c>
      <c r="E54" s="149"/>
      <c r="F54" s="78">
        <f t="shared" si="1"/>
        <v>21528</v>
      </c>
      <c r="G54" s="148">
        <f>40*50</f>
        <v>2000</v>
      </c>
      <c r="H54" s="148">
        <v>2004</v>
      </c>
      <c r="I54" s="87">
        <v>2022</v>
      </c>
      <c r="J54" s="87">
        <f t="shared" si="2"/>
        <v>18</v>
      </c>
      <c r="K54" s="87">
        <v>60</v>
      </c>
      <c r="L54" s="88">
        <v>0.1</v>
      </c>
      <c r="M54" s="62">
        <f t="shared" si="3"/>
        <v>1.5000000000000001E-2</v>
      </c>
      <c r="N54" s="91">
        <f t="shared" si="4"/>
        <v>1056.9258639910815</v>
      </c>
      <c r="O54" s="148" t="s">
        <v>244</v>
      </c>
      <c r="P54" s="90">
        <v>20685</v>
      </c>
      <c r="Q54" s="90">
        <f t="shared" si="32"/>
        <v>22753.500000000004</v>
      </c>
      <c r="R54" s="90">
        <f t="shared" si="33"/>
        <v>2113.8517279821631</v>
      </c>
      <c r="S54" s="88">
        <v>0.5</v>
      </c>
      <c r="T54" s="91">
        <f t="shared" si="34"/>
        <v>1056.9258639910815</v>
      </c>
      <c r="U54" s="64">
        <f t="shared" si="8"/>
        <v>22753500.000000004</v>
      </c>
      <c r="V54" s="64">
        <f t="shared" si="9"/>
        <v>6143445.0000000009</v>
      </c>
      <c r="W54" s="64">
        <f t="shared" si="10"/>
        <v>16610055.000000004</v>
      </c>
      <c r="X54" s="64">
        <f t="shared" si="11"/>
        <v>16610055.000000004</v>
      </c>
    </row>
    <row r="55" spans="1:24" x14ac:dyDescent="0.2">
      <c r="A55" s="148">
        <f t="shared" si="12"/>
        <v>52</v>
      </c>
      <c r="B55" s="148" t="s">
        <v>325</v>
      </c>
      <c r="C55" s="148" t="s">
        <v>323</v>
      </c>
      <c r="D55" s="148" t="s">
        <v>326</v>
      </c>
      <c r="E55" s="149">
        <v>3</v>
      </c>
      <c r="F55" s="78">
        <f t="shared" si="1"/>
        <v>150.696</v>
      </c>
      <c r="G55" s="148">
        <f>4*3.5</f>
        <v>14</v>
      </c>
      <c r="H55" s="148">
        <v>2004</v>
      </c>
      <c r="I55" s="87">
        <v>2022</v>
      </c>
      <c r="J55" s="87">
        <f t="shared" si="2"/>
        <v>18</v>
      </c>
      <c r="K55" s="87">
        <v>60</v>
      </c>
      <c r="L55" s="88">
        <v>0.1</v>
      </c>
      <c r="M55" s="62">
        <f t="shared" si="3"/>
        <v>1.5000000000000001E-2</v>
      </c>
      <c r="N55" s="91">
        <f t="shared" si="4"/>
        <v>1056.9258639910815</v>
      </c>
      <c r="O55" s="148" t="s">
        <v>244</v>
      </c>
      <c r="P55" s="90">
        <v>20685</v>
      </c>
      <c r="Q55" s="90">
        <f t="shared" si="32"/>
        <v>22753.500000000004</v>
      </c>
      <c r="R55" s="90">
        <f t="shared" si="33"/>
        <v>2113.8517279821631</v>
      </c>
      <c r="S55" s="88">
        <v>0.5</v>
      </c>
      <c r="T55" s="91">
        <f t="shared" si="34"/>
        <v>1056.9258639910815</v>
      </c>
      <c r="U55" s="64">
        <f t="shared" si="8"/>
        <v>159274.50000000003</v>
      </c>
      <c r="V55" s="64">
        <f t="shared" si="9"/>
        <v>43004.115000000013</v>
      </c>
      <c r="W55" s="64">
        <f t="shared" si="10"/>
        <v>116270.38500000001</v>
      </c>
      <c r="X55" s="64">
        <f t="shared" si="11"/>
        <v>116270.38500000001</v>
      </c>
    </row>
    <row r="56" spans="1:24" x14ac:dyDescent="0.2">
      <c r="A56" s="148">
        <f t="shared" si="12"/>
        <v>53</v>
      </c>
      <c r="B56" s="148" t="s">
        <v>372</v>
      </c>
      <c r="C56" s="148" t="s">
        <v>328</v>
      </c>
      <c r="D56" s="148" t="s">
        <v>371</v>
      </c>
      <c r="E56" s="149"/>
      <c r="F56" s="78">
        <f t="shared" si="1"/>
        <v>10764</v>
      </c>
      <c r="G56" s="148">
        <f>50*20</f>
        <v>1000</v>
      </c>
      <c r="H56" s="87">
        <v>2004</v>
      </c>
      <c r="I56" s="87">
        <v>2022</v>
      </c>
      <c r="J56" s="87">
        <f t="shared" si="2"/>
        <v>18</v>
      </c>
      <c r="K56" s="87">
        <v>45</v>
      </c>
      <c r="L56" s="88">
        <v>0.1</v>
      </c>
      <c r="M56" s="62">
        <f t="shared" si="3"/>
        <v>0.02</v>
      </c>
      <c r="N56" s="91">
        <f t="shared" si="4"/>
        <v>901.33779264214047</v>
      </c>
      <c r="O56" s="148" t="s">
        <v>153</v>
      </c>
      <c r="P56" s="90">
        <v>17640</v>
      </c>
      <c r="Q56" s="90">
        <f t="shared" ref="Q56:Q58" si="35">P56*1.1</f>
        <v>19404</v>
      </c>
      <c r="R56" s="90">
        <f t="shared" ref="R56:R58" si="36">Q56/10.764</f>
        <v>1802.6755852842809</v>
      </c>
      <c r="S56" s="88">
        <v>0.5</v>
      </c>
      <c r="T56" s="91">
        <f t="shared" ref="T56:T58" si="37">S56*R56</f>
        <v>901.33779264214047</v>
      </c>
      <c r="U56" s="64">
        <f t="shared" si="8"/>
        <v>9702000</v>
      </c>
      <c r="V56" s="64">
        <f t="shared" si="9"/>
        <v>3492720</v>
      </c>
      <c r="W56" s="64">
        <f t="shared" si="10"/>
        <v>6209280</v>
      </c>
      <c r="X56" s="64">
        <f t="shared" si="11"/>
        <v>6209280</v>
      </c>
    </row>
    <row r="57" spans="1:24" x14ac:dyDescent="0.2">
      <c r="A57" s="148">
        <f t="shared" si="12"/>
        <v>54</v>
      </c>
      <c r="B57" s="148" t="s">
        <v>372</v>
      </c>
      <c r="C57" s="148" t="s">
        <v>369</v>
      </c>
      <c r="D57" s="148" t="s">
        <v>368</v>
      </c>
      <c r="E57" s="149">
        <v>3</v>
      </c>
      <c r="F57" s="78">
        <f t="shared" si="1"/>
        <v>80.72999999999999</v>
      </c>
      <c r="G57" s="148">
        <f>2.5*3</f>
        <v>7.5</v>
      </c>
      <c r="H57" s="87">
        <v>2004</v>
      </c>
      <c r="I57" s="87">
        <v>2022</v>
      </c>
      <c r="J57" s="87">
        <f t="shared" si="2"/>
        <v>18</v>
      </c>
      <c r="K57" s="87">
        <v>45</v>
      </c>
      <c r="L57" s="88">
        <v>0.1</v>
      </c>
      <c r="M57" s="62">
        <f t="shared" si="3"/>
        <v>0.02</v>
      </c>
      <c r="N57" s="91">
        <f t="shared" si="4"/>
        <v>901.33779264214047</v>
      </c>
      <c r="O57" s="148" t="s">
        <v>153</v>
      </c>
      <c r="P57" s="90">
        <v>17640</v>
      </c>
      <c r="Q57" s="90">
        <f t="shared" si="35"/>
        <v>19404</v>
      </c>
      <c r="R57" s="90">
        <f t="shared" si="36"/>
        <v>1802.6755852842809</v>
      </c>
      <c r="S57" s="88">
        <v>0.5</v>
      </c>
      <c r="T57" s="91">
        <f t="shared" si="37"/>
        <v>901.33779264214047</v>
      </c>
      <c r="U57" s="64">
        <f t="shared" si="8"/>
        <v>72764.999999999985</v>
      </c>
      <c r="V57" s="64">
        <f t="shared" si="9"/>
        <v>26195.399999999994</v>
      </c>
      <c r="W57" s="64">
        <f t="shared" si="10"/>
        <v>46569.599999999991</v>
      </c>
      <c r="X57" s="64">
        <f t="shared" si="11"/>
        <v>46569.599999999991</v>
      </c>
    </row>
    <row r="58" spans="1:24" x14ac:dyDescent="0.2">
      <c r="A58" s="148">
        <f t="shared" si="12"/>
        <v>55</v>
      </c>
      <c r="B58" s="148" t="s">
        <v>372</v>
      </c>
      <c r="C58" s="148" t="s">
        <v>370</v>
      </c>
      <c r="D58" s="148" t="s">
        <v>326</v>
      </c>
      <c r="E58" s="149">
        <v>1.1000000000000001</v>
      </c>
      <c r="F58" s="78">
        <f t="shared" si="1"/>
        <v>4520.88</v>
      </c>
      <c r="G58" s="148">
        <f>350*1.2</f>
        <v>420</v>
      </c>
      <c r="H58" s="148">
        <v>2004</v>
      </c>
      <c r="I58" s="87">
        <v>2022</v>
      </c>
      <c r="J58" s="87">
        <f t="shared" si="2"/>
        <v>18</v>
      </c>
      <c r="K58" s="87">
        <v>60</v>
      </c>
      <c r="L58" s="88">
        <v>0.1</v>
      </c>
      <c r="M58" s="62">
        <f t="shared" si="3"/>
        <v>1.5000000000000001E-2</v>
      </c>
      <c r="N58" s="91">
        <f t="shared" si="4"/>
        <v>1056.9258639910815</v>
      </c>
      <c r="O58" s="148" t="s">
        <v>244</v>
      </c>
      <c r="P58" s="90">
        <v>20685</v>
      </c>
      <c r="Q58" s="90">
        <f t="shared" si="35"/>
        <v>22753.500000000004</v>
      </c>
      <c r="R58" s="90">
        <f t="shared" si="36"/>
        <v>2113.8517279821631</v>
      </c>
      <c r="S58" s="88">
        <v>0.5</v>
      </c>
      <c r="T58" s="91">
        <f t="shared" si="37"/>
        <v>1056.9258639910815</v>
      </c>
      <c r="U58" s="64">
        <f t="shared" si="8"/>
        <v>4778235.0000000009</v>
      </c>
      <c r="V58" s="64">
        <f t="shared" si="9"/>
        <v>1290123.4500000004</v>
      </c>
      <c r="W58" s="64">
        <f t="shared" si="10"/>
        <v>3488111.5500000007</v>
      </c>
      <c r="X58" s="64">
        <f t="shared" si="11"/>
        <v>3488111.5500000007</v>
      </c>
    </row>
    <row r="59" spans="1:24" x14ac:dyDescent="0.2">
      <c r="A59" s="148"/>
      <c r="B59" s="148"/>
      <c r="C59" s="148"/>
      <c r="D59" s="148"/>
      <c r="E59" s="149"/>
      <c r="F59" s="149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</row>
  </sheetData>
  <autoFilter ref="A3:W58"/>
  <mergeCells count="1"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Pumps</vt:lpstr>
      <vt:lpstr>Barkatpur</vt:lpstr>
      <vt:lpstr>Libberheri Land</vt:lpstr>
      <vt:lpstr>Libberheri Sugar Building</vt:lpstr>
      <vt:lpstr>Libberhedi Dist.- Building</vt:lpstr>
      <vt:lpstr>Sheet2</vt:lpstr>
      <vt:lpstr>PLF Libberhedi</vt:lpstr>
      <vt:lpstr>Sheet1</vt:lpstr>
      <vt:lpstr>Khaikheri</vt:lpstr>
      <vt:lpstr>Shermau</vt:lpstr>
      <vt:lpstr>Pumps!Print_Area</vt:lpstr>
    </vt:vector>
  </TitlesOfParts>
  <Company>uttam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Adil Afaque</cp:lastModifiedBy>
  <cp:lastPrinted>2019-11-19T05:03:53Z</cp:lastPrinted>
  <dcterms:created xsi:type="dcterms:W3CDTF">2008-07-24T10:33:02Z</dcterms:created>
  <dcterms:modified xsi:type="dcterms:W3CDTF">2022-09-23T10:11:37Z</dcterms:modified>
</cp:coreProperties>
</file>