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Adil Afaque\uploads\Uttam Sugar Ltd\Working\"/>
    </mc:Choice>
  </mc:AlternateContent>
  <bookViews>
    <workbookView xWindow="0" yWindow="0" windowWidth="24000" windowHeight="9735" activeTab="2"/>
  </bookViews>
  <sheets>
    <sheet name="Land" sheetId="2" r:id="rId1"/>
    <sheet name="Sheet2" sheetId="8" r:id="rId2"/>
    <sheet name="Building" sheetId="1" r:id="rId3"/>
    <sheet name="Sheet1" sheetId="7" r:id="rId4"/>
    <sheet name="FAR summary" sheetId="3" r:id="rId5"/>
    <sheet name="Co-generation" sheetId="4" r:id="rId6"/>
  </sheets>
  <externalReferences>
    <externalReference r:id="rId7"/>
  </externalReferences>
  <definedNames>
    <definedName name="_xlnm._FilterDatabase" localSheetId="2" hidden="1">Building!$B$3:$AA$53</definedName>
    <definedName name="_xlnm._FilterDatabase" localSheetId="3" hidden="1">Sheet1!$E$6:$X$23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W85" i="1"/>
  <c r="W81" i="1"/>
  <c r="W80" i="1"/>
  <c r="H79" i="1"/>
  <c r="W82" i="1"/>
  <c r="H52" i="1" l="1"/>
  <c r="P31" i="7" s="1"/>
  <c r="Q31" i="7" l="1"/>
  <c r="D51" i="4" l="1"/>
  <c r="D50" i="4"/>
  <c r="B49" i="4"/>
  <c r="C49" i="4"/>
  <c r="D49" i="4"/>
  <c r="E49" i="4"/>
  <c r="B50" i="4"/>
  <c r="C50" i="4"/>
  <c r="B51" i="4"/>
  <c r="C51" i="4"/>
  <c r="B52" i="4"/>
  <c r="C52" i="4"/>
  <c r="B53" i="4"/>
  <c r="C53" i="4"/>
  <c r="B39" i="4"/>
  <c r="B25" i="4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21" i="4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3" i="4"/>
  <c r="B2" i="4"/>
  <c r="D50" i="3"/>
  <c r="E52" i="4" s="1"/>
  <c r="C50" i="3"/>
  <c r="D52" i="4" s="1"/>
  <c r="D49" i="3"/>
  <c r="D48" i="3"/>
  <c r="E50" i="4" s="1"/>
  <c r="C48" i="3"/>
  <c r="C51" i="3" s="1"/>
  <c r="D53" i="4" s="1"/>
  <c r="A38" i="3"/>
  <c r="A25" i="3"/>
  <c r="A31" i="3" s="1"/>
  <c r="A32" i="3" s="1"/>
  <c r="A33" i="3" s="1"/>
  <c r="A34" i="3" s="1"/>
  <c r="A21" i="3"/>
  <c r="A7" i="3"/>
  <c r="A15" i="3" s="1"/>
  <c r="A16" i="3" s="1"/>
  <c r="A17" i="3" s="1"/>
  <c r="A3" i="3"/>
  <c r="A2" i="3"/>
  <c r="D51" i="3" l="1"/>
  <c r="E53" i="4" s="1"/>
  <c r="E51" i="4"/>
  <c r="H82" i="1"/>
  <c r="W84" i="1"/>
  <c r="H84" i="1"/>
  <c r="W83" i="1"/>
  <c r="H83" i="1"/>
  <c r="B2" i="1" l="1"/>
  <c r="H8" i="7"/>
  <c r="I8" i="7" s="1"/>
  <c r="J8" i="7" s="1"/>
  <c r="K8" i="7"/>
  <c r="L8" i="7" s="1"/>
  <c r="M8" i="7" s="1"/>
  <c r="N8" i="7" s="1"/>
  <c r="O8" i="7" s="1"/>
  <c r="P8" i="7" s="1"/>
  <c r="Q8" i="7" s="1"/>
  <c r="R8" i="7" s="1"/>
  <c r="S8" i="7" s="1"/>
  <c r="T8" i="7" s="1"/>
  <c r="U8" i="7" s="1"/>
  <c r="V8" i="7" s="1"/>
  <c r="W8" i="7" s="1"/>
  <c r="X8" i="7" s="1"/>
  <c r="H9" i="7"/>
  <c r="I9" i="7"/>
  <c r="J9" i="7"/>
  <c r="K9" i="7"/>
  <c r="L9" i="7" s="1"/>
  <c r="M9" i="7" s="1"/>
  <c r="N9" i="7"/>
  <c r="O9" i="7" s="1"/>
  <c r="P9" i="7" s="1"/>
  <c r="Q9" i="7" s="1"/>
  <c r="R9" i="7" s="1"/>
  <c r="S9" i="7" s="1"/>
  <c r="T9" i="7" s="1"/>
  <c r="U9" i="7" s="1"/>
  <c r="V9" i="7"/>
  <c r="W9" i="7" s="1"/>
  <c r="X9" i="7" s="1"/>
  <c r="H10" i="7"/>
  <c r="I10" i="7"/>
  <c r="J10" i="7"/>
  <c r="K10" i="7" s="1"/>
  <c r="L10" i="7" s="1"/>
  <c r="M10" i="7" s="1"/>
  <c r="N10" i="7" s="1"/>
  <c r="O10" i="7" s="1"/>
  <c r="P10" i="7" s="1"/>
  <c r="Q10" i="7" s="1"/>
  <c r="R10" i="7"/>
  <c r="S10" i="7" s="1"/>
  <c r="T10" i="7" s="1"/>
  <c r="U10" i="7" s="1"/>
  <c r="V10" i="7" s="1"/>
  <c r="W10" i="7" s="1"/>
  <c r="X10" i="7" s="1"/>
  <c r="H11" i="7"/>
  <c r="I11" i="7"/>
  <c r="J11" i="7" s="1"/>
  <c r="K11" i="7" s="1"/>
  <c r="L11" i="7" s="1"/>
  <c r="M11" i="7" s="1"/>
  <c r="N11" i="7" s="1"/>
  <c r="O11" i="7" s="1"/>
  <c r="P11" i="7" s="1"/>
  <c r="Q11" i="7"/>
  <c r="R11" i="7" s="1"/>
  <c r="S11" i="7" s="1"/>
  <c r="T11" i="7" s="1"/>
  <c r="U11" i="7" s="1"/>
  <c r="V11" i="7" s="1"/>
  <c r="W11" i="7" s="1"/>
  <c r="X11" i="7"/>
  <c r="H12" i="7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U12" i="7" s="1"/>
  <c r="V12" i="7" s="1"/>
  <c r="W12" i="7" s="1"/>
  <c r="X12" i="7" s="1"/>
  <c r="H13" i="7"/>
  <c r="I13" i="7"/>
  <c r="J13" i="7"/>
  <c r="K13" i="7"/>
  <c r="L13" i="7" s="1"/>
  <c r="M13" i="7" s="1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X13" i="7" s="1"/>
  <c r="H14" i="7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H15" i="7"/>
  <c r="I15" i="7"/>
  <c r="J15" i="7" s="1"/>
  <c r="K15" i="7"/>
  <c r="L15" i="7"/>
  <c r="M15" i="7" s="1"/>
  <c r="N15" i="7" s="1"/>
  <c r="O15" i="7" s="1"/>
  <c r="P15" i="7"/>
  <c r="Q15" i="7"/>
  <c r="R15" i="7" s="1"/>
  <c r="S15" i="7" s="1"/>
  <c r="T15" i="7" s="1"/>
  <c r="U15" i="7" s="1"/>
  <c r="V15" i="7" s="1"/>
  <c r="W15" i="7" s="1"/>
  <c r="X15" i="7" s="1"/>
  <c r="H16" i="7"/>
  <c r="I16" i="7" s="1"/>
  <c r="J16" i="7"/>
  <c r="K16" i="7" s="1"/>
  <c r="L16" i="7" s="1"/>
  <c r="M16" i="7" s="1"/>
  <c r="N16" i="7" s="1"/>
  <c r="O16" i="7" s="1"/>
  <c r="P16" i="7" s="1"/>
  <c r="Q16" i="7" s="1"/>
  <c r="R16" i="7" s="1"/>
  <c r="S16" i="7" s="1"/>
  <c r="T16" i="7" s="1"/>
  <c r="U16" i="7" s="1"/>
  <c r="V16" i="7" s="1"/>
  <c r="W16" i="7" s="1"/>
  <c r="X16" i="7" s="1"/>
  <c r="H17" i="7"/>
  <c r="I17" i="7"/>
  <c r="J17" i="7" s="1"/>
  <c r="K17" i="7" s="1"/>
  <c r="L17" i="7" s="1"/>
  <c r="M17" i="7"/>
  <c r="N17" i="7" s="1"/>
  <c r="O17" i="7" s="1"/>
  <c r="P17" i="7" s="1"/>
  <c r="Q17" i="7" s="1"/>
  <c r="R17" i="7" s="1"/>
  <c r="S17" i="7" s="1"/>
  <c r="T17" i="7" s="1"/>
  <c r="U17" i="7" s="1"/>
  <c r="V17" i="7" s="1"/>
  <c r="W17" i="7" s="1"/>
  <c r="X17" i="7" s="1"/>
  <c r="H18" i="7"/>
  <c r="I18" i="7" s="1"/>
  <c r="J18" i="7" s="1"/>
  <c r="K18" i="7" s="1"/>
  <c r="L18" i="7"/>
  <c r="M18" i="7"/>
  <c r="N18" i="7" s="1"/>
  <c r="O18" i="7" s="1"/>
  <c r="P18" i="7" s="1"/>
  <c r="Q18" i="7"/>
  <c r="R18" i="7" s="1"/>
  <c r="S18" i="7" s="1"/>
  <c r="T18" i="7" s="1"/>
  <c r="U18" i="7" s="1"/>
  <c r="V18" i="7" s="1"/>
  <c r="W18" i="7" s="1"/>
  <c r="X18" i="7" s="1"/>
  <c r="H19" i="7"/>
  <c r="I19" i="7"/>
  <c r="J19" i="7" s="1"/>
  <c r="K19" i="7"/>
  <c r="L19" i="7"/>
  <c r="M19" i="7" s="1"/>
  <c r="N19" i="7" s="1"/>
  <c r="O19" i="7" s="1"/>
  <c r="P19" i="7"/>
  <c r="Q19" i="7" s="1"/>
  <c r="R19" i="7" s="1"/>
  <c r="S19" i="7" s="1"/>
  <c r="T19" i="7" s="1"/>
  <c r="U19" i="7" s="1"/>
  <c r="V19" i="7" s="1"/>
  <c r="W19" i="7" s="1"/>
  <c r="X19" i="7" s="1"/>
  <c r="H20" i="7"/>
  <c r="I20" i="7" s="1"/>
  <c r="J20" i="7"/>
  <c r="K20" i="7"/>
  <c r="L20" i="7" s="1"/>
  <c r="M20" i="7" s="1"/>
  <c r="N20" i="7" s="1"/>
  <c r="O20" i="7"/>
  <c r="P20" i="7"/>
  <c r="Q20" i="7" s="1"/>
  <c r="R20" i="7" s="1"/>
  <c r="S20" i="7" s="1"/>
  <c r="T20" i="7" s="1"/>
  <c r="U20" i="7" s="1"/>
  <c r="V20" i="7" s="1"/>
  <c r="W20" i="7" s="1"/>
  <c r="X20" i="7" s="1"/>
  <c r="H21" i="7"/>
  <c r="I21" i="7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H22" i="7"/>
  <c r="I22" i="7" s="1"/>
  <c r="J22" i="7" s="1"/>
  <c r="K22" i="7" s="1"/>
  <c r="L22" i="7"/>
  <c r="M22" i="7"/>
  <c r="N22" i="7" s="1"/>
  <c r="O22" i="7" s="1"/>
  <c r="P22" i="7" s="1"/>
  <c r="Q22" i="7" s="1"/>
  <c r="R22" i="7" s="1"/>
  <c r="S22" i="7" s="1"/>
  <c r="T22" i="7" s="1"/>
  <c r="U22" i="7" s="1"/>
  <c r="V22" i="7" s="1"/>
  <c r="W22" i="7" s="1"/>
  <c r="X22" i="7" s="1"/>
  <c r="H23" i="7"/>
  <c r="I23" i="7"/>
  <c r="J23" i="7" s="1"/>
  <c r="K23" i="7"/>
  <c r="L23" i="7"/>
  <c r="M23" i="7" s="1"/>
  <c r="N23" i="7" s="1"/>
  <c r="O23" i="7" s="1"/>
  <c r="P23" i="7" s="1"/>
  <c r="Q23" i="7" s="1"/>
  <c r="R23" i="7" s="1"/>
  <c r="S23" i="7" s="1"/>
  <c r="T23" i="7" s="1"/>
  <c r="U23" i="7" s="1"/>
  <c r="V23" i="7" s="1"/>
  <c r="W23" i="7" s="1"/>
  <c r="X23" i="7" s="1"/>
  <c r="Q6" i="1" l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R38" i="1" s="1"/>
  <c r="S38" i="1" s="1"/>
  <c r="Q39" i="1"/>
  <c r="Q40" i="1"/>
  <c r="Q41" i="1"/>
  <c r="Q42" i="1"/>
  <c r="Q43" i="1"/>
  <c r="Q44" i="1"/>
  <c r="Q45" i="1"/>
  <c r="Q46" i="1"/>
  <c r="Q47" i="1"/>
  <c r="Q48" i="1"/>
  <c r="R48" i="1" s="1"/>
  <c r="S48" i="1" s="1"/>
  <c r="Q49" i="1"/>
  <c r="Q50" i="1"/>
  <c r="Q51" i="1"/>
  <c r="Q55" i="1"/>
  <c r="Q56" i="1"/>
  <c r="Q57" i="1"/>
  <c r="R57" i="1" s="1"/>
  <c r="S57" i="1" s="1"/>
  <c r="Q58" i="1"/>
  <c r="Q59" i="1"/>
  <c r="Q60" i="1"/>
  <c r="Q61" i="1"/>
  <c r="R61" i="1" s="1"/>
  <c r="S61" i="1" s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R77" i="1" s="1"/>
  <c r="S77" i="1" s="1"/>
  <c r="Q78" i="1"/>
  <c r="Q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P19" i="1" s="1"/>
  <c r="N20" i="1"/>
  <c r="P20" i="1" s="1"/>
  <c r="N21" i="1"/>
  <c r="P21" i="1" s="1"/>
  <c r="N22" i="1"/>
  <c r="P22" i="1" s="1"/>
  <c r="N23" i="1"/>
  <c r="P23" i="1" s="1"/>
  <c r="N24" i="1"/>
  <c r="P24" i="1" s="1"/>
  <c r="N25" i="1"/>
  <c r="P25" i="1" s="1"/>
  <c r="N26" i="1"/>
  <c r="P26" i="1" s="1"/>
  <c r="N27" i="1"/>
  <c r="P27" i="1" s="1"/>
  <c r="N28" i="1"/>
  <c r="P28" i="1" s="1"/>
  <c r="N29" i="1"/>
  <c r="P29" i="1" s="1"/>
  <c r="N30" i="1"/>
  <c r="P30" i="1" s="1"/>
  <c r="N31" i="1"/>
  <c r="P31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0" i="1"/>
  <c r="P40" i="1" s="1"/>
  <c r="N41" i="1"/>
  <c r="P41" i="1" s="1"/>
  <c r="N42" i="1"/>
  <c r="P42" i="1" s="1"/>
  <c r="N43" i="1"/>
  <c r="P43" i="1" s="1"/>
  <c r="N44" i="1"/>
  <c r="P44" i="1" s="1"/>
  <c r="N45" i="1"/>
  <c r="P45" i="1" s="1"/>
  <c r="N46" i="1"/>
  <c r="P46" i="1" s="1"/>
  <c r="N47" i="1"/>
  <c r="P47" i="1" s="1"/>
  <c r="N48" i="1"/>
  <c r="P48" i="1" s="1"/>
  <c r="N49" i="1"/>
  <c r="P49" i="1" s="1"/>
  <c r="N50" i="1"/>
  <c r="P50" i="1" s="1"/>
  <c r="N51" i="1"/>
  <c r="P51" i="1" s="1"/>
  <c r="N55" i="1"/>
  <c r="P55" i="1" s="1"/>
  <c r="N56" i="1"/>
  <c r="P56" i="1" s="1"/>
  <c r="N57" i="1"/>
  <c r="P57" i="1" s="1"/>
  <c r="N58" i="1"/>
  <c r="P58" i="1" s="1"/>
  <c r="N59" i="1"/>
  <c r="P59" i="1" s="1"/>
  <c r="N60" i="1"/>
  <c r="P60" i="1" s="1"/>
  <c r="N61" i="1"/>
  <c r="P61" i="1" s="1"/>
  <c r="N62" i="1"/>
  <c r="P62" i="1" s="1"/>
  <c r="N63" i="1"/>
  <c r="P63" i="1" s="1"/>
  <c r="N64" i="1"/>
  <c r="P64" i="1" s="1"/>
  <c r="N65" i="1"/>
  <c r="P65" i="1" s="1"/>
  <c r="N66" i="1"/>
  <c r="P66" i="1" s="1"/>
  <c r="N67" i="1"/>
  <c r="P67" i="1" s="1"/>
  <c r="N68" i="1"/>
  <c r="P68" i="1" s="1"/>
  <c r="N69" i="1"/>
  <c r="P69" i="1" s="1"/>
  <c r="N70" i="1"/>
  <c r="P70" i="1" s="1"/>
  <c r="N71" i="1"/>
  <c r="P71" i="1" s="1"/>
  <c r="N72" i="1"/>
  <c r="P72" i="1" s="1"/>
  <c r="N73" i="1"/>
  <c r="P73" i="1" s="1"/>
  <c r="N74" i="1"/>
  <c r="P74" i="1" s="1"/>
  <c r="N75" i="1"/>
  <c r="P75" i="1" s="1"/>
  <c r="N76" i="1"/>
  <c r="P76" i="1" s="1"/>
  <c r="N77" i="1"/>
  <c r="P77" i="1" s="1"/>
  <c r="N78" i="1"/>
  <c r="P78" i="1" s="1"/>
  <c r="N5" i="1"/>
  <c r="H7" i="7"/>
  <c r="I7" i="7" s="1"/>
  <c r="R43" i="1" l="1"/>
  <c r="S43" i="1" s="1"/>
  <c r="R73" i="1"/>
  <c r="S73" i="1" s="1"/>
  <c r="R69" i="1"/>
  <c r="S69" i="1" s="1"/>
  <c r="R65" i="1"/>
  <c r="S65" i="1" s="1"/>
  <c r="R50" i="1"/>
  <c r="S50" i="1" s="1"/>
  <c r="R46" i="1"/>
  <c r="S46" i="1" s="1"/>
  <c r="R42" i="1"/>
  <c r="S42" i="1" s="1"/>
  <c r="R34" i="1"/>
  <c r="S34" i="1" s="1"/>
  <c r="R30" i="1"/>
  <c r="S30" i="1" s="1"/>
  <c r="R26" i="1"/>
  <c r="S26" i="1" s="1"/>
  <c r="R22" i="1"/>
  <c r="S22" i="1" s="1"/>
  <c r="R18" i="1"/>
  <c r="S18" i="1" s="1"/>
  <c r="R14" i="1"/>
  <c r="S14" i="1" s="1"/>
  <c r="R10" i="1"/>
  <c r="S10" i="1" s="1"/>
  <c r="R76" i="1"/>
  <c r="S76" i="1" s="1"/>
  <c r="R72" i="1"/>
  <c r="S72" i="1" s="1"/>
  <c r="R68" i="1"/>
  <c r="S68" i="1" s="1"/>
  <c r="R64" i="1"/>
  <c r="S64" i="1" s="1"/>
  <c r="R60" i="1"/>
  <c r="S60" i="1" s="1"/>
  <c r="R56" i="1"/>
  <c r="S56" i="1" s="1"/>
  <c r="R49" i="1"/>
  <c r="S49" i="1" s="1"/>
  <c r="R45" i="1"/>
  <c r="S45" i="1" s="1"/>
  <c r="R41" i="1"/>
  <c r="S41" i="1" s="1"/>
  <c r="R37" i="1"/>
  <c r="S37" i="1" s="1"/>
  <c r="R33" i="1"/>
  <c r="S33" i="1" s="1"/>
  <c r="R29" i="1"/>
  <c r="S29" i="1" s="1"/>
  <c r="R25" i="1"/>
  <c r="S25" i="1" s="1"/>
  <c r="R21" i="1"/>
  <c r="S21" i="1" s="1"/>
  <c r="R17" i="1"/>
  <c r="S17" i="1" s="1"/>
  <c r="R13" i="1"/>
  <c r="S13" i="1" s="1"/>
  <c r="R9" i="1"/>
  <c r="S9" i="1" s="1"/>
  <c r="R75" i="1"/>
  <c r="S75" i="1" s="1"/>
  <c r="R71" i="1"/>
  <c r="S71" i="1" s="1"/>
  <c r="R67" i="1"/>
  <c r="S67" i="1" s="1"/>
  <c r="R63" i="1"/>
  <c r="S63" i="1" s="1"/>
  <c r="R59" i="1"/>
  <c r="S59" i="1" s="1"/>
  <c r="R55" i="1"/>
  <c r="S55" i="1" s="1"/>
  <c r="R44" i="1"/>
  <c r="S44" i="1" s="1"/>
  <c r="R40" i="1"/>
  <c r="S40" i="1" s="1"/>
  <c r="R36" i="1"/>
  <c r="S36" i="1" s="1"/>
  <c r="R32" i="1"/>
  <c r="S32" i="1" s="1"/>
  <c r="R28" i="1"/>
  <c r="S28" i="1" s="1"/>
  <c r="R24" i="1"/>
  <c r="S24" i="1" s="1"/>
  <c r="R20" i="1"/>
  <c r="S20" i="1" s="1"/>
  <c r="R16" i="1"/>
  <c r="S16" i="1" s="1"/>
  <c r="R12" i="1"/>
  <c r="S12" i="1" s="1"/>
  <c r="R8" i="1"/>
  <c r="S8" i="1" s="1"/>
  <c r="R74" i="1"/>
  <c r="S74" i="1" s="1"/>
  <c r="R70" i="1"/>
  <c r="S70" i="1" s="1"/>
  <c r="R62" i="1"/>
  <c r="S62" i="1" s="1"/>
  <c r="R58" i="1"/>
  <c r="S58" i="1" s="1"/>
  <c r="R51" i="1"/>
  <c r="S51" i="1" s="1"/>
  <c r="R47" i="1"/>
  <c r="S47" i="1" s="1"/>
  <c r="R39" i="1"/>
  <c r="S39" i="1" s="1"/>
  <c r="R35" i="1"/>
  <c r="S35" i="1" s="1"/>
  <c r="R31" i="1"/>
  <c r="S31" i="1" s="1"/>
  <c r="R27" i="1"/>
  <c r="S27" i="1" s="1"/>
  <c r="R23" i="1"/>
  <c r="S23" i="1" s="1"/>
  <c r="R19" i="1"/>
  <c r="S19" i="1" s="1"/>
  <c r="R15" i="1"/>
  <c r="S15" i="1" s="1"/>
  <c r="R11" i="1"/>
  <c r="S11" i="1" s="1"/>
  <c r="R7" i="1"/>
  <c r="S7" i="1" s="1"/>
  <c r="R78" i="1"/>
  <c r="S78" i="1" s="1"/>
  <c r="R66" i="1"/>
  <c r="S66" i="1" s="1"/>
  <c r="J7" i="7"/>
  <c r="K7" i="7" s="1"/>
  <c r="L7" i="7" s="1"/>
  <c r="M7" i="7" s="1"/>
  <c r="N7" i="7" s="1"/>
  <c r="O7" i="7" s="1"/>
  <c r="P7" i="7" s="1"/>
  <c r="Q7" i="7" s="1"/>
  <c r="R7" i="7" s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T38" i="1" s="1"/>
  <c r="M39" i="1"/>
  <c r="M40" i="1"/>
  <c r="M41" i="1"/>
  <c r="M42" i="1"/>
  <c r="M43" i="1"/>
  <c r="M44" i="1"/>
  <c r="M45" i="1"/>
  <c r="M46" i="1"/>
  <c r="M47" i="1"/>
  <c r="M48" i="1"/>
  <c r="T48" i="1" s="1"/>
  <c r="U48" i="1" s="1"/>
  <c r="W48" i="1" s="1"/>
  <c r="M49" i="1"/>
  <c r="M50" i="1"/>
  <c r="M51" i="1"/>
  <c r="M55" i="1"/>
  <c r="M56" i="1"/>
  <c r="T56" i="1" s="1"/>
  <c r="M57" i="1"/>
  <c r="T57" i="1" s="1"/>
  <c r="U57" i="1" s="1"/>
  <c r="W57" i="1" s="1"/>
  <c r="M58" i="1"/>
  <c r="M59" i="1"/>
  <c r="M60" i="1"/>
  <c r="M61" i="1"/>
  <c r="T61" i="1" s="1"/>
  <c r="U61" i="1" s="1"/>
  <c r="W61" i="1" s="1"/>
  <c r="M62" i="1"/>
  <c r="M63" i="1"/>
  <c r="M64" i="1"/>
  <c r="M65" i="1"/>
  <c r="M66" i="1"/>
  <c r="M67" i="1"/>
  <c r="M68" i="1"/>
  <c r="M69" i="1"/>
  <c r="M70" i="1"/>
  <c r="M71" i="1"/>
  <c r="M72" i="1"/>
  <c r="T72" i="1" s="1"/>
  <c r="M73" i="1"/>
  <c r="M74" i="1"/>
  <c r="M75" i="1"/>
  <c r="M76" i="1"/>
  <c r="M77" i="1"/>
  <c r="T77" i="1" s="1"/>
  <c r="U77" i="1" s="1"/>
  <c r="W77" i="1" s="1"/>
  <c r="M7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5" i="1"/>
  <c r="D4" i="1"/>
  <c r="M5" i="1"/>
  <c r="P5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80" i="1" s="1"/>
  <c r="B81" i="1" s="1"/>
  <c r="B82" i="1" s="1"/>
  <c r="B83" i="1" s="1"/>
  <c r="B84" i="1" s="1"/>
  <c r="M6" i="1"/>
  <c r="P6" i="1"/>
  <c r="M7" i="1"/>
  <c r="P7" i="1"/>
  <c r="M8" i="1"/>
  <c r="P8" i="1"/>
  <c r="M9" i="1"/>
  <c r="P9" i="1"/>
  <c r="M10" i="1"/>
  <c r="P10" i="1"/>
  <c r="M11" i="1"/>
  <c r="P11" i="1"/>
  <c r="M12" i="1"/>
  <c r="P12" i="1"/>
  <c r="M13" i="1"/>
  <c r="P13" i="1"/>
  <c r="M14" i="1"/>
  <c r="P14" i="1"/>
  <c r="M15" i="1"/>
  <c r="P15" i="1"/>
  <c r="M16" i="1"/>
  <c r="P16" i="1"/>
  <c r="M17" i="1"/>
  <c r="P17" i="1"/>
  <c r="M18" i="1"/>
  <c r="P18" i="1"/>
  <c r="I79" i="1" l="1"/>
  <c r="I52" i="1"/>
  <c r="T9" i="1"/>
  <c r="U9" i="1" s="1"/>
  <c r="W9" i="1" s="1"/>
  <c r="S7" i="7"/>
  <c r="T7" i="7" s="1"/>
  <c r="U7" i="7" s="1"/>
  <c r="V7" i="7" s="1"/>
  <c r="W7" i="7" s="1"/>
  <c r="X7" i="7" s="1"/>
  <c r="T62" i="1"/>
  <c r="U62" i="1" s="1"/>
  <c r="W62" i="1" s="1"/>
  <c r="T71" i="1"/>
  <c r="U71" i="1" s="1"/>
  <c r="W71" i="1" s="1"/>
  <c r="T67" i="1"/>
  <c r="U67" i="1" s="1"/>
  <c r="W67" i="1" s="1"/>
  <c r="T55" i="1"/>
  <c r="U55" i="1" s="1"/>
  <c r="W55" i="1" s="1"/>
  <c r="T65" i="1"/>
  <c r="U65" i="1" s="1"/>
  <c r="W65" i="1" s="1"/>
  <c r="T34" i="1"/>
  <c r="U34" i="1" s="1"/>
  <c r="W34" i="1" s="1"/>
  <c r="T19" i="1"/>
  <c r="U19" i="1" s="1"/>
  <c r="W19" i="1" s="1"/>
  <c r="T35" i="1"/>
  <c r="U35" i="1" s="1"/>
  <c r="W35" i="1" s="1"/>
  <c r="T33" i="1"/>
  <c r="U33" i="1" s="1"/>
  <c r="W33" i="1" s="1"/>
  <c r="T49" i="1"/>
  <c r="U49" i="1" s="1"/>
  <c r="W49" i="1" s="1"/>
  <c r="T30" i="1"/>
  <c r="U30" i="1" s="1"/>
  <c r="W30" i="1" s="1"/>
  <c r="T50" i="1"/>
  <c r="U50" i="1" s="1"/>
  <c r="W50" i="1" s="1"/>
  <c r="T24" i="1"/>
  <c r="T27" i="1"/>
  <c r="U27" i="1" s="1"/>
  <c r="W27" i="1" s="1"/>
  <c r="T47" i="1"/>
  <c r="U47" i="1" s="1"/>
  <c r="W47" i="1" s="1"/>
  <c r="T32" i="1"/>
  <c r="U32" i="1" s="1"/>
  <c r="W32" i="1" s="1"/>
  <c r="T25" i="1"/>
  <c r="U25" i="1" s="1"/>
  <c r="W25" i="1" s="1"/>
  <c r="T41" i="1"/>
  <c r="U41" i="1" s="1"/>
  <c r="W41" i="1" s="1"/>
  <c r="T22" i="1"/>
  <c r="U22" i="1" s="1"/>
  <c r="W22" i="1" s="1"/>
  <c r="T42" i="1"/>
  <c r="U42" i="1" s="1"/>
  <c r="W42" i="1" s="1"/>
  <c r="U24" i="1"/>
  <c r="W24" i="1" s="1"/>
  <c r="T40" i="1"/>
  <c r="U40" i="1" s="1"/>
  <c r="W40" i="1" s="1"/>
  <c r="T31" i="1"/>
  <c r="U31" i="1" s="1"/>
  <c r="W31" i="1" s="1"/>
  <c r="T51" i="1"/>
  <c r="U51" i="1" s="1"/>
  <c r="W51" i="1" s="1"/>
  <c r="T20" i="1"/>
  <c r="U20" i="1" s="1"/>
  <c r="W20" i="1" s="1"/>
  <c r="T36" i="1"/>
  <c r="U36" i="1" s="1"/>
  <c r="W36" i="1" s="1"/>
  <c r="T59" i="1"/>
  <c r="U59" i="1" s="1"/>
  <c r="W59" i="1" s="1"/>
  <c r="T75" i="1"/>
  <c r="U75" i="1" s="1"/>
  <c r="W75" i="1" s="1"/>
  <c r="T29" i="1"/>
  <c r="U29" i="1" s="1"/>
  <c r="W29" i="1" s="1"/>
  <c r="T45" i="1"/>
  <c r="U45" i="1" s="1"/>
  <c r="W45" i="1" s="1"/>
  <c r="T64" i="1"/>
  <c r="U64" i="1" s="1"/>
  <c r="W64" i="1" s="1"/>
  <c r="T26" i="1"/>
  <c r="U26" i="1" s="1"/>
  <c r="W26" i="1" s="1"/>
  <c r="T46" i="1"/>
  <c r="U46" i="1" s="1"/>
  <c r="W46" i="1" s="1"/>
  <c r="T63" i="1"/>
  <c r="U63" i="1" s="1"/>
  <c r="W63" i="1" s="1"/>
  <c r="T23" i="1"/>
  <c r="U23" i="1" s="1"/>
  <c r="W23" i="1" s="1"/>
  <c r="T39" i="1"/>
  <c r="U39" i="1" s="1"/>
  <c r="W39" i="1" s="1"/>
  <c r="T28" i="1"/>
  <c r="U28" i="1" s="1"/>
  <c r="W28" i="1" s="1"/>
  <c r="T44" i="1"/>
  <c r="U44" i="1" s="1"/>
  <c r="W44" i="1" s="1"/>
  <c r="T21" i="1"/>
  <c r="U21" i="1" s="1"/>
  <c r="W21" i="1" s="1"/>
  <c r="T37" i="1"/>
  <c r="U37" i="1" s="1"/>
  <c r="W37" i="1" s="1"/>
  <c r="T78" i="1"/>
  <c r="U78" i="1" s="1"/>
  <c r="W78" i="1" s="1"/>
  <c r="T58" i="1"/>
  <c r="U58" i="1" s="1"/>
  <c r="W58" i="1" s="1"/>
  <c r="T14" i="1"/>
  <c r="U14" i="1" s="1"/>
  <c r="W14" i="1" s="1"/>
  <c r="T74" i="1"/>
  <c r="U74" i="1" s="1"/>
  <c r="W74" i="1" s="1"/>
  <c r="T66" i="1"/>
  <c r="U66" i="1" s="1"/>
  <c r="W66" i="1" s="1"/>
  <c r="T10" i="1"/>
  <c r="U10" i="1" s="1"/>
  <c r="W10" i="1" s="1"/>
  <c r="T73" i="1"/>
  <c r="U73" i="1" s="1"/>
  <c r="W73" i="1" s="1"/>
  <c r="T69" i="1"/>
  <c r="U69" i="1" s="1"/>
  <c r="W69" i="1" s="1"/>
  <c r="U38" i="1"/>
  <c r="W38" i="1" s="1"/>
  <c r="T76" i="1"/>
  <c r="U76" i="1" s="1"/>
  <c r="W76" i="1" s="1"/>
  <c r="T60" i="1"/>
  <c r="U60" i="1" s="1"/>
  <c r="W60" i="1" s="1"/>
  <c r="T70" i="1"/>
  <c r="U70" i="1" s="1"/>
  <c r="W70" i="1" s="1"/>
  <c r="T43" i="1"/>
  <c r="U43" i="1" s="1"/>
  <c r="W43" i="1" s="1"/>
  <c r="T68" i="1"/>
  <c r="U68" i="1" s="1"/>
  <c r="W68" i="1" s="1"/>
  <c r="T8" i="1"/>
  <c r="U8" i="1" s="1"/>
  <c r="W8" i="1" s="1"/>
  <c r="T7" i="1"/>
  <c r="U7" i="1" s="1"/>
  <c r="W7" i="1" s="1"/>
  <c r="T12" i="1"/>
  <c r="U12" i="1" s="1"/>
  <c r="W12" i="1" s="1"/>
  <c r="T17" i="1"/>
  <c r="U17" i="1" s="1"/>
  <c r="W17" i="1" s="1"/>
  <c r="T18" i="1"/>
  <c r="U18" i="1" s="1"/>
  <c r="W18" i="1" s="1"/>
  <c r="T11" i="1"/>
  <c r="U11" i="1" s="1"/>
  <c r="W11" i="1" s="1"/>
  <c r="T16" i="1"/>
  <c r="U16" i="1" s="1"/>
  <c r="W16" i="1" s="1"/>
  <c r="T15" i="1"/>
  <c r="U15" i="1" s="1"/>
  <c r="W15" i="1" s="1"/>
  <c r="T13" i="1"/>
  <c r="U13" i="1" s="1"/>
  <c r="W13" i="1" s="1"/>
  <c r="U72" i="1"/>
  <c r="W72" i="1" s="1"/>
  <c r="U56" i="1"/>
  <c r="W56" i="1" s="1"/>
  <c r="Z6" i="1"/>
  <c r="W79" i="1" l="1"/>
  <c r="R5" i="1"/>
  <c r="S5" i="1" s="1"/>
  <c r="T5" i="1" s="1"/>
  <c r="R6" i="1"/>
  <c r="S6" i="1" s="1"/>
  <c r="T6" i="1" s="1"/>
  <c r="S79" i="1" l="1"/>
  <c r="U6" i="1"/>
  <c r="W6" i="1" s="1"/>
  <c r="AA6" i="1" s="1"/>
  <c r="T79" i="1"/>
  <c r="U5" i="1"/>
  <c r="J57" i="2"/>
  <c r="W5" i="1" l="1"/>
  <c r="V52" i="1" s="1"/>
  <c r="W86" i="1" s="1"/>
  <c r="U79" i="1"/>
  <c r="I108" i="1"/>
  <c r="I112" i="1" l="1"/>
  <c r="B92" i="1" l="1"/>
  <c r="H92" i="1"/>
  <c r="H93" i="1"/>
  <c r="H94" i="1"/>
  <c r="S91" i="1" s="1"/>
  <c r="T91" i="1" s="1"/>
  <c r="H95" i="1"/>
  <c r="S92" i="1" s="1"/>
  <c r="T92" i="1" s="1"/>
  <c r="H96" i="1"/>
  <c r="S93" i="1" s="1"/>
  <c r="T93" i="1" s="1"/>
  <c r="H97" i="1"/>
  <c r="S94" i="1" s="1"/>
  <c r="T94" i="1" s="1"/>
  <c r="H98" i="1"/>
  <c r="S95" i="1" s="1"/>
  <c r="T95" i="1" s="1"/>
  <c r="H99" i="1"/>
  <c r="S96" i="1" s="1"/>
  <c r="T96" i="1" s="1"/>
  <c r="H100" i="1"/>
  <c r="S97" i="1" s="1"/>
  <c r="T97" i="1" s="1"/>
  <c r="H101" i="1"/>
  <c r="S98" i="1" s="1"/>
  <c r="T98" i="1" s="1"/>
  <c r="H102" i="1"/>
  <c r="S99" i="1" s="1"/>
  <c r="T99" i="1" s="1"/>
  <c r="H103" i="1"/>
  <c r="S100" i="1" s="1"/>
  <c r="T100" i="1" s="1"/>
  <c r="H104" i="1"/>
  <c r="S101" i="1" s="1"/>
  <c r="T101" i="1" s="1"/>
  <c r="H105" i="1"/>
  <c r="S102" i="1" s="1"/>
  <c r="T102" i="1" s="1"/>
  <c r="H110" i="1"/>
  <c r="H106" i="1"/>
  <c r="S103" i="1" s="1"/>
  <c r="T103" i="1" s="1"/>
  <c r="H107" i="1"/>
  <c r="S104" i="1" s="1"/>
  <c r="T104" i="1" s="1"/>
  <c r="H108" i="1" l="1"/>
  <c r="S105" i="1" s="1"/>
  <c r="B93" i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U104" i="1"/>
  <c r="W104" i="1" s="1"/>
  <c r="U102" i="1"/>
  <c r="W102" i="1" s="1"/>
  <c r="U100" i="1"/>
  <c r="W100" i="1" s="1"/>
  <c r="U98" i="1"/>
  <c r="W98" i="1" s="1"/>
  <c r="U96" i="1"/>
  <c r="W96" i="1" s="1"/>
  <c r="U94" i="1"/>
  <c r="W94" i="1" s="1"/>
  <c r="U92" i="1"/>
  <c r="W92" i="1" s="1"/>
  <c r="U103" i="1"/>
  <c r="W103" i="1" s="1"/>
  <c r="U101" i="1"/>
  <c r="W101" i="1" s="1"/>
  <c r="U99" i="1"/>
  <c r="W99" i="1" s="1"/>
  <c r="U97" i="1"/>
  <c r="W97" i="1" s="1"/>
  <c r="U95" i="1"/>
  <c r="W95" i="1" s="1"/>
  <c r="U93" i="1"/>
  <c r="W93" i="1" s="1"/>
  <c r="U91" i="1"/>
  <c r="W91" i="1" s="1"/>
  <c r="W132" i="1"/>
  <c r="W133" i="1" s="1"/>
  <c r="L130" i="1" s="1"/>
  <c r="L129" i="1"/>
  <c r="L128" i="1"/>
  <c r="L127" i="1"/>
  <c r="L126" i="1"/>
  <c r="Z123" i="1"/>
  <c r="Z122" i="1"/>
  <c r="O121" i="1"/>
  <c r="W111" i="1"/>
  <c r="Z110" i="1"/>
  <c r="W110" i="1"/>
  <c r="AA110" i="1" s="1"/>
  <c r="Z109" i="1"/>
  <c r="T105" i="1" l="1"/>
  <c r="U105" i="1" s="1"/>
  <c r="W105" i="1" s="1"/>
  <c r="L131" i="1"/>
  <c r="S109" i="1" l="1"/>
  <c r="X79" i="1" l="1"/>
  <c r="W109" i="1" l="1"/>
  <c r="W112" i="1" s="1"/>
  <c r="P32" i="7"/>
  <c r="P33" i="7" s="1"/>
  <c r="H112" i="1"/>
  <c r="AA112" i="1" l="1"/>
  <c r="Q32" i="7"/>
  <c r="Q33" i="7" s="1"/>
</calcChain>
</file>

<file path=xl/sharedStrings.xml><?xml version="1.0" encoding="utf-8"?>
<sst xmlns="http://schemas.openxmlformats.org/spreadsheetml/2006/main" count="608" uniqueCount="241">
  <si>
    <t>Sr. No.</t>
  </si>
  <si>
    <t>Floor</t>
  </si>
  <si>
    <t>Description</t>
  </si>
  <si>
    <t>Type of Structure</t>
  </si>
  <si>
    <t>Construction Category</t>
  </si>
  <si>
    <t>Condition of Structure</t>
  </si>
  <si>
    <r>
      <t xml:space="preserve">Area 
</t>
    </r>
    <r>
      <rPr>
        <b/>
        <i/>
        <sz val="11"/>
        <rFont val="Calibri"/>
        <family val="2"/>
        <scheme val="minor"/>
      </rPr>
      <t>(in sq ft)</t>
    </r>
  </si>
  <si>
    <r>
      <t xml:space="preserve">Area 
</t>
    </r>
    <r>
      <rPr>
        <b/>
        <i/>
        <sz val="11"/>
        <rFont val="Calibri"/>
        <family val="2"/>
        <scheme val="minor"/>
      </rPr>
      <t>(in sq mtr)</t>
    </r>
  </si>
  <si>
    <t>Height
(in ft.)</t>
  </si>
  <si>
    <t>Year of Construction</t>
  </si>
  <si>
    <t xml:space="preserve">Year of Valuation </t>
  </si>
  <si>
    <r>
      <t xml:space="preserve">Total Life Consumed 
</t>
    </r>
    <r>
      <rPr>
        <b/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</si>
  <si>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b/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</si>
  <si>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</si>
  <si>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</si>
  <si>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b/>
        <i/>
        <sz val="11"/>
        <rFont val="Calibri"/>
        <family val="2"/>
        <scheme val="minor"/>
      </rPr>
      <t>(in per sq.ft.)</t>
    </r>
  </si>
  <si>
    <t>Gross Replacement Value
(INR)</t>
  </si>
  <si>
    <t xml:space="preserve">Depreciation Factor
(INR) </t>
  </si>
  <si>
    <t>Depreciated Value
(INR)</t>
  </si>
  <si>
    <t>Depreciated Replacement Market Value
(INR)</t>
  </si>
  <si>
    <t>Govt. Guideline rates
(per sq. ft.)</t>
  </si>
  <si>
    <t>Age Factor</t>
  </si>
  <si>
    <t>Total Govt. Guideline value</t>
  </si>
  <si>
    <t>TOTAL</t>
  </si>
  <si>
    <t>Ground Floor</t>
  </si>
  <si>
    <t>Boundary Wall</t>
  </si>
  <si>
    <t>Rs.5,000/- (per Running meter)</t>
  </si>
  <si>
    <t>Others</t>
  </si>
  <si>
    <t>Land Development</t>
  </si>
  <si>
    <t>Open Area Development, Road, Fire Tunnel, Rain Water Harvesting, sewere line, etc.</t>
  </si>
  <si>
    <t>Rs. 18.00 Lacs per acre</t>
  </si>
  <si>
    <t>REMARKS:-</t>
  </si>
  <si>
    <t>2. Covered Area has been taken on the basis of approved plan provided by the bank/client.</t>
  </si>
  <si>
    <t>3. Structure valuation is done on the basis of 'Depreciated Cost Approach' method only.</t>
  </si>
  <si>
    <t>S. No.</t>
  </si>
  <si>
    <t>Particular</t>
  </si>
  <si>
    <t>Rate</t>
  </si>
  <si>
    <t>UOM</t>
  </si>
  <si>
    <t>FV</t>
  </si>
  <si>
    <t>Basis</t>
  </si>
  <si>
    <t>Land Develop</t>
  </si>
  <si>
    <t>peracre</t>
  </si>
  <si>
    <t>The cost includs the land filling, cutting, grading etc. along with the development of green area, foudations, etc.</t>
  </si>
  <si>
    <t>Rain Water</t>
  </si>
  <si>
    <t>per m</t>
  </si>
  <si>
    <t>It includes the length of rain water harvesting, tunnels from from various open area to the pit</t>
  </si>
  <si>
    <t>Sewerage</t>
  </si>
  <si>
    <t>Length of sewarage system along the road length as per site measurement</t>
  </si>
  <si>
    <t>Road</t>
  </si>
  <si>
    <t>per sqm</t>
  </si>
  <si>
    <t>As per site measurement</t>
  </si>
  <si>
    <t>fire tunnels</t>
  </si>
  <si>
    <t>length measured through satellite measurement (500 m of Block A and 300 m of Block B</t>
  </si>
  <si>
    <t>Total</t>
  </si>
  <si>
    <t>The cost so arrived is devided by the total developed land area to arrive at the per acre cost of total land development</t>
  </si>
  <si>
    <t>which is approx Rs.18 Lcas per acre</t>
  </si>
  <si>
    <t>Store</t>
  </si>
  <si>
    <t>HOC</t>
  </si>
  <si>
    <t>Donga</t>
  </si>
  <si>
    <t>Out cane yard</t>
  </si>
  <si>
    <t>Inside cane yard</t>
  </si>
  <si>
    <t>ETP</t>
  </si>
  <si>
    <t>Molasses tank</t>
  </si>
  <si>
    <t>Switch yard</t>
  </si>
  <si>
    <t>Press mud + temp. godown</t>
  </si>
  <si>
    <t>lagoon</t>
  </si>
  <si>
    <t>kaccha lagoon</t>
  </si>
  <si>
    <t>Cooling tower</t>
  </si>
  <si>
    <t>Bagasse yard</t>
  </si>
  <si>
    <t>Back side of sugar godown</t>
  </si>
  <si>
    <t>main road to cow shade</t>
  </si>
  <si>
    <t>Factory farm</t>
  </si>
  <si>
    <t>Garden &amp; green belt</t>
  </si>
  <si>
    <t>Open Area</t>
  </si>
  <si>
    <t xml:space="preserve">Boundary Wall </t>
  </si>
  <si>
    <t>S.No.</t>
  </si>
  <si>
    <t>Khasra No.</t>
  </si>
  <si>
    <t xml:space="preserve">Gross Block </t>
  </si>
  <si>
    <t xml:space="preserve">Building </t>
  </si>
  <si>
    <t>Gross Block</t>
  </si>
  <si>
    <t>Net Block</t>
  </si>
  <si>
    <t>Plant and Machinery</t>
  </si>
  <si>
    <t>S.No</t>
  </si>
  <si>
    <t>Average</t>
  </si>
  <si>
    <t>Class B construction (Normal)</t>
  </si>
  <si>
    <t>Lime + clearification</t>
  </si>
  <si>
    <t>Poor</t>
  </si>
  <si>
    <t>1500 per R.mtr.</t>
  </si>
  <si>
    <t>4000 per R.mtr.</t>
  </si>
  <si>
    <t>Grand Total</t>
  </si>
  <si>
    <t>2. Covered Area has been taken on the basis of area sheet of the buildings provided by the client.</t>
  </si>
  <si>
    <t>Area ( in hectares)</t>
  </si>
  <si>
    <t>93 (Min.)</t>
  </si>
  <si>
    <t>92 (Min.)</t>
  </si>
  <si>
    <t>35 (Min.)</t>
  </si>
  <si>
    <t>67/2</t>
  </si>
  <si>
    <t>129/1</t>
  </si>
  <si>
    <t>130/2</t>
  </si>
  <si>
    <t>116 (Min.)</t>
  </si>
  <si>
    <t>138/1</t>
  </si>
  <si>
    <t>90 (Min.)</t>
  </si>
  <si>
    <t>67/3</t>
  </si>
  <si>
    <t>121/1</t>
  </si>
  <si>
    <t>129/2</t>
  </si>
  <si>
    <t>130/1</t>
  </si>
  <si>
    <t>91/2</t>
  </si>
  <si>
    <t>89 (Min.)</t>
  </si>
  <si>
    <t>121/2</t>
  </si>
  <si>
    <t>140/2</t>
  </si>
  <si>
    <t>Godown-II</t>
  </si>
  <si>
    <t>G.I. Shed with M.S. structure Brick work &amp; Plaster</t>
  </si>
  <si>
    <t>40'</t>
  </si>
  <si>
    <t>Shed</t>
  </si>
  <si>
    <t>Godown-I</t>
  </si>
  <si>
    <t>Mill, Boiler Sugar, Pan &amp; Power House etc.</t>
  </si>
  <si>
    <t>G.I. Shed with M.S. Structure, brick work upto 18"-0")</t>
  </si>
  <si>
    <t>60'</t>
  </si>
  <si>
    <t>G.I. Shed with M.S. Structure &amp; M.S. Column</t>
  </si>
  <si>
    <t>35'</t>
  </si>
  <si>
    <t xml:space="preserve">Guest House </t>
  </si>
  <si>
    <t>RCC Roof brick work Plaster &amp; Marble Stone Flooring)</t>
  </si>
  <si>
    <t>12'</t>
  </si>
  <si>
    <t>Hall</t>
  </si>
  <si>
    <t>RCC Roof Brick work Plaster &amp; IPS Flooring</t>
  </si>
  <si>
    <t>17'</t>
  </si>
  <si>
    <t>30'</t>
  </si>
  <si>
    <t>Boiler Shed</t>
  </si>
  <si>
    <t>85'</t>
  </si>
  <si>
    <t>Colony Tower-II Ground floor, First floor &amp; Second floor</t>
  </si>
  <si>
    <t>G.I. Shed with M.S. Structures</t>
  </si>
  <si>
    <t>18'</t>
  </si>
  <si>
    <t>Reciver House Shed</t>
  </si>
  <si>
    <t>G.I. Shed Brick work Plaster &amp; IPS Flooring</t>
  </si>
  <si>
    <t>22'</t>
  </si>
  <si>
    <t>Colony Tower-I Ground floor, First floor &amp; Second floor</t>
  </si>
  <si>
    <t>Colony Tower-III Ground floor, First floor &amp; Second floor</t>
  </si>
  <si>
    <t>Under Shed</t>
  </si>
  <si>
    <t>Boiler Distillery</t>
  </si>
  <si>
    <t>15'</t>
  </si>
  <si>
    <t>Colony (Ground &amp; First floor)</t>
  </si>
  <si>
    <t>Turbine Shed</t>
  </si>
  <si>
    <t>50'</t>
  </si>
  <si>
    <t>RCC Roof, Brick work, Plaster &amp; IPS Flooring</t>
  </si>
  <si>
    <t>Sulphure Store</t>
  </si>
  <si>
    <t>14'</t>
  </si>
  <si>
    <t xml:space="preserve">Gaushala </t>
  </si>
  <si>
    <t>11'</t>
  </si>
  <si>
    <t>Cane yard</t>
  </si>
  <si>
    <t>10'</t>
  </si>
  <si>
    <t xml:space="preserve">Colony G-02 &amp; G-03 </t>
  </si>
  <si>
    <t>ACC Roof, Brick work Plaster &amp; IPS Flooring</t>
  </si>
  <si>
    <t>8'</t>
  </si>
  <si>
    <t>Verandah Ground floor, First floor &amp; Second floor</t>
  </si>
  <si>
    <t>Machine Hall</t>
  </si>
  <si>
    <t>Office</t>
  </si>
  <si>
    <t>Pump House</t>
  </si>
  <si>
    <t>20'</t>
  </si>
  <si>
    <t>Lime &amp; Sulphure Store &amp; Panel Room</t>
  </si>
  <si>
    <t>Admin Block</t>
  </si>
  <si>
    <t>Pannel Room</t>
  </si>
  <si>
    <t>Electrical Store</t>
  </si>
  <si>
    <t>Colony G-02 &amp; Staff Room</t>
  </si>
  <si>
    <t xml:space="preserve">Boiler Pannel Room </t>
  </si>
  <si>
    <t>Boiler Pannel Room (First Floor)</t>
  </si>
  <si>
    <t>Store office</t>
  </si>
  <si>
    <t>G.I. Shed Brick work with M.S. Structures &amp; IPS Flooring</t>
  </si>
  <si>
    <t>Carpenter Work Shed</t>
  </si>
  <si>
    <t>G.I. Shed with M.S. Structures &amp; Brick Soiling</t>
  </si>
  <si>
    <t>Labour Room</t>
  </si>
  <si>
    <t>PCC &amp; MCC Room</t>
  </si>
  <si>
    <t>Excise Office</t>
  </si>
  <si>
    <t>MCC Room</t>
  </si>
  <si>
    <t>Air Compressor Room</t>
  </si>
  <si>
    <t>Weigh Bridge Room</t>
  </si>
  <si>
    <t>9'</t>
  </si>
  <si>
    <t>Rooms G-03</t>
  </si>
  <si>
    <t>Medical Excise Office</t>
  </si>
  <si>
    <t>Shed Store</t>
  </si>
  <si>
    <t>16'</t>
  </si>
  <si>
    <t>Store Office</t>
  </si>
  <si>
    <t>Parchi Section</t>
  </si>
  <si>
    <t>Toilets</t>
  </si>
  <si>
    <t>Security Office</t>
  </si>
  <si>
    <t>Toilets &amp; Kitchen</t>
  </si>
  <si>
    <t>Rest Room</t>
  </si>
  <si>
    <t>Cement Store</t>
  </si>
  <si>
    <t>Boiler Pannel Room</t>
  </si>
  <si>
    <t>Rooms</t>
  </si>
  <si>
    <t>Gate Office</t>
  </si>
  <si>
    <t>Store Room</t>
  </si>
  <si>
    <t>Power House Room</t>
  </si>
  <si>
    <t>Juice Pump House</t>
  </si>
  <si>
    <t>Pressure Room</t>
  </si>
  <si>
    <t>Yard Office</t>
  </si>
  <si>
    <t>Red Stone Roof, Brick work &amp; IPS Flooring</t>
  </si>
  <si>
    <t>Weight Bridge Room</t>
  </si>
  <si>
    <t>Security Room</t>
  </si>
  <si>
    <t>RCC Roof with M.S. Structures</t>
  </si>
  <si>
    <t>G.I. Shed &amp; IPS Flooring</t>
  </si>
  <si>
    <t>RCC Roof brick work Plaster &amp; Kota Stone Flooring</t>
  </si>
  <si>
    <t>RCC Roof brick work Plaster &amp; Marble Stone Flooring</t>
  </si>
  <si>
    <t xml:space="preserve">Age </t>
  </si>
  <si>
    <t>Ordinary</t>
  </si>
  <si>
    <t>1. All the structures present within the compound of the property of M/S. Uttam Sugar Mills Limited| Situated at Village-Barkatpur, Tehsil-Nazibabad, District-Bijnor, Uttar Pradesh has been considered in this valuation report.</t>
  </si>
  <si>
    <t>Fixed Assets</t>
  </si>
  <si>
    <t>as on 31.03.2022</t>
  </si>
  <si>
    <t>Land &amp; Site Development</t>
  </si>
  <si>
    <t>- Factory</t>
  </si>
  <si>
    <t>- Non Factory</t>
  </si>
  <si>
    <t>Plant &amp; Machinery</t>
  </si>
  <si>
    <t>D.G. Set</t>
  </si>
  <si>
    <t>Lab Equipments</t>
  </si>
  <si>
    <t>Computers</t>
  </si>
  <si>
    <t>Weigh Bridges</t>
  </si>
  <si>
    <t>Office Equipments</t>
  </si>
  <si>
    <t>Furniture and Fixtures</t>
  </si>
  <si>
    <t>Vehicles</t>
  </si>
  <si>
    <t>31.03.2022</t>
  </si>
  <si>
    <t>Factory</t>
  </si>
  <si>
    <t xml:space="preserve">Total </t>
  </si>
  <si>
    <t>Net Bock</t>
  </si>
  <si>
    <t>Sugar Section</t>
  </si>
  <si>
    <t>Cogeneration Section</t>
  </si>
  <si>
    <t>Distillery Section</t>
  </si>
  <si>
    <t xml:space="preserve"> SUMMARY</t>
  </si>
  <si>
    <t>Division</t>
  </si>
  <si>
    <t xml:space="preserve">Area </t>
  </si>
  <si>
    <t>In sq. mtr.</t>
  </si>
  <si>
    <t>In sq. ft.</t>
  </si>
  <si>
    <t>Sugar</t>
  </si>
  <si>
    <t>Distillery</t>
  </si>
  <si>
    <t>Land Developed charges</t>
  </si>
  <si>
    <t>10,00,000 per acres</t>
  </si>
  <si>
    <t>Hot water URG</t>
  </si>
  <si>
    <t>Cold water URG</t>
  </si>
  <si>
    <t>Rs.12 per litre</t>
  </si>
  <si>
    <t>382 M3/3,82,000 litre</t>
  </si>
  <si>
    <t>504 M3/5,04,000 litre</t>
  </si>
  <si>
    <t>Deterioration Factor</t>
  </si>
  <si>
    <t>2.a</t>
  </si>
  <si>
    <t>2.b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</si>
</sst>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"/>
    <numFmt numFmtId="166" formatCode="_ &quot;₹&quot;\ * #,##0_ ;_ &quot;₹&quot;\ * \-#,##0_ ;_ &quot;₹&quot;\ * &quot;-&quot;??_ ;_ @_ "/>
    <numFmt numFmtId="167" formatCode="_ * #,##0.0_ ;_ * \-#,##0.0_ ;_ * &quot;-&quot;??_ ;_ @_ "/>
    <numFmt numFmtId="168" formatCode="_(* #,##0_);_(* \(#,##0\);_(* &quot;-&quot;??_);_(@_)"/>
    <numFmt numFmtId="169" formatCode="0.0000"/>
    <numFmt numFmtId="170" formatCode="_ [$₹-4009]\ * #,##0.00_ ;_ [$₹-4009]\ * \-#,##0.00_ ;_ [$₹-4009]\ * &quot;-&quot;??_ ;_ @_ "/>
    <numFmt numFmtId="171" formatCode="_(* #,##0.00_);_(* \(#,##0.00\);_(* &quot;-&quot;??_);_(@_)"/>
    <numFmt numFmtId="172" formatCode="_-* #,##0.0_-;\-* #,##0.0_-;_-* &quot;-&quot;??_-;_-@_-"/>
    <numFmt numFmtId="173" formatCode="_ [$₹-4009]\ * #,##0_ ;_ [$₹-4009]\ * \-#,##0_ ;_ [$₹-4009]\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242021"/>
      <name val="Helvetica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D9F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3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3" fontId="0" fillId="0" borderId="1" xfId="1" applyFont="1" applyFill="1" applyBorder="1" applyAlignment="1">
      <alignment horizontal="center" vertical="center"/>
    </xf>
    <xf numFmtId="166" fontId="0" fillId="0" borderId="1" xfId="2" applyNumberFormat="1" applyFont="1" applyFill="1" applyBorder="1" applyAlignment="1">
      <alignment horizontal="center" vertical="center"/>
    </xf>
    <xf numFmtId="0" fontId="0" fillId="0" borderId="1" xfId="2" applyNumberFormat="1" applyFont="1" applyFill="1" applyBorder="1" applyAlignment="1">
      <alignment horizontal="center"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/>
    </xf>
    <xf numFmtId="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166" fontId="2" fillId="0" borderId="1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6" fontId="0" fillId="0" borderId="1" xfId="2" applyNumberFormat="1" applyFont="1" applyBorder="1" applyAlignment="1">
      <alignment vertical="center" wrapText="1"/>
    </xf>
    <xf numFmtId="164" fontId="0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6" fontId="0" fillId="0" borderId="1" xfId="2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3" fontId="0" fillId="0" borderId="0" xfId="1" applyFont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9" fontId="0" fillId="0" borderId="0" xfId="3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64" fontId="3" fillId="3" borderId="1" xfId="1" applyNumberFormat="1" applyFont="1" applyFill="1" applyBorder="1" applyAlignment="1">
      <alignment horizontal="left" vertical="center" wrapText="1"/>
    </xf>
    <xf numFmtId="164" fontId="0" fillId="0" borderId="1" xfId="1" applyNumberFormat="1" applyFont="1" applyBorder="1" applyAlignment="1">
      <alignment vertical="center"/>
    </xf>
    <xf numFmtId="43" fontId="0" fillId="0" borderId="1" xfId="1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2" fillId="4" borderId="1" xfId="1" applyNumberFormat="1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7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0" fillId="0" borderId="1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66" fontId="1" fillId="0" borderId="1" xfId="2" applyNumberFormat="1" applyFont="1" applyFill="1" applyBorder="1" applyAlignment="1">
      <alignment vertical="center"/>
    </xf>
    <xf numFmtId="166" fontId="0" fillId="0" borderId="5" xfId="2" applyNumberFormat="1" applyFont="1" applyFill="1" applyBorder="1" applyAlignment="1">
      <alignment horizontal="center" vertical="center"/>
    </xf>
    <xf numFmtId="9" fontId="0" fillId="0" borderId="5" xfId="0" applyNumberFormat="1" applyFont="1" applyBorder="1" applyAlignment="1">
      <alignment horizontal="center" vertical="center"/>
    </xf>
    <xf numFmtId="165" fontId="0" fillId="0" borderId="5" xfId="0" applyNumberFormat="1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165" fontId="12" fillId="5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9" fontId="2" fillId="0" borderId="1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68" fontId="0" fillId="0" borderId="1" xfId="1" applyNumberFormat="1" applyFont="1" applyBorder="1" applyAlignment="1">
      <alignment horizontal="justify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3" fontId="3" fillId="0" borderId="1" xfId="1" applyFont="1" applyFill="1" applyBorder="1" applyAlignment="1">
      <alignment horizontal="center" vertical="center" wrapText="1"/>
    </xf>
    <xf numFmtId="168" fontId="0" fillId="0" borderId="1" xfId="1" applyNumberFormat="1" applyFont="1" applyBorder="1" applyAlignment="1">
      <alignment horizontal="justify" vertical="center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7" xfId="0" applyFill="1" applyBorder="1"/>
    <xf numFmtId="170" fontId="5" fillId="0" borderId="0" xfId="0" applyNumberFormat="1" applyFont="1" applyFill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0" fillId="0" borderId="1" xfId="0" quotePrefix="1" applyBorder="1"/>
    <xf numFmtId="0" fontId="14" fillId="0" borderId="1" xfId="0" applyFont="1" applyBorder="1"/>
    <xf numFmtId="1" fontId="0" fillId="0" borderId="0" xfId="0" applyNumberFormat="1"/>
    <xf numFmtId="168" fontId="0" fillId="0" borderId="0" xfId="0" applyNumberFormat="1"/>
    <xf numFmtId="0" fontId="0" fillId="0" borderId="1" xfId="0" applyFill="1" applyBorder="1"/>
    <xf numFmtId="0" fontId="0" fillId="0" borderId="1" xfId="0" quotePrefix="1" applyFill="1" applyBorder="1"/>
    <xf numFmtId="0" fontId="14" fillId="0" borderId="1" xfId="0" applyFont="1" applyFill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Fill="1" applyBorder="1"/>
    <xf numFmtId="171" fontId="13" fillId="0" borderId="1" xfId="4" applyNumberFormat="1" applyBorder="1"/>
    <xf numFmtId="171" fontId="13" fillId="0" borderId="1" xfId="4" applyNumberFormat="1" applyFill="1" applyBorder="1"/>
    <xf numFmtId="171" fontId="14" fillId="0" borderId="1" xfId="4" applyNumberFormat="1" applyFont="1" applyBorder="1" applyAlignment="1">
      <alignment horizontal="right"/>
    </xf>
    <xf numFmtId="171" fontId="14" fillId="0" borderId="1" xfId="4" applyNumberFormat="1" applyFont="1" applyFill="1" applyBorder="1" applyAlignment="1">
      <alignment horizontal="right"/>
    </xf>
    <xf numFmtId="172" fontId="13" fillId="0" borderId="1" xfId="4" applyNumberFormat="1" applyFont="1" applyBorder="1" applyAlignment="1">
      <alignment horizontal="center"/>
    </xf>
    <xf numFmtId="172" fontId="13" fillId="0" borderId="1" xfId="0" applyNumberFormat="1" applyFont="1" applyBorder="1" applyAlignment="1">
      <alignment horizontal="center"/>
    </xf>
    <xf numFmtId="172" fontId="14" fillId="0" borderId="1" xfId="4" applyNumberFormat="1" applyFont="1" applyBorder="1" applyAlignment="1">
      <alignment horizontal="center"/>
    </xf>
    <xf numFmtId="171" fontId="0" fillId="0" borderId="1" xfId="0" applyNumberFormat="1" applyBorder="1"/>
    <xf numFmtId="171" fontId="13" fillId="0" borderId="1" xfId="4" applyNumberFormat="1" applyFont="1" applyBorder="1" applyAlignment="1">
      <alignment horizontal="center"/>
    </xf>
    <xf numFmtId="171" fontId="0" fillId="0" borderId="1" xfId="4" applyNumberFormat="1" applyFont="1" applyBorder="1"/>
    <xf numFmtId="0" fontId="0" fillId="0" borderId="0" xfId="0" applyBorder="1" applyAlignment="1">
      <alignment horizontal="center"/>
    </xf>
    <xf numFmtId="0" fontId="14" fillId="0" borderId="0" xfId="0" applyFont="1" applyBorder="1" applyAlignment="1">
      <alignment horizontal="left"/>
    </xf>
    <xf numFmtId="172" fontId="14" fillId="0" borderId="0" xfId="4" applyNumberFormat="1" applyFont="1" applyBorder="1" applyAlignment="1">
      <alignment horizont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3" fontId="0" fillId="0" borderId="1" xfId="1" applyFont="1" applyBorder="1"/>
    <xf numFmtId="43" fontId="6" fillId="0" borderId="1" xfId="1" applyFont="1" applyBorder="1" applyAlignment="1">
      <alignment horizontal="right" vertical="center"/>
    </xf>
    <xf numFmtId="43" fontId="16" fillId="7" borderId="1" xfId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6" fontId="2" fillId="0" borderId="1" xfId="2" applyNumberFormat="1" applyFont="1" applyFill="1" applyBorder="1" applyAlignment="1">
      <alignment horizontal="center" vertical="center"/>
    </xf>
    <xf numFmtId="166" fontId="1" fillId="0" borderId="1" xfId="2" applyNumberFormat="1" applyFont="1" applyFill="1" applyBorder="1" applyAlignment="1">
      <alignment horizontal="center" vertical="center"/>
    </xf>
    <xf numFmtId="173" fontId="14" fillId="0" borderId="0" xfId="0" applyNumberFormat="1" applyFont="1" applyAlignment="1">
      <alignment horizontal="center"/>
    </xf>
    <xf numFmtId="173" fontId="0" fillId="0" borderId="0" xfId="0" applyNumberFormat="1"/>
    <xf numFmtId="173" fontId="14" fillId="6" borderId="1" xfId="0" applyNumberFormat="1" applyFont="1" applyFill="1" applyBorder="1" applyAlignment="1">
      <alignment horizontal="center"/>
    </xf>
    <xf numFmtId="173" fontId="14" fillId="6" borderId="1" xfId="0" applyNumberFormat="1" applyFont="1" applyFill="1" applyBorder="1"/>
    <xf numFmtId="173" fontId="13" fillId="0" borderId="1" xfId="4" applyNumberFormat="1" applyBorder="1"/>
    <xf numFmtId="173" fontId="13" fillId="0" borderId="1" xfId="4" applyNumberFormat="1" applyFill="1" applyBorder="1"/>
    <xf numFmtId="173" fontId="14" fillId="0" borderId="1" xfId="4" applyNumberFormat="1" applyFont="1" applyBorder="1" applyAlignment="1">
      <alignment horizontal="right"/>
    </xf>
    <xf numFmtId="173" fontId="14" fillId="0" borderId="1" xfId="4" applyNumberFormat="1" applyFont="1" applyFill="1" applyBorder="1" applyAlignment="1">
      <alignment horizontal="right"/>
    </xf>
    <xf numFmtId="173" fontId="13" fillId="0" borderId="1" xfId="4" applyNumberFormat="1" applyFont="1" applyBorder="1" applyAlignment="1">
      <alignment horizontal="center"/>
    </xf>
    <xf numFmtId="173" fontId="13" fillId="0" borderId="1" xfId="0" applyNumberFormat="1" applyFont="1" applyBorder="1" applyAlignment="1">
      <alignment horizontal="center"/>
    </xf>
    <xf numFmtId="173" fontId="14" fillId="0" borderId="1" xfId="4" applyNumberFormat="1" applyFont="1" applyBorder="1" applyAlignment="1">
      <alignment horizontal="center"/>
    </xf>
    <xf numFmtId="173" fontId="0" fillId="0" borderId="1" xfId="0" applyNumberFormat="1" applyBorder="1"/>
    <xf numFmtId="173" fontId="0" fillId="0" borderId="1" xfId="4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0" fontId="2" fillId="4" borderId="2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7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8" fontId="0" fillId="0" borderId="2" xfId="1" applyNumberFormat="1" applyFont="1" applyBorder="1" applyAlignment="1">
      <alignment horizontal="center" vertical="center"/>
    </xf>
    <xf numFmtId="168" fontId="0" fillId="0" borderId="4" xfId="1" applyNumberFormat="1" applyFont="1" applyBorder="1" applyAlignment="1">
      <alignment horizontal="center" vertical="center"/>
    </xf>
    <xf numFmtId="168" fontId="0" fillId="0" borderId="3" xfId="1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0" fontId="2" fillId="4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168" fontId="15" fillId="5" borderId="1" xfId="4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wrapText="1"/>
    </xf>
    <xf numFmtId="0" fontId="14" fillId="6" borderId="5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vertical="center"/>
    </xf>
    <xf numFmtId="168" fontId="0" fillId="0" borderId="1" xfId="1" applyNumberFormat="1" applyFont="1" applyFill="1" applyBorder="1" applyAlignment="1">
      <alignment horizontal="justify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">
    <cellStyle name="Comma" xfId="1" builtinId="3"/>
    <cellStyle name="Comma 10" xfId="4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J%20Warehouse\Working\Copy%20of%20VIS_(2022-23)-PL111-094-149_PRJ_Warehousing_PVT_LTD_(SBI)_Building_shee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et Value"/>
      <sheetName val="Land Val."/>
      <sheetName val="calculation"/>
    </sheetNames>
    <sheetDataSet>
      <sheetData sheetId="0"/>
      <sheetData sheetId="1">
        <row r="3">
          <cell r="D3">
            <v>42.185973066468989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J57"/>
  <sheetViews>
    <sheetView workbookViewId="0">
      <selection activeCell="I49" sqref="I49"/>
    </sheetView>
  </sheetViews>
  <sheetFormatPr defaultRowHeight="15" x14ac:dyDescent="0.25"/>
  <cols>
    <col min="8" max="10" width="25.7109375" customWidth="1"/>
  </cols>
  <sheetData>
    <row r="8" spans="8:10" x14ac:dyDescent="0.25">
      <c r="H8" s="80" t="s">
        <v>34</v>
      </c>
      <c r="I8" s="80" t="s">
        <v>76</v>
      </c>
      <c r="J8" s="81" t="s">
        <v>91</v>
      </c>
    </row>
    <row r="9" spans="8:10" x14ac:dyDescent="0.25">
      <c r="H9" s="155">
        <v>1</v>
      </c>
      <c r="I9" s="63">
        <v>36</v>
      </c>
      <c r="J9" s="82">
        <v>1.0920000000000001</v>
      </c>
    </row>
    <row r="10" spans="8:10" x14ac:dyDescent="0.25">
      <c r="H10" s="156"/>
      <c r="I10" s="63">
        <v>58</v>
      </c>
      <c r="J10" s="82">
        <v>2.5000000000000001E-2</v>
      </c>
    </row>
    <row r="11" spans="8:10" x14ac:dyDescent="0.25">
      <c r="H11" s="157"/>
      <c r="I11" s="63">
        <v>60</v>
      </c>
      <c r="J11" s="82">
        <v>0.126</v>
      </c>
    </row>
    <row r="12" spans="8:10" x14ac:dyDescent="0.25">
      <c r="H12" s="57">
        <v>2</v>
      </c>
      <c r="I12" s="63">
        <v>55</v>
      </c>
      <c r="J12" s="82">
        <v>0.36699999999999999</v>
      </c>
    </row>
    <row r="13" spans="8:10" x14ac:dyDescent="0.25">
      <c r="H13" s="57">
        <v>3</v>
      </c>
      <c r="I13" s="63">
        <v>56</v>
      </c>
      <c r="J13" s="82">
        <v>0.379</v>
      </c>
    </row>
    <row r="14" spans="8:10" x14ac:dyDescent="0.25">
      <c r="H14" s="57">
        <v>4</v>
      </c>
      <c r="I14" s="63" t="s">
        <v>92</v>
      </c>
      <c r="J14" s="82">
        <v>2.0219999999999998</v>
      </c>
    </row>
    <row r="15" spans="8:10" x14ac:dyDescent="0.25">
      <c r="H15" s="57">
        <v>5</v>
      </c>
      <c r="I15" s="63">
        <v>63</v>
      </c>
      <c r="J15" s="82">
        <v>0.13200000000000001</v>
      </c>
    </row>
    <row r="16" spans="8:10" x14ac:dyDescent="0.25">
      <c r="H16" s="57">
        <v>6</v>
      </c>
      <c r="I16" s="63" t="s">
        <v>93</v>
      </c>
      <c r="J16" s="82">
        <v>2.2130000000000001</v>
      </c>
    </row>
    <row r="17" spans="8:10" x14ac:dyDescent="0.25">
      <c r="H17" s="57">
        <v>7</v>
      </c>
      <c r="I17" s="63" t="s">
        <v>93</v>
      </c>
      <c r="J17" s="82">
        <v>1.2649999999999999</v>
      </c>
    </row>
    <row r="18" spans="8:10" x14ac:dyDescent="0.25">
      <c r="H18" s="155">
        <v>8</v>
      </c>
      <c r="I18" s="63">
        <v>112</v>
      </c>
      <c r="J18" s="82">
        <v>1.2999999999999999E-2</v>
      </c>
    </row>
    <row r="19" spans="8:10" x14ac:dyDescent="0.25">
      <c r="H19" s="157"/>
      <c r="I19" s="63">
        <v>108</v>
      </c>
      <c r="J19" s="82">
        <v>0.114</v>
      </c>
    </row>
    <row r="20" spans="8:10" x14ac:dyDescent="0.25">
      <c r="H20" s="155">
        <v>9</v>
      </c>
      <c r="I20" s="63" t="s">
        <v>94</v>
      </c>
      <c r="J20" s="82">
        <v>1.2649999999999999</v>
      </c>
    </row>
    <row r="21" spans="8:10" x14ac:dyDescent="0.25">
      <c r="H21" s="156"/>
      <c r="I21" s="63" t="s">
        <v>95</v>
      </c>
      <c r="J21" s="82">
        <v>1.61</v>
      </c>
    </row>
    <row r="22" spans="8:10" x14ac:dyDescent="0.25">
      <c r="H22" s="156"/>
      <c r="I22" s="63">
        <v>69</v>
      </c>
      <c r="J22" s="82">
        <v>1.2999999999999999E-2</v>
      </c>
    </row>
    <row r="23" spans="8:10" x14ac:dyDescent="0.25">
      <c r="H23" s="157"/>
      <c r="I23" s="63"/>
      <c r="J23" s="82">
        <v>0.114</v>
      </c>
    </row>
    <row r="24" spans="8:10" x14ac:dyDescent="0.25">
      <c r="H24" s="57">
        <v>10</v>
      </c>
      <c r="I24" s="63">
        <v>128</v>
      </c>
      <c r="J24" s="82">
        <v>0.34100000000000003</v>
      </c>
    </row>
    <row r="25" spans="8:10" x14ac:dyDescent="0.25">
      <c r="H25" s="155">
        <v>11</v>
      </c>
      <c r="I25" s="63">
        <v>102</v>
      </c>
      <c r="J25" s="82">
        <v>0.126</v>
      </c>
    </row>
    <row r="26" spans="8:10" x14ac:dyDescent="0.25">
      <c r="H26" s="156"/>
      <c r="I26" s="63">
        <v>104</v>
      </c>
      <c r="J26" s="82">
        <v>8.8999999999999996E-2</v>
      </c>
    </row>
    <row r="27" spans="8:10" x14ac:dyDescent="0.25">
      <c r="H27" s="157"/>
      <c r="I27" s="63">
        <v>114</v>
      </c>
      <c r="J27" s="82">
        <v>0.70799999999999996</v>
      </c>
    </row>
    <row r="28" spans="8:10" x14ac:dyDescent="0.25">
      <c r="H28" s="57">
        <v>12</v>
      </c>
      <c r="I28" s="63">
        <v>116</v>
      </c>
      <c r="J28" s="82">
        <v>0.30399999999999999</v>
      </c>
    </row>
    <row r="29" spans="8:10" x14ac:dyDescent="0.25">
      <c r="H29" s="155">
        <v>13</v>
      </c>
      <c r="I29" s="63" t="s">
        <v>96</v>
      </c>
      <c r="J29" s="83">
        <v>0.12670000000000001</v>
      </c>
    </row>
    <row r="30" spans="8:10" x14ac:dyDescent="0.25">
      <c r="H30" s="157"/>
      <c r="I30" s="63" t="s">
        <v>97</v>
      </c>
      <c r="J30" s="82">
        <v>3.0830000000000002</v>
      </c>
    </row>
    <row r="31" spans="8:10" x14ac:dyDescent="0.25">
      <c r="H31" s="57">
        <v>14</v>
      </c>
      <c r="I31" s="63">
        <v>131</v>
      </c>
      <c r="J31" s="82">
        <v>0.30399999999999999</v>
      </c>
    </row>
    <row r="32" spans="8:10" x14ac:dyDescent="0.25">
      <c r="H32" s="155">
        <v>15</v>
      </c>
      <c r="I32" s="63">
        <v>37</v>
      </c>
      <c r="J32" s="82">
        <v>2.488</v>
      </c>
    </row>
    <row r="33" spans="8:10" x14ac:dyDescent="0.25">
      <c r="H33" s="156"/>
      <c r="I33" s="63">
        <v>61</v>
      </c>
      <c r="J33" s="82">
        <v>0.65800000000000003</v>
      </c>
    </row>
    <row r="34" spans="8:10" x14ac:dyDescent="0.25">
      <c r="H34" s="157"/>
      <c r="I34" s="63">
        <v>65</v>
      </c>
      <c r="J34" s="82">
        <v>3.7999999999999999E-2</v>
      </c>
    </row>
    <row r="35" spans="8:10" x14ac:dyDescent="0.25">
      <c r="H35" s="57">
        <v>16</v>
      </c>
      <c r="I35" s="63">
        <v>34</v>
      </c>
      <c r="J35" s="82">
        <v>1.2370000000000001</v>
      </c>
    </row>
    <row r="36" spans="8:10" x14ac:dyDescent="0.25">
      <c r="H36" s="57">
        <v>17</v>
      </c>
      <c r="I36" s="63" t="s">
        <v>98</v>
      </c>
      <c r="J36" s="82">
        <v>0.10100000000000001</v>
      </c>
    </row>
    <row r="37" spans="8:10" x14ac:dyDescent="0.25">
      <c r="H37" s="57">
        <v>18</v>
      </c>
      <c r="I37" s="63" t="s">
        <v>99</v>
      </c>
      <c r="J37" s="82">
        <v>0.10100000000000001</v>
      </c>
    </row>
    <row r="38" spans="8:10" x14ac:dyDescent="0.25">
      <c r="H38" s="57">
        <v>19</v>
      </c>
      <c r="I38" s="63">
        <v>118</v>
      </c>
      <c r="J38" s="82">
        <v>0.27800000000000002</v>
      </c>
    </row>
    <row r="39" spans="8:10" x14ac:dyDescent="0.25">
      <c r="H39" s="57">
        <v>20</v>
      </c>
      <c r="I39" s="63" t="s">
        <v>100</v>
      </c>
      <c r="J39" s="82">
        <v>2.0510000000000002</v>
      </c>
    </row>
    <row r="40" spans="8:10" x14ac:dyDescent="0.25">
      <c r="H40" s="57">
        <v>21</v>
      </c>
      <c r="I40" s="63">
        <v>95</v>
      </c>
      <c r="J40" s="82">
        <v>1.252</v>
      </c>
    </row>
    <row r="41" spans="8:10" x14ac:dyDescent="0.25">
      <c r="H41" s="57">
        <v>22</v>
      </c>
      <c r="I41" s="63">
        <v>132</v>
      </c>
      <c r="J41" s="82">
        <v>0.16400000000000001</v>
      </c>
    </row>
    <row r="42" spans="8:10" x14ac:dyDescent="0.25">
      <c r="H42" s="155">
        <v>23</v>
      </c>
      <c r="I42" s="63">
        <v>72</v>
      </c>
      <c r="J42" s="82">
        <v>0.13900000000000001</v>
      </c>
    </row>
    <row r="43" spans="8:10" x14ac:dyDescent="0.25">
      <c r="H43" s="157"/>
      <c r="I43" s="63">
        <v>75</v>
      </c>
      <c r="J43" s="82">
        <v>0.49299999999999999</v>
      </c>
    </row>
    <row r="44" spans="8:10" x14ac:dyDescent="0.25">
      <c r="H44" s="57">
        <v>24</v>
      </c>
      <c r="I44" s="63" t="s">
        <v>101</v>
      </c>
      <c r="J44" s="82">
        <v>3.7999999999999999E-2</v>
      </c>
    </row>
    <row r="45" spans="8:10" x14ac:dyDescent="0.25">
      <c r="H45" s="57">
        <v>25</v>
      </c>
      <c r="I45" s="63" t="s">
        <v>102</v>
      </c>
      <c r="J45" s="82">
        <v>2.1000000000000001E-2</v>
      </c>
    </row>
    <row r="46" spans="8:10" x14ac:dyDescent="0.25">
      <c r="H46" s="155">
        <v>26</v>
      </c>
      <c r="I46" s="63" t="s">
        <v>103</v>
      </c>
      <c r="J46" s="82">
        <v>0.27800000000000002</v>
      </c>
    </row>
    <row r="47" spans="8:10" x14ac:dyDescent="0.25">
      <c r="H47" s="157"/>
      <c r="I47" s="63" t="s">
        <v>104</v>
      </c>
      <c r="J47" s="82">
        <v>1.8089999999999999</v>
      </c>
    </row>
    <row r="48" spans="8:10" x14ac:dyDescent="0.25">
      <c r="H48" s="57">
        <v>27</v>
      </c>
      <c r="I48" s="63" t="s">
        <v>105</v>
      </c>
      <c r="J48" s="82">
        <v>1.607</v>
      </c>
    </row>
    <row r="49" spans="8:10" x14ac:dyDescent="0.25">
      <c r="H49" s="57">
        <v>28</v>
      </c>
      <c r="I49" s="63" t="s">
        <v>106</v>
      </c>
      <c r="J49" s="82">
        <v>2.5920000000000001</v>
      </c>
    </row>
    <row r="50" spans="8:10" x14ac:dyDescent="0.25">
      <c r="H50" s="155">
        <v>29</v>
      </c>
      <c r="I50" s="63" t="s">
        <v>107</v>
      </c>
      <c r="J50" s="82">
        <v>1.0999999999999999E-2</v>
      </c>
    </row>
    <row r="51" spans="8:10" x14ac:dyDescent="0.25">
      <c r="H51" s="157"/>
      <c r="I51" s="63">
        <v>120</v>
      </c>
      <c r="J51" s="82">
        <v>0.379</v>
      </c>
    </row>
    <row r="52" spans="8:10" x14ac:dyDescent="0.25">
      <c r="H52" s="155">
        <v>30</v>
      </c>
      <c r="I52" s="63">
        <v>135</v>
      </c>
      <c r="J52" s="82">
        <v>0.67</v>
      </c>
    </row>
    <row r="53" spans="8:10" x14ac:dyDescent="0.25">
      <c r="H53" s="156"/>
      <c r="I53" s="63">
        <v>137</v>
      </c>
      <c r="J53" s="82">
        <v>3.7810000000000001</v>
      </c>
    </row>
    <row r="54" spans="8:10" x14ac:dyDescent="0.25">
      <c r="H54" s="156"/>
      <c r="I54" s="63">
        <v>98</v>
      </c>
      <c r="J54" s="82">
        <v>0.19</v>
      </c>
    </row>
    <row r="55" spans="8:10" x14ac:dyDescent="0.25">
      <c r="H55" s="157"/>
      <c r="I55" s="63">
        <v>101</v>
      </c>
      <c r="J55" s="82">
        <v>0.379</v>
      </c>
    </row>
    <row r="56" spans="8:10" x14ac:dyDescent="0.25">
      <c r="H56" s="57">
        <v>31</v>
      </c>
      <c r="I56" s="63" t="s">
        <v>108</v>
      </c>
      <c r="J56" s="82">
        <v>6.3E-2</v>
      </c>
    </row>
    <row r="57" spans="8:10" x14ac:dyDescent="0.25">
      <c r="H57" s="158" t="s">
        <v>53</v>
      </c>
      <c r="I57" s="158"/>
      <c r="J57" s="84">
        <f>SUM(J9:J56)</f>
        <v>36.649699999999989</v>
      </c>
    </row>
  </sheetData>
  <mergeCells count="11">
    <mergeCell ref="H57:I57"/>
    <mergeCell ref="H32:H34"/>
    <mergeCell ref="H42:H43"/>
    <mergeCell ref="H46:H47"/>
    <mergeCell ref="H50:H51"/>
    <mergeCell ref="H52:H55"/>
    <mergeCell ref="H9:H11"/>
    <mergeCell ref="H18:H19"/>
    <mergeCell ref="H20:H23"/>
    <mergeCell ref="H25:H27"/>
    <mergeCell ref="H29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K137"/>
  <sheetViews>
    <sheetView tabSelected="1" topLeftCell="H1" zoomScaleNormal="100" workbookViewId="0">
      <pane ySplit="3" topLeftCell="A33" activePane="bottomLeft" state="frozen"/>
      <selection activeCell="D27" sqref="D27"/>
      <selection pane="bottomLeft" activeCell="H11" sqref="A11:XFD49"/>
    </sheetView>
  </sheetViews>
  <sheetFormatPr defaultColWidth="9.140625" defaultRowHeight="15" x14ac:dyDescent="0.25"/>
  <cols>
    <col min="1" max="1" width="9.140625" style="1" customWidth="1"/>
    <col min="2" max="2" width="11.42578125" style="40" customWidth="1"/>
    <col min="3" max="3" width="23.28515625" style="40" hidden="1" customWidth="1"/>
    <col min="4" max="4" width="51.7109375" style="41" customWidth="1"/>
    <col min="5" max="5" width="50.7109375" style="40" customWidth="1"/>
    <col min="6" max="6" width="16.85546875" style="1" hidden="1" customWidth="1"/>
    <col min="7" max="7" width="14.28515625" style="1" hidden="1" customWidth="1"/>
    <col min="8" max="8" width="13" style="30" customWidth="1"/>
    <col min="9" max="9" width="14.7109375" style="42" customWidth="1"/>
    <col min="10" max="10" width="11.85546875" style="42" customWidth="1"/>
    <col min="11" max="11" width="13.28515625" style="1" customWidth="1"/>
    <col min="12" max="12" width="13" style="1" customWidth="1"/>
    <col min="13" max="13" width="10.42578125" style="1" customWidth="1"/>
    <col min="14" max="14" width="11.42578125" style="1" hidden="1" customWidth="1"/>
    <col min="15" max="15" width="9.85546875" style="1" hidden="1" customWidth="1"/>
    <col min="16" max="17" width="12.85546875" style="1" hidden="1" customWidth="1"/>
    <col min="18" max="18" width="17.28515625" style="1" customWidth="1"/>
    <col min="19" max="19" width="16.85546875" style="1" customWidth="1"/>
    <col min="20" max="20" width="15.85546875" style="1" bestFit="1" customWidth="1"/>
    <col min="21" max="21" width="16.85546875" style="1" bestFit="1" customWidth="1"/>
    <col min="22" max="22" width="13.140625" style="1" bestFit="1" customWidth="1"/>
    <col min="23" max="23" width="16.85546875" style="1" customWidth="1"/>
    <col min="24" max="24" width="19.85546875" style="1" hidden="1" customWidth="1"/>
    <col min="25" max="25" width="11" style="1" hidden="1" customWidth="1"/>
    <col min="26" max="26" width="19.85546875" style="1" hidden="1" customWidth="1"/>
    <col min="27" max="27" width="12.5703125" style="1" hidden="1" customWidth="1"/>
    <col min="28" max="29" width="16.85546875" style="1" customWidth="1"/>
    <col min="30" max="30" width="14.28515625" style="1" customWidth="1"/>
    <col min="31" max="36" width="9.140625" style="1"/>
    <col min="37" max="37" width="12.7109375" style="1" customWidth="1"/>
    <col min="38" max="16384" width="9.140625" style="1"/>
  </cols>
  <sheetData>
    <row r="2" spans="2:27" ht="15" customHeight="1" x14ac:dyDescent="0.25">
      <c r="B2" s="183" t="str">
        <f>UPPER("Building Structural Sheet | M/S. Uttam Sugar Mills Limited| SITUATED AT VILLAGE-BARKATPUR, TEHSIL-NAZIBABAD, DISTRICT-BIJNOR, UTTAR PRADESH")</f>
        <v>BUILDING STRUCTURAL SHEET | M/S. UTTAM SUGAR MILLS LIMITED| SITUATED AT VILLAGE-BARKATPUR, TEHSIL-NAZIBABAD, DISTRICT-BIJNOR, UTTAR PRADESH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</row>
    <row r="3" spans="2:27" s="5" customFormat="1" ht="60" x14ac:dyDescent="0.25">
      <c r="B3" s="2" t="s">
        <v>0</v>
      </c>
      <c r="C3" s="2" t="s">
        <v>1</v>
      </c>
      <c r="D3" s="68" t="s">
        <v>2</v>
      </c>
      <c r="E3" s="68" t="s">
        <v>3</v>
      </c>
      <c r="F3" s="2" t="s">
        <v>4</v>
      </c>
      <c r="G3" s="2" t="s">
        <v>5</v>
      </c>
      <c r="H3" s="3" t="s">
        <v>6</v>
      </c>
      <c r="I3" s="4" t="s">
        <v>7</v>
      </c>
      <c r="J3" s="4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/>
      <c r="R3" s="2" t="s">
        <v>15</v>
      </c>
      <c r="S3" s="2" t="s">
        <v>16</v>
      </c>
      <c r="T3" s="2" t="s">
        <v>17</v>
      </c>
      <c r="U3" s="2" t="s">
        <v>18</v>
      </c>
      <c r="V3" s="2" t="s">
        <v>238</v>
      </c>
      <c r="W3" s="2" t="s">
        <v>19</v>
      </c>
      <c r="X3" s="2" t="s">
        <v>20</v>
      </c>
      <c r="Y3" s="2" t="s">
        <v>21</v>
      </c>
      <c r="Z3" s="2" t="s">
        <v>22</v>
      </c>
    </row>
    <row r="4" spans="2:27" s="7" customFormat="1" ht="15" customHeight="1" x14ac:dyDescent="0.25">
      <c r="B4" s="6"/>
      <c r="C4" s="6"/>
      <c r="D4" s="178" t="str">
        <f>UPPER("Sugar Mill Buildings")</f>
        <v>SUGAR MILL BUILDINGS</v>
      </c>
      <c r="E4" s="179"/>
      <c r="F4" s="6"/>
      <c r="G4" s="6"/>
      <c r="H4" s="8"/>
      <c r="I4" s="92"/>
      <c r="J4" s="92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7" s="7" customFormat="1" ht="15" customHeight="1" x14ac:dyDescent="0.25">
      <c r="B5" s="61">
        <v>1</v>
      </c>
      <c r="C5" s="57"/>
      <c r="D5" s="16" t="s">
        <v>109</v>
      </c>
      <c r="E5" s="16" t="s">
        <v>110</v>
      </c>
      <c r="F5" s="9" t="s">
        <v>84</v>
      </c>
      <c r="G5" s="9" t="s">
        <v>202</v>
      </c>
      <c r="H5" s="93">
        <v>133245</v>
      </c>
      <c r="I5" s="59">
        <f>H5/10.7639</f>
        <v>12378.877544384472</v>
      </c>
      <c r="J5" s="57" t="s">
        <v>111</v>
      </c>
      <c r="K5" s="61">
        <v>2004</v>
      </c>
      <c r="L5" s="61">
        <v>2022</v>
      </c>
      <c r="M5" s="61">
        <f>L5-K5</f>
        <v>18</v>
      </c>
      <c r="N5" s="61">
        <f>VLOOKUP(E5,Sheet1!$E$6:$F$23,2,FALSE)</f>
        <v>45</v>
      </c>
      <c r="O5" s="62">
        <v>0.1</v>
      </c>
      <c r="P5" s="61">
        <f>(1-O5)/N5</f>
        <v>0.02</v>
      </c>
      <c r="Q5" s="61">
        <f>MATCH(E5,Sheet1!$E$6:$E$23,0)</f>
        <v>2</v>
      </c>
      <c r="R5" s="98">
        <f>HLOOKUP(J5,Sheet1!$E$6:$X$23,Building!Q5,FALSE)</f>
        <v>1600</v>
      </c>
      <c r="S5" s="65">
        <f>H5*R5</f>
        <v>213192000</v>
      </c>
      <c r="T5" s="65">
        <f>S5*P5*M5</f>
        <v>76749120</v>
      </c>
      <c r="U5" s="65">
        <f>MAX(S5-T5,O5*S5)</f>
        <v>136442880</v>
      </c>
      <c r="V5" s="66">
        <v>0.15</v>
      </c>
      <c r="W5" s="65">
        <f>U5*(1-V5)</f>
        <v>115976448</v>
      </c>
      <c r="X5" s="6"/>
      <c r="Y5" s="6"/>
      <c r="Z5" s="6"/>
    </row>
    <row r="6" spans="2:27" ht="15" customHeight="1" x14ac:dyDescent="0.25">
      <c r="B6" s="9">
        <f>INT(B5)+1</f>
        <v>2</v>
      </c>
      <c r="C6" s="57"/>
      <c r="D6" s="16" t="s">
        <v>113</v>
      </c>
      <c r="E6" s="16" t="s">
        <v>110</v>
      </c>
      <c r="F6" s="9" t="s">
        <v>84</v>
      </c>
      <c r="G6" s="9" t="s">
        <v>202</v>
      </c>
      <c r="H6" s="93">
        <v>66375.75</v>
      </c>
      <c r="I6" s="59">
        <f t="shared" ref="I6:I69" si="0">H6/10.7639</f>
        <v>6166.5149248878197</v>
      </c>
      <c r="J6" s="57" t="s">
        <v>111</v>
      </c>
      <c r="K6" s="86">
        <v>2004</v>
      </c>
      <c r="L6" s="61">
        <v>2022</v>
      </c>
      <c r="M6" s="61">
        <f t="shared" ref="M6:M69" si="1">L6-K6</f>
        <v>18</v>
      </c>
      <c r="N6" s="95">
        <f>VLOOKUP(E6,Sheet1!$E$6:$F$23,2,FALSE)</f>
        <v>45</v>
      </c>
      <c r="O6" s="62">
        <v>0.1</v>
      </c>
      <c r="P6" s="61">
        <f t="shared" ref="P6:P69" si="2">(1-O6)/N6</f>
        <v>0.02</v>
      </c>
      <c r="Q6" s="95">
        <f>MATCH(E6,Sheet1!$E$6:$E$23,0)</f>
        <v>2</v>
      </c>
      <c r="R6" s="98">
        <f>HLOOKUP(J6,Sheet1!$E$6:$X$23,Building!Q6,FALSE)</f>
        <v>1600</v>
      </c>
      <c r="S6" s="94">
        <f t="shared" ref="S6:S69" si="3">H6*R6</f>
        <v>106201200</v>
      </c>
      <c r="T6" s="94">
        <f t="shared" ref="T6:T51" si="4">S6*P6*M6</f>
        <v>38232432</v>
      </c>
      <c r="U6" s="94">
        <f t="shared" ref="U6:U69" si="5">MAX(S6-T6,O6*S6)</f>
        <v>67968768</v>
      </c>
      <c r="V6" s="66">
        <v>0.15</v>
      </c>
      <c r="W6" s="94">
        <f t="shared" ref="W6:W69" si="6">U6*(1-V6)</f>
        <v>57773452.799999997</v>
      </c>
      <c r="X6" s="13">
        <v>500</v>
      </c>
      <c r="Y6" s="14">
        <v>1</v>
      </c>
      <c r="Z6" s="13">
        <f>(X6*Y6*H6)</f>
        <v>33187875</v>
      </c>
      <c r="AA6" s="15">
        <f>W6/H6</f>
        <v>870.4</v>
      </c>
    </row>
    <row r="7" spans="2:27" ht="15" customHeight="1" x14ac:dyDescent="0.25">
      <c r="B7" s="9">
        <f t="shared" ref="B7:B51" si="7">INT(B6)+1</f>
        <v>3</v>
      </c>
      <c r="C7" s="57"/>
      <c r="D7" s="16" t="s">
        <v>114</v>
      </c>
      <c r="E7" s="16" t="s">
        <v>115</v>
      </c>
      <c r="F7" s="9" t="s">
        <v>84</v>
      </c>
      <c r="G7" s="9" t="s">
        <v>86</v>
      </c>
      <c r="H7" s="93">
        <v>65156</v>
      </c>
      <c r="I7" s="59">
        <f t="shared" si="0"/>
        <v>6053.1963321844314</v>
      </c>
      <c r="J7" s="57" t="s">
        <v>116</v>
      </c>
      <c r="K7" s="86">
        <v>2004</v>
      </c>
      <c r="L7" s="61">
        <v>2022</v>
      </c>
      <c r="M7" s="61">
        <f t="shared" si="1"/>
        <v>18</v>
      </c>
      <c r="N7" s="95">
        <f>VLOOKUP(E7,Sheet1!$E$6:$F$23,2,FALSE)</f>
        <v>50</v>
      </c>
      <c r="O7" s="62">
        <v>0.1</v>
      </c>
      <c r="P7" s="61">
        <f t="shared" si="2"/>
        <v>1.8000000000000002E-2</v>
      </c>
      <c r="Q7" s="95">
        <f>MATCH(E7,Sheet1!$E$6:$E$23,0)</f>
        <v>3</v>
      </c>
      <c r="R7" s="98">
        <f>HLOOKUP(J7,Sheet1!$E$6:$X$23,Building!Q7,FALSE)</f>
        <v>1900</v>
      </c>
      <c r="S7" s="94">
        <f t="shared" si="3"/>
        <v>123796400</v>
      </c>
      <c r="T7" s="94">
        <f t="shared" si="4"/>
        <v>40110033.600000001</v>
      </c>
      <c r="U7" s="94">
        <f t="shared" si="5"/>
        <v>83686366.400000006</v>
      </c>
      <c r="V7" s="66">
        <v>0.3</v>
      </c>
      <c r="W7" s="94">
        <f t="shared" si="6"/>
        <v>58580456.480000004</v>
      </c>
      <c r="X7" s="22"/>
      <c r="Y7" s="23"/>
      <c r="Z7" s="22"/>
      <c r="AA7" s="15"/>
    </row>
    <row r="8" spans="2:27" ht="15" customHeight="1" x14ac:dyDescent="0.25">
      <c r="B8" s="9">
        <f t="shared" si="7"/>
        <v>4</v>
      </c>
      <c r="C8" s="57"/>
      <c r="D8" s="16" t="s">
        <v>119</v>
      </c>
      <c r="E8" s="16" t="s">
        <v>120</v>
      </c>
      <c r="F8" s="9" t="s">
        <v>84</v>
      </c>
      <c r="G8" s="9" t="s">
        <v>83</v>
      </c>
      <c r="H8" s="93">
        <v>14843.68</v>
      </c>
      <c r="I8" s="59">
        <f t="shared" si="0"/>
        <v>1379.0243313297226</v>
      </c>
      <c r="J8" s="57" t="s">
        <v>121</v>
      </c>
      <c r="K8" s="86">
        <v>2004</v>
      </c>
      <c r="L8" s="61">
        <v>2022</v>
      </c>
      <c r="M8" s="61">
        <f t="shared" si="1"/>
        <v>18</v>
      </c>
      <c r="N8" s="95">
        <f>VLOOKUP(E8,Sheet1!$E$6:$F$23,2,FALSE)</f>
        <v>60</v>
      </c>
      <c r="O8" s="62">
        <v>0.1</v>
      </c>
      <c r="P8" s="61">
        <f t="shared" si="2"/>
        <v>1.5000000000000001E-2</v>
      </c>
      <c r="Q8" s="95">
        <f>MATCH(E8,Sheet1!$E$6:$E$23,0)</f>
        <v>4</v>
      </c>
      <c r="R8" s="98">
        <f>HLOOKUP(J8,Sheet1!$E$6:$X$23,Building!Q8,FALSE)</f>
        <v>1100</v>
      </c>
      <c r="S8" s="94">
        <f t="shared" si="3"/>
        <v>16328048</v>
      </c>
      <c r="T8" s="94">
        <f t="shared" si="4"/>
        <v>4408572.9600000009</v>
      </c>
      <c r="U8" s="94">
        <f t="shared" si="5"/>
        <v>11919475.039999999</v>
      </c>
      <c r="V8" s="66">
        <v>0.05</v>
      </c>
      <c r="W8" s="94">
        <f t="shared" si="6"/>
        <v>11323501.287999999</v>
      </c>
      <c r="X8" s="22"/>
      <c r="Y8" s="23"/>
      <c r="Z8" s="22"/>
      <c r="AA8" s="15"/>
    </row>
    <row r="9" spans="2:27" ht="15" customHeight="1" x14ac:dyDescent="0.25">
      <c r="B9" s="9">
        <f t="shared" si="7"/>
        <v>5</v>
      </c>
      <c r="C9" s="57"/>
      <c r="D9" s="16" t="s">
        <v>122</v>
      </c>
      <c r="E9" s="16" t="s">
        <v>123</v>
      </c>
      <c r="F9" s="9" t="s">
        <v>84</v>
      </c>
      <c r="G9" s="9" t="s">
        <v>83</v>
      </c>
      <c r="H9" s="93">
        <v>13598</v>
      </c>
      <c r="I9" s="59">
        <f t="shared" si="0"/>
        <v>1263.2967604678602</v>
      </c>
      <c r="J9" s="57" t="s">
        <v>124</v>
      </c>
      <c r="K9" s="86">
        <v>2004</v>
      </c>
      <c r="L9" s="61">
        <v>2022</v>
      </c>
      <c r="M9" s="61">
        <f t="shared" si="1"/>
        <v>18</v>
      </c>
      <c r="N9" s="95">
        <f>VLOOKUP(E9,Sheet1!$E$6:$F$23,2,FALSE)</f>
        <v>60</v>
      </c>
      <c r="O9" s="62">
        <v>0.1</v>
      </c>
      <c r="P9" s="61">
        <f t="shared" si="2"/>
        <v>1.5000000000000001E-2</v>
      </c>
      <c r="Q9" s="95">
        <f>MATCH(E9,Sheet1!$E$6:$E$23,0)</f>
        <v>5</v>
      </c>
      <c r="R9" s="98">
        <f>HLOOKUP(J9,Sheet1!$E$6:$X$23,Building!Q9,FALSE)</f>
        <v>1300</v>
      </c>
      <c r="S9" s="94">
        <f t="shared" si="3"/>
        <v>17677400</v>
      </c>
      <c r="T9" s="94">
        <f t="shared" si="4"/>
        <v>4772898</v>
      </c>
      <c r="U9" s="94">
        <f t="shared" si="5"/>
        <v>12904502</v>
      </c>
      <c r="V9" s="66">
        <v>0.1</v>
      </c>
      <c r="W9" s="94">
        <f t="shared" si="6"/>
        <v>11614051.800000001</v>
      </c>
      <c r="X9" s="22"/>
      <c r="Y9" s="23"/>
      <c r="Z9" s="22"/>
      <c r="AA9" s="15"/>
    </row>
    <row r="10" spans="2:27" ht="15" customHeight="1" x14ac:dyDescent="0.25">
      <c r="B10" s="9">
        <f t="shared" si="7"/>
        <v>6</v>
      </c>
      <c r="C10" s="57"/>
      <c r="D10" s="16" t="s">
        <v>122</v>
      </c>
      <c r="E10" s="16" t="s">
        <v>198</v>
      </c>
      <c r="F10" s="9" t="s">
        <v>84</v>
      </c>
      <c r="G10" s="9" t="s">
        <v>83</v>
      </c>
      <c r="H10" s="93">
        <v>13598</v>
      </c>
      <c r="I10" s="59">
        <f t="shared" si="0"/>
        <v>1263.2967604678602</v>
      </c>
      <c r="J10" s="57" t="s">
        <v>125</v>
      </c>
      <c r="K10" s="86">
        <v>2004</v>
      </c>
      <c r="L10" s="61">
        <v>2022</v>
      </c>
      <c r="M10" s="61">
        <f t="shared" si="1"/>
        <v>18</v>
      </c>
      <c r="N10" s="95">
        <f>VLOOKUP(E10,Sheet1!$E$6:$F$23,2,FALSE)</f>
        <v>40</v>
      </c>
      <c r="O10" s="62">
        <v>0.1</v>
      </c>
      <c r="P10" s="61">
        <f t="shared" si="2"/>
        <v>2.2499999999999999E-2</v>
      </c>
      <c r="Q10" s="95">
        <f>MATCH(E10,Sheet1!$E$6:$E$23,0)</f>
        <v>6</v>
      </c>
      <c r="R10" s="98">
        <f>HLOOKUP(J10,Sheet1!$E$6:$X$23,Building!Q10,FALSE)</f>
        <v>1100</v>
      </c>
      <c r="S10" s="94">
        <f t="shared" si="3"/>
        <v>14957800</v>
      </c>
      <c r="T10" s="94">
        <f t="shared" si="4"/>
        <v>6057909</v>
      </c>
      <c r="U10" s="94">
        <f t="shared" si="5"/>
        <v>8899891</v>
      </c>
      <c r="V10" s="66">
        <v>0.1</v>
      </c>
      <c r="W10" s="94">
        <f t="shared" si="6"/>
        <v>8009901.9000000004</v>
      </c>
      <c r="X10" s="22"/>
      <c r="Y10" s="23"/>
      <c r="Z10" s="22"/>
      <c r="AA10" s="15"/>
    </row>
    <row r="11" spans="2:27" s="199" customFormat="1" ht="15" customHeight="1" x14ac:dyDescent="0.25">
      <c r="B11" s="9">
        <f t="shared" si="7"/>
        <v>7</v>
      </c>
      <c r="C11" s="99"/>
      <c r="D11" s="197" t="s">
        <v>126</v>
      </c>
      <c r="E11" s="197" t="s">
        <v>198</v>
      </c>
      <c r="F11" s="9" t="s">
        <v>84</v>
      </c>
      <c r="G11" s="9" t="s">
        <v>86</v>
      </c>
      <c r="H11" s="198">
        <v>11583</v>
      </c>
      <c r="I11" s="59">
        <f t="shared" si="0"/>
        <v>1076.0969537063704</v>
      </c>
      <c r="J11" s="99" t="s">
        <v>127</v>
      </c>
      <c r="K11" s="154">
        <v>2004</v>
      </c>
      <c r="L11" s="154">
        <v>2022</v>
      </c>
      <c r="M11" s="154">
        <f t="shared" si="1"/>
        <v>18</v>
      </c>
      <c r="N11" s="154">
        <f>VLOOKUP(E11,Sheet1!$E$6:$F$23,2,FALSE)</f>
        <v>40</v>
      </c>
      <c r="O11" s="62">
        <v>0.1</v>
      </c>
      <c r="P11" s="154">
        <f t="shared" si="2"/>
        <v>2.2499999999999999E-2</v>
      </c>
      <c r="Q11" s="154">
        <f>MATCH(E11,Sheet1!$E$6:$E$23,0)</f>
        <v>6</v>
      </c>
      <c r="R11" s="98">
        <f>HLOOKUP(J11,Sheet1!$E$6:$X$23,Building!Q11,FALSE)</f>
        <v>1800</v>
      </c>
      <c r="S11" s="153">
        <f t="shared" si="3"/>
        <v>20849400</v>
      </c>
      <c r="T11" s="153">
        <f t="shared" si="4"/>
        <v>8444007</v>
      </c>
      <c r="U11" s="153">
        <f t="shared" si="5"/>
        <v>12405393</v>
      </c>
      <c r="V11" s="66">
        <v>0.3</v>
      </c>
      <c r="W11" s="153">
        <f t="shared" si="6"/>
        <v>8683775.0999999996</v>
      </c>
      <c r="X11" s="13"/>
      <c r="Y11" s="14"/>
      <c r="Z11" s="13"/>
      <c r="AA11" s="15"/>
    </row>
    <row r="12" spans="2:27" s="199" customFormat="1" ht="15" customHeight="1" x14ac:dyDescent="0.25">
      <c r="B12" s="9">
        <f t="shared" si="7"/>
        <v>8</v>
      </c>
      <c r="C12" s="99"/>
      <c r="D12" s="197" t="s">
        <v>122</v>
      </c>
      <c r="E12" s="197" t="s">
        <v>198</v>
      </c>
      <c r="F12" s="9" t="s">
        <v>84</v>
      </c>
      <c r="G12" s="9" t="s">
        <v>83</v>
      </c>
      <c r="H12" s="198">
        <v>11583</v>
      </c>
      <c r="I12" s="59">
        <f t="shared" si="0"/>
        <v>1076.0969537063704</v>
      </c>
      <c r="J12" s="99" t="s">
        <v>124</v>
      </c>
      <c r="K12" s="154">
        <v>2004</v>
      </c>
      <c r="L12" s="154">
        <v>2022</v>
      </c>
      <c r="M12" s="154">
        <f t="shared" si="1"/>
        <v>18</v>
      </c>
      <c r="N12" s="154">
        <f>VLOOKUP(E12,Sheet1!$E$6:$F$23,2,FALSE)</f>
        <v>40</v>
      </c>
      <c r="O12" s="62">
        <v>0.1</v>
      </c>
      <c r="P12" s="154">
        <f t="shared" si="2"/>
        <v>2.2499999999999999E-2</v>
      </c>
      <c r="Q12" s="154">
        <f>MATCH(E12,Sheet1!$E$6:$E$23,0)</f>
        <v>6</v>
      </c>
      <c r="R12" s="98">
        <f>HLOOKUP(J12,Sheet1!$E$6:$X$23,Building!Q12,FALSE)</f>
        <v>900</v>
      </c>
      <c r="S12" s="153">
        <f t="shared" si="3"/>
        <v>10424700</v>
      </c>
      <c r="T12" s="153">
        <f t="shared" si="4"/>
        <v>4222003.5</v>
      </c>
      <c r="U12" s="153">
        <f t="shared" si="5"/>
        <v>6202696.5</v>
      </c>
      <c r="V12" s="66">
        <v>0.1</v>
      </c>
      <c r="W12" s="153">
        <f t="shared" si="6"/>
        <v>5582426.8500000006</v>
      </c>
      <c r="X12" s="13"/>
      <c r="Y12" s="14"/>
      <c r="Z12" s="13"/>
      <c r="AA12" s="15"/>
    </row>
    <row r="13" spans="2:27" s="199" customFormat="1" ht="15" customHeight="1" x14ac:dyDescent="0.25">
      <c r="B13" s="9">
        <f t="shared" si="7"/>
        <v>9</v>
      </c>
      <c r="C13" s="99"/>
      <c r="D13" s="197" t="s">
        <v>128</v>
      </c>
      <c r="E13" s="197" t="s">
        <v>120</v>
      </c>
      <c r="F13" s="9" t="s">
        <v>84</v>
      </c>
      <c r="G13" s="9" t="s">
        <v>83</v>
      </c>
      <c r="H13" s="198">
        <v>10191.66</v>
      </c>
      <c r="I13" s="59">
        <f t="shared" si="0"/>
        <v>946.83711294233501</v>
      </c>
      <c r="J13" s="99" t="s">
        <v>121</v>
      </c>
      <c r="K13" s="154">
        <v>2004</v>
      </c>
      <c r="L13" s="154">
        <v>2022</v>
      </c>
      <c r="M13" s="154">
        <f t="shared" si="1"/>
        <v>18</v>
      </c>
      <c r="N13" s="154">
        <f>VLOOKUP(E13,Sheet1!$E$6:$F$23,2,FALSE)</f>
        <v>60</v>
      </c>
      <c r="O13" s="62">
        <v>0.1</v>
      </c>
      <c r="P13" s="154">
        <f t="shared" si="2"/>
        <v>1.5000000000000001E-2</v>
      </c>
      <c r="Q13" s="154">
        <f>MATCH(E13,Sheet1!$E$6:$E$23,0)</f>
        <v>4</v>
      </c>
      <c r="R13" s="98">
        <f>HLOOKUP(J13,Sheet1!$E$6:$X$23,Building!Q13,FALSE)</f>
        <v>1100</v>
      </c>
      <c r="S13" s="153">
        <f t="shared" si="3"/>
        <v>11210826</v>
      </c>
      <c r="T13" s="153">
        <f t="shared" si="4"/>
        <v>3026923.0200000005</v>
      </c>
      <c r="U13" s="153">
        <f t="shared" si="5"/>
        <v>8183902.9799999995</v>
      </c>
      <c r="V13" s="66">
        <v>0.1</v>
      </c>
      <c r="W13" s="153">
        <f t="shared" si="6"/>
        <v>7365512.682</v>
      </c>
      <c r="X13" s="13"/>
      <c r="Y13" s="14"/>
      <c r="Z13" s="13"/>
      <c r="AA13" s="15"/>
    </row>
    <row r="14" spans="2:27" s="199" customFormat="1" ht="15" customHeight="1" x14ac:dyDescent="0.25">
      <c r="B14" s="9">
        <f t="shared" si="7"/>
        <v>10</v>
      </c>
      <c r="C14" s="99"/>
      <c r="D14" s="197" t="s">
        <v>56</v>
      </c>
      <c r="E14" s="197" t="s">
        <v>129</v>
      </c>
      <c r="F14" s="9" t="s">
        <v>84</v>
      </c>
      <c r="G14" s="9" t="s">
        <v>83</v>
      </c>
      <c r="H14" s="198">
        <v>8413</v>
      </c>
      <c r="I14" s="59">
        <f t="shared" si="0"/>
        <v>781.59403190293483</v>
      </c>
      <c r="J14" s="99" t="s">
        <v>130</v>
      </c>
      <c r="K14" s="154">
        <v>2004</v>
      </c>
      <c r="L14" s="154">
        <v>2022</v>
      </c>
      <c r="M14" s="154">
        <f t="shared" si="1"/>
        <v>18</v>
      </c>
      <c r="N14" s="154">
        <f>VLOOKUP(E14,Sheet1!$E$6:$F$23,2,FALSE)</f>
        <v>40</v>
      </c>
      <c r="O14" s="62">
        <v>0.1</v>
      </c>
      <c r="P14" s="154">
        <f t="shared" si="2"/>
        <v>2.2499999999999999E-2</v>
      </c>
      <c r="Q14" s="154">
        <f>MATCH(E14,Sheet1!$E$6:$E$23,0)</f>
        <v>7</v>
      </c>
      <c r="R14" s="98">
        <f>HLOOKUP(J14,Sheet1!$E$6:$X$23,Building!Q14,FALSE)</f>
        <v>900</v>
      </c>
      <c r="S14" s="153">
        <f t="shared" si="3"/>
        <v>7571700</v>
      </c>
      <c r="T14" s="153">
        <f t="shared" si="4"/>
        <v>3066538.5</v>
      </c>
      <c r="U14" s="153">
        <f t="shared" si="5"/>
        <v>4505161.5</v>
      </c>
      <c r="V14" s="66">
        <v>0.1</v>
      </c>
      <c r="W14" s="153">
        <f t="shared" si="6"/>
        <v>4054645.35</v>
      </c>
      <c r="X14" s="13"/>
      <c r="Y14" s="14"/>
      <c r="Z14" s="13"/>
      <c r="AA14" s="15"/>
    </row>
    <row r="15" spans="2:27" s="199" customFormat="1" ht="15" customHeight="1" x14ac:dyDescent="0.25">
      <c r="B15" s="9">
        <f t="shared" si="7"/>
        <v>11</v>
      </c>
      <c r="C15" s="99"/>
      <c r="D15" s="197" t="s">
        <v>134</v>
      </c>
      <c r="E15" s="197" t="s">
        <v>120</v>
      </c>
      <c r="F15" s="9" t="s">
        <v>84</v>
      </c>
      <c r="G15" s="9" t="s">
        <v>83</v>
      </c>
      <c r="H15" s="198">
        <v>6636</v>
      </c>
      <c r="I15" s="59">
        <f t="shared" si="0"/>
        <v>616.50517005917936</v>
      </c>
      <c r="J15" s="99" t="s">
        <v>121</v>
      </c>
      <c r="K15" s="154">
        <v>2004</v>
      </c>
      <c r="L15" s="154">
        <v>2022</v>
      </c>
      <c r="M15" s="154">
        <f t="shared" si="1"/>
        <v>18</v>
      </c>
      <c r="N15" s="154">
        <f>VLOOKUP(E15,Sheet1!$E$6:$F$23,2,FALSE)</f>
        <v>60</v>
      </c>
      <c r="O15" s="62">
        <v>0.1</v>
      </c>
      <c r="P15" s="154">
        <f t="shared" si="2"/>
        <v>1.5000000000000001E-2</v>
      </c>
      <c r="Q15" s="154">
        <f>MATCH(E15,Sheet1!$E$6:$E$23,0)</f>
        <v>4</v>
      </c>
      <c r="R15" s="98">
        <f>HLOOKUP(J15,Sheet1!$E$6:$X$23,Building!Q15,FALSE)</f>
        <v>1100</v>
      </c>
      <c r="S15" s="153">
        <f t="shared" si="3"/>
        <v>7299600</v>
      </c>
      <c r="T15" s="153">
        <f t="shared" si="4"/>
        <v>1970892.0000000002</v>
      </c>
      <c r="U15" s="153">
        <f t="shared" si="5"/>
        <v>5328708</v>
      </c>
      <c r="V15" s="66">
        <v>0.05</v>
      </c>
      <c r="W15" s="153">
        <f t="shared" si="6"/>
        <v>5062272.5999999996</v>
      </c>
      <c r="X15" s="13"/>
      <c r="Y15" s="14"/>
      <c r="Z15" s="13"/>
      <c r="AA15" s="15"/>
    </row>
    <row r="16" spans="2:27" s="199" customFormat="1" ht="15" customHeight="1" x14ac:dyDescent="0.25">
      <c r="B16" s="9">
        <f t="shared" si="7"/>
        <v>12</v>
      </c>
      <c r="C16" s="99"/>
      <c r="D16" s="197" t="s">
        <v>135</v>
      </c>
      <c r="E16" s="197" t="s">
        <v>120</v>
      </c>
      <c r="F16" s="9" t="s">
        <v>84</v>
      </c>
      <c r="G16" s="9" t="s">
        <v>83</v>
      </c>
      <c r="H16" s="198">
        <v>6636</v>
      </c>
      <c r="I16" s="59">
        <f t="shared" si="0"/>
        <v>616.50517005917936</v>
      </c>
      <c r="J16" s="99" t="s">
        <v>121</v>
      </c>
      <c r="K16" s="154">
        <v>2004</v>
      </c>
      <c r="L16" s="154">
        <v>2022</v>
      </c>
      <c r="M16" s="154">
        <f t="shared" si="1"/>
        <v>18</v>
      </c>
      <c r="N16" s="154">
        <f>VLOOKUP(E16,Sheet1!$E$6:$F$23,2,FALSE)</f>
        <v>60</v>
      </c>
      <c r="O16" s="62">
        <v>0.1</v>
      </c>
      <c r="P16" s="154">
        <f t="shared" si="2"/>
        <v>1.5000000000000001E-2</v>
      </c>
      <c r="Q16" s="154">
        <f>MATCH(E16,Sheet1!$E$6:$E$23,0)</f>
        <v>4</v>
      </c>
      <c r="R16" s="98">
        <f>HLOOKUP(J16,Sheet1!$E$6:$X$23,Building!Q16,FALSE)</f>
        <v>1100</v>
      </c>
      <c r="S16" s="153">
        <f t="shared" si="3"/>
        <v>7299600</v>
      </c>
      <c r="T16" s="153">
        <f t="shared" si="4"/>
        <v>1970892.0000000002</v>
      </c>
      <c r="U16" s="153">
        <f t="shared" si="5"/>
        <v>5328708</v>
      </c>
      <c r="V16" s="66">
        <v>0.05</v>
      </c>
      <c r="W16" s="153">
        <f t="shared" si="6"/>
        <v>5062272.5999999996</v>
      </c>
      <c r="X16" s="13"/>
      <c r="Y16" s="14"/>
      <c r="Z16" s="13"/>
      <c r="AA16" s="15"/>
    </row>
    <row r="17" spans="2:27" s="199" customFormat="1" ht="15" customHeight="1" x14ac:dyDescent="0.25">
      <c r="B17" s="9">
        <f t="shared" si="7"/>
        <v>13</v>
      </c>
      <c r="C17" s="99"/>
      <c r="D17" s="197" t="s">
        <v>112</v>
      </c>
      <c r="E17" s="197" t="s">
        <v>129</v>
      </c>
      <c r="F17" s="9" t="s">
        <v>84</v>
      </c>
      <c r="G17" s="9" t="s">
        <v>83</v>
      </c>
      <c r="H17" s="198">
        <v>5352.42</v>
      </c>
      <c r="I17" s="59">
        <f t="shared" si="0"/>
        <v>497.25657057386263</v>
      </c>
      <c r="J17" s="99" t="s">
        <v>127</v>
      </c>
      <c r="K17" s="154">
        <v>2004</v>
      </c>
      <c r="L17" s="154">
        <v>2022</v>
      </c>
      <c r="M17" s="154">
        <f t="shared" si="1"/>
        <v>18</v>
      </c>
      <c r="N17" s="154">
        <f>VLOOKUP(E17,Sheet1!$E$6:$F$23,2,FALSE)</f>
        <v>40</v>
      </c>
      <c r="O17" s="62">
        <v>0.1</v>
      </c>
      <c r="P17" s="154">
        <f t="shared" si="2"/>
        <v>2.2499999999999999E-2</v>
      </c>
      <c r="Q17" s="154">
        <f>MATCH(E17,Sheet1!$E$6:$E$23,0)</f>
        <v>7</v>
      </c>
      <c r="R17" s="98">
        <f>HLOOKUP(J17,Sheet1!$E$6:$X$23,Building!Q17,FALSE)</f>
        <v>1800</v>
      </c>
      <c r="S17" s="153">
        <f t="shared" si="3"/>
        <v>9634356</v>
      </c>
      <c r="T17" s="153">
        <f t="shared" si="4"/>
        <v>3901914.1799999997</v>
      </c>
      <c r="U17" s="153">
        <f t="shared" si="5"/>
        <v>5732441.8200000003</v>
      </c>
      <c r="V17" s="66">
        <v>0.15</v>
      </c>
      <c r="W17" s="153">
        <f t="shared" si="6"/>
        <v>4872575.5470000003</v>
      </c>
      <c r="X17" s="13"/>
      <c r="Y17" s="14"/>
      <c r="Z17" s="13"/>
      <c r="AA17" s="15"/>
    </row>
    <row r="18" spans="2:27" s="199" customFormat="1" ht="15" customHeight="1" x14ac:dyDescent="0.25">
      <c r="B18" s="9">
        <f t="shared" si="7"/>
        <v>14</v>
      </c>
      <c r="C18" s="99"/>
      <c r="D18" s="197" t="s">
        <v>136</v>
      </c>
      <c r="E18" s="197" t="s">
        <v>123</v>
      </c>
      <c r="F18" s="9" t="s">
        <v>84</v>
      </c>
      <c r="G18" s="9" t="s">
        <v>83</v>
      </c>
      <c r="H18" s="198">
        <v>5352.42</v>
      </c>
      <c r="I18" s="59">
        <f t="shared" si="0"/>
        <v>497.25657057386263</v>
      </c>
      <c r="J18" s="99" t="s">
        <v>124</v>
      </c>
      <c r="K18" s="154">
        <v>2004</v>
      </c>
      <c r="L18" s="154">
        <v>2022</v>
      </c>
      <c r="M18" s="154">
        <f t="shared" si="1"/>
        <v>18</v>
      </c>
      <c r="N18" s="154">
        <f>VLOOKUP(E18,Sheet1!$E$6:$F$23,2,FALSE)</f>
        <v>60</v>
      </c>
      <c r="O18" s="62">
        <v>0.1</v>
      </c>
      <c r="P18" s="154">
        <f t="shared" si="2"/>
        <v>1.5000000000000001E-2</v>
      </c>
      <c r="Q18" s="154">
        <f>MATCH(E18,Sheet1!$E$6:$E$23,0)</f>
        <v>5</v>
      </c>
      <c r="R18" s="98">
        <f>HLOOKUP(J18,Sheet1!$E$6:$X$23,Building!Q18,FALSE)</f>
        <v>1300</v>
      </c>
      <c r="S18" s="153">
        <f t="shared" si="3"/>
        <v>6958146</v>
      </c>
      <c r="T18" s="153">
        <f t="shared" si="4"/>
        <v>1878699.42</v>
      </c>
      <c r="U18" s="153">
        <f t="shared" si="5"/>
        <v>5079446.58</v>
      </c>
      <c r="V18" s="66">
        <v>0.15</v>
      </c>
      <c r="W18" s="153">
        <f t="shared" si="6"/>
        <v>4317529.5930000003</v>
      </c>
      <c r="X18" s="13"/>
      <c r="Y18" s="14"/>
      <c r="Z18" s="13"/>
      <c r="AA18" s="15"/>
    </row>
    <row r="19" spans="2:27" s="199" customFormat="1" ht="15" customHeight="1" x14ac:dyDescent="0.25">
      <c r="B19" s="9">
        <f t="shared" si="7"/>
        <v>15</v>
      </c>
      <c r="C19" s="200"/>
      <c r="D19" s="197" t="s">
        <v>137</v>
      </c>
      <c r="E19" s="197" t="s">
        <v>123</v>
      </c>
      <c r="F19" s="9"/>
      <c r="G19" s="9" t="s">
        <v>83</v>
      </c>
      <c r="H19" s="198">
        <v>5200</v>
      </c>
      <c r="I19" s="59">
        <f t="shared" si="0"/>
        <v>483.09627551352207</v>
      </c>
      <c r="J19" s="99" t="s">
        <v>138</v>
      </c>
      <c r="K19" s="154">
        <v>2004</v>
      </c>
      <c r="L19" s="154">
        <v>2022</v>
      </c>
      <c r="M19" s="154">
        <f t="shared" si="1"/>
        <v>18</v>
      </c>
      <c r="N19" s="154">
        <f>VLOOKUP(E19,Sheet1!$E$6:$F$23,2,FALSE)</f>
        <v>60</v>
      </c>
      <c r="O19" s="62">
        <v>0.1</v>
      </c>
      <c r="P19" s="154">
        <f t="shared" si="2"/>
        <v>1.5000000000000001E-2</v>
      </c>
      <c r="Q19" s="154">
        <f>MATCH(E19,Sheet1!$E$6:$E$23,0)</f>
        <v>5</v>
      </c>
      <c r="R19" s="98">
        <f>HLOOKUP(J19,Sheet1!$E$6:$X$23,Building!Q19,FALSE)</f>
        <v>1200</v>
      </c>
      <c r="S19" s="153">
        <f t="shared" si="3"/>
        <v>6240000</v>
      </c>
      <c r="T19" s="153">
        <f t="shared" si="4"/>
        <v>1684800.0000000002</v>
      </c>
      <c r="U19" s="153">
        <f t="shared" si="5"/>
        <v>4555200</v>
      </c>
      <c r="V19" s="66">
        <v>0.2</v>
      </c>
      <c r="W19" s="153">
        <f t="shared" si="6"/>
        <v>3644160</v>
      </c>
      <c r="X19" s="13"/>
      <c r="Y19" s="14"/>
      <c r="Z19" s="13"/>
      <c r="AA19" s="15"/>
    </row>
    <row r="20" spans="2:27" s="199" customFormat="1" ht="15" customHeight="1" x14ac:dyDescent="0.25">
      <c r="B20" s="9">
        <f t="shared" si="7"/>
        <v>16</v>
      </c>
      <c r="C20" s="200"/>
      <c r="D20" s="197" t="s">
        <v>139</v>
      </c>
      <c r="E20" s="197" t="s">
        <v>200</v>
      </c>
      <c r="F20" s="9"/>
      <c r="G20" s="9" t="s">
        <v>83</v>
      </c>
      <c r="H20" s="198">
        <v>4432.08</v>
      </c>
      <c r="I20" s="59">
        <f t="shared" si="0"/>
        <v>411.75410399576361</v>
      </c>
      <c r="J20" s="99" t="s">
        <v>121</v>
      </c>
      <c r="K20" s="154">
        <v>2004</v>
      </c>
      <c r="L20" s="154">
        <v>2022</v>
      </c>
      <c r="M20" s="154">
        <f t="shared" si="1"/>
        <v>18</v>
      </c>
      <c r="N20" s="154">
        <f>VLOOKUP(E20,Sheet1!$E$6:$F$23,2,FALSE)</f>
        <v>60</v>
      </c>
      <c r="O20" s="62">
        <v>0.1</v>
      </c>
      <c r="P20" s="154">
        <f t="shared" si="2"/>
        <v>1.5000000000000001E-2</v>
      </c>
      <c r="Q20" s="154">
        <f>MATCH(E20,Sheet1!$E$6:$E$23,0)</f>
        <v>8</v>
      </c>
      <c r="R20" s="98">
        <f>HLOOKUP(J20,Sheet1!$E$6:$X$23,Building!Q20,FALSE)</f>
        <v>1000</v>
      </c>
      <c r="S20" s="153">
        <f t="shared" si="3"/>
        <v>4432080</v>
      </c>
      <c r="T20" s="153">
        <f t="shared" si="4"/>
        <v>1196661.6000000001</v>
      </c>
      <c r="U20" s="153">
        <f t="shared" si="5"/>
        <v>3235418.4</v>
      </c>
      <c r="V20" s="66">
        <v>0.1</v>
      </c>
      <c r="W20" s="153">
        <f t="shared" si="6"/>
        <v>2911876.56</v>
      </c>
      <c r="X20" s="13"/>
      <c r="Y20" s="14"/>
      <c r="Z20" s="13"/>
      <c r="AA20" s="15"/>
    </row>
    <row r="21" spans="2:27" s="199" customFormat="1" ht="15" customHeight="1" x14ac:dyDescent="0.25">
      <c r="B21" s="9">
        <f t="shared" si="7"/>
        <v>17</v>
      </c>
      <c r="C21" s="200"/>
      <c r="D21" s="197" t="s">
        <v>143</v>
      </c>
      <c r="E21" s="197" t="s">
        <v>129</v>
      </c>
      <c r="F21" s="9"/>
      <c r="G21" s="9" t="s">
        <v>202</v>
      </c>
      <c r="H21" s="198">
        <v>3038.5</v>
      </c>
      <c r="I21" s="59">
        <f t="shared" si="0"/>
        <v>282.28616022073783</v>
      </c>
      <c r="J21" s="99" t="s">
        <v>144</v>
      </c>
      <c r="K21" s="154">
        <v>2004</v>
      </c>
      <c r="L21" s="154">
        <v>2022</v>
      </c>
      <c r="M21" s="154">
        <f t="shared" si="1"/>
        <v>18</v>
      </c>
      <c r="N21" s="154">
        <f>VLOOKUP(E21,Sheet1!$E$6:$F$23,2,FALSE)</f>
        <v>40</v>
      </c>
      <c r="O21" s="62">
        <v>0.1</v>
      </c>
      <c r="P21" s="154">
        <f t="shared" si="2"/>
        <v>2.2499999999999999E-2</v>
      </c>
      <c r="Q21" s="154">
        <f>MATCH(E21,Sheet1!$E$6:$E$23,0)</f>
        <v>7</v>
      </c>
      <c r="R21" s="98">
        <f>HLOOKUP(J21,Sheet1!$E$6:$X$23,Building!Q21,FALSE)</f>
        <v>800</v>
      </c>
      <c r="S21" s="153">
        <f t="shared" si="3"/>
        <v>2430800</v>
      </c>
      <c r="T21" s="153">
        <f t="shared" si="4"/>
        <v>984474</v>
      </c>
      <c r="U21" s="153">
        <f t="shared" si="5"/>
        <v>1446326</v>
      </c>
      <c r="V21" s="66">
        <v>0.25</v>
      </c>
      <c r="W21" s="153">
        <f t="shared" si="6"/>
        <v>1084744.5</v>
      </c>
      <c r="X21" s="13"/>
      <c r="Y21" s="14"/>
      <c r="Z21" s="13"/>
      <c r="AA21" s="15"/>
    </row>
    <row r="22" spans="2:27" s="199" customFormat="1" ht="15" customHeight="1" x14ac:dyDescent="0.25">
      <c r="B22" s="9">
        <f t="shared" si="7"/>
        <v>18</v>
      </c>
      <c r="C22" s="200"/>
      <c r="D22" s="197" t="s">
        <v>147</v>
      </c>
      <c r="E22" s="197" t="s">
        <v>129</v>
      </c>
      <c r="F22" s="9"/>
      <c r="G22" s="9" t="s">
        <v>202</v>
      </c>
      <c r="H22" s="198">
        <v>2531.5</v>
      </c>
      <c r="I22" s="59">
        <f t="shared" si="0"/>
        <v>235.18427335816943</v>
      </c>
      <c r="J22" s="99" t="s">
        <v>148</v>
      </c>
      <c r="K22" s="154">
        <v>2004</v>
      </c>
      <c r="L22" s="154">
        <v>2022</v>
      </c>
      <c r="M22" s="154">
        <f t="shared" si="1"/>
        <v>18</v>
      </c>
      <c r="N22" s="154">
        <f>VLOOKUP(E22,Sheet1!$E$6:$F$23,2,FALSE)</f>
        <v>40</v>
      </c>
      <c r="O22" s="62">
        <v>0.1</v>
      </c>
      <c r="P22" s="154">
        <f t="shared" si="2"/>
        <v>2.2499999999999999E-2</v>
      </c>
      <c r="Q22" s="154">
        <f>MATCH(E22,Sheet1!$E$6:$E$23,0)</f>
        <v>7</v>
      </c>
      <c r="R22" s="98">
        <f>HLOOKUP(J22,Sheet1!$E$6:$X$23,Building!Q22,FALSE)</f>
        <v>600</v>
      </c>
      <c r="S22" s="153">
        <f t="shared" si="3"/>
        <v>1518900</v>
      </c>
      <c r="T22" s="153">
        <f t="shared" si="4"/>
        <v>615154.5</v>
      </c>
      <c r="U22" s="153">
        <f t="shared" si="5"/>
        <v>903745.5</v>
      </c>
      <c r="V22" s="66">
        <v>0.2</v>
      </c>
      <c r="W22" s="153">
        <f t="shared" si="6"/>
        <v>722996.4</v>
      </c>
      <c r="X22" s="13"/>
      <c r="Y22" s="14"/>
      <c r="Z22" s="13"/>
      <c r="AA22" s="15"/>
    </row>
    <row r="23" spans="2:27" s="199" customFormat="1" ht="15" customHeight="1" x14ac:dyDescent="0.25">
      <c r="B23" s="9">
        <f t="shared" si="7"/>
        <v>19</v>
      </c>
      <c r="C23" s="200"/>
      <c r="D23" s="197" t="s">
        <v>152</v>
      </c>
      <c r="E23" s="197" t="s">
        <v>199</v>
      </c>
      <c r="F23" s="9"/>
      <c r="G23" s="9" t="s">
        <v>83</v>
      </c>
      <c r="H23" s="198">
        <v>2466.75</v>
      </c>
      <c r="I23" s="59">
        <f t="shared" si="0"/>
        <v>229.16879569672705</v>
      </c>
      <c r="J23" s="99" t="s">
        <v>121</v>
      </c>
      <c r="K23" s="154">
        <v>2004</v>
      </c>
      <c r="L23" s="154">
        <v>2022</v>
      </c>
      <c r="M23" s="154">
        <f t="shared" si="1"/>
        <v>18</v>
      </c>
      <c r="N23" s="154">
        <f>VLOOKUP(E23,Sheet1!$E$6:$F$23,2,FALSE)</f>
        <v>60</v>
      </c>
      <c r="O23" s="62">
        <v>0.1</v>
      </c>
      <c r="P23" s="154">
        <f t="shared" si="2"/>
        <v>1.5000000000000001E-2</v>
      </c>
      <c r="Q23" s="154">
        <f>MATCH(E23,Sheet1!$E$6:$E$23,0)</f>
        <v>9</v>
      </c>
      <c r="R23" s="98">
        <f>HLOOKUP(J23,Sheet1!$E$6:$X$23,Building!Q23,FALSE)</f>
        <v>1100</v>
      </c>
      <c r="S23" s="153">
        <f t="shared" si="3"/>
        <v>2713425</v>
      </c>
      <c r="T23" s="153">
        <f t="shared" si="4"/>
        <v>732624.75</v>
      </c>
      <c r="U23" s="153">
        <f t="shared" si="5"/>
        <v>1980800.25</v>
      </c>
      <c r="V23" s="66">
        <v>0.1</v>
      </c>
      <c r="W23" s="153">
        <f t="shared" si="6"/>
        <v>1782720.2250000001</v>
      </c>
      <c r="X23" s="13"/>
      <c r="Y23" s="14"/>
      <c r="Z23" s="13"/>
      <c r="AA23" s="15"/>
    </row>
    <row r="24" spans="2:27" s="199" customFormat="1" ht="15" customHeight="1" x14ac:dyDescent="0.25">
      <c r="B24" s="9">
        <f t="shared" si="7"/>
        <v>20</v>
      </c>
      <c r="C24" s="200"/>
      <c r="D24" s="197" t="s">
        <v>154</v>
      </c>
      <c r="E24" s="197" t="s">
        <v>123</v>
      </c>
      <c r="F24" s="9"/>
      <c r="G24" s="9" t="s">
        <v>83</v>
      </c>
      <c r="H24" s="198">
        <v>2242</v>
      </c>
      <c r="I24" s="59">
        <f t="shared" si="0"/>
        <v>208.28881725025317</v>
      </c>
      <c r="J24" s="99" t="s">
        <v>121</v>
      </c>
      <c r="K24" s="154">
        <v>2004</v>
      </c>
      <c r="L24" s="154">
        <v>2022</v>
      </c>
      <c r="M24" s="154">
        <f t="shared" si="1"/>
        <v>18</v>
      </c>
      <c r="N24" s="154">
        <f>VLOOKUP(E24,Sheet1!$E$6:$F$23,2,FALSE)</f>
        <v>60</v>
      </c>
      <c r="O24" s="62">
        <v>0.1</v>
      </c>
      <c r="P24" s="154">
        <f t="shared" si="2"/>
        <v>1.5000000000000001E-2</v>
      </c>
      <c r="Q24" s="154">
        <f>MATCH(E24,Sheet1!$E$6:$E$23,0)</f>
        <v>5</v>
      </c>
      <c r="R24" s="98">
        <f>HLOOKUP(J24,Sheet1!$E$6:$X$23,Building!Q24,FALSE)</f>
        <v>1100</v>
      </c>
      <c r="S24" s="153">
        <f t="shared" si="3"/>
        <v>2466200</v>
      </c>
      <c r="T24" s="153">
        <f t="shared" si="4"/>
        <v>665874</v>
      </c>
      <c r="U24" s="153">
        <f t="shared" si="5"/>
        <v>1800326</v>
      </c>
      <c r="V24" s="66">
        <v>0.1</v>
      </c>
      <c r="W24" s="153">
        <f t="shared" si="6"/>
        <v>1620293.4000000001</v>
      </c>
      <c r="X24" s="13"/>
      <c r="Y24" s="14"/>
      <c r="Z24" s="13"/>
      <c r="AA24" s="15"/>
    </row>
    <row r="25" spans="2:27" s="199" customFormat="1" ht="15" customHeight="1" x14ac:dyDescent="0.25">
      <c r="B25" s="9">
        <f t="shared" si="7"/>
        <v>21</v>
      </c>
      <c r="C25" s="200"/>
      <c r="D25" s="197" t="s">
        <v>157</v>
      </c>
      <c r="E25" s="197" t="s">
        <v>123</v>
      </c>
      <c r="F25" s="9"/>
      <c r="G25" s="9" t="s">
        <v>83</v>
      </c>
      <c r="H25" s="198">
        <v>1777.41</v>
      </c>
      <c r="I25" s="59">
        <f t="shared" si="0"/>
        <v>165.12695212701718</v>
      </c>
      <c r="J25" s="99" t="s">
        <v>121</v>
      </c>
      <c r="K25" s="154">
        <v>2004</v>
      </c>
      <c r="L25" s="154">
        <v>2022</v>
      </c>
      <c r="M25" s="154">
        <f t="shared" si="1"/>
        <v>18</v>
      </c>
      <c r="N25" s="154">
        <f>VLOOKUP(E25,Sheet1!$E$6:$F$23,2,FALSE)</f>
        <v>60</v>
      </c>
      <c r="O25" s="62">
        <v>0.1</v>
      </c>
      <c r="P25" s="154">
        <f t="shared" si="2"/>
        <v>1.5000000000000001E-2</v>
      </c>
      <c r="Q25" s="154">
        <f>MATCH(E25,Sheet1!$E$6:$E$23,0)</f>
        <v>5</v>
      </c>
      <c r="R25" s="98">
        <f>HLOOKUP(J25,Sheet1!$E$6:$X$23,Building!Q25,FALSE)</f>
        <v>1100</v>
      </c>
      <c r="S25" s="153">
        <f t="shared" si="3"/>
        <v>1955151</v>
      </c>
      <c r="T25" s="153">
        <f t="shared" si="4"/>
        <v>527890.77</v>
      </c>
      <c r="U25" s="153">
        <f t="shared" si="5"/>
        <v>1427260.23</v>
      </c>
      <c r="V25" s="66">
        <v>0.15</v>
      </c>
      <c r="W25" s="153">
        <f t="shared" si="6"/>
        <v>1213171.1954999999</v>
      </c>
      <c r="X25" s="13"/>
      <c r="Y25" s="14"/>
      <c r="Z25" s="13"/>
      <c r="AA25" s="15"/>
    </row>
    <row r="26" spans="2:27" s="199" customFormat="1" ht="15" customHeight="1" x14ac:dyDescent="0.25">
      <c r="B26" s="9">
        <f t="shared" si="7"/>
        <v>22</v>
      </c>
      <c r="C26" s="200"/>
      <c r="D26" s="197" t="s">
        <v>159</v>
      </c>
      <c r="E26" s="197" t="s">
        <v>123</v>
      </c>
      <c r="F26" s="9"/>
      <c r="G26" s="9" t="s">
        <v>83</v>
      </c>
      <c r="H26" s="198">
        <v>1669.5</v>
      </c>
      <c r="I26" s="59">
        <f t="shared" si="0"/>
        <v>155.1017753788125</v>
      </c>
      <c r="J26" s="99" t="s">
        <v>121</v>
      </c>
      <c r="K26" s="154">
        <v>2004</v>
      </c>
      <c r="L26" s="154">
        <v>2022</v>
      </c>
      <c r="M26" s="154">
        <f t="shared" si="1"/>
        <v>18</v>
      </c>
      <c r="N26" s="154">
        <f>VLOOKUP(E26,Sheet1!$E$6:$F$23,2,FALSE)</f>
        <v>60</v>
      </c>
      <c r="O26" s="62">
        <v>0.1</v>
      </c>
      <c r="P26" s="154">
        <f t="shared" si="2"/>
        <v>1.5000000000000001E-2</v>
      </c>
      <c r="Q26" s="154">
        <f>MATCH(E26,Sheet1!$E$6:$E$23,0)</f>
        <v>5</v>
      </c>
      <c r="R26" s="98">
        <f>HLOOKUP(J26,Sheet1!$E$6:$X$23,Building!Q26,FALSE)</f>
        <v>1100</v>
      </c>
      <c r="S26" s="153">
        <f t="shared" si="3"/>
        <v>1836450</v>
      </c>
      <c r="T26" s="153">
        <f t="shared" si="4"/>
        <v>495841.50000000006</v>
      </c>
      <c r="U26" s="153">
        <f t="shared" si="5"/>
        <v>1340608.5</v>
      </c>
      <c r="V26" s="66">
        <v>0.15</v>
      </c>
      <c r="W26" s="153">
        <f t="shared" si="6"/>
        <v>1139517.2249999999</v>
      </c>
      <c r="X26" s="13"/>
      <c r="Y26" s="14"/>
      <c r="Z26" s="13"/>
      <c r="AA26" s="15"/>
    </row>
    <row r="27" spans="2:27" s="199" customFormat="1" ht="15" customHeight="1" x14ac:dyDescent="0.25">
      <c r="B27" s="9">
        <f t="shared" si="7"/>
        <v>23</v>
      </c>
      <c r="C27" s="200"/>
      <c r="D27" s="197" t="s">
        <v>160</v>
      </c>
      <c r="E27" s="197" t="s">
        <v>123</v>
      </c>
      <c r="F27" s="9"/>
      <c r="G27" s="9" t="s">
        <v>83</v>
      </c>
      <c r="H27" s="198">
        <v>1638</v>
      </c>
      <c r="I27" s="59">
        <f t="shared" si="0"/>
        <v>152.17532678675946</v>
      </c>
      <c r="J27" s="99" t="s">
        <v>121</v>
      </c>
      <c r="K27" s="154">
        <v>2004</v>
      </c>
      <c r="L27" s="154">
        <v>2022</v>
      </c>
      <c r="M27" s="154">
        <f t="shared" si="1"/>
        <v>18</v>
      </c>
      <c r="N27" s="154">
        <f>VLOOKUP(E27,Sheet1!$E$6:$F$23,2,FALSE)</f>
        <v>60</v>
      </c>
      <c r="O27" s="62">
        <v>0.1</v>
      </c>
      <c r="P27" s="154">
        <f t="shared" si="2"/>
        <v>1.5000000000000001E-2</v>
      </c>
      <c r="Q27" s="154">
        <f>MATCH(E27,Sheet1!$E$6:$E$23,0)</f>
        <v>5</v>
      </c>
      <c r="R27" s="98">
        <f>HLOOKUP(J27,Sheet1!$E$6:$X$23,Building!Q27,FALSE)</f>
        <v>1100</v>
      </c>
      <c r="S27" s="153">
        <f t="shared" si="3"/>
        <v>1801800</v>
      </c>
      <c r="T27" s="153">
        <f t="shared" si="4"/>
        <v>486486.00000000006</v>
      </c>
      <c r="U27" s="153">
        <f t="shared" si="5"/>
        <v>1315314</v>
      </c>
      <c r="V27" s="66">
        <v>0.15</v>
      </c>
      <c r="W27" s="153">
        <f t="shared" si="6"/>
        <v>1118016.8999999999</v>
      </c>
      <c r="X27" s="13"/>
      <c r="Y27" s="14"/>
      <c r="Z27" s="13"/>
      <c r="AA27" s="15"/>
    </row>
    <row r="28" spans="2:27" s="199" customFormat="1" ht="15" customHeight="1" x14ac:dyDescent="0.25">
      <c r="B28" s="9">
        <f t="shared" si="7"/>
        <v>24</v>
      </c>
      <c r="C28" s="200"/>
      <c r="D28" s="197" t="s">
        <v>162</v>
      </c>
      <c r="E28" s="197" t="s">
        <v>123</v>
      </c>
      <c r="F28" s="9"/>
      <c r="G28" s="9" t="s">
        <v>83</v>
      </c>
      <c r="H28" s="198">
        <v>1493.1</v>
      </c>
      <c r="I28" s="59">
        <f t="shared" si="0"/>
        <v>138.71366326331534</v>
      </c>
      <c r="J28" s="99" t="s">
        <v>121</v>
      </c>
      <c r="K28" s="154">
        <v>2004</v>
      </c>
      <c r="L28" s="154">
        <v>2022</v>
      </c>
      <c r="M28" s="154">
        <f t="shared" si="1"/>
        <v>18</v>
      </c>
      <c r="N28" s="154">
        <f>VLOOKUP(E28,Sheet1!$E$6:$F$23,2,FALSE)</f>
        <v>60</v>
      </c>
      <c r="O28" s="62">
        <v>0.1</v>
      </c>
      <c r="P28" s="154">
        <f t="shared" si="2"/>
        <v>1.5000000000000001E-2</v>
      </c>
      <c r="Q28" s="154">
        <f>MATCH(E28,Sheet1!$E$6:$E$23,0)</f>
        <v>5</v>
      </c>
      <c r="R28" s="98">
        <f>HLOOKUP(J28,Sheet1!$E$6:$X$23,Building!Q28,FALSE)</f>
        <v>1100</v>
      </c>
      <c r="S28" s="153">
        <f t="shared" si="3"/>
        <v>1642410</v>
      </c>
      <c r="T28" s="153">
        <f t="shared" si="4"/>
        <v>443450.7</v>
      </c>
      <c r="U28" s="153">
        <f t="shared" si="5"/>
        <v>1198959.3</v>
      </c>
      <c r="V28" s="66">
        <v>0.15</v>
      </c>
      <c r="W28" s="153">
        <f t="shared" si="6"/>
        <v>1019115.405</v>
      </c>
      <c r="X28" s="13"/>
      <c r="Y28" s="14"/>
      <c r="Z28" s="13"/>
      <c r="AA28" s="15"/>
    </row>
    <row r="29" spans="2:27" s="199" customFormat="1" ht="15" customHeight="1" x14ac:dyDescent="0.25">
      <c r="B29" s="9">
        <f t="shared" si="7"/>
        <v>25</v>
      </c>
      <c r="C29" s="200"/>
      <c r="D29" s="197" t="s">
        <v>163</v>
      </c>
      <c r="E29" s="197" t="s">
        <v>123</v>
      </c>
      <c r="F29" s="9"/>
      <c r="G29" s="9" t="s">
        <v>83</v>
      </c>
      <c r="H29" s="198">
        <v>1493.1</v>
      </c>
      <c r="I29" s="59">
        <f t="shared" si="0"/>
        <v>138.71366326331534</v>
      </c>
      <c r="J29" s="99" t="s">
        <v>121</v>
      </c>
      <c r="K29" s="154">
        <v>2004</v>
      </c>
      <c r="L29" s="154">
        <v>2022</v>
      </c>
      <c r="M29" s="154">
        <f t="shared" si="1"/>
        <v>18</v>
      </c>
      <c r="N29" s="154">
        <f>VLOOKUP(E29,Sheet1!$E$6:$F$23,2,FALSE)</f>
        <v>60</v>
      </c>
      <c r="O29" s="62">
        <v>0.1</v>
      </c>
      <c r="P29" s="154">
        <f t="shared" si="2"/>
        <v>1.5000000000000001E-2</v>
      </c>
      <c r="Q29" s="154">
        <f>MATCH(E29,Sheet1!$E$6:$E$23,0)</f>
        <v>5</v>
      </c>
      <c r="R29" s="98">
        <f>HLOOKUP(J29,Sheet1!$E$6:$X$23,Building!Q29,FALSE)</f>
        <v>1100</v>
      </c>
      <c r="S29" s="153">
        <f t="shared" si="3"/>
        <v>1642410</v>
      </c>
      <c r="T29" s="153">
        <f t="shared" si="4"/>
        <v>443450.7</v>
      </c>
      <c r="U29" s="153">
        <f t="shared" si="5"/>
        <v>1198959.3</v>
      </c>
      <c r="V29" s="66">
        <v>0.15</v>
      </c>
      <c r="W29" s="153">
        <f t="shared" si="6"/>
        <v>1019115.405</v>
      </c>
      <c r="X29" s="13"/>
      <c r="Y29" s="14"/>
      <c r="Z29" s="13"/>
      <c r="AA29" s="15"/>
    </row>
    <row r="30" spans="2:27" s="199" customFormat="1" ht="15" customHeight="1" x14ac:dyDescent="0.25">
      <c r="B30" s="9">
        <f t="shared" si="7"/>
        <v>26</v>
      </c>
      <c r="C30" s="200"/>
      <c r="D30" s="197" t="s">
        <v>164</v>
      </c>
      <c r="E30" s="197" t="s">
        <v>123</v>
      </c>
      <c r="F30" s="9"/>
      <c r="G30" s="9" t="s">
        <v>83</v>
      </c>
      <c r="H30" s="198">
        <v>1421.16</v>
      </c>
      <c r="I30" s="59">
        <f t="shared" si="0"/>
        <v>132.03021209784558</v>
      </c>
      <c r="J30" s="99" t="s">
        <v>148</v>
      </c>
      <c r="K30" s="154">
        <v>2004</v>
      </c>
      <c r="L30" s="154">
        <v>2022</v>
      </c>
      <c r="M30" s="154">
        <f t="shared" si="1"/>
        <v>18</v>
      </c>
      <c r="N30" s="154">
        <f>VLOOKUP(E30,Sheet1!$E$6:$F$23,2,FALSE)</f>
        <v>60</v>
      </c>
      <c r="O30" s="62">
        <v>0.1</v>
      </c>
      <c r="P30" s="154">
        <f t="shared" si="2"/>
        <v>1.5000000000000001E-2</v>
      </c>
      <c r="Q30" s="154">
        <f>MATCH(E30,Sheet1!$E$6:$E$23,0)</f>
        <v>5</v>
      </c>
      <c r="R30" s="98">
        <f>HLOOKUP(J30,Sheet1!$E$6:$X$23,Building!Q30,FALSE)</f>
        <v>1000</v>
      </c>
      <c r="S30" s="153">
        <f t="shared" si="3"/>
        <v>1421160</v>
      </c>
      <c r="T30" s="153">
        <f t="shared" si="4"/>
        <v>383713.2</v>
      </c>
      <c r="U30" s="153">
        <f t="shared" si="5"/>
        <v>1037446.8</v>
      </c>
      <c r="V30" s="66">
        <v>0.15</v>
      </c>
      <c r="W30" s="153">
        <f t="shared" si="6"/>
        <v>881829.78</v>
      </c>
      <c r="X30" s="13"/>
      <c r="Y30" s="14"/>
      <c r="Z30" s="13"/>
      <c r="AA30" s="15"/>
    </row>
    <row r="31" spans="2:27" s="199" customFormat="1" ht="15" customHeight="1" x14ac:dyDescent="0.25">
      <c r="B31" s="9">
        <f t="shared" si="7"/>
        <v>27</v>
      </c>
      <c r="C31" s="200"/>
      <c r="D31" s="197" t="s">
        <v>159</v>
      </c>
      <c r="E31" s="197" t="s">
        <v>123</v>
      </c>
      <c r="F31" s="9"/>
      <c r="G31" s="9" t="s">
        <v>83</v>
      </c>
      <c r="H31" s="198">
        <v>1218</v>
      </c>
      <c r="I31" s="59">
        <f t="shared" si="0"/>
        <v>113.1560122260519</v>
      </c>
      <c r="J31" s="99" t="s">
        <v>121</v>
      </c>
      <c r="K31" s="154">
        <v>2004</v>
      </c>
      <c r="L31" s="154">
        <v>2022</v>
      </c>
      <c r="M31" s="154">
        <f t="shared" si="1"/>
        <v>18</v>
      </c>
      <c r="N31" s="154">
        <f>VLOOKUP(E31,Sheet1!$E$6:$F$23,2,FALSE)</f>
        <v>60</v>
      </c>
      <c r="O31" s="62">
        <v>0.1</v>
      </c>
      <c r="P31" s="154">
        <f t="shared" si="2"/>
        <v>1.5000000000000001E-2</v>
      </c>
      <c r="Q31" s="154">
        <f>MATCH(E31,Sheet1!$E$6:$E$23,0)</f>
        <v>5</v>
      </c>
      <c r="R31" s="98">
        <f>HLOOKUP(J31,Sheet1!$E$6:$X$23,Building!Q31,FALSE)</f>
        <v>1100</v>
      </c>
      <c r="S31" s="153">
        <f t="shared" si="3"/>
        <v>1339800</v>
      </c>
      <c r="T31" s="153">
        <f t="shared" si="4"/>
        <v>361746</v>
      </c>
      <c r="U31" s="153">
        <f t="shared" si="5"/>
        <v>978054</v>
      </c>
      <c r="V31" s="66">
        <v>0.15</v>
      </c>
      <c r="W31" s="153">
        <f t="shared" si="6"/>
        <v>831345.9</v>
      </c>
      <c r="X31" s="13"/>
      <c r="Y31" s="14"/>
      <c r="Z31" s="13"/>
      <c r="AA31" s="15"/>
    </row>
    <row r="32" spans="2:27" s="199" customFormat="1" ht="15" customHeight="1" x14ac:dyDescent="0.25">
      <c r="B32" s="9">
        <f t="shared" si="7"/>
        <v>28</v>
      </c>
      <c r="C32" s="200"/>
      <c r="D32" s="197" t="s">
        <v>166</v>
      </c>
      <c r="E32" s="197" t="s">
        <v>167</v>
      </c>
      <c r="F32" s="9"/>
      <c r="G32" s="9" t="s">
        <v>83</v>
      </c>
      <c r="H32" s="198">
        <v>1044</v>
      </c>
      <c r="I32" s="59">
        <f t="shared" si="0"/>
        <v>96.9908676223302</v>
      </c>
      <c r="J32" s="99" t="s">
        <v>121</v>
      </c>
      <c r="K32" s="154">
        <v>2004</v>
      </c>
      <c r="L32" s="154">
        <v>2022</v>
      </c>
      <c r="M32" s="154">
        <f t="shared" si="1"/>
        <v>18</v>
      </c>
      <c r="N32" s="154">
        <f>VLOOKUP(E32,Sheet1!$E$6:$F$23,2,FALSE)</f>
        <v>45</v>
      </c>
      <c r="O32" s="62">
        <v>0.1</v>
      </c>
      <c r="P32" s="154">
        <f t="shared" si="2"/>
        <v>0.02</v>
      </c>
      <c r="Q32" s="154">
        <f>MATCH(E32,Sheet1!$E$6:$E$23,0)</f>
        <v>10</v>
      </c>
      <c r="R32" s="98">
        <f>HLOOKUP(J32,Sheet1!$E$6:$X$23,Building!Q32,FALSE)</f>
        <v>700</v>
      </c>
      <c r="S32" s="153">
        <f t="shared" si="3"/>
        <v>730800</v>
      </c>
      <c r="T32" s="153">
        <f t="shared" si="4"/>
        <v>263088</v>
      </c>
      <c r="U32" s="153">
        <f t="shared" si="5"/>
        <v>467712</v>
      </c>
      <c r="V32" s="66">
        <v>0.15</v>
      </c>
      <c r="W32" s="153">
        <f t="shared" si="6"/>
        <v>397555.20000000001</v>
      </c>
      <c r="X32" s="13"/>
      <c r="Y32" s="14"/>
      <c r="Z32" s="13"/>
      <c r="AA32" s="15"/>
    </row>
    <row r="33" spans="2:27" s="199" customFormat="1" ht="15" customHeight="1" x14ac:dyDescent="0.25">
      <c r="B33" s="9">
        <f t="shared" si="7"/>
        <v>29</v>
      </c>
      <c r="C33" s="200"/>
      <c r="D33" s="197" t="s">
        <v>173</v>
      </c>
      <c r="E33" s="197" t="s">
        <v>132</v>
      </c>
      <c r="F33" s="9"/>
      <c r="G33" s="9" t="s">
        <v>83</v>
      </c>
      <c r="H33" s="198">
        <v>800</v>
      </c>
      <c r="I33" s="59">
        <f t="shared" si="0"/>
        <v>74.322503925157235</v>
      </c>
      <c r="J33" s="99" t="s">
        <v>174</v>
      </c>
      <c r="K33" s="154">
        <v>2004</v>
      </c>
      <c r="L33" s="154">
        <v>2022</v>
      </c>
      <c r="M33" s="154">
        <f t="shared" si="1"/>
        <v>18</v>
      </c>
      <c r="N33" s="154">
        <f>VLOOKUP(E33,Sheet1!$E$6:$F$23,2,FALSE)</f>
        <v>45</v>
      </c>
      <c r="O33" s="62">
        <v>0.1</v>
      </c>
      <c r="P33" s="154">
        <f t="shared" si="2"/>
        <v>0.02</v>
      </c>
      <c r="Q33" s="154">
        <f>MATCH(E33,Sheet1!$E$6:$E$23,0)</f>
        <v>11</v>
      </c>
      <c r="R33" s="98">
        <f>HLOOKUP(J33,Sheet1!$E$6:$X$23,Building!Q33,FALSE)</f>
        <v>700</v>
      </c>
      <c r="S33" s="153">
        <f t="shared" si="3"/>
        <v>560000</v>
      </c>
      <c r="T33" s="153">
        <f t="shared" si="4"/>
        <v>201600</v>
      </c>
      <c r="U33" s="153">
        <f t="shared" si="5"/>
        <v>358400</v>
      </c>
      <c r="V33" s="66">
        <v>0.15</v>
      </c>
      <c r="W33" s="153">
        <f t="shared" si="6"/>
        <v>304640</v>
      </c>
      <c r="X33" s="13"/>
      <c r="Y33" s="14"/>
      <c r="Z33" s="13"/>
      <c r="AA33" s="15"/>
    </row>
    <row r="34" spans="2:27" s="199" customFormat="1" ht="15" customHeight="1" x14ac:dyDescent="0.25">
      <c r="B34" s="9">
        <f t="shared" si="7"/>
        <v>30</v>
      </c>
      <c r="C34" s="200"/>
      <c r="D34" s="197" t="s">
        <v>176</v>
      </c>
      <c r="E34" s="197" t="s">
        <v>123</v>
      </c>
      <c r="F34" s="9"/>
      <c r="G34" s="9" t="s">
        <v>83</v>
      </c>
      <c r="H34" s="198">
        <v>727.81</v>
      </c>
      <c r="I34" s="59">
        <f t="shared" si="0"/>
        <v>67.615826977210858</v>
      </c>
      <c r="J34" s="99" t="s">
        <v>121</v>
      </c>
      <c r="K34" s="154">
        <v>2004</v>
      </c>
      <c r="L34" s="154">
        <v>2022</v>
      </c>
      <c r="M34" s="154">
        <f t="shared" si="1"/>
        <v>18</v>
      </c>
      <c r="N34" s="154">
        <f>VLOOKUP(E34,Sheet1!$E$6:$F$23,2,FALSE)</f>
        <v>60</v>
      </c>
      <c r="O34" s="62">
        <v>0.1</v>
      </c>
      <c r="P34" s="154">
        <f t="shared" si="2"/>
        <v>1.5000000000000001E-2</v>
      </c>
      <c r="Q34" s="154">
        <f>MATCH(E34,Sheet1!$E$6:$E$23,0)</f>
        <v>5</v>
      </c>
      <c r="R34" s="98">
        <f>HLOOKUP(J34,Sheet1!$E$6:$X$23,Building!Q34,FALSE)</f>
        <v>1100</v>
      </c>
      <c r="S34" s="153">
        <f t="shared" si="3"/>
        <v>800590.99999999988</v>
      </c>
      <c r="T34" s="153">
        <f t="shared" si="4"/>
        <v>216159.57</v>
      </c>
      <c r="U34" s="153">
        <f t="shared" si="5"/>
        <v>584431.42999999993</v>
      </c>
      <c r="V34" s="66">
        <v>0.15</v>
      </c>
      <c r="W34" s="153">
        <f t="shared" si="6"/>
        <v>496766.71549999993</v>
      </c>
      <c r="X34" s="13"/>
      <c r="Y34" s="14"/>
      <c r="Z34" s="13"/>
      <c r="AA34" s="15"/>
    </row>
    <row r="35" spans="2:27" s="199" customFormat="1" ht="15" customHeight="1" x14ac:dyDescent="0.25">
      <c r="B35" s="9">
        <f t="shared" si="7"/>
        <v>31</v>
      </c>
      <c r="C35" s="200"/>
      <c r="D35" s="197" t="s">
        <v>179</v>
      </c>
      <c r="E35" s="197" t="s">
        <v>123</v>
      </c>
      <c r="F35" s="9"/>
      <c r="G35" s="9" t="s">
        <v>83</v>
      </c>
      <c r="H35" s="198">
        <v>634.5</v>
      </c>
      <c r="I35" s="59">
        <f t="shared" si="0"/>
        <v>58.947035925640336</v>
      </c>
      <c r="J35" s="99" t="s">
        <v>121</v>
      </c>
      <c r="K35" s="154">
        <v>2004</v>
      </c>
      <c r="L35" s="154">
        <v>2022</v>
      </c>
      <c r="M35" s="154">
        <f t="shared" si="1"/>
        <v>18</v>
      </c>
      <c r="N35" s="154">
        <f>VLOOKUP(E35,Sheet1!$E$6:$F$23,2,FALSE)</f>
        <v>60</v>
      </c>
      <c r="O35" s="62">
        <v>0.1</v>
      </c>
      <c r="P35" s="154">
        <f t="shared" si="2"/>
        <v>1.5000000000000001E-2</v>
      </c>
      <c r="Q35" s="154">
        <f>MATCH(E35,Sheet1!$E$6:$E$23,0)</f>
        <v>5</v>
      </c>
      <c r="R35" s="98">
        <f>HLOOKUP(J35,Sheet1!$E$6:$X$23,Building!Q35,FALSE)</f>
        <v>1100</v>
      </c>
      <c r="S35" s="153">
        <f t="shared" si="3"/>
        <v>697950</v>
      </c>
      <c r="T35" s="153">
        <f t="shared" si="4"/>
        <v>188446.5</v>
      </c>
      <c r="U35" s="153">
        <f t="shared" si="5"/>
        <v>509503.5</v>
      </c>
      <c r="V35" s="66">
        <v>0.15</v>
      </c>
      <c r="W35" s="153">
        <f t="shared" si="6"/>
        <v>433077.97499999998</v>
      </c>
      <c r="X35" s="13"/>
      <c r="Y35" s="14"/>
      <c r="Z35" s="13"/>
      <c r="AA35" s="15"/>
    </row>
    <row r="36" spans="2:27" s="199" customFormat="1" ht="15" customHeight="1" x14ac:dyDescent="0.25">
      <c r="B36" s="9">
        <f t="shared" si="7"/>
        <v>32</v>
      </c>
      <c r="C36" s="200"/>
      <c r="D36" s="197" t="s">
        <v>180</v>
      </c>
      <c r="E36" s="197" t="s">
        <v>129</v>
      </c>
      <c r="F36" s="9"/>
      <c r="G36" s="9" t="s">
        <v>83</v>
      </c>
      <c r="H36" s="198">
        <v>545.79999999999995</v>
      </c>
      <c r="I36" s="59">
        <f t="shared" si="0"/>
        <v>50.706528302938523</v>
      </c>
      <c r="J36" s="99" t="s">
        <v>148</v>
      </c>
      <c r="K36" s="154">
        <v>2004</v>
      </c>
      <c r="L36" s="154">
        <v>2022</v>
      </c>
      <c r="M36" s="154">
        <f t="shared" si="1"/>
        <v>18</v>
      </c>
      <c r="N36" s="154">
        <f>VLOOKUP(E36,Sheet1!$E$6:$F$23,2,FALSE)</f>
        <v>40</v>
      </c>
      <c r="O36" s="62">
        <v>0.1</v>
      </c>
      <c r="P36" s="154">
        <f t="shared" si="2"/>
        <v>2.2499999999999999E-2</v>
      </c>
      <c r="Q36" s="154">
        <f>MATCH(E36,Sheet1!$E$6:$E$23,0)</f>
        <v>7</v>
      </c>
      <c r="R36" s="98">
        <f>HLOOKUP(J36,Sheet1!$E$6:$X$23,Building!Q36,FALSE)</f>
        <v>600</v>
      </c>
      <c r="S36" s="153">
        <f t="shared" si="3"/>
        <v>327480</v>
      </c>
      <c r="T36" s="153">
        <f t="shared" si="4"/>
        <v>132629.4</v>
      </c>
      <c r="U36" s="153">
        <f t="shared" si="5"/>
        <v>194850.6</v>
      </c>
      <c r="V36" s="66">
        <v>0.15</v>
      </c>
      <c r="W36" s="153">
        <f t="shared" si="6"/>
        <v>165623.01</v>
      </c>
      <c r="X36" s="13"/>
      <c r="Y36" s="14"/>
      <c r="Z36" s="13"/>
      <c r="AA36" s="15"/>
    </row>
    <row r="37" spans="2:27" s="199" customFormat="1" ht="15" customHeight="1" x14ac:dyDescent="0.25">
      <c r="B37" s="9">
        <f t="shared" si="7"/>
        <v>33</v>
      </c>
      <c r="C37" s="200"/>
      <c r="D37" s="197" t="s">
        <v>181</v>
      </c>
      <c r="E37" s="197" t="s">
        <v>129</v>
      </c>
      <c r="F37" s="9"/>
      <c r="G37" s="9" t="s">
        <v>83</v>
      </c>
      <c r="H37" s="198">
        <v>438</v>
      </c>
      <c r="I37" s="59">
        <f t="shared" si="0"/>
        <v>40.691570899023588</v>
      </c>
      <c r="J37" s="99" t="s">
        <v>148</v>
      </c>
      <c r="K37" s="154">
        <v>2004</v>
      </c>
      <c r="L37" s="154">
        <v>2022</v>
      </c>
      <c r="M37" s="154">
        <f t="shared" si="1"/>
        <v>18</v>
      </c>
      <c r="N37" s="154">
        <f>VLOOKUP(E37,Sheet1!$E$6:$F$23,2,FALSE)</f>
        <v>40</v>
      </c>
      <c r="O37" s="62">
        <v>0.1</v>
      </c>
      <c r="P37" s="154">
        <f t="shared" si="2"/>
        <v>2.2499999999999999E-2</v>
      </c>
      <c r="Q37" s="154">
        <f>MATCH(E37,Sheet1!$E$6:$E$23,0)</f>
        <v>7</v>
      </c>
      <c r="R37" s="98">
        <f>HLOOKUP(J37,Sheet1!$E$6:$X$23,Building!Q37,FALSE)</f>
        <v>600</v>
      </c>
      <c r="S37" s="153">
        <f t="shared" si="3"/>
        <v>262800</v>
      </c>
      <c r="T37" s="153">
        <f t="shared" si="4"/>
        <v>106434</v>
      </c>
      <c r="U37" s="153">
        <f t="shared" si="5"/>
        <v>156366</v>
      </c>
      <c r="V37" s="66">
        <v>0.15</v>
      </c>
      <c r="W37" s="153">
        <f t="shared" si="6"/>
        <v>132911.1</v>
      </c>
      <c r="X37" s="13"/>
      <c r="Y37" s="14"/>
      <c r="Z37" s="13"/>
      <c r="AA37" s="15"/>
    </row>
    <row r="38" spans="2:27" s="199" customFormat="1" ht="15" customHeight="1" x14ac:dyDescent="0.25">
      <c r="B38" s="9">
        <f t="shared" si="7"/>
        <v>34</v>
      </c>
      <c r="C38" s="200"/>
      <c r="D38" s="197" t="s">
        <v>183</v>
      </c>
      <c r="E38" s="197" t="s">
        <v>123</v>
      </c>
      <c r="F38" s="9"/>
      <c r="G38" s="9" t="s">
        <v>83</v>
      </c>
      <c r="H38" s="198">
        <v>406.89</v>
      </c>
      <c r="I38" s="59">
        <f t="shared" si="0"/>
        <v>37.801354527634039</v>
      </c>
      <c r="J38" s="99" t="s">
        <v>151</v>
      </c>
      <c r="K38" s="154">
        <v>2004</v>
      </c>
      <c r="L38" s="154">
        <v>2022</v>
      </c>
      <c r="M38" s="154">
        <f t="shared" si="1"/>
        <v>18</v>
      </c>
      <c r="N38" s="154">
        <f>VLOOKUP(E38,Sheet1!$E$6:$F$23,2,FALSE)</f>
        <v>60</v>
      </c>
      <c r="O38" s="62">
        <v>0.1</v>
      </c>
      <c r="P38" s="154">
        <f t="shared" si="2"/>
        <v>1.5000000000000001E-2</v>
      </c>
      <c r="Q38" s="154">
        <f>MATCH(E38,Sheet1!$E$6:$E$23,0)</f>
        <v>5</v>
      </c>
      <c r="R38" s="98">
        <f>HLOOKUP(J38,Sheet1!$E$6:$X$23,Building!Q38,FALSE)</f>
        <v>1000</v>
      </c>
      <c r="S38" s="153">
        <f t="shared" si="3"/>
        <v>406890</v>
      </c>
      <c r="T38" s="153">
        <f t="shared" si="4"/>
        <v>109860.3</v>
      </c>
      <c r="U38" s="153">
        <f t="shared" si="5"/>
        <v>297029.7</v>
      </c>
      <c r="V38" s="66">
        <v>0.15</v>
      </c>
      <c r="W38" s="153">
        <f t="shared" si="6"/>
        <v>252475.245</v>
      </c>
      <c r="X38" s="13"/>
      <c r="Y38" s="14"/>
      <c r="Z38" s="13"/>
      <c r="AA38" s="15"/>
    </row>
    <row r="39" spans="2:27" s="199" customFormat="1" ht="15" customHeight="1" x14ac:dyDescent="0.25">
      <c r="B39" s="9">
        <f t="shared" si="7"/>
        <v>35</v>
      </c>
      <c r="C39" s="200"/>
      <c r="D39" s="197" t="s">
        <v>184</v>
      </c>
      <c r="E39" s="197" t="s">
        <v>129</v>
      </c>
      <c r="F39" s="9"/>
      <c r="G39" s="9" t="s">
        <v>83</v>
      </c>
      <c r="H39" s="198">
        <v>379.75</v>
      </c>
      <c r="I39" s="59">
        <f t="shared" si="0"/>
        <v>35.279963581973078</v>
      </c>
      <c r="J39" s="99" t="s">
        <v>148</v>
      </c>
      <c r="K39" s="154">
        <v>2004</v>
      </c>
      <c r="L39" s="154">
        <v>2022</v>
      </c>
      <c r="M39" s="154">
        <f t="shared" si="1"/>
        <v>18</v>
      </c>
      <c r="N39" s="154">
        <f>VLOOKUP(E39,Sheet1!$E$6:$F$23,2,FALSE)</f>
        <v>40</v>
      </c>
      <c r="O39" s="62">
        <v>0.1</v>
      </c>
      <c r="P39" s="154">
        <f t="shared" si="2"/>
        <v>2.2499999999999999E-2</v>
      </c>
      <c r="Q39" s="154">
        <f>MATCH(E39,Sheet1!$E$6:$E$23,0)</f>
        <v>7</v>
      </c>
      <c r="R39" s="98">
        <f>HLOOKUP(J39,Sheet1!$E$6:$X$23,Building!Q39,FALSE)</f>
        <v>600</v>
      </c>
      <c r="S39" s="153">
        <f t="shared" si="3"/>
        <v>227850</v>
      </c>
      <c r="T39" s="153">
        <f t="shared" si="4"/>
        <v>92279.25</v>
      </c>
      <c r="U39" s="153">
        <f t="shared" si="5"/>
        <v>135570.75</v>
      </c>
      <c r="V39" s="66">
        <v>0.15</v>
      </c>
      <c r="W39" s="153">
        <f t="shared" si="6"/>
        <v>115235.1375</v>
      </c>
      <c r="X39" s="13"/>
      <c r="Y39" s="14"/>
      <c r="Z39" s="13"/>
      <c r="AA39" s="15"/>
    </row>
    <row r="40" spans="2:27" s="199" customFormat="1" ht="15" customHeight="1" x14ac:dyDescent="0.25">
      <c r="B40" s="9">
        <f t="shared" si="7"/>
        <v>36</v>
      </c>
      <c r="C40" s="200"/>
      <c r="D40" s="197" t="s">
        <v>186</v>
      </c>
      <c r="E40" s="197" t="s">
        <v>123</v>
      </c>
      <c r="F40" s="9"/>
      <c r="G40" s="9" t="s">
        <v>83</v>
      </c>
      <c r="H40" s="198">
        <v>345.24</v>
      </c>
      <c r="I40" s="59">
        <f t="shared" si="0"/>
        <v>32.073876568901611</v>
      </c>
      <c r="J40" s="99" t="s">
        <v>138</v>
      </c>
      <c r="K40" s="154">
        <v>2004</v>
      </c>
      <c r="L40" s="154">
        <v>2022</v>
      </c>
      <c r="M40" s="154">
        <f t="shared" si="1"/>
        <v>18</v>
      </c>
      <c r="N40" s="154">
        <f>VLOOKUP(E40,Sheet1!$E$6:$F$23,2,FALSE)</f>
        <v>60</v>
      </c>
      <c r="O40" s="62">
        <v>0.1</v>
      </c>
      <c r="P40" s="154">
        <f t="shared" si="2"/>
        <v>1.5000000000000001E-2</v>
      </c>
      <c r="Q40" s="154">
        <f>MATCH(E40,Sheet1!$E$6:$E$23,0)</f>
        <v>5</v>
      </c>
      <c r="R40" s="98">
        <f>HLOOKUP(J40,Sheet1!$E$6:$X$23,Building!Q40,FALSE)</f>
        <v>1200</v>
      </c>
      <c r="S40" s="153">
        <f t="shared" si="3"/>
        <v>414288</v>
      </c>
      <c r="T40" s="153">
        <f t="shared" si="4"/>
        <v>111857.76000000001</v>
      </c>
      <c r="U40" s="153">
        <f t="shared" si="5"/>
        <v>302430.24</v>
      </c>
      <c r="V40" s="66">
        <v>0.15</v>
      </c>
      <c r="W40" s="153">
        <f t="shared" si="6"/>
        <v>257065.704</v>
      </c>
      <c r="X40" s="13"/>
      <c r="Y40" s="14"/>
      <c r="Z40" s="13"/>
      <c r="AA40" s="15"/>
    </row>
    <row r="41" spans="2:27" s="199" customFormat="1" ht="15" customHeight="1" x14ac:dyDescent="0.25">
      <c r="B41" s="9">
        <f t="shared" si="7"/>
        <v>37</v>
      </c>
      <c r="C41" s="200"/>
      <c r="D41" s="197" t="s">
        <v>188</v>
      </c>
      <c r="E41" s="197" t="s">
        <v>129</v>
      </c>
      <c r="F41" s="9"/>
      <c r="G41" s="9" t="s">
        <v>83</v>
      </c>
      <c r="H41" s="198">
        <v>300</v>
      </c>
      <c r="I41" s="59">
        <f t="shared" si="0"/>
        <v>27.870938971933967</v>
      </c>
      <c r="J41" s="99" t="s">
        <v>148</v>
      </c>
      <c r="K41" s="154">
        <v>2004</v>
      </c>
      <c r="L41" s="154">
        <v>2022</v>
      </c>
      <c r="M41" s="154">
        <f t="shared" si="1"/>
        <v>18</v>
      </c>
      <c r="N41" s="154">
        <f>VLOOKUP(E41,Sheet1!$E$6:$F$23,2,FALSE)</f>
        <v>40</v>
      </c>
      <c r="O41" s="62">
        <v>0.1</v>
      </c>
      <c r="P41" s="154">
        <f t="shared" si="2"/>
        <v>2.2499999999999999E-2</v>
      </c>
      <c r="Q41" s="154">
        <f>MATCH(E41,Sheet1!$E$6:$E$23,0)</f>
        <v>7</v>
      </c>
      <c r="R41" s="98">
        <f>HLOOKUP(J41,Sheet1!$E$6:$X$23,Building!Q41,FALSE)</f>
        <v>600</v>
      </c>
      <c r="S41" s="153">
        <f t="shared" si="3"/>
        <v>180000</v>
      </c>
      <c r="T41" s="153">
        <f t="shared" si="4"/>
        <v>72900</v>
      </c>
      <c r="U41" s="153">
        <f t="shared" si="5"/>
        <v>107100</v>
      </c>
      <c r="V41" s="66">
        <v>0.15</v>
      </c>
      <c r="W41" s="153">
        <f t="shared" si="6"/>
        <v>91035</v>
      </c>
      <c r="X41" s="13"/>
      <c r="Y41" s="14"/>
      <c r="Z41" s="13"/>
      <c r="AA41" s="15"/>
    </row>
    <row r="42" spans="2:27" s="199" customFormat="1" ht="15" customHeight="1" x14ac:dyDescent="0.25">
      <c r="B42" s="9">
        <f t="shared" si="7"/>
        <v>38</v>
      </c>
      <c r="C42" s="200"/>
      <c r="D42" s="197" t="s">
        <v>160</v>
      </c>
      <c r="E42" s="197" t="s">
        <v>129</v>
      </c>
      <c r="F42" s="9"/>
      <c r="G42" s="9" t="s">
        <v>83</v>
      </c>
      <c r="H42" s="198">
        <v>297.25</v>
      </c>
      <c r="I42" s="59">
        <f t="shared" si="0"/>
        <v>27.615455364691236</v>
      </c>
      <c r="J42" s="99" t="s">
        <v>121</v>
      </c>
      <c r="K42" s="154">
        <v>2004</v>
      </c>
      <c r="L42" s="154">
        <v>2022</v>
      </c>
      <c r="M42" s="154">
        <f t="shared" si="1"/>
        <v>18</v>
      </c>
      <c r="N42" s="154">
        <f>VLOOKUP(E42,Sheet1!$E$6:$F$23,2,FALSE)</f>
        <v>40</v>
      </c>
      <c r="O42" s="62">
        <v>0.1</v>
      </c>
      <c r="P42" s="154">
        <f t="shared" si="2"/>
        <v>2.2499999999999999E-2</v>
      </c>
      <c r="Q42" s="154">
        <f>MATCH(E42,Sheet1!$E$6:$E$23,0)</f>
        <v>7</v>
      </c>
      <c r="R42" s="98">
        <f>HLOOKUP(J42,Sheet1!$E$6:$X$23,Building!Q42,FALSE)</f>
        <v>700</v>
      </c>
      <c r="S42" s="153">
        <f t="shared" si="3"/>
        <v>208075</v>
      </c>
      <c r="T42" s="153">
        <f t="shared" si="4"/>
        <v>84270.375</v>
      </c>
      <c r="U42" s="153">
        <f t="shared" si="5"/>
        <v>123804.625</v>
      </c>
      <c r="V42" s="66">
        <v>0.15</v>
      </c>
      <c r="W42" s="153">
        <f t="shared" si="6"/>
        <v>105233.93124999999</v>
      </c>
      <c r="X42" s="13"/>
      <c r="Y42" s="14"/>
      <c r="Z42" s="13"/>
      <c r="AA42" s="15"/>
    </row>
    <row r="43" spans="2:27" s="199" customFormat="1" ht="15" customHeight="1" x14ac:dyDescent="0.25">
      <c r="B43" s="9">
        <f t="shared" si="7"/>
        <v>39</v>
      </c>
      <c r="C43" s="200"/>
      <c r="D43" s="197" t="s">
        <v>189</v>
      </c>
      <c r="E43" s="197" t="s">
        <v>123</v>
      </c>
      <c r="F43" s="9"/>
      <c r="G43" s="9" t="s">
        <v>83</v>
      </c>
      <c r="H43" s="198">
        <v>264.5</v>
      </c>
      <c r="I43" s="59">
        <f t="shared" si="0"/>
        <v>24.572877860255112</v>
      </c>
      <c r="J43" s="99" t="s">
        <v>148</v>
      </c>
      <c r="K43" s="154">
        <v>2004</v>
      </c>
      <c r="L43" s="154">
        <v>2022</v>
      </c>
      <c r="M43" s="154">
        <f t="shared" si="1"/>
        <v>18</v>
      </c>
      <c r="N43" s="154">
        <f>VLOOKUP(E43,Sheet1!$E$6:$F$23,2,FALSE)</f>
        <v>60</v>
      </c>
      <c r="O43" s="62">
        <v>0.1</v>
      </c>
      <c r="P43" s="154">
        <f t="shared" si="2"/>
        <v>1.5000000000000001E-2</v>
      </c>
      <c r="Q43" s="154">
        <f>MATCH(E43,Sheet1!$E$6:$E$23,0)</f>
        <v>5</v>
      </c>
      <c r="R43" s="98">
        <f>HLOOKUP(J43,Sheet1!$E$6:$X$23,Building!Q43,FALSE)</f>
        <v>1000</v>
      </c>
      <c r="S43" s="153">
        <f t="shared" si="3"/>
        <v>264500</v>
      </c>
      <c r="T43" s="153">
        <f t="shared" si="4"/>
        <v>71415.000000000015</v>
      </c>
      <c r="U43" s="153">
        <f t="shared" si="5"/>
        <v>193085</v>
      </c>
      <c r="V43" s="66">
        <v>0.15</v>
      </c>
      <c r="W43" s="153">
        <f t="shared" si="6"/>
        <v>164122.25</v>
      </c>
      <c r="X43" s="13"/>
      <c r="Y43" s="14"/>
      <c r="Z43" s="13"/>
      <c r="AA43" s="15"/>
    </row>
    <row r="44" spans="2:27" s="199" customFormat="1" ht="15" customHeight="1" x14ac:dyDescent="0.25">
      <c r="B44" s="9">
        <f t="shared" si="7"/>
        <v>40</v>
      </c>
      <c r="C44" s="200"/>
      <c r="D44" s="197" t="s">
        <v>190</v>
      </c>
      <c r="E44" s="197" t="s">
        <v>123</v>
      </c>
      <c r="F44" s="9"/>
      <c r="G44" s="9" t="s">
        <v>83</v>
      </c>
      <c r="H44" s="198">
        <v>208.12</v>
      </c>
      <c r="I44" s="59">
        <f t="shared" si="0"/>
        <v>19.334999396129657</v>
      </c>
      <c r="J44" s="99" t="s">
        <v>148</v>
      </c>
      <c r="K44" s="154">
        <v>2004</v>
      </c>
      <c r="L44" s="154">
        <v>2022</v>
      </c>
      <c r="M44" s="154">
        <f t="shared" si="1"/>
        <v>18</v>
      </c>
      <c r="N44" s="154">
        <f>VLOOKUP(E44,Sheet1!$E$6:$F$23,2,FALSE)</f>
        <v>60</v>
      </c>
      <c r="O44" s="62">
        <v>0.1</v>
      </c>
      <c r="P44" s="154">
        <f t="shared" si="2"/>
        <v>1.5000000000000001E-2</v>
      </c>
      <c r="Q44" s="154">
        <f>MATCH(E44,Sheet1!$E$6:$E$23,0)</f>
        <v>5</v>
      </c>
      <c r="R44" s="98">
        <f>HLOOKUP(J44,Sheet1!$E$6:$X$23,Building!Q44,FALSE)</f>
        <v>1000</v>
      </c>
      <c r="S44" s="153">
        <f t="shared" si="3"/>
        <v>208120</v>
      </c>
      <c r="T44" s="153">
        <f t="shared" si="4"/>
        <v>56192.4</v>
      </c>
      <c r="U44" s="153">
        <f t="shared" si="5"/>
        <v>151927.6</v>
      </c>
      <c r="V44" s="66">
        <v>0.25</v>
      </c>
      <c r="W44" s="153">
        <f t="shared" si="6"/>
        <v>113945.70000000001</v>
      </c>
      <c r="X44" s="13"/>
      <c r="Y44" s="14"/>
      <c r="Z44" s="13"/>
      <c r="AA44" s="15"/>
    </row>
    <row r="45" spans="2:27" s="199" customFormat="1" ht="15" customHeight="1" x14ac:dyDescent="0.25">
      <c r="B45" s="9">
        <f t="shared" si="7"/>
        <v>41</v>
      </c>
      <c r="C45" s="200"/>
      <c r="D45" s="197" t="s">
        <v>191</v>
      </c>
      <c r="E45" s="197" t="s">
        <v>123</v>
      </c>
      <c r="F45" s="9"/>
      <c r="G45" s="9" t="s">
        <v>83</v>
      </c>
      <c r="H45" s="198">
        <v>201.25</v>
      </c>
      <c r="I45" s="59">
        <f t="shared" si="0"/>
        <v>18.69675489367237</v>
      </c>
      <c r="J45" s="99" t="s">
        <v>148</v>
      </c>
      <c r="K45" s="154">
        <v>2004</v>
      </c>
      <c r="L45" s="154">
        <v>2022</v>
      </c>
      <c r="M45" s="154">
        <f t="shared" si="1"/>
        <v>18</v>
      </c>
      <c r="N45" s="154">
        <f>VLOOKUP(E45,Sheet1!$E$6:$F$23,2,FALSE)</f>
        <v>60</v>
      </c>
      <c r="O45" s="62">
        <v>0.1</v>
      </c>
      <c r="P45" s="154">
        <f t="shared" si="2"/>
        <v>1.5000000000000001E-2</v>
      </c>
      <c r="Q45" s="154">
        <f>MATCH(E45,Sheet1!$E$6:$E$23,0)</f>
        <v>5</v>
      </c>
      <c r="R45" s="98">
        <f>HLOOKUP(J45,Sheet1!$E$6:$X$23,Building!Q45,FALSE)</f>
        <v>1000</v>
      </c>
      <c r="S45" s="153">
        <f t="shared" si="3"/>
        <v>201250</v>
      </c>
      <c r="T45" s="153">
        <f t="shared" si="4"/>
        <v>54337.500000000007</v>
      </c>
      <c r="U45" s="153">
        <f t="shared" si="5"/>
        <v>146912.5</v>
      </c>
      <c r="V45" s="66">
        <v>0.15</v>
      </c>
      <c r="W45" s="153">
        <f t="shared" si="6"/>
        <v>124875.625</v>
      </c>
      <c r="X45" s="13"/>
      <c r="Y45" s="14"/>
      <c r="Z45" s="13"/>
      <c r="AA45" s="15"/>
    </row>
    <row r="46" spans="2:27" s="199" customFormat="1" ht="15" customHeight="1" x14ac:dyDescent="0.25">
      <c r="B46" s="9">
        <f t="shared" si="7"/>
        <v>42</v>
      </c>
      <c r="C46" s="200"/>
      <c r="D46" s="197" t="s">
        <v>192</v>
      </c>
      <c r="E46" s="197" t="s">
        <v>129</v>
      </c>
      <c r="F46" s="9"/>
      <c r="G46" s="9" t="s">
        <v>83</v>
      </c>
      <c r="H46" s="198">
        <v>180</v>
      </c>
      <c r="I46" s="59">
        <f t="shared" si="0"/>
        <v>16.722563383160381</v>
      </c>
      <c r="J46" s="99" t="s">
        <v>148</v>
      </c>
      <c r="K46" s="154">
        <v>2004</v>
      </c>
      <c r="L46" s="154">
        <v>2022</v>
      </c>
      <c r="M46" s="154">
        <f t="shared" si="1"/>
        <v>18</v>
      </c>
      <c r="N46" s="154">
        <f>VLOOKUP(E46,Sheet1!$E$6:$F$23,2,FALSE)</f>
        <v>40</v>
      </c>
      <c r="O46" s="62">
        <v>0.1</v>
      </c>
      <c r="P46" s="154">
        <f t="shared" si="2"/>
        <v>2.2499999999999999E-2</v>
      </c>
      <c r="Q46" s="154">
        <f>MATCH(E46,Sheet1!$E$6:$E$23,0)</f>
        <v>7</v>
      </c>
      <c r="R46" s="98">
        <f>HLOOKUP(J46,Sheet1!$E$6:$X$23,Building!Q46,FALSE)</f>
        <v>600</v>
      </c>
      <c r="S46" s="153">
        <f t="shared" si="3"/>
        <v>108000</v>
      </c>
      <c r="T46" s="153">
        <f t="shared" si="4"/>
        <v>43740</v>
      </c>
      <c r="U46" s="153">
        <f t="shared" si="5"/>
        <v>64260</v>
      </c>
      <c r="V46" s="66">
        <v>0.15</v>
      </c>
      <c r="W46" s="153">
        <f t="shared" si="6"/>
        <v>54621</v>
      </c>
      <c r="X46" s="13"/>
      <c r="Y46" s="14"/>
      <c r="Z46" s="13"/>
      <c r="AA46" s="15"/>
    </row>
    <row r="47" spans="2:27" s="199" customFormat="1" ht="15" customHeight="1" x14ac:dyDescent="0.25">
      <c r="B47" s="9">
        <f t="shared" si="7"/>
        <v>43</v>
      </c>
      <c r="C47" s="200"/>
      <c r="D47" s="197" t="s">
        <v>193</v>
      </c>
      <c r="E47" s="197" t="s">
        <v>194</v>
      </c>
      <c r="F47" s="9"/>
      <c r="G47" s="9" t="s">
        <v>202</v>
      </c>
      <c r="H47" s="198">
        <v>175.5</v>
      </c>
      <c r="I47" s="59">
        <f t="shared" si="0"/>
        <v>16.304499298581369</v>
      </c>
      <c r="J47" s="99" t="s">
        <v>148</v>
      </c>
      <c r="K47" s="154">
        <v>2004</v>
      </c>
      <c r="L47" s="154">
        <v>2022</v>
      </c>
      <c r="M47" s="154">
        <f t="shared" si="1"/>
        <v>18</v>
      </c>
      <c r="N47" s="154">
        <f>VLOOKUP(E47,Sheet1!$E$6:$F$23,2,FALSE)</f>
        <v>50</v>
      </c>
      <c r="O47" s="62">
        <v>0.1</v>
      </c>
      <c r="P47" s="154">
        <f t="shared" si="2"/>
        <v>1.8000000000000002E-2</v>
      </c>
      <c r="Q47" s="154">
        <f>MATCH(E47,Sheet1!$E$6:$E$23,0)</f>
        <v>12</v>
      </c>
      <c r="R47" s="98">
        <f>HLOOKUP(J47,Sheet1!$E$6:$X$23,Building!Q47,FALSE)</f>
        <v>800</v>
      </c>
      <c r="S47" s="153">
        <f t="shared" si="3"/>
        <v>140400</v>
      </c>
      <c r="T47" s="153">
        <f t="shared" si="4"/>
        <v>45489.600000000006</v>
      </c>
      <c r="U47" s="153">
        <f t="shared" si="5"/>
        <v>94910.399999999994</v>
      </c>
      <c r="V47" s="66">
        <v>0.2</v>
      </c>
      <c r="W47" s="153">
        <f t="shared" si="6"/>
        <v>75928.319999999992</v>
      </c>
      <c r="X47" s="13"/>
      <c r="Y47" s="14"/>
      <c r="Z47" s="13"/>
      <c r="AA47" s="15"/>
    </row>
    <row r="48" spans="2:27" s="199" customFormat="1" ht="15" customHeight="1" x14ac:dyDescent="0.25">
      <c r="B48" s="9">
        <f t="shared" si="7"/>
        <v>44</v>
      </c>
      <c r="C48" s="200"/>
      <c r="D48" s="197" t="s">
        <v>195</v>
      </c>
      <c r="E48" s="197" t="s">
        <v>123</v>
      </c>
      <c r="F48" s="9"/>
      <c r="G48" s="9" t="s">
        <v>83</v>
      </c>
      <c r="H48" s="198">
        <v>166.09</v>
      </c>
      <c r="I48" s="59">
        <f t="shared" si="0"/>
        <v>15.430280846161708</v>
      </c>
      <c r="J48" s="99" t="s">
        <v>151</v>
      </c>
      <c r="K48" s="154">
        <v>2004</v>
      </c>
      <c r="L48" s="154">
        <v>2022</v>
      </c>
      <c r="M48" s="154">
        <f t="shared" si="1"/>
        <v>18</v>
      </c>
      <c r="N48" s="154">
        <f>VLOOKUP(E48,Sheet1!$E$6:$F$23,2,FALSE)</f>
        <v>60</v>
      </c>
      <c r="O48" s="62">
        <v>0.1</v>
      </c>
      <c r="P48" s="154">
        <f t="shared" si="2"/>
        <v>1.5000000000000001E-2</v>
      </c>
      <c r="Q48" s="154">
        <f>MATCH(E48,Sheet1!$E$6:$E$23,0)</f>
        <v>5</v>
      </c>
      <c r="R48" s="98">
        <f>HLOOKUP(J48,Sheet1!$E$6:$X$23,Building!Q48,FALSE)</f>
        <v>1000</v>
      </c>
      <c r="S48" s="153">
        <f t="shared" si="3"/>
        <v>166090</v>
      </c>
      <c r="T48" s="153">
        <f t="shared" si="4"/>
        <v>44844.3</v>
      </c>
      <c r="U48" s="153">
        <f t="shared" si="5"/>
        <v>121245.7</v>
      </c>
      <c r="V48" s="66">
        <v>0.2</v>
      </c>
      <c r="W48" s="153">
        <f t="shared" si="6"/>
        <v>96996.56</v>
      </c>
      <c r="X48" s="13"/>
      <c r="Y48" s="14"/>
      <c r="Z48" s="13"/>
      <c r="AA48" s="15"/>
    </row>
    <row r="49" spans="2:27" s="199" customFormat="1" ht="15" customHeight="1" x14ac:dyDescent="0.25">
      <c r="B49" s="9">
        <f t="shared" si="7"/>
        <v>45</v>
      </c>
      <c r="C49" s="200"/>
      <c r="D49" s="197" t="s">
        <v>112</v>
      </c>
      <c r="E49" s="197" t="s">
        <v>129</v>
      </c>
      <c r="F49" s="9"/>
      <c r="G49" s="9" t="s">
        <v>83</v>
      </c>
      <c r="H49" s="198">
        <v>146.62</v>
      </c>
      <c r="I49" s="59">
        <f t="shared" si="0"/>
        <v>13.621456906883195</v>
      </c>
      <c r="J49" s="99" t="s">
        <v>148</v>
      </c>
      <c r="K49" s="154">
        <v>2004</v>
      </c>
      <c r="L49" s="154">
        <v>2022</v>
      </c>
      <c r="M49" s="154">
        <f t="shared" si="1"/>
        <v>18</v>
      </c>
      <c r="N49" s="154">
        <f>VLOOKUP(E49,Sheet1!$E$6:$F$23,2,FALSE)</f>
        <v>40</v>
      </c>
      <c r="O49" s="62">
        <v>0.1</v>
      </c>
      <c r="P49" s="154">
        <f t="shared" si="2"/>
        <v>2.2499999999999999E-2</v>
      </c>
      <c r="Q49" s="154">
        <f>MATCH(E49,Sheet1!$E$6:$E$23,0)</f>
        <v>7</v>
      </c>
      <c r="R49" s="98">
        <f>HLOOKUP(J49,Sheet1!$E$6:$X$23,Building!Q49,FALSE)</f>
        <v>600</v>
      </c>
      <c r="S49" s="153">
        <f t="shared" si="3"/>
        <v>87972</v>
      </c>
      <c r="T49" s="153">
        <f t="shared" si="4"/>
        <v>35628.659999999996</v>
      </c>
      <c r="U49" s="153">
        <f t="shared" si="5"/>
        <v>52343.340000000004</v>
      </c>
      <c r="V49" s="66">
        <v>0.2</v>
      </c>
      <c r="W49" s="153">
        <f t="shared" si="6"/>
        <v>41874.672000000006</v>
      </c>
      <c r="X49" s="13"/>
      <c r="Y49" s="14"/>
      <c r="Z49" s="13"/>
      <c r="AA49" s="15"/>
    </row>
    <row r="50" spans="2:27" ht="15" customHeight="1" x14ac:dyDescent="0.25">
      <c r="B50" s="9">
        <f t="shared" si="7"/>
        <v>46</v>
      </c>
      <c r="C50" s="89"/>
      <c r="D50" s="16" t="s">
        <v>196</v>
      </c>
      <c r="E50" s="16" t="s">
        <v>197</v>
      </c>
      <c r="F50" s="9"/>
      <c r="G50" s="9" t="s">
        <v>83</v>
      </c>
      <c r="H50" s="93">
        <v>136.5</v>
      </c>
      <c r="I50" s="59">
        <f t="shared" si="0"/>
        <v>12.681277232229954</v>
      </c>
      <c r="J50" s="57" t="s">
        <v>148</v>
      </c>
      <c r="K50" s="152">
        <v>2004</v>
      </c>
      <c r="L50" s="86">
        <v>2022</v>
      </c>
      <c r="M50" s="86">
        <f t="shared" si="1"/>
        <v>18</v>
      </c>
      <c r="N50" s="95">
        <f>VLOOKUP(E50,Sheet1!$E$6:$F$23,2,FALSE)</f>
        <v>40</v>
      </c>
      <c r="O50" s="62">
        <v>0.1</v>
      </c>
      <c r="P50" s="95">
        <f t="shared" si="2"/>
        <v>2.2499999999999999E-2</v>
      </c>
      <c r="Q50" s="95">
        <f>MATCH(E50,Sheet1!$E$6:$E$23,0)</f>
        <v>13</v>
      </c>
      <c r="R50" s="98">
        <f>HLOOKUP(J50,Sheet1!$E$6:$X$23,Building!Q50,FALSE)</f>
        <v>600</v>
      </c>
      <c r="S50" s="94">
        <f t="shared" si="3"/>
        <v>81900</v>
      </c>
      <c r="T50" s="94">
        <f t="shared" si="4"/>
        <v>33169.5</v>
      </c>
      <c r="U50" s="94">
        <f t="shared" si="5"/>
        <v>48730.5</v>
      </c>
      <c r="V50" s="66">
        <v>0.15</v>
      </c>
      <c r="W50" s="94">
        <f t="shared" si="6"/>
        <v>41420.924999999996</v>
      </c>
      <c r="X50" s="22"/>
      <c r="Y50" s="23"/>
      <c r="Z50" s="22"/>
      <c r="AA50" s="15"/>
    </row>
    <row r="51" spans="2:27" ht="15" customHeight="1" x14ac:dyDescent="0.25">
      <c r="B51" s="9">
        <f t="shared" si="7"/>
        <v>47</v>
      </c>
      <c r="C51" s="89"/>
      <c r="D51" s="16" t="s">
        <v>56</v>
      </c>
      <c r="E51" s="16" t="s">
        <v>129</v>
      </c>
      <c r="F51" s="9"/>
      <c r="G51" s="9" t="s">
        <v>83</v>
      </c>
      <c r="H51" s="93">
        <v>101.6</v>
      </c>
      <c r="I51" s="59">
        <f t="shared" si="0"/>
        <v>9.4389579984949687</v>
      </c>
      <c r="J51" s="57" t="s">
        <v>148</v>
      </c>
      <c r="K51" s="152">
        <v>2004</v>
      </c>
      <c r="L51" s="86">
        <v>2022</v>
      </c>
      <c r="M51" s="86">
        <f t="shared" si="1"/>
        <v>18</v>
      </c>
      <c r="N51" s="95">
        <f>VLOOKUP(E51,Sheet1!$E$6:$F$23,2,FALSE)</f>
        <v>40</v>
      </c>
      <c r="O51" s="62">
        <v>0.1</v>
      </c>
      <c r="P51" s="95">
        <f t="shared" si="2"/>
        <v>2.2499999999999999E-2</v>
      </c>
      <c r="Q51" s="95">
        <f>MATCH(E51,Sheet1!$E$6:$E$23,0)</f>
        <v>7</v>
      </c>
      <c r="R51" s="98">
        <f>HLOOKUP(J51,Sheet1!$E$6:$X$23,Building!Q51,FALSE)</f>
        <v>600</v>
      </c>
      <c r="S51" s="94">
        <f t="shared" si="3"/>
        <v>60960</v>
      </c>
      <c r="T51" s="94">
        <f t="shared" si="4"/>
        <v>24688.799999999999</v>
      </c>
      <c r="U51" s="94">
        <f t="shared" si="5"/>
        <v>36271.199999999997</v>
      </c>
      <c r="V51" s="66">
        <v>0.15</v>
      </c>
      <c r="W51" s="94">
        <f t="shared" si="6"/>
        <v>30830.519999999997</v>
      </c>
      <c r="X51" s="22"/>
      <c r="Y51" s="23"/>
      <c r="Z51" s="22"/>
      <c r="AA51" s="15"/>
    </row>
    <row r="52" spans="2:27" ht="15" customHeight="1" x14ac:dyDescent="0.25">
      <c r="B52" s="161"/>
      <c r="C52" s="162"/>
      <c r="D52" s="161" t="s">
        <v>219</v>
      </c>
      <c r="E52" s="162"/>
      <c r="F52" s="9"/>
      <c r="G52" s="9"/>
      <c r="H52" s="163">
        <f>SUM(H5:H51)</f>
        <v>410684.44999999984</v>
      </c>
      <c r="I52" s="189">
        <f>SUM(I5:I51)</f>
        <v>38153.870808907544</v>
      </c>
      <c r="J52" s="161"/>
      <c r="K52" s="162"/>
      <c r="L52" s="161"/>
      <c r="M52" s="162"/>
      <c r="N52" s="161"/>
      <c r="O52" s="162"/>
      <c r="P52" s="161"/>
      <c r="Q52" s="162"/>
      <c r="R52" s="161"/>
      <c r="S52" s="162"/>
      <c r="T52" s="161"/>
      <c r="U52" s="162"/>
      <c r="V52" s="163">
        <f>SUM(W5:W51)</f>
        <v>330763960.07574993</v>
      </c>
      <c r="W52" s="164"/>
      <c r="X52" s="22"/>
      <c r="Y52" s="23"/>
      <c r="Z52" s="22"/>
      <c r="AA52" s="15"/>
    </row>
    <row r="53" spans="2:27" ht="15" customHeight="1" x14ac:dyDescent="0.25">
      <c r="B53" s="9"/>
      <c r="C53" s="89"/>
      <c r="D53" s="159" t="str">
        <f>UPPER("Distillery Building Sections")</f>
        <v>DISTILLERY BUILDING SECTIONS</v>
      </c>
      <c r="E53" s="160"/>
      <c r="F53" s="9"/>
      <c r="G53" s="9"/>
      <c r="H53" s="85"/>
      <c r="I53" s="59"/>
      <c r="J53" s="60"/>
      <c r="K53" s="86"/>
      <c r="L53" s="86"/>
      <c r="M53" s="86"/>
      <c r="N53" s="95"/>
      <c r="O53" s="62"/>
      <c r="P53" s="95"/>
      <c r="Q53" s="95"/>
      <c r="R53" s="98"/>
      <c r="S53" s="94"/>
      <c r="T53" s="94"/>
      <c r="U53" s="94"/>
      <c r="V53" s="66"/>
      <c r="W53" s="94"/>
      <c r="X53" s="22"/>
      <c r="Y53" s="23"/>
      <c r="Z53" s="22"/>
      <c r="AA53" s="15"/>
    </row>
    <row r="54" spans="2:27" ht="15" customHeight="1" x14ac:dyDescent="0.25">
      <c r="B54" s="9"/>
      <c r="C54" s="89"/>
      <c r="D54" s="91"/>
      <c r="E54" s="90"/>
      <c r="F54" s="9"/>
      <c r="G54" s="9"/>
      <c r="H54" s="85"/>
      <c r="I54" s="59"/>
      <c r="J54" s="60"/>
      <c r="K54" s="86"/>
      <c r="L54" s="86"/>
      <c r="M54" s="86"/>
      <c r="N54" s="95"/>
      <c r="O54" s="62"/>
      <c r="P54" s="95"/>
      <c r="Q54" s="95"/>
      <c r="R54" s="98"/>
      <c r="S54" s="94"/>
      <c r="T54" s="94"/>
      <c r="U54" s="94"/>
      <c r="V54" s="66"/>
      <c r="W54" s="94"/>
      <c r="X54" s="22"/>
      <c r="Y54" s="23"/>
      <c r="Z54" s="22"/>
      <c r="AA54" s="15"/>
    </row>
    <row r="55" spans="2:27" ht="15" customHeight="1" x14ac:dyDescent="0.25">
      <c r="B55" s="9">
        <f>INT(B51)+1</f>
        <v>48</v>
      </c>
      <c r="C55" s="89"/>
      <c r="D55" s="16" t="s">
        <v>112</v>
      </c>
      <c r="E55" s="16" t="s">
        <v>117</v>
      </c>
      <c r="F55" s="9"/>
      <c r="G55" s="9" t="s">
        <v>202</v>
      </c>
      <c r="H55" s="88">
        <v>18414</v>
      </c>
      <c r="I55" s="59">
        <f t="shared" si="0"/>
        <v>1710.7182340973068</v>
      </c>
      <c r="J55" s="87" t="s">
        <v>118</v>
      </c>
      <c r="K55" s="86">
        <v>2012</v>
      </c>
      <c r="L55" s="86">
        <v>2022</v>
      </c>
      <c r="M55" s="86">
        <f t="shared" si="1"/>
        <v>10</v>
      </c>
      <c r="N55" s="95">
        <f>VLOOKUP(E55,Sheet1!$E$6:$F$23,2,FALSE)</f>
        <v>40</v>
      </c>
      <c r="O55" s="62">
        <v>0.1</v>
      </c>
      <c r="P55" s="95">
        <f t="shared" si="2"/>
        <v>2.2499999999999999E-2</v>
      </c>
      <c r="Q55" s="95">
        <f>MATCH(E55,Sheet1!$E$6:$E$23,0)</f>
        <v>14</v>
      </c>
      <c r="R55" s="97">
        <f>HLOOKUP(J55,Sheet1!$E$6:$X$23,Building!Q55,FALSE)</f>
        <v>1100</v>
      </c>
      <c r="S55" s="94">
        <f t="shared" si="3"/>
        <v>20255400</v>
      </c>
      <c r="T55" s="94">
        <f t="shared" ref="T55:T69" si="8">S55*P55*M55</f>
        <v>4557465</v>
      </c>
      <c r="U55" s="94">
        <f t="shared" si="5"/>
        <v>15697935</v>
      </c>
      <c r="V55" s="66">
        <v>0.2</v>
      </c>
      <c r="W55" s="94">
        <f t="shared" si="6"/>
        <v>12558348</v>
      </c>
      <c r="X55" s="22"/>
      <c r="Y55" s="23"/>
      <c r="Z55" s="22"/>
      <c r="AA55" s="15"/>
    </row>
    <row r="56" spans="2:27" ht="15" customHeight="1" x14ac:dyDescent="0.25">
      <c r="B56" s="9">
        <f>INT(B55)+1</f>
        <v>49</v>
      </c>
      <c r="C56" s="89"/>
      <c r="D56" s="16" t="s">
        <v>131</v>
      </c>
      <c r="E56" s="16" t="s">
        <v>132</v>
      </c>
      <c r="F56" s="9"/>
      <c r="G56" s="9" t="s">
        <v>202</v>
      </c>
      <c r="H56" s="88">
        <v>7639.5</v>
      </c>
      <c r="I56" s="59">
        <f t="shared" si="0"/>
        <v>709.7334609202984</v>
      </c>
      <c r="J56" s="87" t="s">
        <v>133</v>
      </c>
      <c r="K56" s="134">
        <v>2012</v>
      </c>
      <c r="L56" s="86">
        <v>2022</v>
      </c>
      <c r="M56" s="86">
        <f t="shared" si="1"/>
        <v>10</v>
      </c>
      <c r="N56" s="95">
        <f>VLOOKUP(E56,Sheet1!$E$6:$F$23,2,FALSE)</f>
        <v>45</v>
      </c>
      <c r="O56" s="62">
        <v>0.1</v>
      </c>
      <c r="P56" s="95">
        <f t="shared" si="2"/>
        <v>0.02</v>
      </c>
      <c r="Q56" s="95">
        <f>MATCH(E56,Sheet1!$E$6:$E$23,0)</f>
        <v>11</v>
      </c>
      <c r="R56" s="97">
        <f>HLOOKUP(J56,Sheet1!$E$6:$X$23,Building!Q56,FALSE)</f>
        <v>1100</v>
      </c>
      <c r="S56" s="94">
        <f t="shared" si="3"/>
        <v>8403450</v>
      </c>
      <c r="T56" s="94">
        <f t="shared" si="8"/>
        <v>1680690</v>
      </c>
      <c r="U56" s="94">
        <f t="shared" si="5"/>
        <v>6722760</v>
      </c>
      <c r="V56" s="66">
        <v>0.2</v>
      </c>
      <c r="W56" s="94">
        <f t="shared" si="6"/>
        <v>5378208</v>
      </c>
      <c r="X56" s="22"/>
      <c r="Y56" s="23"/>
      <c r="Z56" s="22"/>
      <c r="AA56" s="15"/>
    </row>
    <row r="57" spans="2:27" ht="15" customHeight="1" x14ac:dyDescent="0.25">
      <c r="B57" s="9">
        <f t="shared" ref="B57:B78" si="9">INT(B56)+1</f>
        <v>50</v>
      </c>
      <c r="C57" s="89"/>
      <c r="D57" s="16" t="s">
        <v>112</v>
      </c>
      <c r="E57" s="16" t="s">
        <v>117</v>
      </c>
      <c r="F57" s="9"/>
      <c r="G57" s="9" t="s">
        <v>83</v>
      </c>
      <c r="H57" s="88">
        <v>6864</v>
      </c>
      <c r="I57" s="59">
        <f t="shared" si="0"/>
        <v>637.68708367784916</v>
      </c>
      <c r="J57" s="87" t="s">
        <v>116</v>
      </c>
      <c r="K57" s="134">
        <v>2012</v>
      </c>
      <c r="L57" s="86">
        <v>2022</v>
      </c>
      <c r="M57" s="86">
        <f t="shared" si="1"/>
        <v>10</v>
      </c>
      <c r="N57" s="95">
        <f>VLOOKUP(E57,Sheet1!$E$6:$F$23,2,FALSE)</f>
        <v>40</v>
      </c>
      <c r="O57" s="62">
        <v>0.1</v>
      </c>
      <c r="P57" s="95">
        <f t="shared" si="2"/>
        <v>2.2499999999999999E-2</v>
      </c>
      <c r="Q57" s="95">
        <f>MATCH(E57,Sheet1!$E$6:$E$23,0)</f>
        <v>14</v>
      </c>
      <c r="R57" s="97">
        <f>HLOOKUP(J57,Sheet1!$E$6:$X$23,Building!Q57,FALSE)</f>
        <v>1500</v>
      </c>
      <c r="S57" s="94">
        <f t="shared" si="3"/>
        <v>10296000</v>
      </c>
      <c r="T57" s="94">
        <f t="shared" si="8"/>
        <v>2316600</v>
      </c>
      <c r="U57" s="94">
        <f t="shared" si="5"/>
        <v>7979400</v>
      </c>
      <c r="V57" s="66">
        <v>0.15</v>
      </c>
      <c r="W57" s="94">
        <f t="shared" si="6"/>
        <v>6782490</v>
      </c>
      <c r="X57" s="22"/>
      <c r="Y57" s="23"/>
      <c r="Z57" s="22"/>
      <c r="AA57" s="15"/>
    </row>
    <row r="58" spans="2:27" ht="15" customHeight="1" x14ac:dyDescent="0.25">
      <c r="B58" s="9">
        <f t="shared" si="9"/>
        <v>51</v>
      </c>
      <c r="C58" s="89"/>
      <c r="D58" s="16" t="s">
        <v>140</v>
      </c>
      <c r="E58" s="16" t="s">
        <v>132</v>
      </c>
      <c r="F58" s="9"/>
      <c r="G58" s="9" t="s">
        <v>202</v>
      </c>
      <c r="H58" s="88">
        <v>4240</v>
      </c>
      <c r="I58" s="59">
        <f t="shared" si="0"/>
        <v>393.90927080333336</v>
      </c>
      <c r="J58" s="87" t="s">
        <v>141</v>
      </c>
      <c r="K58" s="134">
        <v>2012</v>
      </c>
      <c r="L58" s="86">
        <v>2022</v>
      </c>
      <c r="M58" s="86">
        <f t="shared" si="1"/>
        <v>10</v>
      </c>
      <c r="N58" s="95">
        <f>VLOOKUP(E58,Sheet1!$E$6:$F$23,2,FALSE)</f>
        <v>45</v>
      </c>
      <c r="O58" s="62">
        <v>0.1</v>
      </c>
      <c r="P58" s="95">
        <f t="shared" si="2"/>
        <v>0.02</v>
      </c>
      <c r="Q58" s="95">
        <f>MATCH(E58,Sheet1!$E$6:$E$23,0)</f>
        <v>11</v>
      </c>
      <c r="R58" s="97">
        <f>HLOOKUP(J58,Sheet1!$E$6:$X$23,Building!Q58,FALSE)</f>
        <v>1600</v>
      </c>
      <c r="S58" s="94">
        <f t="shared" si="3"/>
        <v>6784000</v>
      </c>
      <c r="T58" s="94">
        <f t="shared" si="8"/>
        <v>1356800</v>
      </c>
      <c r="U58" s="94">
        <f t="shared" si="5"/>
        <v>5427200</v>
      </c>
      <c r="V58" s="66">
        <v>0.2</v>
      </c>
      <c r="W58" s="94">
        <f t="shared" si="6"/>
        <v>4341760</v>
      </c>
      <c r="X58" s="22"/>
      <c r="Y58" s="23"/>
      <c r="Z58" s="22"/>
      <c r="AA58" s="15"/>
    </row>
    <row r="59" spans="2:27" ht="15" customHeight="1" x14ac:dyDescent="0.25">
      <c r="B59" s="9">
        <f t="shared" si="9"/>
        <v>52</v>
      </c>
      <c r="C59" s="89"/>
      <c r="D59" s="16" t="s">
        <v>136</v>
      </c>
      <c r="E59" s="16" t="s">
        <v>142</v>
      </c>
      <c r="F59" s="9"/>
      <c r="G59" s="9" t="s">
        <v>83</v>
      </c>
      <c r="H59" s="88">
        <v>4240</v>
      </c>
      <c r="I59" s="59">
        <f t="shared" si="0"/>
        <v>393.90927080333336</v>
      </c>
      <c r="J59" s="87" t="s">
        <v>138</v>
      </c>
      <c r="K59" s="134">
        <v>2012</v>
      </c>
      <c r="L59" s="86">
        <v>2022</v>
      </c>
      <c r="M59" s="86">
        <f t="shared" si="1"/>
        <v>10</v>
      </c>
      <c r="N59" s="95">
        <f>VLOOKUP(E59,Sheet1!$E$6:$F$23,2,FALSE)</f>
        <v>60</v>
      </c>
      <c r="O59" s="62">
        <v>0.1</v>
      </c>
      <c r="P59" s="95">
        <f t="shared" si="2"/>
        <v>1.5000000000000001E-2</v>
      </c>
      <c r="Q59" s="95">
        <f>MATCH(E59,Sheet1!$E$6:$E$23,0)</f>
        <v>16</v>
      </c>
      <c r="R59" s="97">
        <f>HLOOKUP(J59,Sheet1!$E$6:$X$23,Building!Q59,FALSE)</f>
        <v>1200</v>
      </c>
      <c r="S59" s="94">
        <f t="shared" si="3"/>
        <v>5088000</v>
      </c>
      <c r="T59" s="94">
        <f t="shared" si="8"/>
        <v>763200</v>
      </c>
      <c r="U59" s="94">
        <f t="shared" si="5"/>
        <v>4324800</v>
      </c>
      <c r="V59" s="66">
        <v>0.15</v>
      </c>
      <c r="W59" s="94">
        <f t="shared" si="6"/>
        <v>3676080</v>
      </c>
      <c r="X59" s="22"/>
      <c r="Y59" s="23"/>
      <c r="Z59" s="22"/>
      <c r="AA59" s="15"/>
    </row>
    <row r="60" spans="2:27" ht="15" customHeight="1" x14ac:dyDescent="0.25">
      <c r="B60" s="9">
        <f t="shared" si="9"/>
        <v>53</v>
      </c>
      <c r="C60" s="89"/>
      <c r="D60" s="16" t="s">
        <v>145</v>
      </c>
      <c r="E60" s="16" t="s">
        <v>117</v>
      </c>
      <c r="F60" s="9"/>
      <c r="G60" s="9" t="s">
        <v>202</v>
      </c>
      <c r="H60" s="88">
        <v>2861.5</v>
      </c>
      <c r="I60" s="59">
        <f t="shared" si="0"/>
        <v>265.84230622729683</v>
      </c>
      <c r="J60" s="87" t="s">
        <v>146</v>
      </c>
      <c r="K60" s="134">
        <v>2012</v>
      </c>
      <c r="L60" s="86">
        <v>2022</v>
      </c>
      <c r="M60" s="86">
        <f t="shared" si="1"/>
        <v>10</v>
      </c>
      <c r="N60" s="95">
        <f>VLOOKUP(E60,Sheet1!$E$6:$F$23,2,FALSE)</f>
        <v>40</v>
      </c>
      <c r="O60" s="62">
        <v>0.1</v>
      </c>
      <c r="P60" s="95">
        <f t="shared" si="2"/>
        <v>2.2499999999999999E-2</v>
      </c>
      <c r="Q60" s="95">
        <f>MATCH(E60,Sheet1!$E$6:$E$23,0)</f>
        <v>14</v>
      </c>
      <c r="R60" s="97">
        <f>HLOOKUP(J60,Sheet1!$E$6:$X$23,Building!Q60,FALSE)</f>
        <v>600</v>
      </c>
      <c r="S60" s="94">
        <f t="shared" si="3"/>
        <v>1716900</v>
      </c>
      <c r="T60" s="94">
        <f t="shared" si="8"/>
        <v>386302.5</v>
      </c>
      <c r="U60" s="94">
        <f t="shared" si="5"/>
        <v>1330597.5</v>
      </c>
      <c r="V60" s="66">
        <v>0.2</v>
      </c>
      <c r="W60" s="94">
        <f t="shared" si="6"/>
        <v>1064478</v>
      </c>
      <c r="X60" s="22"/>
      <c r="Y60" s="23"/>
      <c r="Z60" s="22"/>
      <c r="AA60" s="15"/>
    </row>
    <row r="61" spans="2:27" ht="15" customHeight="1" x14ac:dyDescent="0.25">
      <c r="B61" s="9">
        <f t="shared" si="9"/>
        <v>54</v>
      </c>
      <c r="C61" s="89"/>
      <c r="D61" s="16" t="s">
        <v>149</v>
      </c>
      <c r="E61" s="16" t="s">
        <v>150</v>
      </c>
      <c r="F61" s="9"/>
      <c r="G61" s="9" t="s">
        <v>83</v>
      </c>
      <c r="H61" s="88">
        <v>2490.13</v>
      </c>
      <c r="I61" s="59">
        <f t="shared" si="0"/>
        <v>231.34087087393976</v>
      </c>
      <c r="J61" s="87" t="s">
        <v>151</v>
      </c>
      <c r="K61" s="134">
        <v>2012</v>
      </c>
      <c r="L61" s="86">
        <v>2022</v>
      </c>
      <c r="M61" s="86">
        <f t="shared" si="1"/>
        <v>10</v>
      </c>
      <c r="N61" s="95">
        <f>VLOOKUP(E61,Sheet1!$E$6:$F$23,2,FALSE)</f>
        <v>50</v>
      </c>
      <c r="O61" s="62">
        <v>0.1</v>
      </c>
      <c r="P61" s="95">
        <f t="shared" si="2"/>
        <v>1.8000000000000002E-2</v>
      </c>
      <c r="Q61" s="95">
        <f>MATCH(E61,Sheet1!$E$6:$E$23,0)</f>
        <v>17</v>
      </c>
      <c r="R61" s="97">
        <f>HLOOKUP(J61,Sheet1!$E$6:$X$23,Building!Q61,FALSE)</f>
        <v>800</v>
      </c>
      <c r="S61" s="94">
        <f t="shared" si="3"/>
        <v>1992104</v>
      </c>
      <c r="T61" s="94">
        <f t="shared" si="8"/>
        <v>358578.72000000003</v>
      </c>
      <c r="U61" s="94">
        <f t="shared" si="5"/>
        <v>1633525.28</v>
      </c>
      <c r="V61" s="66">
        <v>0.15</v>
      </c>
      <c r="W61" s="94">
        <f t="shared" si="6"/>
        <v>1388496.4879999999</v>
      </c>
      <c r="X61" s="22"/>
      <c r="Y61" s="23"/>
      <c r="Z61" s="22"/>
      <c r="AA61" s="15"/>
    </row>
    <row r="62" spans="2:27" ht="15" customHeight="1" x14ac:dyDescent="0.25">
      <c r="B62" s="9">
        <f t="shared" si="9"/>
        <v>55</v>
      </c>
      <c r="C62" s="89"/>
      <c r="D62" s="16" t="s">
        <v>153</v>
      </c>
      <c r="E62" s="16" t="s">
        <v>117</v>
      </c>
      <c r="F62" s="9"/>
      <c r="G62" s="9" t="s">
        <v>83</v>
      </c>
      <c r="H62" s="88">
        <v>2349</v>
      </c>
      <c r="I62" s="59">
        <f t="shared" si="0"/>
        <v>218.22945215024296</v>
      </c>
      <c r="J62" s="87" t="s">
        <v>116</v>
      </c>
      <c r="K62" s="134">
        <v>2012</v>
      </c>
      <c r="L62" s="86">
        <v>2022</v>
      </c>
      <c r="M62" s="86">
        <f t="shared" si="1"/>
        <v>10</v>
      </c>
      <c r="N62" s="95">
        <f>VLOOKUP(E62,Sheet1!$E$6:$F$23,2,FALSE)</f>
        <v>40</v>
      </c>
      <c r="O62" s="62">
        <v>0.1</v>
      </c>
      <c r="P62" s="95">
        <f t="shared" si="2"/>
        <v>2.2499999999999999E-2</v>
      </c>
      <c r="Q62" s="95">
        <f>MATCH(E62,Sheet1!$E$6:$E$23,0)</f>
        <v>14</v>
      </c>
      <c r="R62" s="97">
        <f>HLOOKUP(J62,Sheet1!$E$6:$X$23,Building!Q62,FALSE)</f>
        <v>1500</v>
      </c>
      <c r="S62" s="94">
        <f t="shared" si="3"/>
        <v>3523500</v>
      </c>
      <c r="T62" s="94">
        <f t="shared" si="8"/>
        <v>792787.5</v>
      </c>
      <c r="U62" s="94">
        <f t="shared" si="5"/>
        <v>2730712.5</v>
      </c>
      <c r="V62" s="66">
        <v>0.15</v>
      </c>
      <c r="W62" s="94">
        <f t="shared" si="6"/>
        <v>2321105.625</v>
      </c>
      <c r="X62" s="22"/>
      <c r="Y62" s="23"/>
      <c r="Z62" s="22"/>
      <c r="AA62" s="15"/>
    </row>
    <row r="63" spans="2:27" ht="15" customHeight="1" x14ac:dyDescent="0.25">
      <c r="B63" s="9">
        <f t="shared" si="9"/>
        <v>56</v>
      </c>
      <c r="C63" s="89"/>
      <c r="D63" s="16" t="s">
        <v>155</v>
      </c>
      <c r="E63" s="16" t="s">
        <v>142</v>
      </c>
      <c r="F63" s="9"/>
      <c r="G63" s="9" t="s">
        <v>83</v>
      </c>
      <c r="H63" s="88">
        <v>1851.66</v>
      </c>
      <c r="I63" s="59">
        <f t="shared" si="0"/>
        <v>172.02500952257083</v>
      </c>
      <c r="J63" s="87" t="s">
        <v>156</v>
      </c>
      <c r="K63" s="134">
        <v>2012</v>
      </c>
      <c r="L63" s="86">
        <v>2022</v>
      </c>
      <c r="M63" s="86">
        <f t="shared" si="1"/>
        <v>10</v>
      </c>
      <c r="N63" s="95">
        <f>VLOOKUP(E63,Sheet1!$E$6:$F$23,2,FALSE)</f>
        <v>60</v>
      </c>
      <c r="O63" s="62">
        <v>0.1</v>
      </c>
      <c r="P63" s="95">
        <f t="shared" si="2"/>
        <v>1.5000000000000001E-2</v>
      </c>
      <c r="Q63" s="95">
        <f>MATCH(E63,Sheet1!$E$6:$E$23,0)</f>
        <v>16</v>
      </c>
      <c r="R63" s="97">
        <f>HLOOKUP(J63,Sheet1!$E$6:$X$23,Building!Q63,FALSE)</f>
        <v>1300</v>
      </c>
      <c r="S63" s="94">
        <f t="shared" si="3"/>
        <v>2407158</v>
      </c>
      <c r="T63" s="94">
        <f t="shared" si="8"/>
        <v>361073.7</v>
      </c>
      <c r="U63" s="94">
        <f t="shared" si="5"/>
        <v>2046084.3</v>
      </c>
      <c r="V63" s="66">
        <v>0.15</v>
      </c>
      <c r="W63" s="94">
        <f t="shared" si="6"/>
        <v>1739171.655</v>
      </c>
      <c r="X63" s="22"/>
      <c r="Y63" s="23"/>
      <c r="Z63" s="22"/>
      <c r="AA63" s="15"/>
    </row>
    <row r="64" spans="2:27" ht="15" customHeight="1" x14ac:dyDescent="0.25">
      <c r="B64" s="9">
        <f t="shared" si="9"/>
        <v>57</v>
      </c>
      <c r="C64" s="89"/>
      <c r="D64" s="16" t="s">
        <v>158</v>
      </c>
      <c r="E64" s="16" t="s">
        <v>142</v>
      </c>
      <c r="F64" s="9"/>
      <c r="G64" s="9" t="s">
        <v>83</v>
      </c>
      <c r="H64" s="88">
        <v>1770.55</v>
      </c>
      <c r="I64" s="59">
        <f t="shared" si="0"/>
        <v>164.48963665585893</v>
      </c>
      <c r="J64" s="87" t="s">
        <v>121</v>
      </c>
      <c r="K64" s="134">
        <v>2012</v>
      </c>
      <c r="L64" s="86">
        <v>2022</v>
      </c>
      <c r="M64" s="86">
        <f t="shared" si="1"/>
        <v>10</v>
      </c>
      <c r="N64" s="95">
        <f>VLOOKUP(E64,Sheet1!$E$6:$F$23,2,FALSE)</f>
        <v>60</v>
      </c>
      <c r="O64" s="62">
        <v>0.1</v>
      </c>
      <c r="P64" s="95">
        <f t="shared" si="2"/>
        <v>1.5000000000000001E-2</v>
      </c>
      <c r="Q64" s="95">
        <f>MATCH(E64,Sheet1!$E$6:$E$23,0)</f>
        <v>16</v>
      </c>
      <c r="R64" s="97">
        <f>HLOOKUP(J64,Sheet1!$E$6:$X$23,Building!Q64,FALSE)</f>
        <v>1100</v>
      </c>
      <c r="S64" s="94">
        <f t="shared" si="3"/>
        <v>1947605</v>
      </c>
      <c r="T64" s="94">
        <f t="shared" si="8"/>
        <v>292140.75</v>
      </c>
      <c r="U64" s="94">
        <f t="shared" si="5"/>
        <v>1655464.25</v>
      </c>
      <c r="V64" s="66">
        <v>0.15</v>
      </c>
      <c r="W64" s="94">
        <f t="shared" si="6"/>
        <v>1407144.6125</v>
      </c>
      <c r="X64" s="22"/>
      <c r="Y64" s="23"/>
      <c r="Z64" s="22"/>
      <c r="AA64" s="15"/>
    </row>
    <row r="65" spans="2:27" ht="15" customHeight="1" x14ac:dyDescent="0.25">
      <c r="B65" s="9">
        <f t="shared" si="9"/>
        <v>58</v>
      </c>
      <c r="C65" s="89"/>
      <c r="D65" s="16" t="s">
        <v>161</v>
      </c>
      <c r="E65" s="16" t="s">
        <v>142</v>
      </c>
      <c r="F65" s="9"/>
      <c r="G65" s="9" t="s">
        <v>83</v>
      </c>
      <c r="H65" s="88">
        <v>1566</v>
      </c>
      <c r="I65" s="59">
        <f t="shared" si="0"/>
        <v>145.4863014334953</v>
      </c>
      <c r="J65" s="87" t="s">
        <v>148</v>
      </c>
      <c r="K65" s="134">
        <v>2012</v>
      </c>
      <c r="L65" s="86">
        <v>2022</v>
      </c>
      <c r="M65" s="86">
        <f t="shared" si="1"/>
        <v>10</v>
      </c>
      <c r="N65" s="95">
        <f>VLOOKUP(E65,Sheet1!$E$6:$F$23,2,FALSE)</f>
        <v>60</v>
      </c>
      <c r="O65" s="62">
        <v>0.1</v>
      </c>
      <c r="P65" s="95">
        <f t="shared" si="2"/>
        <v>1.5000000000000001E-2</v>
      </c>
      <c r="Q65" s="95">
        <f>MATCH(E65,Sheet1!$E$6:$E$23,0)</f>
        <v>16</v>
      </c>
      <c r="R65" s="97">
        <f>HLOOKUP(J65,Sheet1!$E$6:$X$23,Building!Q65,FALSE)</f>
        <v>1000</v>
      </c>
      <c r="S65" s="94">
        <f t="shared" si="3"/>
        <v>1566000</v>
      </c>
      <c r="T65" s="94">
        <f t="shared" si="8"/>
        <v>234900.00000000003</v>
      </c>
      <c r="U65" s="94">
        <f t="shared" si="5"/>
        <v>1331100</v>
      </c>
      <c r="V65" s="66">
        <v>0.15</v>
      </c>
      <c r="W65" s="94">
        <f t="shared" si="6"/>
        <v>1131435</v>
      </c>
      <c r="X65" s="22"/>
      <c r="Y65" s="23"/>
      <c r="Z65" s="22"/>
      <c r="AA65" s="15"/>
    </row>
    <row r="66" spans="2:27" ht="15" customHeight="1" x14ac:dyDescent="0.25">
      <c r="B66" s="9">
        <f t="shared" si="9"/>
        <v>59</v>
      </c>
      <c r="C66" s="89"/>
      <c r="D66" s="16" t="s">
        <v>177</v>
      </c>
      <c r="E66" s="16" t="s">
        <v>165</v>
      </c>
      <c r="F66" s="9"/>
      <c r="G66" s="9" t="s">
        <v>83</v>
      </c>
      <c r="H66" s="88">
        <v>1235.94</v>
      </c>
      <c r="I66" s="59">
        <f t="shared" si="0"/>
        <v>114.82269437657355</v>
      </c>
      <c r="J66" s="87" t="s">
        <v>148</v>
      </c>
      <c r="K66" s="134">
        <v>2012</v>
      </c>
      <c r="L66" s="86">
        <v>2022</v>
      </c>
      <c r="M66" s="86">
        <f t="shared" si="1"/>
        <v>10</v>
      </c>
      <c r="N66" s="95">
        <f>VLOOKUP(E66,Sheet1!$E$6:$F$23,2,FALSE)</f>
        <v>45</v>
      </c>
      <c r="O66" s="62">
        <v>0.1</v>
      </c>
      <c r="P66" s="95">
        <f t="shared" si="2"/>
        <v>0.02</v>
      </c>
      <c r="Q66" s="95">
        <f>MATCH(E66,Sheet1!$E$6:$E$23,0)</f>
        <v>18</v>
      </c>
      <c r="R66" s="97">
        <f>HLOOKUP(J66,Sheet1!$E$6:$X$23,Building!Q66,FALSE)</f>
        <v>600</v>
      </c>
      <c r="S66" s="94">
        <f t="shared" si="3"/>
        <v>741564</v>
      </c>
      <c r="T66" s="94">
        <f t="shared" si="8"/>
        <v>148312.80000000002</v>
      </c>
      <c r="U66" s="94">
        <f t="shared" si="5"/>
        <v>593251.19999999995</v>
      </c>
      <c r="V66" s="66">
        <v>0.15</v>
      </c>
      <c r="W66" s="94">
        <f t="shared" si="6"/>
        <v>504263.51999999996</v>
      </c>
      <c r="X66" s="22"/>
      <c r="Y66" s="23"/>
      <c r="Z66" s="22"/>
      <c r="AA66" s="15"/>
    </row>
    <row r="67" spans="2:27" ht="15" customHeight="1" x14ac:dyDescent="0.25">
      <c r="B67" s="9">
        <f t="shared" si="9"/>
        <v>60</v>
      </c>
      <c r="C67" s="89"/>
      <c r="D67" s="16" t="s">
        <v>168</v>
      </c>
      <c r="E67" s="16" t="s">
        <v>117</v>
      </c>
      <c r="F67" s="9"/>
      <c r="G67" s="9" t="s">
        <v>83</v>
      </c>
      <c r="H67" s="88">
        <v>1000</v>
      </c>
      <c r="I67" s="59">
        <f t="shared" si="0"/>
        <v>92.903129906446551</v>
      </c>
      <c r="J67" s="87" t="s">
        <v>148</v>
      </c>
      <c r="K67" s="134">
        <v>2012</v>
      </c>
      <c r="L67" s="86">
        <v>2022</v>
      </c>
      <c r="M67" s="86">
        <f t="shared" si="1"/>
        <v>10</v>
      </c>
      <c r="N67" s="95">
        <f>VLOOKUP(E67,Sheet1!$E$6:$F$23,2,FALSE)</f>
        <v>40</v>
      </c>
      <c r="O67" s="62">
        <v>0.1</v>
      </c>
      <c r="P67" s="95">
        <f t="shared" si="2"/>
        <v>2.2499999999999999E-2</v>
      </c>
      <c r="Q67" s="95">
        <f>MATCH(E67,Sheet1!$E$6:$E$23,0)</f>
        <v>14</v>
      </c>
      <c r="R67" s="97">
        <f>HLOOKUP(J67,Sheet1!$E$6:$X$23,Building!Q67,FALSE)</f>
        <v>500</v>
      </c>
      <c r="S67" s="94">
        <f t="shared" si="3"/>
        <v>500000</v>
      </c>
      <c r="T67" s="94">
        <f t="shared" si="8"/>
        <v>112500</v>
      </c>
      <c r="U67" s="94">
        <f t="shared" si="5"/>
        <v>387500</v>
      </c>
      <c r="V67" s="66">
        <v>0.15</v>
      </c>
      <c r="W67" s="94">
        <f t="shared" si="6"/>
        <v>329375</v>
      </c>
      <c r="X67" s="22"/>
      <c r="Y67" s="23"/>
      <c r="Z67" s="22"/>
      <c r="AA67" s="15"/>
    </row>
    <row r="68" spans="2:27" ht="15" customHeight="1" x14ac:dyDescent="0.25">
      <c r="B68" s="9">
        <f t="shared" si="9"/>
        <v>61</v>
      </c>
      <c r="C68" s="89"/>
      <c r="D68" s="16" t="s">
        <v>169</v>
      </c>
      <c r="E68" s="16" t="s">
        <v>142</v>
      </c>
      <c r="F68" s="9"/>
      <c r="G68" s="9" t="s">
        <v>83</v>
      </c>
      <c r="H68" s="88">
        <v>971.67</v>
      </c>
      <c r="I68" s="59">
        <f t="shared" si="0"/>
        <v>90.271184236196916</v>
      </c>
      <c r="J68" s="87" t="s">
        <v>146</v>
      </c>
      <c r="K68" s="134">
        <v>2012</v>
      </c>
      <c r="L68" s="86">
        <v>2022</v>
      </c>
      <c r="M68" s="86">
        <f t="shared" si="1"/>
        <v>10</v>
      </c>
      <c r="N68" s="95">
        <f>VLOOKUP(E68,Sheet1!$E$6:$F$23,2,FALSE)</f>
        <v>60</v>
      </c>
      <c r="O68" s="62">
        <v>0.1</v>
      </c>
      <c r="P68" s="95">
        <f t="shared" si="2"/>
        <v>1.5000000000000001E-2</v>
      </c>
      <c r="Q68" s="95">
        <f>MATCH(E68,Sheet1!$E$6:$E$23,0)</f>
        <v>16</v>
      </c>
      <c r="R68" s="97">
        <f>HLOOKUP(J68,Sheet1!$E$6:$X$23,Building!Q68,FALSE)</f>
        <v>1100</v>
      </c>
      <c r="S68" s="94">
        <f t="shared" si="3"/>
        <v>1068837</v>
      </c>
      <c r="T68" s="94">
        <f t="shared" si="8"/>
        <v>160325.55000000002</v>
      </c>
      <c r="U68" s="94">
        <f t="shared" si="5"/>
        <v>908511.45</v>
      </c>
      <c r="V68" s="66">
        <v>0.15</v>
      </c>
      <c r="W68" s="94">
        <f t="shared" si="6"/>
        <v>772234.73249999993</v>
      </c>
      <c r="X68" s="22"/>
      <c r="Y68" s="23"/>
      <c r="Z68" s="22"/>
      <c r="AA68" s="15"/>
    </row>
    <row r="69" spans="2:27" ht="15" customHeight="1" x14ac:dyDescent="0.25">
      <c r="B69" s="9">
        <f t="shared" si="9"/>
        <v>62</v>
      </c>
      <c r="C69" s="89"/>
      <c r="D69" s="16" t="s">
        <v>170</v>
      </c>
      <c r="E69" s="16" t="s">
        <v>142</v>
      </c>
      <c r="F69" s="9"/>
      <c r="G69" s="9" t="s">
        <v>83</v>
      </c>
      <c r="H69" s="88">
        <v>854.45</v>
      </c>
      <c r="I69" s="59">
        <f t="shared" si="0"/>
        <v>79.381079348563262</v>
      </c>
      <c r="J69" s="87" t="s">
        <v>148</v>
      </c>
      <c r="K69" s="134">
        <v>2012</v>
      </c>
      <c r="L69" s="86">
        <v>2022</v>
      </c>
      <c r="M69" s="86">
        <f t="shared" si="1"/>
        <v>10</v>
      </c>
      <c r="N69" s="95">
        <f>VLOOKUP(E69,Sheet1!$E$6:$F$23,2,FALSE)</f>
        <v>60</v>
      </c>
      <c r="O69" s="62">
        <v>0.1</v>
      </c>
      <c r="P69" s="95">
        <f t="shared" si="2"/>
        <v>1.5000000000000001E-2</v>
      </c>
      <c r="Q69" s="95">
        <f>MATCH(E69,Sheet1!$E$6:$E$23,0)</f>
        <v>16</v>
      </c>
      <c r="R69" s="97">
        <f>HLOOKUP(J69,Sheet1!$E$6:$X$23,Building!Q69,FALSE)</f>
        <v>1000</v>
      </c>
      <c r="S69" s="94">
        <f t="shared" si="3"/>
        <v>854450</v>
      </c>
      <c r="T69" s="94">
        <f t="shared" si="8"/>
        <v>128167.50000000001</v>
      </c>
      <c r="U69" s="94">
        <f t="shared" si="5"/>
        <v>726282.5</v>
      </c>
      <c r="V69" s="66">
        <v>0.05</v>
      </c>
      <c r="W69" s="94">
        <f t="shared" si="6"/>
        <v>689968.375</v>
      </c>
      <c r="X69" s="22"/>
      <c r="Y69" s="23"/>
      <c r="Z69" s="22"/>
      <c r="AA69" s="15"/>
    </row>
    <row r="70" spans="2:27" ht="15" customHeight="1" x14ac:dyDescent="0.25">
      <c r="B70" s="9">
        <f t="shared" si="9"/>
        <v>63</v>
      </c>
      <c r="C70" s="89"/>
      <c r="D70" s="16" t="s">
        <v>171</v>
      </c>
      <c r="E70" s="16" t="s">
        <v>142</v>
      </c>
      <c r="F70" s="9"/>
      <c r="G70" s="9" t="s">
        <v>83</v>
      </c>
      <c r="H70" s="88">
        <v>854.07</v>
      </c>
      <c r="I70" s="59">
        <f t="shared" ref="I70:I78" si="10">H70/10.7639</f>
        <v>79.345776159198806</v>
      </c>
      <c r="J70" s="87" t="s">
        <v>146</v>
      </c>
      <c r="K70" s="134">
        <v>2012</v>
      </c>
      <c r="L70" s="86">
        <v>2022</v>
      </c>
      <c r="M70" s="86">
        <f t="shared" ref="M70:M78" si="11">L70-K70</f>
        <v>10</v>
      </c>
      <c r="N70" s="95">
        <f>VLOOKUP(E70,Sheet1!$E$6:$F$23,2,FALSE)</f>
        <v>60</v>
      </c>
      <c r="O70" s="62">
        <v>0.1</v>
      </c>
      <c r="P70" s="95">
        <f t="shared" ref="P70:P78" si="12">(1-O70)/N70</f>
        <v>1.5000000000000001E-2</v>
      </c>
      <c r="Q70" s="95">
        <f>MATCH(E70,Sheet1!$E$6:$E$23,0)</f>
        <v>16</v>
      </c>
      <c r="R70" s="97">
        <f>HLOOKUP(J70,Sheet1!$E$6:$X$23,Building!Q70,FALSE)</f>
        <v>1100</v>
      </c>
      <c r="S70" s="94">
        <f t="shared" ref="S70:S78" si="13">H70*R70</f>
        <v>939477</v>
      </c>
      <c r="T70" s="94">
        <f t="shared" ref="T70:T78" si="14">S70*P70*M70</f>
        <v>140921.55000000002</v>
      </c>
      <c r="U70" s="94">
        <f t="shared" ref="U70:U78" si="15">MAX(S70-T70,O70*S70)</f>
        <v>798555.45</v>
      </c>
      <c r="V70" s="66">
        <v>0.15</v>
      </c>
      <c r="W70" s="94">
        <f t="shared" ref="W70:W78" si="16">U70*(1-V70)</f>
        <v>678772.13249999995</v>
      </c>
      <c r="X70" s="22"/>
      <c r="Y70" s="23"/>
      <c r="Z70" s="22"/>
      <c r="AA70" s="15"/>
    </row>
    <row r="71" spans="2:27" ht="15" customHeight="1" x14ac:dyDescent="0.25">
      <c r="B71" s="9">
        <f t="shared" si="9"/>
        <v>64</v>
      </c>
      <c r="C71" s="89"/>
      <c r="D71" s="16" t="s">
        <v>172</v>
      </c>
      <c r="E71" s="16" t="s">
        <v>142</v>
      </c>
      <c r="F71" s="9"/>
      <c r="G71" s="9" t="s">
        <v>83</v>
      </c>
      <c r="H71" s="88">
        <v>832.86</v>
      </c>
      <c r="I71" s="59">
        <f t="shared" si="10"/>
        <v>77.375300773883083</v>
      </c>
      <c r="J71" s="87" t="s">
        <v>148</v>
      </c>
      <c r="K71" s="134">
        <v>2012</v>
      </c>
      <c r="L71" s="86">
        <v>2022</v>
      </c>
      <c r="M71" s="86">
        <f t="shared" si="11"/>
        <v>10</v>
      </c>
      <c r="N71" s="95">
        <f>VLOOKUP(E71,Sheet1!$E$6:$F$23,2,FALSE)</f>
        <v>60</v>
      </c>
      <c r="O71" s="62">
        <v>0.1</v>
      </c>
      <c r="P71" s="95">
        <f t="shared" si="12"/>
        <v>1.5000000000000001E-2</v>
      </c>
      <c r="Q71" s="95">
        <f>MATCH(E71,Sheet1!$E$6:$E$23,0)</f>
        <v>16</v>
      </c>
      <c r="R71" s="97">
        <f>HLOOKUP(J71,Sheet1!$E$6:$X$23,Building!Q71,FALSE)</f>
        <v>1000</v>
      </c>
      <c r="S71" s="94">
        <f t="shared" si="13"/>
        <v>832860</v>
      </c>
      <c r="T71" s="94">
        <f t="shared" si="14"/>
        <v>124929.00000000001</v>
      </c>
      <c r="U71" s="94">
        <f t="shared" si="15"/>
        <v>707931</v>
      </c>
      <c r="V71" s="66">
        <v>0.15</v>
      </c>
      <c r="W71" s="94">
        <f t="shared" si="16"/>
        <v>601741.35</v>
      </c>
      <c r="X71" s="22"/>
      <c r="Y71" s="23"/>
      <c r="Z71" s="22"/>
      <c r="AA71" s="15"/>
    </row>
    <row r="72" spans="2:27" ht="15" customHeight="1" x14ac:dyDescent="0.25">
      <c r="B72" s="9">
        <f t="shared" si="9"/>
        <v>65</v>
      </c>
      <c r="C72" s="89"/>
      <c r="D72" s="16" t="s">
        <v>175</v>
      </c>
      <c r="E72" s="16" t="s">
        <v>150</v>
      </c>
      <c r="F72" s="9"/>
      <c r="G72" s="9" t="s">
        <v>83</v>
      </c>
      <c r="H72" s="88">
        <v>759.34</v>
      </c>
      <c r="I72" s="59">
        <f t="shared" si="10"/>
        <v>70.545062663161133</v>
      </c>
      <c r="J72" s="87" t="s">
        <v>148</v>
      </c>
      <c r="K72" s="134">
        <v>2012</v>
      </c>
      <c r="L72" s="86">
        <v>2022</v>
      </c>
      <c r="M72" s="86">
        <f t="shared" si="11"/>
        <v>10</v>
      </c>
      <c r="N72" s="95">
        <f>VLOOKUP(E72,Sheet1!$E$6:$F$23,2,FALSE)</f>
        <v>50</v>
      </c>
      <c r="O72" s="62">
        <v>0.1</v>
      </c>
      <c r="P72" s="95">
        <f t="shared" si="12"/>
        <v>1.8000000000000002E-2</v>
      </c>
      <c r="Q72" s="95">
        <f>MATCH(E72,Sheet1!$E$6:$E$23,0)</f>
        <v>17</v>
      </c>
      <c r="R72" s="97">
        <f>HLOOKUP(J72,Sheet1!$E$6:$X$23,Building!Q72,FALSE)</f>
        <v>800</v>
      </c>
      <c r="S72" s="94">
        <f t="shared" si="13"/>
        <v>607472</v>
      </c>
      <c r="T72" s="94">
        <f t="shared" si="14"/>
        <v>109344.96000000001</v>
      </c>
      <c r="U72" s="94">
        <f t="shared" si="15"/>
        <v>498127.04</v>
      </c>
      <c r="V72" s="66">
        <v>0.15</v>
      </c>
      <c r="W72" s="94">
        <f t="shared" si="16"/>
        <v>423407.984</v>
      </c>
      <c r="X72" s="22"/>
      <c r="Y72" s="23"/>
      <c r="Z72" s="22"/>
      <c r="AA72" s="15"/>
    </row>
    <row r="73" spans="2:27" ht="15" customHeight="1" x14ac:dyDescent="0.25">
      <c r="B73" s="9">
        <f t="shared" si="9"/>
        <v>66</v>
      </c>
      <c r="C73" s="89"/>
      <c r="D73" s="16" t="s">
        <v>159</v>
      </c>
      <c r="E73" s="16" t="s">
        <v>142</v>
      </c>
      <c r="F73" s="9"/>
      <c r="G73" s="9" t="s">
        <v>83</v>
      </c>
      <c r="H73" s="88">
        <v>732</v>
      </c>
      <c r="I73" s="59">
        <f t="shared" si="10"/>
        <v>68.005091091518878</v>
      </c>
      <c r="J73" s="87" t="s">
        <v>146</v>
      </c>
      <c r="K73" s="134">
        <v>2012</v>
      </c>
      <c r="L73" s="86">
        <v>2022</v>
      </c>
      <c r="M73" s="86">
        <f t="shared" si="11"/>
        <v>10</v>
      </c>
      <c r="N73" s="95">
        <f>VLOOKUP(E73,Sheet1!$E$6:$F$23,2,FALSE)</f>
        <v>60</v>
      </c>
      <c r="O73" s="62">
        <v>0.1</v>
      </c>
      <c r="P73" s="95">
        <f t="shared" si="12"/>
        <v>1.5000000000000001E-2</v>
      </c>
      <c r="Q73" s="95">
        <f>MATCH(E73,Sheet1!$E$6:$E$23,0)</f>
        <v>16</v>
      </c>
      <c r="R73" s="97">
        <f>HLOOKUP(J73,Sheet1!$E$6:$X$23,Building!Q73,FALSE)</f>
        <v>1100</v>
      </c>
      <c r="S73" s="94">
        <f t="shared" si="13"/>
        <v>805200</v>
      </c>
      <c r="T73" s="94">
        <f t="shared" si="14"/>
        <v>120780.00000000001</v>
      </c>
      <c r="U73" s="94">
        <f t="shared" si="15"/>
        <v>684420</v>
      </c>
      <c r="V73" s="66">
        <v>0.15</v>
      </c>
      <c r="W73" s="94">
        <f t="shared" si="16"/>
        <v>581757</v>
      </c>
      <c r="X73" s="22"/>
      <c r="Y73" s="23"/>
      <c r="Z73" s="22"/>
      <c r="AA73" s="15"/>
    </row>
    <row r="74" spans="2:27" ht="15" customHeight="1" x14ac:dyDescent="0.25">
      <c r="B74" s="9">
        <f t="shared" si="9"/>
        <v>67</v>
      </c>
      <c r="C74" s="89"/>
      <c r="D74" s="16" t="s">
        <v>177</v>
      </c>
      <c r="E74" s="16" t="s">
        <v>132</v>
      </c>
      <c r="F74" s="9"/>
      <c r="G74" s="9" t="s">
        <v>83</v>
      </c>
      <c r="H74" s="88">
        <v>681.02</v>
      </c>
      <c r="I74" s="59">
        <f t="shared" si="10"/>
        <v>63.268889528888231</v>
      </c>
      <c r="J74" s="87" t="s">
        <v>178</v>
      </c>
      <c r="K74" s="134">
        <v>2012</v>
      </c>
      <c r="L74" s="86">
        <v>2022</v>
      </c>
      <c r="M74" s="86">
        <f t="shared" si="11"/>
        <v>10</v>
      </c>
      <c r="N74" s="95">
        <f>VLOOKUP(E74,Sheet1!$E$6:$F$23,2,FALSE)</f>
        <v>45</v>
      </c>
      <c r="O74" s="62">
        <v>0.1</v>
      </c>
      <c r="P74" s="95">
        <f t="shared" si="12"/>
        <v>0.02</v>
      </c>
      <c r="Q74" s="95">
        <f>MATCH(E74,Sheet1!$E$6:$E$23,0)</f>
        <v>11</v>
      </c>
      <c r="R74" s="97">
        <f>HLOOKUP(J74,Sheet1!$E$6:$X$23,Building!Q74,FALSE)</f>
        <v>1000</v>
      </c>
      <c r="S74" s="94">
        <f t="shared" si="13"/>
        <v>681020</v>
      </c>
      <c r="T74" s="94">
        <f t="shared" si="14"/>
        <v>136204</v>
      </c>
      <c r="U74" s="94">
        <f t="shared" si="15"/>
        <v>544816</v>
      </c>
      <c r="V74" s="66">
        <v>0.15</v>
      </c>
      <c r="W74" s="94">
        <f t="shared" si="16"/>
        <v>463093.6</v>
      </c>
      <c r="X74" s="22"/>
      <c r="Y74" s="23"/>
      <c r="Z74" s="22"/>
      <c r="AA74" s="15"/>
    </row>
    <row r="75" spans="2:27" ht="15" customHeight="1" x14ac:dyDescent="0.25">
      <c r="B75" s="9">
        <f t="shared" si="9"/>
        <v>68</v>
      </c>
      <c r="C75" s="89"/>
      <c r="D75" s="16" t="s">
        <v>182</v>
      </c>
      <c r="E75" s="16" t="s">
        <v>142</v>
      </c>
      <c r="F75" s="9"/>
      <c r="G75" s="9" t="s">
        <v>83</v>
      </c>
      <c r="H75" s="88">
        <v>425.56</v>
      </c>
      <c r="I75" s="59">
        <f t="shared" si="10"/>
        <v>39.535855962987398</v>
      </c>
      <c r="J75" s="87" t="s">
        <v>148</v>
      </c>
      <c r="K75" s="134">
        <v>2012</v>
      </c>
      <c r="L75" s="86">
        <v>2022</v>
      </c>
      <c r="M75" s="86">
        <f t="shared" si="11"/>
        <v>10</v>
      </c>
      <c r="N75" s="95">
        <f>VLOOKUP(E75,Sheet1!$E$6:$F$23,2,FALSE)</f>
        <v>60</v>
      </c>
      <c r="O75" s="62">
        <v>0.1</v>
      </c>
      <c r="P75" s="95">
        <f t="shared" si="12"/>
        <v>1.5000000000000001E-2</v>
      </c>
      <c r="Q75" s="95">
        <f>MATCH(E75,Sheet1!$E$6:$E$23,0)</f>
        <v>16</v>
      </c>
      <c r="R75" s="97">
        <f>HLOOKUP(J75,Sheet1!$E$6:$X$23,Building!Q75,FALSE)</f>
        <v>1000</v>
      </c>
      <c r="S75" s="94">
        <f t="shared" si="13"/>
        <v>425560</v>
      </c>
      <c r="T75" s="94">
        <f t="shared" si="14"/>
        <v>63834.000000000007</v>
      </c>
      <c r="U75" s="94">
        <f t="shared" si="15"/>
        <v>361726</v>
      </c>
      <c r="V75" s="66">
        <v>0.15</v>
      </c>
      <c r="W75" s="94">
        <f t="shared" si="16"/>
        <v>307467.09999999998</v>
      </c>
      <c r="X75" s="22"/>
      <c r="Y75" s="23"/>
      <c r="Z75" s="22"/>
      <c r="AA75" s="15"/>
    </row>
    <row r="76" spans="2:27" ht="15" customHeight="1" x14ac:dyDescent="0.25">
      <c r="B76" s="9">
        <f t="shared" si="9"/>
        <v>69</v>
      </c>
      <c r="C76" s="89"/>
      <c r="D76" s="16" t="s">
        <v>185</v>
      </c>
      <c r="E76" s="16" t="s">
        <v>142</v>
      </c>
      <c r="F76" s="9"/>
      <c r="G76" s="9" t="s">
        <v>86</v>
      </c>
      <c r="H76" s="88">
        <v>347.8</v>
      </c>
      <c r="I76" s="59">
        <f t="shared" si="10"/>
        <v>32.311708581462113</v>
      </c>
      <c r="J76" s="87" t="s">
        <v>148</v>
      </c>
      <c r="K76" s="134">
        <v>2012</v>
      </c>
      <c r="L76" s="86">
        <v>2022</v>
      </c>
      <c r="M76" s="86">
        <f t="shared" si="11"/>
        <v>10</v>
      </c>
      <c r="N76" s="95">
        <f>VLOOKUP(E76,Sheet1!$E$6:$F$23,2,FALSE)</f>
        <v>60</v>
      </c>
      <c r="O76" s="62">
        <v>0.1</v>
      </c>
      <c r="P76" s="95">
        <f t="shared" si="12"/>
        <v>1.5000000000000001E-2</v>
      </c>
      <c r="Q76" s="95">
        <f>MATCH(E76,Sheet1!$E$6:$E$23,0)</f>
        <v>16</v>
      </c>
      <c r="R76" s="97">
        <f>HLOOKUP(J76,Sheet1!$E$6:$X$23,Building!Q76,FALSE)</f>
        <v>1000</v>
      </c>
      <c r="S76" s="94">
        <f t="shared" si="13"/>
        <v>347800</v>
      </c>
      <c r="T76" s="94">
        <f t="shared" si="14"/>
        <v>52170</v>
      </c>
      <c r="U76" s="94">
        <f t="shared" si="15"/>
        <v>295630</v>
      </c>
      <c r="V76" s="66">
        <v>0.25</v>
      </c>
      <c r="W76" s="94">
        <f t="shared" si="16"/>
        <v>221722.5</v>
      </c>
      <c r="X76" s="22"/>
      <c r="Y76" s="23"/>
      <c r="Z76" s="22"/>
      <c r="AA76" s="15"/>
    </row>
    <row r="77" spans="2:27" ht="15" customHeight="1" x14ac:dyDescent="0.25">
      <c r="B77" s="9">
        <f t="shared" si="9"/>
        <v>70</v>
      </c>
      <c r="C77" s="89"/>
      <c r="D77" s="16" t="s">
        <v>187</v>
      </c>
      <c r="E77" s="16" t="s">
        <v>117</v>
      </c>
      <c r="F77" s="9"/>
      <c r="G77" s="9" t="s">
        <v>202</v>
      </c>
      <c r="H77" s="88">
        <v>316.25</v>
      </c>
      <c r="I77" s="59">
        <f t="shared" si="10"/>
        <v>29.380614832913722</v>
      </c>
      <c r="J77" s="87" t="s">
        <v>148</v>
      </c>
      <c r="K77" s="134">
        <v>2012</v>
      </c>
      <c r="L77" s="86">
        <v>2022</v>
      </c>
      <c r="M77" s="86">
        <f t="shared" si="11"/>
        <v>10</v>
      </c>
      <c r="N77" s="95">
        <f>VLOOKUP(E77,Sheet1!$E$6:$F$23,2,FALSE)</f>
        <v>40</v>
      </c>
      <c r="O77" s="62">
        <v>0.1</v>
      </c>
      <c r="P77" s="95">
        <f t="shared" si="12"/>
        <v>2.2499999999999999E-2</v>
      </c>
      <c r="Q77" s="95">
        <f>MATCH(E77,Sheet1!$E$6:$E$23,0)</f>
        <v>14</v>
      </c>
      <c r="R77" s="97">
        <f>HLOOKUP(J77,Sheet1!$E$6:$X$23,Building!Q77,FALSE)</f>
        <v>500</v>
      </c>
      <c r="S77" s="94">
        <f t="shared" si="13"/>
        <v>158125</v>
      </c>
      <c r="T77" s="94">
        <f t="shared" si="14"/>
        <v>35578.125</v>
      </c>
      <c r="U77" s="94">
        <f t="shared" si="15"/>
        <v>122546.875</v>
      </c>
      <c r="V77" s="66">
        <v>0.2</v>
      </c>
      <c r="W77" s="94">
        <f t="shared" si="16"/>
        <v>98037.5</v>
      </c>
      <c r="X77" s="22"/>
      <c r="Y77" s="23"/>
      <c r="Z77" s="22"/>
      <c r="AA77" s="15"/>
    </row>
    <row r="78" spans="2:27" ht="15" customHeight="1" x14ac:dyDescent="0.25">
      <c r="B78" s="9">
        <f t="shared" si="9"/>
        <v>71</v>
      </c>
      <c r="C78" s="89"/>
      <c r="D78" s="16" t="s">
        <v>159</v>
      </c>
      <c r="E78" s="16" t="s">
        <v>142</v>
      </c>
      <c r="F78" s="9"/>
      <c r="G78" s="9" t="s">
        <v>83</v>
      </c>
      <c r="H78" s="88">
        <v>270.3</v>
      </c>
      <c r="I78" s="59">
        <f t="shared" si="10"/>
        <v>25.111716013712503</v>
      </c>
      <c r="J78" s="87" t="s">
        <v>146</v>
      </c>
      <c r="K78" s="134">
        <v>2012</v>
      </c>
      <c r="L78" s="86">
        <v>2022</v>
      </c>
      <c r="M78" s="86">
        <f t="shared" si="11"/>
        <v>10</v>
      </c>
      <c r="N78" s="95">
        <f>VLOOKUP(E78,Sheet1!$E$6:$F$23,2,FALSE)</f>
        <v>60</v>
      </c>
      <c r="O78" s="62">
        <v>0.1</v>
      </c>
      <c r="P78" s="95">
        <f t="shared" si="12"/>
        <v>1.5000000000000001E-2</v>
      </c>
      <c r="Q78" s="95">
        <f>MATCH(E78,Sheet1!$E$6:$E$23,0)</f>
        <v>16</v>
      </c>
      <c r="R78" s="97">
        <f>HLOOKUP(J78,Sheet1!$E$6:$X$23,Building!Q78,FALSE)</f>
        <v>1100</v>
      </c>
      <c r="S78" s="94">
        <f t="shared" si="13"/>
        <v>297330</v>
      </c>
      <c r="T78" s="94">
        <f t="shared" si="14"/>
        <v>44599.500000000007</v>
      </c>
      <c r="U78" s="94">
        <f t="shared" si="15"/>
        <v>252730.5</v>
      </c>
      <c r="V78" s="66">
        <v>0.15</v>
      </c>
      <c r="W78" s="94">
        <f t="shared" si="16"/>
        <v>214820.92499999999</v>
      </c>
      <c r="X78" s="22"/>
      <c r="Y78" s="23"/>
      <c r="Z78" s="22"/>
      <c r="AA78" s="15"/>
    </row>
    <row r="79" spans="2:27" ht="15" customHeight="1" x14ac:dyDescent="0.25">
      <c r="B79" s="70"/>
      <c r="C79" s="161" t="s">
        <v>53</v>
      </c>
      <c r="D79" s="162"/>
      <c r="E79" s="162"/>
      <c r="F79" s="71"/>
      <c r="G79" s="71"/>
      <c r="H79" s="72">
        <f>SUM(H55:H78)</f>
        <v>63567.6</v>
      </c>
      <c r="I79" s="72">
        <f>SUM(I55:I78)</f>
        <v>5905.6290006410327</v>
      </c>
      <c r="J79" s="53"/>
      <c r="K79" s="54"/>
      <c r="L79" s="54"/>
      <c r="M79" s="54"/>
      <c r="N79" s="54"/>
      <c r="O79" s="73"/>
      <c r="P79" s="74"/>
      <c r="Q79" s="74"/>
      <c r="R79" s="75"/>
      <c r="S79" s="55">
        <f>SUM(S4:S78)</f>
        <v>683217490</v>
      </c>
      <c r="T79" s="55">
        <f>SUM(T4:T78)</f>
        <v>224302238.97000003</v>
      </c>
      <c r="U79" s="55">
        <f>SUM(U4:U78)</f>
        <v>458915251.02999997</v>
      </c>
      <c r="V79" s="55"/>
      <c r="W79" s="55">
        <f>SUM(W55:W78)</f>
        <v>47675379.0995</v>
      </c>
      <c r="X79" s="22">
        <f>SUM(U79)</f>
        <v>458915251.02999997</v>
      </c>
      <c r="Y79" s="23"/>
      <c r="Z79" s="22"/>
      <c r="AA79" s="15"/>
    </row>
    <row r="80" spans="2:27" ht="15" customHeight="1" x14ac:dyDescent="0.25">
      <c r="B80" s="9">
        <f>INT(B78)+1</f>
        <v>72</v>
      </c>
      <c r="C80" s="133"/>
      <c r="D80" s="173" t="s">
        <v>233</v>
      </c>
      <c r="E80" s="174"/>
      <c r="F80" s="9"/>
      <c r="G80" s="9"/>
      <c r="H80" s="175" t="s">
        <v>236</v>
      </c>
      <c r="I80" s="176"/>
      <c r="J80" s="176"/>
      <c r="K80" s="176"/>
      <c r="L80" s="176"/>
      <c r="M80" s="176"/>
      <c r="N80" s="177"/>
      <c r="O80" s="135"/>
      <c r="P80" s="136"/>
      <c r="Q80" s="136"/>
      <c r="R80" s="186" t="s">
        <v>235</v>
      </c>
      <c r="S80" s="187"/>
      <c r="T80" s="187"/>
      <c r="U80" s="188"/>
      <c r="V80" s="137"/>
      <c r="W80" s="138">
        <f>12*382000</f>
        <v>4584000</v>
      </c>
      <c r="X80" s="22"/>
      <c r="Y80" s="23"/>
      <c r="Z80" s="22"/>
      <c r="AA80" s="15"/>
    </row>
    <row r="81" spans="2:27" ht="15" customHeight="1" x14ac:dyDescent="0.25">
      <c r="B81" s="9">
        <f>INT(B80)+1</f>
        <v>73</v>
      </c>
      <c r="C81" s="133"/>
      <c r="D81" s="173" t="s">
        <v>234</v>
      </c>
      <c r="E81" s="174"/>
      <c r="F81" s="9"/>
      <c r="G81" s="9" t="s">
        <v>83</v>
      </c>
      <c r="H81" s="175" t="s">
        <v>237</v>
      </c>
      <c r="I81" s="176"/>
      <c r="J81" s="176"/>
      <c r="K81" s="176"/>
      <c r="L81" s="176"/>
      <c r="M81" s="176"/>
      <c r="N81" s="177"/>
      <c r="O81" s="135"/>
      <c r="P81" s="136"/>
      <c r="Q81" s="136"/>
      <c r="R81" s="186" t="s">
        <v>235</v>
      </c>
      <c r="S81" s="187"/>
      <c r="T81" s="187"/>
      <c r="U81" s="188"/>
      <c r="V81" s="137"/>
      <c r="W81" s="138">
        <f>12*3504000</f>
        <v>42048000</v>
      </c>
      <c r="X81" s="22"/>
      <c r="Y81" s="23"/>
      <c r="Z81" s="22"/>
      <c r="AA81" s="15"/>
    </row>
    <row r="82" spans="2:27" ht="15" customHeight="1" x14ac:dyDescent="0.25">
      <c r="B82" s="9">
        <f t="shared" ref="B82:B84" si="17">INT(B81)+1</f>
        <v>74</v>
      </c>
      <c r="C82" s="57"/>
      <c r="D82" s="167" t="s">
        <v>231</v>
      </c>
      <c r="E82" s="167"/>
      <c r="F82" s="10"/>
      <c r="G82" s="10"/>
      <c r="H82" s="168" t="str">
        <f>ROUND(32.68,2) &amp;" acres"</f>
        <v>32.68 acres</v>
      </c>
      <c r="I82" s="168"/>
      <c r="J82" s="168"/>
      <c r="K82" s="168"/>
      <c r="L82" s="168"/>
      <c r="M82" s="168"/>
      <c r="N82" s="168"/>
      <c r="O82" s="20"/>
      <c r="P82" s="21"/>
      <c r="Q82" s="21"/>
      <c r="R82" s="184" t="s">
        <v>232</v>
      </c>
      <c r="S82" s="184"/>
      <c r="T82" s="184"/>
      <c r="U82" s="184"/>
      <c r="V82" s="76"/>
      <c r="W82" s="76">
        <f>1000000*32.68</f>
        <v>32680000</v>
      </c>
      <c r="X82" s="22"/>
      <c r="Y82" s="23"/>
      <c r="Z82" s="22"/>
      <c r="AA82" s="15"/>
    </row>
    <row r="83" spans="2:27" ht="15" customHeight="1" x14ac:dyDescent="0.25">
      <c r="B83" s="9">
        <f t="shared" si="17"/>
        <v>75</v>
      </c>
      <c r="C83" s="57"/>
      <c r="D83" s="167" t="s">
        <v>48</v>
      </c>
      <c r="E83" s="167"/>
      <c r="F83" s="10"/>
      <c r="G83" s="10"/>
      <c r="H83" s="169" t="str">
        <f>21440 &amp;" R.mtr."</f>
        <v>21440 R.mtr.</v>
      </c>
      <c r="I83" s="169"/>
      <c r="J83" s="169"/>
      <c r="K83" s="169"/>
      <c r="L83" s="169"/>
      <c r="M83" s="169"/>
      <c r="N83" s="169"/>
      <c r="O83" s="20"/>
      <c r="P83" s="21"/>
      <c r="Q83" s="21"/>
      <c r="R83" s="185" t="s">
        <v>87</v>
      </c>
      <c r="S83" s="185"/>
      <c r="T83" s="185"/>
      <c r="U83" s="185"/>
      <c r="V83" s="76"/>
      <c r="W83" s="76">
        <f>1500*21440</f>
        <v>32160000</v>
      </c>
      <c r="X83" s="22"/>
      <c r="Y83" s="23"/>
      <c r="Z83" s="22"/>
      <c r="AA83" s="15"/>
    </row>
    <row r="84" spans="2:27" ht="15" customHeight="1" x14ac:dyDescent="0.25">
      <c r="B84" s="9">
        <f t="shared" si="17"/>
        <v>76</v>
      </c>
      <c r="C84" s="57"/>
      <c r="D84" s="167" t="s">
        <v>25</v>
      </c>
      <c r="E84" s="167"/>
      <c r="F84" s="10"/>
      <c r="G84" s="10"/>
      <c r="H84" s="169" t="str">
        <f>4000 &amp;" R.mtr."</f>
        <v>4000 R.mtr.</v>
      </c>
      <c r="I84" s="169"/>
      <c r="J84" s="169"/>
      <c r="K84" s="169"/>
      <c r="L84" s="169"/>
      <c r="M84" s="169"/>
      <c r="N84" s="169"/>
      <c r="O84" s="20"/>
      <c r="P84" s="21"/>
      <c r="Q84" s="21"/>
      <c r="R84" s="185" t="s">
        <v>88</v>
      </c>
      <c r="S84" s="185"/>
      <c r="T84" s="185"/>
      <c r="U84" s="185"/>
      <c r="V84" s="76"/>
      <c r="W84" s="76">
        <f>4000*4000</f>
        <v>16000000</v>
      </c>
      <c r="X84" s="22"/>
      <c r="Y84" s="23"/>
      <c r="Z84" s="22"/>
      <c r="AA84" s="15"/>
    </row>
    <row r="85" spans="2:27" ht="15" customHeight="1" x14ac:dyDescent="0.25">
      <c r="B85" s="161" t="s">
        <v>53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90"/>
      <c r="T85" s="161"/>
      <c r="U85" s="162"/>
      <c r="V85" s="67"/>
      <c r="W85" s="163">
        <f>SUM(W80:W84)</f>
        <v>127472000</v>
      </c>
      <c r="X85" s="189"/>
      <c r="Y85" s="189"/>
      <c r="Z85" s="22"/>
      <c r="AA85" s="15"/>
    </row>
    <row r="86" spans="2:27" ht="15" customHeight="1" x14ac:dyDescent="0.25">
      <c r="B86" s="180" t="s">
        <v>89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2"/>
      <c r="V86" s="13"/>
      <c r="W86" s="137">
        <f>W85+W79+V52</f>
        <v>505911339.17524993</v>
      </c>
      <c r="X86" s="22"/>
      <c r="Y86" s="23"/>
      <c r="Z86" s="22"/>
      <c r="AA86" s="15"/>
    </row>
    <row r="87" spans="2:27" ht="15" customHeight="1" x14ac:dyDescent="0.25">
      <c r="B87" s="170" t="s">
        <v>31</v>
      </c>
      <c r="C87" s="170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22"/>
      <c r="Y87" s="23"/>
      <c r="Z87" s="22"/>
      <c r="AA87" s="15"/>
    </row>
    <row r="88" spans="2:27" ht="33" customHeight="1" x14ac:dyDescent="0.25">
      <c r="B88" s="171" t="s">
        <v>203</v>
      </c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22"/>
      <c r="Y88" s="23"/>
      <c r="Z88" s="22"/>
      <c r="AA88" s="15"/>
    </row>
    <row r="89" spans="2:27" ht="15" customHeight="1" x14ac:dyDescent="0.25">
      <c r="B89" s="172" t="s">
        <v>90</v>
      </c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22"/>
      <c r="Y89" s="23"/>
      <c r="Z89" s="22"/>
      <c r="AA89" s="15"/>
    </row>
    <row r="90" spans="2:27" ht="15" customHeight="1" x14ac:dyDescent="0.25">
      <c r="B90" s="172" t="s">
        <v>33</v>
      </c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22"/>
      <c r="Y90" s="23"/>
      <c r="Z90" s="22"/>
      <c r="AA90" s="15"/>
    </row>
    <row r="91" spans="2:27" x14ac:dyDescent="0.25">
      <c r="K91" s="69"/>
      <c r="L91" s="69"/>
      <c r="M91" s="69"/>
      <c r="N91" s="69"/>
      <c r="O91" s="78"/>
      <c r="P91" s="79"/>
      <c r="Q91" s="79"/>
      <c r="R91" s="77"/>
      <c r="S91" s="77">
        <f t="shared" ref="S91:S105" si="18">R91*H94</f>
        <v>0</v>
      </c>
      <c r="T91" s="77">
        <f t="shared" ref="T91:T105" si="19">S91*P91*M91</f>
        <v>0</v>
      </c>
      <c r="U91" s="77">
        <f t="shared" ref="U91:U105" si="20">MAX(S91-T91,0)</f>
        <v>0</v>
      </c>
      <c r="V91" s="77"/>
      <c r="W91" s="77">
        <f t="shared" ref="W91:W105" si="21">U91</f>
        <v>0</v>
      </c>
      <c r="X91" s="22"/>
      <c r="Y91" s="23"/>
      <c r="Z91" s="22"/>
      <c r="AA91" s="15"/>
    </row>
    <row r="92" spans="2:27" x14ac:dyDescent="0.25">
      <c r="B92" s="9">
        <f>INT(B18)+1</f>
        <v>15</v>
      </c>
      <c r="C92" s="57" t="s">
        <v>73</v>
      </c>
      <c r="D92" s="24" t="s">
        <v>57</v>
      </c>
      <c r="E92" s="57" t="s">
        <v>73</v>
      </c>
      <c r="F92" s="10"/>
      <c r="G92" s="10"/>
      <c r="H92" s="58">
        <f t="shared" ref="H92:H107" si="22">I92*10.764</f>
        <v>12206.375999999998</v>
      </c>
      <c r="I92" s="18">
        <v>1134</v>
      </c>
      <c r="K92" s="19"/>
      <c r="L92" s="19"/>
      <c r="M92" s="19"/>
      <c r="N92" s="19"/>
      <c r="O92" s="20"/>
      <c r="P92" s="21"/>
      <c r="Q92" s="21"/>
      <c r="R92" s="13"/>
      <c r="S92" s="13">
        <f t="shared" si="18"/>
        <v>0</v>
      </c>
      <c r="T92" s="13">
        <f t="shared" si="19"/>
        <v>0</v>
      </c>
      <c r="U92" s="13">
        <f t="shared" si="20"/>
        <v>0</v>
      </c>
      <c r="V92" s="13"/>
      <c r="W92" s="13">
        <f t="shared" si="21"/>
        <v>0</v>
      </c>
      <c r="X92" s="22"/>
      <c r="Y92" s="23"/>
      <c r="Z92" s="22"/>
      <c r="AA92" s="15"/>
    </row>
    <row r="93" spans="2:27" x14ac:dyDescent="0.25">
      <c r="B93" s="9">
        <f t="shared" ref="B93:B108" si="23">INT(B92)+1</f>
        <v>16</v>
      </c>
      <c r="C93" s="57" t="s">
        <v>73</v>
      </c>
      <c r="D93" s="24" t="s">
        <v>58</v>
      </c>
      <c r="E93" s="57" t="s">
        <v>73</v>
      </c>
      <c r="F93" s="9"/>
      <c r="G93" s="9"/>
      <c r="H93" s="58">
        <f t="shared" si="22"/>
        <v>28029.455999999998</v>
      </c>
      <c r="I93" s="12">
        <v>2604</v>
      </c>
      <c r="K93" s="19"/>
      <c r="L93" s="19"/>
      <c r="M93" s="19"/>
      <c r="N93" s="19"/>
      <c r="O93" s="20"/>
      <c r="P93" s="21"/>
      <c r="Q93" s="21"/>
      <c r="R93" s="13"/>
      <c r="S93" s="13">
        <f t="shared" si="18"/>
        <v>0</v>
      </c>
      <c r="T93" s="13">
        <f t="shared" si="19"/>
        <v>0</v>
      </c>
      <c r="U93" s="13">
        <f t="shared" si="20"/>
        <v>0</v>
      </c>
      <c r="V93" s="13"/>
      <c r="W93" s="13">
        <f t="shared" si="21"/>
        <v>0</v>
      </c>
      <c r="X93" s="22"/>
      <c r="Y93" s="23"/>
      <c r="Z93" s="22"/>
      <c r="AA93" s="15"/>
    </row>
    <row r="94" spans="2:27" x14ac:dyDescent="0.25">
      <c r="B94" s="9">
        <f t="shared" si="23"/>
        <v>17</v>
      </c>
      <c r="C94" s="57" t="s">
        <v>73</v>
      </c>
      <c r="D94" s="24" t="s">
        <v>59</v>
      </c>
      <c r="E94" s="57" t="s">
        <v>73</v>
      </c>
      <c r="F94" s="10"/>
      <c r="G94" s="10"/>
      <c r="H94" s="58">
        <f t="shared" si="22"/>
        <v>269100</v>
      </c>
      <c r="I94" s="18">
        <v>25000</v>
      </c>
      <c r="K94" s="19"/>
      <c r="L94" s="19"/>
      <c r="M94" s="19"/>
      <c r="N94" s="19"/>
      <c r="O94" s="20"/>
      <c r="P94" s="21"/>
      <c r="Q94" s="21"/>
      <c r="R94" s="13"/>
      <c r="S94" s="13">
        <f t="shared" si="18"/>
        <v>0</v>
      </c>
      <c r="T94" s="13">
        <f t="shared" si="19"/>
        <v>0</v>
      </c>
      <c r="U94" s="13">
        <f t="shared" si="20"/>
        <v>0</v>
      </c>
      <c r="V94" s="13"/>
      <c r="W94" s="13">
        <f t="shared" si="21"/>
        <v>0</v>
      </c>
      <c r="X94" s="22"/>
      <c r="Y94" s="23"/>
      <c r="Z94" s="22"/>
      <c r="AA94" s="15"/>
    </row>
    <row r="95" spans="2:27" x14ac:dyDescent="0.25">
      <c r="B95" s="9">
        <f t="shared" si="23"/>
        <v>18</v>
      </c>
      <c r="C95" s="57" t="s">
        <v>73</v>
      </c>
      <c r="D95" s="24" t="s">
        <v>60</v>
      </c>
      <c r="E95" s="57" t="s">
        <v>73</v>
      </c>
      <c r="F95" s="10"/>
      <c r="G95" s="10"/>
      <c r="H95" s="58">
        <f t="shared" si="22"/>
        <v>153494.63999999998</v>
      </c>
      <c r="I95" s="18">
        <v>14260</v>
      </c>
      <c r="K95" s="19"/>
      <c r="L95" s="19"/>
      <c r="M95" s="19"/>
      <c r="N95" s="19"/>
      <c r="O95" s="20"/>
      <c r="P95" s="21"/>
      <c r="Q95" s="21"/>
      <c r="R95" s="13"/>
      <c r="S95" s="13">
        <f t="shared" si="18"/>
        <v>0</v>
      </c>
      <c r="T95" s="13">
        <f t="shared" si="19"/>
        <v>0</v>
      </c>
      <c r="U95" s="13">
        <f t="shared" si="20"/>
        <v>0</v>
      </c>
      <c r="V95" s="13"/>
      <c r="W95" s="13">
        <f t="shared" si="21"/>
        <v>0</v>
      </c>
      <c r="X95" s="22"/>
      <c r="Y95" s="23"/>
      <c r="Z95" s="22"/>
      <c r="AA95" s="15"/>
    </row>
    <row r="96" spans="2:27" x14ac:dyDescent="0.25">
      <c r="B96" s="9">
        <f t="shared" si="23"/>
        <v>19</v>
      </c>
      <c r="C96" s="57" t="s">
        <v>73</v>
      </c>
      <c r="D96" s="24" t="s">
        <v>61</v>
      </c>
      <c r="E96" s="57" t="s">
        <v>73</v>
      </c>
      <c r="F96" s="10"/>
      <c r="G96" s="10"/>
      <c r="H96" s="58">
        <f t="shared" si="22"/>
        <v>117553.64399999999</v>
      </c>
      <c r="I96" s="18">
        <v>10921</v>
      </c>
      <c r="K96" s="19"/>
      <c r="L96" s="19"/>
      <c r="M96" s="19"/>
      <c r="N96" s="19"/>
      <c r="O96" s="20"/>
      <c r="P96" s="21"/>
      <c r="Q96" s="21"/>
      <c r="R96" s="13"/>
      <c r="S96" s="13">
        <f t="shared" si="18"/>
        <v>0</v>
      </c>
      <c r="T96" s="13">
        <f t="shared" si="19"/>
        <v>0</v>
      </c>
      <c r="U96" s="13">
        <f t="shared" si="20"/>
        <v>0</v>
      </c>
      <c r="V96" s="13"/>
      <c r="W96" s="13">
        <f t="shared" si="21"/>
        <v>0</v>
      </c>
      <c r="X96" s="22"/>
      <c r="Y96" s="23"/>
      <c r="Z96" s="22"/>
      <c r="AA96" s="15"/>
    </row>
    <row r="97" spans="2:37" x14ac:dyDescent="0.25">
      <c r="B97" s="9">
        <f t="shared" si="23"/>
        <v>20</v>
      </c>
      <c r="C97" s="57" t="s">
        <v>73</v>
      </c>
      <c r="D97" s="24" t="s">
        <v>62</v>
      </c>
      <c r="E97" s="57" t="s">
        <v>73</v>
      </c>
      <c r="F97" s="10"/>
      <c r="G97" s="10"/>
      <c r="H97" s="58">
        <f t="shared" si="22"/>
        <v>31269.42</v>
      </c>
      <c r="I97" s="18">
        <v>2905</v>
      </c>
      <c r="K97" s="19"/>
      <c r="L97" s="19"/>
      <c r="M97" s="19"/>
      <c r="N97" s="19"/>
      <c r="O97" s="20"/>
      <c r="P97" s="21"/>
      <c r="Q97" s="21"/>
      <c r="R97" s="13"/>
      <c r="S97" s="13">
        <f t="shared" si="18"/>
        <v>0</v>
      </c>
      <c r="T97" s="13">
        <f t="shared" si="19"/>
        <v>0</v>
      </c>
      <c r="U97" s="13">
        <f t="shared" si="20"/>
        <v>0</v>
      </c>
      <c r="V97" s="13"/>
      <c r="W97" s="13">
        <f t="shared" si="21"/>
        <v>0</v>
      </c>
      <c r="X97" s="22"/>
      <c r="Y97" s="23"/>
      <c r="Z97" s="22"/>
      <c r="AA97" s="15"/>
    </row>
    <row r="98" spans="2:37" x14ac:dyDescent="0.25">
      <c r="B98" s="9">
        <f t="shared" si="23"/>
        <v>21</v>
      </c>
      <c r="C98" s="57" t="s">
        <v>73</v>
      </c>
      <c r="D98" s="24" t="s">
        <v>63</v>
      </c>
      <c r="E98" s="57" t="s">
        <v>73</v>
      </c>
      <c r="F98" s="10"/>
      <c r="G98" s="10"/>
      <c r="H98" s="58">
        <f t="shared" si="22"/>
        <v>12077.207999999999</v>
      </c>
      <c r="I98" s="18">
        <v>1122</v>
      </c>
      <c r="K98" s="19"/>
      <c r="L98" s="19"/>
      <c r="M98" s="19"/>
      <c r="N98" s="19"/>
      <c r="O98" s="20"/>
      <c r="P98" s="21"/>
      <c r="Q98" s="21"/>
      <c r="R98" s="13"/>
      <c r="S98" s="13">
        <f t="shared" si="18"/>
        <v>0</v>
      </c>
      <c r="T98" s="13">
        <f t="shared" si="19"/>
        <v>0</v>
      </c>
      <c r="U98" s="13">
        <f t="shared" si="20"/>
        <v>0</v>
      </c>
      <c r="V98" s="13"/>
      <c r="W98" s="13">
        <f t="shared" si="21"/>
        <v>0</v>
      </c>
      <c r="X98" s="22"/>
      <c r="Y98" s="23"/>
      <c r="Z98" s="22"/>
      <c r="AA98" s="15"/>
    </row>
    <row r="99" spans="2:37" x14ac:dyDescent="0.25">
      <c r="B99" s="9">
        <f t="shared" si="23"/>
        <v>22</v>
      </c>
      <c r="C99" s="57" t="s">
        <v>73</v>
      </c>
      <c r="D99" s="24" t="s">
        <v>64</v>
      </c>
      <c r="E99" s="57" t="s">
        <v>73</v>
      </c>
      <c r="F99" s="10"/>
      <c r="G99" s="10"/>
      <c r="H99" s="58">
        <f t="shared" si="22"/>
        <v>285784.2</v>
      </c>
      <c r="I99" s="18">
        <v>26550</v>
      </c>
      <c r="K99" s="19"/>
      <c r="L99" s="19"/>
      <c r="M99" s="19"/>
      <c r="N99" s="19"/>
      <c r="O99" s="20"/>
      <c r="P99" s="21"/>
      <c r="Q99" s="21"/>
      <c r="R99" s="13"/>
      <c r="S99" s="13">
        <f t="shared" si="18"/>
        <v>0</v>
      </c>
      <c r="T99" s="13">
        <f t="shared" si="19"/>
        <v>0</v>
      </c>
      <c r="U99" s="13">
        <f t="shared" si="20"/>
        <v>0</v>
      </c>
      <c r="V99" s="13"/>
      <c r="W99" s="13">
        <f t="shared" si="21"/>
        <v>0</v>
      </c>
      <c r="X99" s="22"/>
      <c r="Y99" s="23"/>
      <c r="Z99" s="22"/>
      <c r="AA99" s="15"/>
    </row>
    <row r="100" spans="2:37" x14ac:dyDescent="0.25">
      <c r="B100" s="9">
        <f t="shared" si="23"/>
        <v>23</v>
      </c>
      <c r="C100" s="57" t="s">
        <v>73</v>
      </c>
      <c r="D100" s="24" t="s">
        <v>65</v>
      </c>
      <c r="E100" s="57" t="s">
        <v>73</v>
      </c>
      <c r="F100" s="10"/>
      <c r="G100" s="10"/>
      <c r="H100" s="58">
        <f t="shared" si="22"/>
        <v>87188.4</v>
      </c>
      <c r="I100" s="18">
        <v>8100</v>
      </c>
      <c r="K100" s="19"/>
      <c r="L100" s="19"/>
      <c r="M100" s="19"/>
      <c r="N100" s="19"/>
      <c r="O100" s="20"/>
      <c r="P100" s="21"/>
      <c r="Q100" s="21"/>
      <c r="R100" s="13"/>
      <c r="S100" s="13">
        <f t="shared" si="18"/>
        <v>0</v>
      </c>
      <c r="T100" s="13">
        <f t="shared" si="19"/>
        <v>0</v>
      </c>
      <c r="U100" s="13">
        <f t="shared" si="20"/>
        <v>0</v>
      </c>
      <c r="V100" s="13"/>
      <c r="W100" s="13">
        <f t="shared" si="21"/>
        <v>0</v>
      </c>
      <c r="X100" s="22"/>
      <c r="Y100" s="23"/>
      <c r="Z100" s="22"/>
      <c r="AA100" s="15"/>
    </row>
    <row r="101" spans="2:37" x14ac:dyDescent="0.25">
      <c r="B101" s="9">
        <f t="shared" si="23"/>
        <v>24</v>
      </c>
      <c r="C101" s="57" t="s">
        <v>73</v>
      </c>
      <c r="D101" s="24" t="s">
        <v>66</v>
      </c>
      <c r="E101" s="57" t="s">
        <v>73</v>
      </c>
      <c r="F101" s="10"/>
      <c r="G101" s="10"/>
      <c r="H101" s="58">
        <f t="shared" si="22"/>
        <v>161460</v>
      </c>
      <c r="I101" s="18">
        <v>15000</v>
      </c>
      <c r="K101" s="19"/>
      <c r="L101" s="19"/>
      <c r="M101" s="19"/>
      <c r="N101" s="19"/>
      <c r="O101" s="20"/>
      <c r="P101" s="21"/>
      <c r="Q101" s="21"/>
      <c r="R101" s="13"/>
      <c r="S101" s="13">
        <f t="shared" si="18"/>
        <v>0</v>
      </c>
      <c r="T101" s="13">
        <f t="shared" si="19"/>
        <v>0</v>
      </c>
      <c r="U101" s="13">
        <f t="shared" si="20"/>
        <v>0</v>
      </c>
      <c r="V101" s="13"/>
      <c r="W101" s="13">
        <f t="shared" si="21"/>
        <v>0</v>
      </c>
      <c r="X101" s="22"/>
      <c r="Y101" s="23"/>
      <c r="Z101" s="22"/>
      <c r="AA101" s="15"/>
    </row>
    <row r="102" spans="2:37" x14ac:dyDescent="0.25">
      <c r="B102" s="9">
        <f t="shared" si="23"/>
        <v>25</v>
      </c>
      <c r="C102" s="57" t="s">
        <v>73</v>
      </c>
      <c r="D102" s="24" t="s">
        <v>67</v>
      </c>
      <c r="E102" s="57" t="s">
        <v>73</v>
      </c>
      <c r="F102" s="10"/>
      <c r="G102" s="10"/>
      <c r="H102" s="58">
        <f t="shared" si="22"/>
        <v>11237.616</v>
      </c>
      <c r="I102" s="18">
        <v>1044</v>
      </c>
      <c r="K102" s="19"/>
      <c r="L102" s="19"/>
      <c r="M102" s="19"/>
      <c r="N102" s="19"/>
      <c r="O102" s="20"/>
      <c r="P102" s="21"/>
      <c r="Q102" s="21"/>
      <c r="R102" s="13"/>
      <c r="S102" s="13">
        <f t="shared" si="18"/>
        <v>0</v>
      </c>
      <c r="T102" s="13">
        <f t="shared" si="19"/>
        <v>0</v>
      </c>
      <c r="U102" s="13">
        <f t="shared" si="20"/>
        <v>0</v>
      </c>
      <c r="V102" s="13"/>
      <c r="W102" s="13">
        <f t="shared" si="21"/>
        <v>0</v>
      </c>
      <c r="X102" s="22"/>
      <c r="Y102" s="23"/>
      <c r="Z102" s="22"/>
      <c r="AA102" s="15"/>
    </row>
    <row r="103" spans="2:37" x14ac:dyDescent="0.25">
      <c r="B103" s="9">
        <f t="shared" si="23"/>
        <v>26</v>
      </c>
      <c r="C103" s="57" t="s">
        <v>73</v>
      </c>
      <c r="D103" s="24" t="s">
        <v>85</v>
      </c>
      <c r="E103" s="57" t="s">
        <v>73</v>
      </c>
      <c r="F103" s="10"/>
      <c r="G103" s="10"/>
      <c r="H103" s="58">
        <f t="shared" si="22"/>
        <v>18987.696</v>
      </c>
      <c r="I103" s="18">
        <v>1764</v>
      </c>
      <c r="J103" s="18"/>
      <c r="K103" s="19"/>
      <c r="L103" s="19"/>
      <c r="M103" s="19"/>
      <c r="N103" s="19"/>
      <c r="O103" s="20"/>
      <c r="P103" s="21"/>
      <c r="Q103" s="21"/>
      <c r="R103" s="13"/>
      <c r="S103" s="13">
        <f t="shared" si="18"/>
        <v>0</v>
      </c>
      <c r="T103" s="13">
        <f t="shared" si="19"/>
        <v>0</v>
      </c>
      <c r="U103" s="13">
        <f t="shared" si="20"/>
        <v>0</v>
      </c>
      <c r="V103" s="13"/>
      <c r="W103" s="13">
        <f t="shared" si="21"/>
        <v>0</v>
      </c>
      <c r="X103" s="22"/>
      <c r="Y103" s="23"/>
      <c r="Z103" s="22"/>
      <c r="AA103" s="15"/>
    </row>
    <row r="104" spans="2:37" x14ac:dyDescent="0.25">
      <c r="B104" s="9">
        <f t="shared" si="23"/>
        <v>27</v>
      </c>
      <c r="C104" s="57" t="s">
        <v>73</v>
      </c>
      <c r="D104" s="24" t="s">
        <v>68</v>
      </c>
      <c r="E104" s="57" t="s">
        <v>73</v>
      </c>
      <c r="F104" s="10"/>
      <c r="G104" s="10"/>
      <c r="H104" s="58">
        <f t="shared" si="22"/>
        <v>64583.999999999993</v>
      </c>
      <c r="I104" s="18">
        <v>6000</v>
      </c>
      <c r="J104" s="18"/>
      <c r="K104" s="19"/>
      <c r="L104" s="19"/>
      <c r="M104" s="19"/>
      <c r="N104" s="19"/>
      <c r="O104" s="20"/>
      <c r="P104" s="21"/>
      <c r="Q104" s="21"/>
      <c r="R104" s="13"/>
      <c r="S104" s="13">
        <f t="shared" si="18"/>
        <v>0</v>
      </c>
      <c r="T104" s="13">
        <f t="shared" si="19"/>
        <v>0</v>
      </c>
      <c r="U104" s="13">
        <f t="shared" si="20"/>
        <v>0</v>
      </c>
      <c r="V104" s="13"/>
      <c r="W104" s="13">
        <f t="shared" si="21"/>
        <v>0</v>
      </c>
      <c r="X104" s="22"/>
      <c r="Y104" s="23"/>
      <c r="Z104" s="22"/>
      <c r="AA104" s="15"/>
    </row>
    <row r="105" spans="2:37" x14ac:dyDescent="0.25">
      <c r="B105" s="9">
        <f t="shared" si="23"/>
        <v>28</v>
      </c>
      <c r="C105" s="57" t="s">
        <v>73</v>
      </c>
      <c r="D105" s="24" t="s">
        <v>69</v>
      </c>
      <c r="E105" s="57" t="s">
        <v>73</v>
      </c>
      <c r="F105" s="10"/>
      <c r="G105" s="10"/>
      <c r="H105" s="58">
        <f t="shared" si="22"/>
        <v>43056</v>
      </c>
      <c r="I105" s="18">
        <v>4000</v>
      </c>
      <c r="J105" s="18"/>
      <c r="K105" s="19"/>
      <c r="L105" s="19"/>
      <c r="M105" s="19"/>
      <c r="N105" s="19"/>
      <c r="O105" s="20"/>
      <c r="P105" s="21"/>
      <c r="Q105" s="21"/>
      <c r="R105" s="22"/>
      <c r="S105" s="22">
        <f t="shared" si="18"/>
        <v>0</v>
      </c>
      <c r="T105" s="22">
        <f t="shared" si="19"/>
        <v>0</v>
      </c>
      <c r="U105" s="22">
        <f t="shared" si="20"/>
        <v>0</v>
      </c>
      <c r="V105" s="22"/>
      <c r="W105" s="22">
        <f t="shared" si="21"/>
        <v>0</v>
      </c>
      <c r="X105" s="22"/>
      <c r="Y105" s="23"/>
      <c r="Z105" s="22"/>
      <c r="AA105" s="15"/>
    </row>
    <row r="106" spans="2:37" x14ac:dyDescent="0.25">
      <c r="B106" s="9">
        <f t="shared" si="23"/>
        <v>29</v>
      </c>
      <c r="C106" s="57" t="s">
        <v>71</v>
      </c>
      <c r="D106" s="24" t="s">
        <v>71</v>
      </c>
      <c r="E106" s="57" t="s">
        <v>71</v>
      </c>
      <c r="F106" s="10"/>
      <c r="G106" s="10"/>
      <c r="H106" s="58">
        <f t="shared" si="22"/>
        <v>806223.6</v>
      </c>
      <c r="I106" s="18">
        <v>74900</v>
      </c>
      <c r="J106" s="18"/>
      <c r="K106" s="19"/>
      <c r="L106" s="19"/>
      <c r="M106" s="19"/>
      <c r="N106" s="19"/>
      <c r="O106" s="20"/>
      <c r="P106" s="21"/>
      <c r="Q106" s="21"/>
      <c r="R106" s="22"/>
      <c r="S106" s="22"/>
      <c r="T106" s="22"/>
      <c r="U106" s="22"/>
      <c r="V106" s="22"/>
      <c r="W106" s="22"/>
      <c r="X106" s="22"/>
      <c r="Y106" s="23"/>
      <c r="Z106" s="22"/>
      <c r="AA106" s="15"/>
    </row>
    <row r="107" spans="2:37" x14ac:dyDescent="0.25">
      <c r="B107" s="9">
        <f t="shared" si="23"/>
        <v>30</v>
      </c>
      <c r="C107" s="57" t="s">
        <v>72</v>
      </c>
      <c r="D107" s="24" t="s">
        <v>72</v>
      </c>
      <c r="E107" s="57" t="s">
        <v>72</v>
      </c>
      <c r="F107" s="10"/>
      <c r="G107" s="10"/>
      <c r="H107" s="58">
        <f t="shared" si="22"/>
        <v>327225.59999999998</v>
      </c>
      <c r="I107" s="18">
        <v>30400</v>
      </c>
      <c r="J107" s="18"/>
      <c r="K107" s="19"/>
      <c r="L107" s="19"/>
      <c r="M107" s="19"/>
      <c r="N107" s="19"/>
      <c r="O107" s="20"/>
      <c r="P107" s="21"/>
      <c r="Q107" s="21"/>
      <c r="R107" s="22"/>
      <c r="S107" s="22"/>
      <c r="T107" s="22"/>
      <c r="U107" s="22"/>
      <c r="V107" s="22"/>
      <c r="W107" s="22"/>
      <c r="X107" s="22"/>
      <c r="Y107" s="23"/>
      <c r="Z107" s="22"/>
      <c r="AA107" s="15"/>
    </row>
    <row r="108" spans="2:37" x14ac:dyDescent="0.25">
      <c r="B108" s="9">
        <f t="shared" si="23"/>
        <v>31</v>
      </c>
      <c r="F108" s="10"/>
      <c r="G108" s="10"/>
      <c r="H108" s="27">
        <f>SUM(H92:H107)</f>
        <v>2429477.8560000001</v>
      </c>
      <c r="I108" s="18">
        <f>SUM(I92:I107)</f>
        <v>225704</v>
      </c>
      <c r="J108" s="18"/>
      <c r="K108" s="19"/>
      <c r="L108" s="19"/>
      <c r="M108" s="19"/>
      <c r="N108" s="19"/>
      <c r="O108" s="20"/>
      <c r="P108" s="21"/>
      <c r="Q108" s="21"/>
      <c r="R108" s="22"/>
      <c r="S108" s="22"/>
      <c r="T108" s="22"/>
      <c r="U108" s="22"/>
      <c r="V108" s="22"/>
      <c r="W108" s="22"/>
      <c r="X108" s="22"/>
      <c r="Y108" s="23"/>
      <c r="Z108" s="22"/>
      <c r="AA108" s="15"/>
    </row>
    <row r="109" spans="2:37" x14ac:dyDescent="0.25">
      <c r="B109" s="9"/>
      <c r="F109" s="10"/>
      <c r="G109" s="10"/>
      <c r="H109" s="27"/>
      <c r="I109" s="18"/>
      <c r="J109" s="28"/>
      <c r="K109" s="25"/>
      <c r="L109" s="25"/>
      <c r="M109" s="25"/>
      <c r="N109" s="25"/>
      <c r="O109" s="25"/>
      <c r="P109" s="25"/>
      <c r="Q109" s="25"/>
      <c r="R109" s="25"/>
      <c r="S109" s="29">
        <f>SUM(S6:S92)</f>
        <v>1153242980</v>
      </c>
      <c r="T109" s="29"/>
      <c r="U109" s="29"/>
      <c r="V109" s="29"/>
      <c r="W109" s="29">
        <f>SUM(W6:W92)</f>
        <v>1070993609.4499999</v>
      </c>
      <c r="X109" s="19"/>
      <c r="Y109" s="19"/>
      <c r="Z109" s="29">
        <f>SUM(Z6:Z92)</f>
        <v>33187875</v>
      </c>
      <c r="AA109" s="30"/>
      <c r="AK109" s="30"/>
    </row>
    <row r="110" spans="2:37" ht="30" x14ac:dyDescent="0.25">
      <c r="B110" s="9"/>
      <c r="C110" s="57" t="s">
        <v>48</v>
      </c>
      <c r="D110" s="24" t="s">
        <v>70</v>
      </c>
      <c r="E110" s="57" t="s">
        <v>48</v>
      </c>
      <c r="F110" s="10"/>
      <c r="G110" s="10"/>
      <c r="H110" s="8">
        <f>I110*10.764</f>
        <v>292264.12799999997</v>
      </c>
      <c r="I110" s="18">
        <v>27152</v>
      </c>
      <c r="J110" s="32"/>
      <c r="K110" s="32"/>
      <c r="L110" s="32"/>
      <c r="M110" s="32"/>
      <c r="N110" s="32"/>
      <c r="O110" s="32"/>
      <c r="P110" s="32"/>
      <c r="Q110" s="32"/>
      <c r="R110" s="33" t="s">
        <v>26</v>
      </c>
      <c r="S110" s="33"/>
      <c r="T110" s="33"/>
      <c r="U110" s="33"/>
      <c r="V110" s="33"/>
      <c r="W110" s="22">
        <f>5000*3180</f>
        <v>15900000</v>
      </c>
      <c r="X110" s="22"/>
      <c r="Y110" s="23"/>
      <c r="Z110" s="22">
        <f>(X110*Y110*I113)</f>
        <v>0</v>
      </c>
      <c r="AA110" s="34" t="e">
        <f>W110/H113</f>
        <v>#DIV/0!</v>
      </c>
    </row>
    <row r="111" spans="2:37" ht="30" x14ac:dyDescent="0.25">
      <c r="B111" s="9"/>
      <c r="C111" s="10"/>
      <c r="D111" s="10" t="s">
        <v>74</v>
      </c>
      <c r="E111" s="10"/>
      <c r="F111" s="10"/>
      <c r="G111" s="10"/>
      <c r="H111" s="17">
        <v>3290</v>
      </c>
      <c r="I111" s="18"/>
      <c r="J111" s="35"/>
      <c r="K111" s="35"/>
      <c r="L111" s="35"/>
      <c r="M111" s="35"/>
      <c r="N111" s="35"/>
      <c r="O111" s="35"/>
      <c r="P111" s="35"/>
      <c r="Q111" s="35"/>
      <c r="R111" s="36" t="s">
        <v>30</v>
      </c>
      <c r="S111" s="36"/>
      <c r="T111" s="36"/>
      <c r="U111" s="36"/>
      <c r="V111" s="36"/>
      <c r="W111" s="22">
        <f>'[1]Land Val.'!D3*1800000</f>
        <v>75934751.519644186</v>
      </c>
      <c r="X111" s="22"/>
      <c r="Y111" s="23"/>
      <c r="Z111" s="22"/>
      <c r="AA111" s="34"/>
    </row>
    <row r="112" spans="2:37" x14ac:dyDescent="0.25">
      <c r="B112" s="26" t="s">
        <v>23</v>
      </c>
      <c r="C112" s="26"/>
      <c r="D112" s="26"/>
      <c r="E112" s="26"/>
      <c r="F112" s="26"/>
      <c r="G112" s="26"/>
      <c r="H112" s="27">
        <f>SUM(H6:H101)</f>
        <v>1973422.4439999999</v>
      </c>
      <c r="I112" s="28">
        <f>SUM(I6:I101)</f>
        <v>183336.12207471271</v>
      </c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29">
        <f>SUM(W109:W111)</f>
        <v>1162828360.9696441</v>
      </c>
      <c r="X112" s="22"/>
      <c r="Y112" s="23"/>
      <c r="Z112" s="22"/>
      <c r="AA112" s="34">
        <f>W112/H112</f>
        <v>589.24452010014954</v>
      </c>
    </row>
    <row r="113" spans="2:30" ht="15" customHeight="1" x14ac:dyDescent="0.25">
      <c r="B113" s="9">
        <v>22</v>
      </c>
      <c r="C113" s="31" t="s">
        <v>24</v>
      </c>
      <c r="D113" s="31" t="s">
        <v>25</v>
      </c>
      <c r="E113" s="31" t="s">
        <v>24</v>
      </c>
      <c r="F113" s="32"/>
      <c r="G113" s="32"/>
      <c r="H113" s="32"/>
      <c r="I113" s="32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2:30" ht="15" customHeight="1" x14ac:dyDescent="0.25">
      <c r="B114" s="9">
        <v>23</v>
      </c>
      <c r="C114" s="11" t="s">
        <v>27</v>
      </c>
      <c r="D114" s="11" t="s">
        <v>28</v>
      </c>
      <c r="E114" s="11" t="s">
        <v>27</v>
      </c>
      <c r="F114" s="35"/>
      <c r="G114" s="35"/>
      <c r="H114" s="35"/>
      <c r="I114" s="35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B114" s="30"/>
      <c r="AC114" s="30"/>
    </row>
    <row r="115" spans="2:30" ht="15" customHeight="1" x14ac:dyDescent="0.25">
      <c r="B115" s="39" t="s">
        <v>32</v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B115" s="30"/>
      <c r="AC115" s="30"/>
    </row>
    <row r="116" spans="2:30" ht="15" customHeight="1" x14ac:dyDescent="0.25">
      <c r="B116" s="39" t="s">
        <v>33</v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B116" s="30"/>
      <c r="AC116" s="30"/>
    </row>
    <row r="117" spans="2:30" x14ac:dyDescent="0.25">
      <c r="AB117" s="34"/>
      <c r="AD117" s="42"/>
    </row>
    <row r="118" spans="2:30" x14ac:dyDescent="0.25">
      <c r="W118" s="43"/>
      <c r="Z118" s="44"/>
      <c r="AB118" s="34"/>
      <c r="AD118" s="42"/>
    </row>
    <row r="119" spans="2:30" x14ac:dyDescent="0.25">
      <c r="W119" s="30"/>
      <c r="X119" s="45">
        <v>1591673007.4160292</v>
      </c>
      <c r="Z119" s="44"/>
    </row>
    <row r="120" spans="2:30" x14ac:dyDescent="0.25">
      <c r="W120" s="34"/>
    </row>
    <row r="121" spans="2:30" x14ac:dyDescent="0.25">
      <c r="O121" s="1">
        <f>28/12</f>
        <v>2.3333333333333335</v>
      </c>
      <c r="T121" s="46"/>
      <c r="W121" s="34"/>
      <c r="X121" s="30">
        <v>1715487907.55146</v>
      </c>
      <c r="Z121" s="1">
        <v>202</v>
      </c>
      <c r="AB121" s="43"/>
    </row>
    <row r="122" spans="2:30" x14ac:dyDescent="0.25">
      <c r="W122" s="34"/>
      <c r="Z122" s="47">
        <f>Z121*0.85</f>
        <v>171.7</v>
      </c>
    </row>
    <row r="123" spans="2:30" x14ac:dyDescent="0.25">
      <c r="C123" s="165" t="s">
        <v>29</v>
      </c>
      <c r="D123" s="166"/>
      <c r="E123" s="166"/>
      <c r="F123" s="165"/>
      <c r="G123" s="165"/>
      <c r="H123" s="165"/>
      <c r="I123" s="165"/>
      <c r="J123" s="165"/>
      <c r="K123" s="166"/>
      <c r="L123" s="166"/>
      <c r="M123" s="166"/>
      <c r="N123" s="165"/>
      <c r="W123" s="34"/>
      <c r="Z123" s="1">
        <f>Z121*0.75</f>
        <v>151.5</v>
      </c>
      <c r="AB123" s="43"/>
    </row>
    <row r="124" spans="2:30" x14ac:dyDescent="0.25">
      <c r="W124" s="34"/>
    </row>
    <row r="125" spans="2:30" x14ac:dyDescent="0.25">
      <c r="H125" s="3" t="s">
        <v>34</v>
      </c>
      <c r="I125" s="3" t="s">
        <v>35</v>
      </c>
      <c r="J125" s="3" t="s">
        <v>36</v>
      </c>
      <c r="K125" s="3" t="s">
        <v>37</v>
      </c>
      <c r="L125" s="3" t="s">
        <v>38</v>
      </c>
      <c r="M125" s="48" t="s">
        <v>39</v>
      </c>
    </row>
    <row r="126" spans="2:30" x14ac:dyDescent="0.25">
      <c r="H126" s="19">
        <v>1</v>
      </c>
      <c r="I126" s="24" t="s">
        <v>40</v>
      </c>
      <c r="J126" s="49">
        <v>300000</v>
      </c>
      <c r="K126" s="24" t="s">
        <v>41</v>
      </c>
      <c r="L126" s="22">
        <f>J126*42</f>
        <v>12600000</v>
      </c>
      <c r="M126" s="50" t="s">
        <v>42</v>
      </c>
    </row>
    <row r="127" spans="2:30" x14ac:dyDescent="0.25">
      <c r="H127" s="19">
        <v>2</v>
      </c>
      <c r="I127" s="24" t="s">
        <v>43</v>
      </c>
      <c r="J127" s="49">
        <v>3000</v>
      </c>
      <c r="K127" s="24" t="s">
        <v>44</v>
      </c>
      <c r="L127" s="22">
        <f>J127*2500</f>
        <v>7500000</v>
      </c>
      <c r="M127" s="50" t="s">
        <v>45</v>
      </c>
    </row>
    <row r="128" spans="2:30" x14ac:dyDescent="0.25">
      <c r="H128" s="19">
        <v>3</v>
      </c>
      <c r="I128" s="24" t="s">
        <v>46</v>
      </c>
      <c r="J128" s="49">
        <v>3350</v>
      </c>
      <c r="K128" s="24" t="s">
        <v>44</v>
      </c>
      <c r="L128" s="22">
        <f>J128*2500</f>
        <v>8375000</v>
      </c>
      <c r="M128" s="50" t="s">
        <v>47</v>
      </c>
    </row>
    <row r="129" spans="8:30" x14ac:dyDescent="0.25">
      <c r="H129" s="19">
        <v>4</v>
      </c>
      <c r="I129" s="24" t="s">
        <v>48</v>
      </c>
      <c r="J129" s="49">
        <v>1800</v>
      </c>
      <c r="K129" s="24" t="s">
        <v>49</v>
      </c>
      <c r="L129" s="22">
        <f>J129*2500*10</f>
        <v>45000000</v>
      </c>
      <c r="M129" s="50" t="s">
        <v>50</v>
      </c>
      <c r="AB129" s="30"/>
    </row>
    <row r="130" spans="8:30" x14ac:dyDescent="0.25">
      <c r="H130" s="19">
        <v>5</v>
      </c>
      <c r="I130" s="24" t="s">
        <v>51</v>
      </c>
      <c r="J130" s="49">
        <v>800</v>
      </c>
      <c r="K130" s="24" t="s">
        <v>49</v>
      </c>
      <c r="L130" s="22">
        <f>J130*W133</f>
        <v>2560000</v>
      </c>
      <c r="M130" s="50" t="s">
        <v>52</v>
      </c>
      <c r="W130" s="51">
        <v>500</v>
      </c>
    </row>
    <row r="131" spans="8:30" x14ac:dyDescent="0.25">
      <c r="H131" s="52"/>
      <c r="I131" s="53"/>
      <c r="J131" s="53" t="s">
        <v>53</v>
      </c>
      <c r="K131" s="54"/>
      <c r="L131" s="55">
        <f>SUM(L126:L130)</f>
        <v>76035000</v>
      </c>
      <c r="M131" s="54"/>
      <c r="R131" s="56"/>
      <c r="W131" s="51">
        <v>300</v>
      </c>
    </row>
    <row r="132" spans="8:30" x14ac:dyDescent="0.25">
      <c r="W132" s="51">
        <f>SUM(W130:W131)</f>
        <v>800</v>
      </c>
    </row>
    <row r="133" spans="8:30" x14ac:dyDescent="0.25">
      <c r="H133" s="30" t="s">
        <v>54</v>
      </c>
      <c r="W133" s="51">
        <f>W132*4</f>
        <v>3200</v>
      </c>
    </row>
    <row r="134" spans="8:30" x14ac:dyDescent="0.25">
      <c r="H134" s="30" t="s">
        <v>55</v>
      </c>
      <c r="AD134" s="30"/>
    </row>
    <row r="137" spans="8:30" x14ac:dyDescent="0.25">
      <c r="W137" s="30"/>
    </row>
  </sheetData>
  <mergeCells count="38">
    <mergeCell ref="H81:N81"/>
    <mergeCell ref="D4:E4"/>
    <mergeCell ref="B86:U86"/>
    <mergeCell ref="B2:Z2"/>
    <mergeCell ref="R82:U82"/>
    <mergeCell ref="R83:U83"/>
    <mergeCell ref="R84:U84"/>
    <mergeCell ref="D52:E52"/>
    <mergeCell ref="R80:U80"/>
    <mergeCell ref="R81:U81"/>
    <mergeCell ref="T85:U85"/>
    <mergeCell ref="W85:Y85"/>
    <mergeCell ref="B85:S85"/>
    <mergeCell ref="B52:C52"/>
    <mergeCell ref="H52:I52"/>
    <mergeCell ref="J52:K52"/>
    <mergeCell ref="V52:W52"/>
    <mergeCell ref="C123:N123"/>
    <mergeCell ref="C79:E79"/>
    <mergeCell ref="D82:E82"/>
    <mergeCell ref="D83:E83"/>
    <mergeCell ref="D84:E84"/>
    <mergeCell ref="H82:N82"/>
    <mergeCell ref="H83:N83"/>
    <mergeCell ref="H84:N84"/>
    <mergeCell ref="B87:W87"/>
    <mergeCell ref="B88:W88"/>
    <mergeCell ref="B89:W89"/>
    <mergeCell ref="B90:W90"/>
    <mergeCell ref="D80:E80"/>
    <mergeCell ref="D81:E81"/>
    <mergeCell ref="H80:N80"/>
    <mergeCell ref="D53:E53"/>
    <mergeCell ref="N52:O52"/>
    <mergeCell ref="P52:Q52"/>
    <mergeCell ref="R52:S52"/>
    <mergeCell ref="T52:U52"/>
    <mergeCell ref="L52:M52"/>
  </mergeCells>
  <dataValidations count="1">
    <dataValidation type="list" allowBlank="1" showInputMessage="1" showErrorMessage="1" promptTitle="Condition of Structure" prompt="Condition of Structure" sqref="G92:G112 G5:G84">
      <formula1>"Poor, Average, Ordinary, Good, Very Good, Excellent"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X33"/>
  <sheetViews>
    <sheetView workbookViewId="0"/>
  </sheetViews>
  <sheetFormatPr defaultRowHeight="15" x14ac:dyDescent="0.25"/>
  <cols>
    <col min="5" max="5" width="50.7109375" bestFit="1" customWidth="1"/>
    <col min="14" max="14" width="7" customWidth="1"/>
    <col min="15" max="15" width="9.28515625" bestFit="1" customWidth="1"/>
    <col min="16" max="16" width="14.85546875" bestFit="1" customWidth="1"/>
    <col min="17" max="17" width="16" customWidth="1"/>
  </cols>
  <sheetData>
    <row r="6" spans="5:24" x14ac:dyDescent="0.25">
      <c r="E6" s="64" t="s">
        <v>35</v>
      </c>
      <c r="F6" s="64" t="s">
        <v>201</v>
      </c>
      <c r="G6" s="57" t="s">
        <v>151</v>
      </c>
      <c r="H6" s="57" t="s">
        <v>174</v>
      </c>
      <c r="I6" s="57" t="s">
        <v>148</v>
      </c>
      <c r="J6" s="87" t="s">
        <v>146</v>
      </c>
      <c r="K6" s="57" t="s">
        <v>121</v>
      </c>
      <c r="L6" s="57" t="s">
        <v>144</v>
      </c>
      <c r="M6" s="57" t="s">
        <v>138</v>
      </c>
      <c r="N6" s="87" t="s">
        <v>178</v>
      </c>
      <c r="O6" s="57" t="s">
        <v>124</v>
      </c>
      <c r="P6" s="57" t="s">
        <v>130</v>
      </c>
      <c r="Q6" s="87" t="s">
        <v>156</v>
      </c>
      <c r="R6" s="87" t="s">
        <v>133</v>
      </c>
      <c r="S6" s="57" t="s">
        <v>125</v>
      </c>
      <c r="T6" s="87" t="s">
        <v>118</v>
      </c>
      <c r="U6" s="57" t="s">
        <v>111</v>
      </c>
      <c r="V6" s="87" t="s">
        <v>141</v>
      </c>
      <c r="W6" s="57" t="s">
        <v>116</v>
      </c>
      <c r="X6" s="57" t="s">
        <v>127</v>
      </c>
    </row>
    <row r="7" spans="5:24" x14ac:dyDescent="0.25">
      <c r="E7" s="16" t="s">
        <v>110</v>
      </c>
      <c r="F7" s="64">
        <v>45</v>
      </c>
      <c r="G7" s="57">
        <v>900</v>
      </c>
      <c r="H7" s="64">
        <f>G7</f>
        <v>900</v>
      </c>
      <c r="I7" s="57">
        <f>H7</f>
        <v>900</v>
      </c>
      <c r="J7" s="64">
        <f>I7+100</f>
        <v>1000</v>
      </c>
      <c r="K7" s="64">
        <f>J7</f>
        <v>1000</v>
      </c>
      <c r="L7" s="64">
        <f>K7+100</f>
        <v>1100</v>
      </c>
      <c r="M7" s="64">
        <f>L7</f>
        <v>1100</v>
      </c>
      <c r="N7" s="64">
        <f>M7+100</f>
        <v>1200</v>
      </c>
      <c r="O7" s="64">
        <f>N7</f>
        <v>1200</v>
      </c>
      <c r="P7" s="64">
        <f>O7</f>
        <v>1200</v>
      </c>
      <c r="Q7" s="64">
        <f>P7</f>
        <v>1200</v>
      </c>
      <c r="R7" s="64">
        <f>Q7+100</f>
        <v>1300</v>
      </c>
      <c r="S7" s="64">
        <f>R7+100</f>
        <v>1400</v>
      </c>
      <c r="T7" s="64">
        <f>S7+100</f>
        <v>1500</v>
      </c>
      <c r="U7" s="64">
        <f>T7+100</f>
        <v>1600</v>
      </c>
      <c r="V7" s="64">
        <f>U7+200</f>
        <v>1800</v>
      </c>
      <c r="W7" s="64">
        <f>V7+100</f>
        <v>1900</v>
      </c>
      <c r="X7" s="64">
        <f>W7+200</f>
        <v>2100</v>
      </c>
    </row>
    <row r="8" spans="5:24" x14ac:dyDescent="0.25">
      <c r="E8" s="16" t="s">
        <v>115</v>
      </c>
      <c r="F8" s="64">
        <v>50</v>
      </c>
      <c r="G8" s="57">
        <v>900</v>
      </c>
      <c r="H8" s="64">
        <f t="shared" ref="H8:I8" si="0">G8</f>
        <v>900</v>
      </c>
      <c r="I8" s="57">
        <f t="shared" si="0"/>
        <v>900</v>
      </c>
      <c r="J8" s="64">
        <f t="shared" ref="J8:J23" si="1">I8+100</f>
        <v>1000</v>
      </c>
      <c r="K8" s="64">
        <f t="shared" ref="K8:K23" si="2">J8</f>
        <v>1000</v>
      </c>
      <c r="L8" s="64">
        <f t="shared" ref="L8:L23" si="3">K8+100</f>
        <v>1100</v>
      </c>
      <c r="M8" s="64">
        <f t="shared" ref="M8:M23" si="4">L8</f>
        <v>1100</v>
      </c>
      <c r="N8" s="64">
        <f t="shared" ref="N8:N23" si="5">M8+100</f>
        <v>1200</v>
      </c>
      <c r="O8" s="64">
        <f t="shared" ref="O8:Q8" si="6">N8</f>
        <v>1200</v>
      </c>
      <c r="P8" s="64">
        <f t="shared" si="6"/>
        <v>1200</v>
      </c>
      <c r="Q8" s="64">
        <f t="shared" si="6"/>
        <v>1200</v>
      </c>
      <c r="R8" s="64">
        <f t="shared" ref="R8:U8" si="7">Q8+100</f>
        <v>1300</v>
      </c>
      <c r="S8" s="64">
        <f t="shared" si="7"/>
        <v>1400</v>
      </c>
      <c r="T8" s="64">
        <f t="shared" si="7"/>
        <v>1500</v>
      </c>
      <c r="U8" s="64">
        <f t="shared" si="7"/>
        <v>1600</v>
      </c>
      <c r="V8" s="64">
        <f t="shared" ref="V8:V23" si="8">U8+200</f>
        <v>1800</v>
      </c>
      <c r="W8" s="64">
        <f t="shared" ref="W8:W23" si="9">V8+100</f>
        <v>1900</v>
      </c>
      <c r="X8" s="64">
        <f t="shared" ref="X8:X23" si="10">W8+200</f>
        <v>2100</v>
      </c>
    </row>
    <row r="9" spans="5:24" x14ac:dyDescent="0.25">
      <c r="E9" s="16" t="s">
        <v>120</v>
      </c>
      <c r="F9" s="64">
        <v>60</v>
      </c>
      <c r="G9" s="57">
        <v>1000</v>
      </c>
      <c r="H9" s="64">
        <f t="shared" ref="H9:I9" si="11">G9</f>
        <v>1000</v>
      </c>
      <c r="I9" s="57">
        <f t="shared" si="11"/>
        <v>1000</v>
      </c>
      <c r="J9" s="64">
        <f t="shared" si="1"/>
        <v>1100</v>
      </c>
      <c r="K9" s="64">
        <f t="shared" si="2"/>
        <v>1100</v>
      </c>
      <c r="L9" s="64">
        <f t="shared" si="3"/>
        <v>1200</v>
      </c>
      <c r="M9" s="64">
        <f t="shared" si="4"/>
        <v>1200</v>
      </c>
      <c r="N9" s="64">
        <f t="shared" si="5"/>
        <v>1300</v>
      </c>
      <c r="O9" s="64">
        <f t="shared" ref="O9:Q9" si="12">N9</f>
        <v>1300</v>
      </c>
      <c r="P9" s="64">
        <f t="shared" si="12"/>
        <v>1300</v>
      </c>
      <c r="Q9" s="64">
        <f t="shared" si="12"/>
        <v>1300</v>
      </c>
      <c r="R9" s="64">
        <f t="shared" ref="R9:U9" si="13">Q9+100</f>
        <v>1400</v>
      </c>
      <c r="S9" s="64">
        <f t="shared" si="13"/>
        <v>1500</v>
      </c>
      <c r="T9" s="64">
        <f t="shared" si="13"/>
        <v>1600</v>
      </c>
      <c r="U9" s="64">
        <f t="shared" si="13"/>
        <v>1700</v>
      </c>
      <c r="V9" s="64">
        <f t="shared" si="8"/>
        <v>1900</v>
      </c>
      <c r="W9" s="64">
        <f t="shared" si="9"/>
        <v>2000</v>
      </c>
      <c r="X9" s="64">
        <f t="shared" si="10"/>
        <v>2200</v>
      </c>
    </row>
    <row r="10" spans="5:24" x14ac:dyDescent="0.25">
      <c r="E10" s="16" t="s">
        <v>123</v>
      </c>
      <c r="F10" s="64">
        <v>60</v>
      </c>
      <c r="G10" s="87">
        <v>1000</v>
      </c>
      <c r="H10" s="64">
        <f t="shared" ref="H10:I10" si="14">G10</f>
        <v>1000</v>
      </c>
      <c r="I10" s="57">
        <f t="shared" si="14"/>
        <v>1000</v>
      </c>
      <c r="J10" s="64">
        <f t="shared" si="1"/>
        <v>1100</v>
      </c>
      <c r="K10" s="64">
        <f t="shared" si="2"/>
        <v>1100</v>
      </c>
      <c r="L10" s="64">
        <f t="shared" si="3"/>
        <v>1200</v>
      </c>
      <c r="M10" s="64">
        <f t="shared" si="4"/>
        <v>1200</v>
      </c>
      <c r="N10" s="64">
        <f t="shared" si="5"/>
        <v>1300</v>
      </c>
      <c r="O10" s="64">
        <f t="shared" ref="O10:Q10" si="15">N10</f>
        <v>1300</v>
      </c>
      <c r="P10" s="64">
        <f t="shared" si="15"/>
        <v>1300</v>
      </c>
      <c r="Q10" s="64">
        <f t="shared" si="15"/>
        <v>1300</v>
      </c>
      <c r="R10" s="64">
        <f t="shared" ref="R10:U10" si="16">Q10+100</f>
        <v>1400</v>
      </c>
      <c r="S10" s="64">
        <f t="shared" si="16"/>
        <v>1500</v>
      </c>
      <c r="T10" s="64">
        <f t="shared" si="16"/>
        <v>1600</v>
      </c>
      <c r="U10" s="64">
        <f t="shared" si="16"/>
        <v>1700</v>
      </c>
      <c r="V10" s="64">
        <f t="shared" si="8"/>
        <v>1900</v>
      </c>
      <c r="W10" s="64">
        <f t="shared" si="9"/>
        <v>2000</v>
      </c>
      <c r="X10" s="64">
        <f t="shared" si="10"/>
        <v>2200</v>
      </c>
    </row>
    <row r="11" spans="5:24" x14ac:dyDescent="0.25">
      <c r="E11" s="16" t="s">
        <v>198</v>
      </c>
      <c r="F11" s="64">
        <v>40</v>
      </c>
      <c r="G11" s="57">
        <v>600</v>
      </c>
      <c r="H11" s="64">
        <f t="shared" ref="H11:I11" si="17">G11</f>
        <v>600</v>
      </c>
      <c r="I11" s="57">
        <f t="shared" si="17"/>
        <v>600</v>
      </c>
      <c r="J11" s="64">
        <f t="shared" si="1"/>
        <v>700</v>
      </c>
      <c r="K11" s="64">
        <f t="shared" si="2"/>
        <v>700</v>
      </c>
      <c r="L11" s="64">
        <f t="shared" si="3"/>
        <v>800</v>
      </c>
      <c r="M11" s="64">
        <f t="shared" si="4"/>
        <v>800</v>
      </c>
      <c r="N11" s="64">
        <f t="shared" si="5"/>
        <v>900</v>
      </c>
      <c r="O11" s="64">
        <f t="shared" ref="O11:Q11" si="18">N11</f>
        <v>900</v>
      </c>
      <c r="P11" s="64">
        <f t="shared" si="18"/>
        <v>900</v>
      </c>
      <c r="Q11" s="64">
        <f t="shared" si="18"/>
        <v>900</v>
      </c>
      <c r="R11" s="64">
        <f t="shared" ref="R11:U11" si="19">Q11+100</f>
        <v>1000</v>
      </c>
      <c r="S11" s="64">
        <f t="shared" si="19"/>
        <v>1100</v>
      </c>
      <c r="T11" s="64">
        <f t="shared" si="19"/>
        <v>1200</v>
      </c>
      <c r="U11" s="64">
        <f t="shared" si="19"/>
        <v>1300</v>
      </c>
      <c r="V11" s="64">
        <f t="shared" si="8"/>
        <v>1500</v>
      </c>
      <c r="W11" s="64">
        <f t="shared" si="9"/>
        <v>1600</v>
      </c>
      <c r="X11" s="64">
        <f t="shared" si="10"/>
        <v>1800</v>
      </c>
    </row>
    <row r="12" spans="5:24" x14ac:dyDescent="0.25">
      <c r="E12" s="16" t="s">
        <v>129</v>
      </c>
      <c r="F12" s="64">
        <v>40</v>
      </c>
      <c r="G12" s="57">
        <v>600</v>
      </c>
      <c r="H12" s="64">
        <f t="shared" ref="H12:I12" si="20">G12</f>
        <v>600</v>
      </c>
      <c r="I12" s="57">
        <f t="shared" si="20"/>
        <v>600</v>
      </c>
      <c r="J12" s="64">
        <f t="shared" si="1"/>
        <v>700</v>
      </c>
      <c r="K12" s="64">
        <f t="shared" si="2"/>
        <v>700</v>
      </c>
      <c r="L12" s="64">
        <f t="shared" si="3"/>
        <v>800</v>
      </c>
      <c r="M12" s="64">
        <f t="shared" si="4"/>
        <v>800</v>
      </c>
      <c r="N12" s="64">
        <f t="shared" si="5"/>
        <v>900</v>
      </c>
      <c r="O12" s="64">
        <f t="shared" ref="O12:Q12" si="21">N12</f>
        <v>900</v>
      </c>
      <c r="P12" s="64">
        <f t="shared" si="21"/>
        <v>900</v>
      </c>
      <c r="Q12" s="64">
        <f t="shared" si="21"/>
        <v>900</v>
      </c>
      <c r="R12" s="64">
        <f t="shared" ref="R12:U12" si="22">Q12+100</f>
        <v>1000</v>
      </c>
      <c r="S12" s="64">
        <f t="shared" si="22"/>
        <v>1100</v>
      </c>
      <c r="T12" s="64">
        <f t="shared" si="22"/>
        <v>1200</v>
      </c>
      <c r="U12" s="64">
        <f t="shared" si="22"/>
        <v>1300</v>
      </c>
      <c r="V12" s="64">
        <f t="shared" si="8"/>
        <v>1500</v>
      </c>
      <c r="W12" s="64">
        <f t="shared" si="9"/>
        <v>1600</v>
      </c>
      <c r="X12" s="64">
        <f t="shared" si="10"/>
        <v>1800</v>
      </c>
    </row>
    <row r="13" spans="5:24" x14ac:dyDescent="0.25">
      <c r="E13" s="16" t="s">
        <v>200</v>
      </c>
      <c r="F13" s="64">
        <v>60</v>
      </c>
      <c r="G13" s="57">
        <v>900</v>
      </c>
      <c r="H13" s="64">
        <f t="shared" ref="H13:I13" si="23">G13</f>
        <v>900</v>
      </c>
      <c r="I13" s="57">
        <f t="shared" si="23"/>
        <v>900</v>
      </c>
      <c r="J13" s="64">
        <f t="shared" si="1"/>
        <v>1000</v>
      </c>
      <c r="K13" s="64">
        <f t="shared" si="2"/>
        <v>1000</v>
      </c>
      <c r="L13" s="64">
        <f t="shared" si="3"/>
        <v>1100</v>
      </c>
      <c r="M13" s="64">
        <f t="shared" si="4"/>
        <v>1100</v>
      </c>
      <c r="N13" s="64">
        <f t="shared" si="5"/>
        <v>1200</v>
      </c>
      <c r="O13" s="64">
        <f t="shared" ref="O13:Q13" si="24">N13</f>
        <v>1200</v>
      </c>
      <c r="P13" s="64">
        <f t="shared" si="24"/>
        <v>1200</v>
      </c>
      <c r="Q13" s="64">
        <f t="shared" si="24"/>
        <v>1200</v>
      </c>
      <c r="R13" s="64">
        <f t="shared" ref="R13:U13" si="25">Q13+100</f>
        <v>1300</v>
      </c>
      <c r="S13" s="64">
        <f t="shared" si="25"/>
        <v>1400</v>
      </c>
      <c r="T13" s="64">
        <f t="shared" si="25"/>
        <v>1500</v>
      </c>
      <c r="U13" s="64">
        <f t="shared" si="25"/>
        <v>1600</v>
      </c>
      <c r="V13" s="64">
        <f t="shared" si="8"/>
        <v>1800</v>
      </c>
      <c r="W13" s="64">
        <f t="shared" si="9"/>
        <v>1900</v>
      </c>
      <c r="X13" s="64">
        <f t="shared" si="10"/>
        <v>2100</v>
      </c>
    </row>
    <row r="14" spans="5:24" x14ac:dyDescent="0.25">
      <c r="E14" s="16" t="s">
        <v>199</v>
      </c>
      <c r="F14" s="64">
        <v>60</v>
      </c>
      <c r="G14" s="87">
        <v>1000</v>
      </c>
      <c r="H14" s="64">
        <f t="shared" ref="H14:I14" si="26">G14</f>
        <v>1000</v>
      </c>
      <c r="I14" s="57">
        <f t="shared" si="26"/>
        <v>1000</v>
      </c>
      <c r="J14" s="64">
        <f t="shared" si="1"/>
        <v>1100</v>
      </c>
      <c r="K14" s="64">
        <f t="shared" si="2"/>
        <v>1100</v>
      </c>
      <c r="L14" s="64">
        <f t="shared" si="3"/>
        <v>1200</v>
      </c>
      <c r="M14" s="64">
        <f t="shared" si="4"/>
        <v>1200</v>
      </c>
      <c r="N14" s="64">
        <f t="shared" si="5"/>
        <v>1300</v>
      </c>
      <c r="O14" s="64">
        <f t="shared" ref="O14:Q14" si="27">N14</f>
        <v>1300</v>
      </c>
      <c r="P14" s="64">
        <f t="shared" si="27"/>
        <v>1300</v>
      </c>
      <c r="Q14" s="64">
        <f t="shared" si="27"/>
        <v>1300</v>
      </c>
      <c r="R14" s="64">
        <f t="shared" ref="R14:U14" si="28">Q14+100</f>
        <v>1400</v>
      </c>
      <c r="S14" s="64">
        <f t="shared" si="28"/>
        <v>1500</v>
      </c>
      <c r="T14" s="64">
        <f t="shared" si="28"/>
        <v>1600</v>
      </c>
      <c r="U14" s="64">
        <f t="shared" si="28"/>
        <v>1700</v>
      </c>
      <c r="V14" s="64">
        <f t="shared" si="8"/>
        <v>1900</v>
      </c>
      <c r="W14" s="64">
        <f t="shared" si="9"/>
        <v>2000</v>
      </c>
      <c r="X14" s="64">
        <f t="shared" si="10"/>
        <v>2200</v>
      </c>
    </row>
    <row r="15" spans="5:24" x14ac:dyDescent="0.25">
      <c r="E15" s="16" t="s">
        <v>167</v>
      </c>
      <c r="F15" s="64">
        <v>45</v>
      </c>
      <c r="G15" s="57">
        <v>600</v>
      </c>
      <c r="H15" s="64">
        <f t="shared" ref="H15:I15" si="29">G15</f>
        <v>600</v>
      </c>
      <c r="I15" s="57">
        <f t="shared" si="29"/>
        <v>600</v>
      </c>
      <c r="J15" s="64">
        <f t="shared" si="1"/>
        <v>700</v>
      </c>
      <c r="K15" s="64">
        <f t="shared" si="2"/>
        <v>700</v>
      </c>
      <c r="L15" s="64">
        <f t="shared" si="3"/>
        <v>800</v>
      </c>
      <c r="M15" s="64">
        <f t="shared" si="4"/>
        <v>800</v>
      </c>
      <c r="N15" s="64">
        <f t="shared" si="5"/>
        <v>900</v>
      </c>
      <c r="O15" s="64">
        <f t="shared" ref="O15:Q15" si="30">N15</f>
        <v>900</v>
      </c>
      <c r="P15" s="64">
        <f t="shared" si="30"/>
        <v>900</v>
      </c>
      <c r="Q15" s="64">
        <f t="shared" si="30"/>
        <v>900</v>
      </c>
      <c r="R15" s="64">
        <f t="shared" ref="R15:U15" si="31">Q15+100</f>
        <v>1000</v>
      </c>
      <c r="S15" s="64">
        <f t="shared" si="31"/>
        <v>1100</v>
      </c>
      <c r="T15" s="64">
        <f t="shared" si="31"/>
        <v>1200</v>
      </c>
      <c r="U15" s="64">
        <f t="shared" si="31"/>
        <v>1300</v>
      </c>
      <c r="V15" s="64">
        <f t="shared" si="8"/>
        <v>1500</v>
      </c>
      <c r="W15" s="64">
        <f t="shared" si="9"/>
        <v>1600</v>
      </c>
      <c r="X15" s="64">
        <f t="shared" si="10"/>
        <v>1800</v>
      </c>
    </row>
    <row r="16" spans="5:24" x14ac:dyDescent="0.25">
      <c r="E16" s="16" t="s">
        <v>132</v>
      </c>
      <c r="F16" s="64">
        <v>45</v>
      </c>
      <c r="G16" s="57">
        <v>700</v>
      </c>
      <c r="H16" s="64">
        <f t="shared" ref="H16:I16" si="32">G16</f>
        <v>700</v>
      </c>
      <c r="I16" s="57">
        <f t="shared" si="32"/>
        <v>700</v>
      </c>
      <c r="J16" s="64">
        <f t="shared" si="1"/>
        <v>800</v>
      </c>
      <c r="K16" s="64">
        <f t="shared" si="2"/>
        <v>800</v>
      </c>
      <c r="L16" s="64">
        <f t="shared" si="3"/>
        <v>900</v>
      </c>
      <c r="M16" s="64">
        <f t="shared" si="4"/>
        <v>900</v>
      </c>
      <c r="N16" s="64">
        <f t="shared" si="5"/>
        <v>1000</v>
      </c>
      <c r="O16" s="64">
        <f t="shared" ref="O16:Q16" si="33">N16</f>
        <v>1000</v>
      </c>
      <c r="P16" s="64">
        <f t="shared" si="33"/>
        <v>1000</v>
      </c>
      <c r="Q16" s="64">
        <f t="shared" si="33"/>
        <v>1000</v>
      </c>
      <c r="R16" s="64">
        <f t="shared" ref="R16:U16" si="34">Q16+100</f>
        <v>1100</v>
      </c>
      <c r="S16" s="64">
        <f t="shared" si="34"/>
        <v>1200</v>
      </c>
      <c r="T16" s="64">
        <f t="shared" si="34"/>
        <v>1300</v>
      </c>
      <c r="U16" s="64">
        <f t="shared" si="34"/>
        <v>1400</v>
      </c>
      <c r="V16" s="64">
        <f t="shared" si="8"/>
        <v>1600</v>
      </c>
      <c r="W16" s="64">
        <f t="shared" si="9"/>
        <v>1700</v>
      </c>
      <c r="X16" s="64">
        <f t="shared" si="10"/>
        <v>1900</v>
      </c>
    </row>
    <row r="17" spans="5:24" x14ac:dyDescent="0.25">
      <c r="E17" s="16" t="s">
        <v>194</v>
      </c>
      <c r="F17" s="64">
        <v>50</v>
      </c>
      <c r="G17" s="87">
        <v>800</v>
      </c>
      <c r="H17" s="64">
        <f t="shared" ref="H17:I17" si="35">G17</f>
        <v>800</v>
      </c>
      <c r="I17" s="57">
        <f t="shared" si="35"/>
        <v>800</v>
      </c>
      <c r="J17" s="64">
        <f t="shared" si="1"/>
        <v>900</v>
      </c>
      <c r="K17" s="64">
        <f t="shared" si="2"/>
        <v>900</v>
      </c>
      <c r="L17" s="64">
        <f t="shared" si="3"/>
        <v>1000</v>
      </c>
      <c r="M17" s="64">
        <f t="shared" si="4"/>
        <v>1000</v>
      </c>
      <c r="N17" s="64">
        <f t="shared" si="5"/>
        <v>1100</v>
      </c>
      <c r="O17" s="64">
        <f t="shared" ref="O17:Q17" si="36">N17</f>
        <v>1100</v>
      </c>
      <c r="P17" s="64">
        <f t="shared" si="36"/>
        <v>1100</v>
      </c>
      <c r="Q17" s="64">
        <f t="shared" si="36"/>
        <v>1100</v>
      </c>
      <c r="R17" s="64">
        <f t="shared" ref="R17:U17" si="37">Q17+100</f>
        <v>1200</v>
      </c>
      <c r="S17" s="64">
        <f t="shared" si="37"/>
        <v>1300</v>
      </c>
      <c r="T17" s="64">
        <f t="shared" si="37"/>
        <v>1400</v>
      </c>
      <c r="U17" s="64">
        <f t="shared" si="37"/>
        <v>1500</v>
      </c>
      <c r="V17" s="64">
        <f t="shared" si="8"/>
        <v>1700</v>
      </c>
      <c r="W17" s="64">
        <f t="shared" si="9"/>
        <v>1800</v>
      </c>
      <c r="X17" s="64">
        <f t="shared" si="10"/>
        <v>2000</v>
      </c>
    </row>
    <row r="18" spans="5:24" x14ac:dyDescent="0.25">
      <c r="E18" s="16" t="s">
        <v>197</v>
      </c>
      <c r="F18" s="64">
        <v>40</v>
      </c>
      <c r="G18" s="87">
        <v>600</v>
      </c>
      <c r="H18" s="64">
        <f t="shared" ref="H18:I18" si="38">G18</f>
        <v>600</v>
      </c>
      <c r="I18" s="57">
        <f t="shared" si="38"/>
        <v>600</v>
      </c>
      <c r="J18" s="64">
        <f t="shared" si="1"/>
        <v>700</v>
      </c>
      <c r="K18" s="64">
        <f t="shared" si="2"/>
        <v>700</v>
      </c>
      <c r="L18" s="64">
        <f t="shared" si="3"/>
        <v>800</v>
      </c>
      <c r="M18" s="64">
        <f t="shared" si="4"/>
        <v>800</v>
      </c>
      <c r="N18" s="64">
        <f t="shared" si="5"/>
        <v>900</v>
      </c>
      <c r="O18" s="64">
        <f t="shared" ref="O18:Q18" si="39">N18</f>
        <v>900</v>
      </c>
      <c r="P18" s="64">
        <f t="shared" si="39"/>
        <v>900</v>
      </c>
      <c r="Q18" s="64">
        <f t="shared" si="39"/>
        <v>900</v>
      </c>
      <c r="R18" s="64">
        <f t="shared" ref="R18:U18" si="40">Q18+100</f>
        <v>1000</v>
      </c>
      <c r="S18" s="64">
        <f t="shared" si="40"/>
        <v>1100</v>
      </c>
      <c r="T18" s="64">
        <f t="shared" si="40"/>
        <v>1200</v>
      </c>
      <c r="U18" s="64">
        <f t="shared" si="40"/>
        <v>1300</v>
      </c>
      <c r="V18" s="64">
        <f t="shared" si="8"/>
        <v>1500</v>
      </c>
      <c r="W18" s="64">
        <f t="shared" si="9"/>
        <v>1600</v>
      </c>
      <c r="X18" s="64">
        <f t="shared" si="10"/>
        <v>1800</v>
      </c>
    </row>
    <row r="19" spans="5:24" x14ac:dyDescent="0.25">
      <c r="E19" s="16" t="s">
        <v>117</v>
      </c>
      <c r="F19" s="64">
        <v>40</v>
      </c>
      <c r="G19" s="57">
        <v>500</v>
      </c>
      <c r="H19" s="64">
        <f t="shared" ref="H19:I19" si="41">G19</f>
        <v>500</v>
      </c>
      <c r="I19" s="57">
        <f t="shared" si="41"/>
        <v>500</v>
      </c>
      <c r="J19" s="64">
        <f t="shared" si="1"/>
        <v>600</v>
      </c>
      <c r="K19" s="64">
        <f t="shared" si="2"/>
        <v>600</v>
      </c>
      <c r="L19" s="64">
        <f t="shared" si="3"/>
        <v>700</v>
      </c>
      <c r="M19" s="64">
        <f t="shared" si="4"/>
        <v>700</v>
      </c>
      <c r="N19" s="64">
        <f t="shared" si="5"/>
        <v>800</v>
      </c>
      <c r="O19" s="64">
        <f t="shared" ref="O19:Q19" si="42">N19</f>
        <v>800</v>
      </c>
      <c r="P19" s="64">
        <f t="shared" si="42"/>
        <v>800</v>
      </c>
      <c r="Q19" s="64">
        <f t="shared" si="42"/>
        <v>800</v>
      </c>
      <c r="R19" s="64">
        <f t="shared" ref="R19:U19" si="43">Q19+100</f>
        <v>900</v>
      </c>
      <c r="S19" s="64">
        <f t="shared" si="43"/>
        <v>1000</v>
      </c>
      <c r="T19" s="64">
        <f t="shared" si="43"/>
        <v>1100</v>
      </c>
      <c r="U19" s="64">
        <f t="shared" si="43"/>
        <v>1200</v>
      </c>
      <c r="V19" s="64">
        <f t="shared" si="8"/>
        <v>1400</v>
      </c>
      <c r="W19" s="64">
        <f t="shared" si="9"/>
        <v>1500</v>
      </c>
      <c r="X19" s="64">
        <f t="shared" si="10"/>
        <v>1700</v>
      </c>
    </row>
    <row r="20" spans="5:24" x14ac:dyDescent="0.25">
      <c r="E20" s="16" t="s">
        <v>132</v>
      </c>
      <c r="F20" s="64">
        <v>45</v>
      </c>
      <c r="G20" s="87">
        <v>600</v>
      </c>
      <c r="H20" s="64">
        <f t="shared" ref="H20:I20" si="44">G20</f>
        <v>600</v>
      </c>
      <c r="I20" s="57">
        <f t="shared" si="44"/>
        <v>600</v>
      </c>
      <c r="J20" s="64">
        <f t="shared" si="1"/>
        <v>700</v>
      </c>
      <c r="K20" s="64">
        <f t="shared" si="2"/>
        <v>700</v>
      </c>
      <c r="L20" s="64">
        <f t="shared" si="3"/>
        <v>800</v>
      </c>
      <c r="M20" s="64">
        <f t="shared" si="4"/>
        <v>800</v>
      </c>
      <c r="N20" s="64">
        <f t="shared" si="5"/>
        <v>900</v>
      </c>
      <c r="O20" s="64">
        <f t="shared" ref="O20:Q20" si="45">N20</f>
        <v>900</v>
      </c>
      <c r="P20" s="64">
        <f t="shared" si="45"/>
        <v>900</v>
      </c>
      <c r="Q20" s="64">
        <f t="shared" si="45"/>
        <v>900</v>
      </c>
      <c r="R20" s="64">
        <f t="shared" ref="R20:U20" si="46">Q20+100</f>
        <v>1000</v>
      </c>
      <c r="S20" s="64">
        <f t="shared" si="46"/>
        <v>1100</v>
      </c>
      <c r="T20" s="64">
        <f t="shared" si="46"/>
        <v>1200</v>
      </c>
      <c r="U20" s="64">
        <f t="shared" si="46"/>
        <v>1300</v>
      </c>
      <c r="V20" s="64">
        <f t="shared" si="8"/>
        <v>1500</v>
      </c>
      <c r="W20" s="64">
        <f t="shared" si="9"/>
        <v>1600</v>
      </c>
      <c r="X20" s="64">
        <f t="shared" si="10"/>
        <v>1800</v>
      </c>
    </row>
    <row r="21" spans="5:24" x14ac:dyDescent="0.25">
      <c r="E21" s="16" t="s">
        <v>142</v>
      </c>
      <c r="F21" s="64">
        <v>60</v>
      </c>
      <c r="G21" s="57">
        <v>1000</v>
      </c>
      <c r="H21" s="64">
        <f t="shared" ref="H21:I21" si="47">G21</f>
        <v>1000</v>
      </c>
      <c r="I21" s="57">
        <f t="shared" si="47"/>
        <v>1000</v>
      </c>
      <c r="J21" s="64">
        <f t="shared" si="1"/>
        <v>1100</v>
      </c>
      <c r="K21" s="64">
        <f t="shared" si="2"/>
        <v>1100</v>
      </c>
      <c r="L21" s="64">
        <f t="shared" si="3"/>
        <v>1200</v>
      </c>
      <c r="M21" s="64">
        <f t="shared" si="4"/>
        <v>1200</v>
      </c>
      <c r="N21" s="64">
        <f t="shared" si="5"/>
        <v>1300</v>
      </c>
      <c r="O21" s="64">
        <f t="shared" ref="O21:Q21" si="48">N21</f>
        <v>1300</v>
      </c>
      <c r="P21" s="64">
        <f t="shared" si="48"/>
        <v>1300</v>
      </c>
      <c r="Q21" s="64">
        <f t="shared" si="48"/>
        <v>1300</v>
      </c>
      <c r="R21" s="64">
        <f t="shared" ref="R21:U21" si="49">Q21+100</f>
        <v>1400</v>
      </c>
      <c r="S21" s="64">
        <f t="shared" si="49"/>
        <v>1500</v>
      </c>
      <c r="T21" s="64">
        <f t="shared" si="49"/>
        <v>1600</v>
      </c>
      <c r="U21" s="64">
        <f t="shared" si="49"/>
        <v>1700</v>
      </c>
      <c r="V21" s="64">
        <f t="shared" si="8"/>
        <v>1900</v>
      </c>
      <c r="W21" s="64">
        <f t="shared" si="9"/>
        <v>2000</v>
      </c>
      <c r="X21" s="64">
        <f t="shared" si="10"/>
        <v>2200</v>
      </c>
    </row>
    <row r="22" spans="5:24" x14ac:dyDescent="0.25">
      <c r="E22" s="16" t="s">
        <v>150</v>
      </c>
      <c r="F22" s="64">
        <v>50</v>
      </c>
      <c r="G22" s="87">
        <v>800</v>
      </c>
      <c r="H22" s="64">
        <f t="shared" ref="H22:I22" si="50">G22</f>
        <v>800</v>
      </c>
      <c r="I22" s="57">
        <f t="shared" si="50"/>
        <v>800</v>
      </c>
      <c r="J22" s="64">
        <f t="shared" si="1"/>
        <v>900</v>
      </c>
      <c r="K22" s="64">
        <f t="shared" si="2"/>
        <v>900</v>
      </c>
      <c r="L22" s="64">
        <f t="shared" si="3"/>
        <v>1000</v>
      </c>
      <c r="M22" s="64">
        <f t="shared" si="4"/>
        <v>1000</v>
      </c>
      <c r="N22" s="64">
        <f t="shared" si="5"/>
        <v>1100</v>
      </c>
      <c r="O22" s="64">
        <f t="shared" ref="O22:Q22" si="51">N22</f>
        <v>1100</v>
      </c>
      <c r="P22" s="64">
        <f t="shared" si="51"/>
        <v>1100</v>
      </c>
      <c r="Q22" s="64">
        <f t="shared" si="51"/>
        <v>1100</v>
      </c>
      <c r="R22" s="64">
        <f t="shared" ref="R22:U22" si="52">Q22+100</f>
        <v>1200</v>
      </c>
      <c r="S22" s="64">
        <f t="shared" si="52"/>
        <v>1300</v>
      </c>
      <c r="T22" s="64">
        <f t="shared" si="52"/>
        <v>1400</v>
      </c>
      <c r="U22" s="64">
        <f t="shared" si="52"/>
        <v>1500</v>
      </c>
      <c r="V22" s="64">
        <f t="shared" si="8"/>
        <v>1700</v>
      </c>
      <c r="W22" s="64">
        <f t="shared" si="9"/>
        <v>1800</v>
      </c>
      <c r="X22" s="64">
        <f t="shared" si="10"/>
        <v>2000</v>
      </c>
    </row>
    <row r="23" spans="5:24" x14ac:dyDescent="0.25">
      <c r="E23" s="16" t="s">
        <v>165</v>
      </c>
      <c r="F23" s="64">
        <v>45</v>
      </c>
      <c r="G23" s="57">
        <v>600</v>
      </c>
      <c r="H23" s="64">
        <f t="shared" ref="H23:I23" si="53">G23</f>
        <v>600</v>
      </c>
      <c r="I23" s="57">
        <f t="shared" si="53"/>
        <v>600</v>
      </c>
      <c r="J23" s="64">
        <f t="shared" si="1"/>
        <v>700</v>
      </c>
      <c r="K23" s="64">
        <f t="shared" si="2"/>
        <v>700</v>
      </c>
      <c r="L23" s="64">
        <f t="shared" si="3"/>
        <v>800</v>
      </c>
      <c r="M23" s="64">
        <f t="shared" si="4"/>
        <v>800</v>
      </c>
      <c r="N23" s="64">
        <f t="shared" si="5"/>
        <v>900</v>
      </c>
      <c r="O23" s="64">
        <f t="shared" ref="O23:Q23" si="54">N23</f>
        <v>900</v>
      </c>
      <c r="P23" s="64">
        <f t="shared" si="54"/>
        <v>900</v>
      </c>
      <c r="Q23" s="64">
        <f t="shared" si="54"/>
        <v>900</v>
      </c>
      <c r="R23" s="64">
        <f t="shared" ref="R23:U23" si="55">Q23+100</f>
        <v>1000</v>
      </c>
      <c r="S23" s="64">
        <f t="shared" si="55"/>
        <v>1100</v>
      </c>
      <c r="T23" s="64">
        <f t="shared" si="55"/>
        <v>1200</v>
      </c>
      <c r="U23" s="64">
        <f t="shared" si="55"/>
        <v>1300</v>
      </c>
      <c r="V23" s="64">
        <f t="shared" si="8"/>
        <v>1500</v>
      </c>
      <c r="W23" s="64">
        <f t="shared" si="9"/>
        <v>1600</v>
      </c>
      <c r="X23" s="64">
        <f t="shared" si="10"/>
        <v>1800</v>
      </c>
    </row>
    <row r="24" spans="5:24" x14ac:dyDescent="0.25">
      <c r="X24" s="96"/>
    </row>
    <row r="29" spans="5:24" x14ac:dyDescent="0.25">
      <c r="N29" s="191" t="s">
        <v>34</v>
      </c>
      <c r="O29" s="191" t="s">
        <v>225</v>
      </c>
      <c r="P29" s="191" t="s">
        <v>226</v>
      </c>
      <c r="Q29" s="191"/>
    </row>
    <row r="30" spans="5:24" x14ac:dyDescent="0.25">
      <c r="N30" s="191"/>
      <c r="O30" s="191"/>
      <c r="P30" s="126" t="s">
        <v>227</v>
      </c>
      <c r="Q30" s="127" t="s">
        <v>228</v>
      </c>
    </row>
    <row r="31" spans="5:24" x14ac:dyDescent="0.25">
      <c r="N31" s="128">
        <v>1</v>
      </c>
      <c r="O31" s="129" t="s">
        <v>229</v>
      </c>
      <c r="P31" s="130">
        <f>Building!H52</f>
        <v>410684.44999999984</v>
      </c>
      <c r="Q31" s="131">
        <f>P31*10.7639</f>
        <v>4420566.3513549985</v>
      </c>
    </row>
    <row r="32" spans="5:24" x14ac:dyDescent="0.25">
      <c r="N32" s="128">
        <v>2</v>
      </c>
      <c r="O32" s="129" t="s">
        <v>230</v>
      </c>
      <c r="P32" s="130">
        <f>Building!H79</f>
        <v>63567.6</v>
      </c>
      <c r="Q32" s="131">
        <f>P32*10.7639</f>
        <v>684235.28963999997</v>
      </c>
    </row>
    <row r="33" spans="14:17" x14ac:dyDescent="0.25">
      <c r="N33" s="192" t="s">
        <v>53</v>
      </c>
      <c r="O33" s="192"/>
      <c r="P33" s="132">
        <f>SUM(P31:P32)</f>
        <v>474252.04999999981</v>
      </c>
      <c r="Q33" s="132">
        <f>SUM(Q31:Q32)</f>
        <v>5104801.6409949986</v>
      </c>
    </row>
  </sheetData>
  <autoFilter ref="E6:X23"/>
  <sortState ref="E7:G27">
    <sortCondition ref="G7"/>
  </sortState>
  <mergeCells count="4">
    <mergeCell ref="N29:N30"/>
    <mergeCell ref="O29:O30"/>
    <mergeCell ref="P29:Q29"/>
    <mergeCell ref="N33:O3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5" workbookViewId="0">
      <selection activeCell="F35" sqref="F35"/>
    </sheetView>
  </sheetViews>
  <sheetFormatPr defaultRowHeight="15" x14ac:dyDescent="0.25"/>
  <cols>
    <col min="2" max="2" width="26.5703125" customWidth="1"/>
    <col min="3" max="3" width="16.140625" style="140" customWidth="1"/>
    <col min="4" max="4" width="15.85546875" style="140" customWidth="1"/>
    <col min="5" max="5" width="9.28515625" customWidth="1"/>
  </cols>
  <sheetData>
    <row r="1" spans="1:4" x14ac:dyDescent="0.25">
      <c r="C1" s="139"/>
    </row>
    <row r="2" spans="1:4" ht="15.75" x14ac:dyDescent="0.25">
      <c r="A2" s="193" t="str">
        <f>UPPER("Uttam Sugar Mills Limited")</f>
        <v>UTTAM SUGAR MILLS LIMITED</v>
      </c>
      <c r="B2" s="193"/>
      <c r="C2" s="193"/>
      <c r="D2" s="193"/>
    </row>
    <row r="3" spans="1:4" ht="15.75" x14ac:dyDescent="0.25">
      <c r="A3" s="193" t="str">
        <f>UPPER(("Sugar Section"))</f>
        <v>SUGAR SECTION</v>
      </c>
      <c r="B3" s="193"/>
      <c r="C3" s="193"/>
      <c r="D3" s="193"/>
    </row>
    <row r="4" spans="1:4" ht="12.75" customHeight="1" x14ac:dyDescent="0.25">
      <c r="A4" s="194" t="s">
        <v>82</v>
      </c>
      <c r="B4" s="194" t="s">
        <v>204</v>
      </c>
      <c r="C4" s="141" t="s">
        <v>79</v>
      </c>
      <c r="D4" s="141" t="s">
        <v>80</v>
      </c>
    </row>
    <row r="5" spans="1:4" x14ac:dyDescent="0.25">
      <c r="A5" s="194" t="s">
        <v>82</v>
      </c>
      <c r="B5" s="194"/>
      <c r="C5" s="142" t="s">
        <v>205</v>
      </c>
      <c r="D5" s="142" t="s">
        <v>205</v>
      </c>
    </row>
    <row r="6" spans="1:4" x14ac:dyDescent="0.25">
      <c r="A6" s="63">
        <v>1</v>
      </c>
      <c r="B6" s="64" t="s">
        <v>206</v>
      </c>
      <c r="C6" s="143">
        <v>200665762</v>
      </c>
      <c r="D6" s="143">
        <v>200665762</v>
      </c>
    </row>
    <row r="7" spans="1:4" x14ac:dyDescent="0.25">
      <c r="A7" s="63">
        <f>INT(INT(A6)+1)</f>
        <v>2</v>
      </c>
      <c r="B7" s="64" t="s">
        <v>78</v>
      </c>
      <c r="C7" s="143"/>
      <c r="D7" s="143"/>
    </row>
    <row r="8" spans="1:4" x14ac:dyDescent="0.25">
      <c r="A8" s="63" t="s">
        <v>239</v>
      </c>
      <c r="B8" s="102" t="s">
        <v>207</v>
      </c>
      <c r="C8" s="144">
        <v>159746521.59</v>
      </c>
      <c r="D8" s="143">
        <v>92057408.277254775</v>
      </c>
    </row>
    <row r="9" spans="1:4" x14ac:dyDescent="0.25">
      <c r="A9" s="63" t="s">
        <v>240</v>
      </c>
      <c r="B9" s="102" t="s">
        <v>208</v>
      </c>
      <c r="C9" s="143">
        <v>29388612.539999999</v>
      </c>
      <c r="D9" s="143">
        <v>23316072.006582696</v>
      </c>
    </row>
    <row r="10" spans="1:4" x14ac:dyDescent="0.25">
      <c r="A10" s="63">
        <v>3</v>
      </c>
      <c r="B10" s="64" t="s">
        <v>209</v>
      </c>
      <c r="C10" s="143">
        <v>1640423869.5894156</v>
      </c>
      <c r="D10" s="143">
        <v>848851153.61024642</v>
      </c>
    </row>
    <row r="11" spans="1:4" x14ac:dyDescent="0.25">
      <c r="A11" s="63">
        <v>4</v>
      </c>
      <c r="B11" s="64" t="s">
        <v>210</v>
      </c>
      <c r="C11" s="143">
        <v>8021003</v>
      </c>
      <c r="D11" s="143">
        <v>470667.15896954853</v>
      </c>
    </row>
    <row r="12" spans="1:4" x14ac:dyDescent="0.25">
      <c r="A12" s="63">
        <v>5</v>
      </c>
      <c r="B12" s="64" t="s">
        <v>211</v>
      </c>
      <c r="C12" s="143">
        <v>1363132</v>
      </c>
      <c r="D12" s="143">
        <v>121636.4790602799</v>
      </c>
    </row>
    <row r="13" spans="1:4" x14ac:dyDescent="0.25">
      <c r="A13" s="63">
        <v>6</v>
      </c>
      <c r="B13" s="64" t="s">
        <v>212</v>
      </c>
      <c r="C13" s="143">
        <v>12286288.26</v>
      </c>
      <c r="D13" s="143">
        <v>1516724.9468698092</v>
      </c>
    </row>
    <row r="14" spans="1:4" x14ac:dyDescent="0.25">
      <c r="A14" s="63">
        <v>7</v>
      </c>
      <c r="B14" s="64" t="s">
        <v>213</v>
      </c>
      <c r="C14" s="143">
        <v>18911438</v>
      </c>
      <c r="D14" s="143">
        <v>9538998.1060398333</v>
      </c>
    </row>
    <row r="15" spans="1:4" x14ac:dyDescent="0.25">
      <c r="A15" s="63">
        <f t="shared" ref="A15:A17" si="0">INT(INT(A14)+1)</f>
        <v>8</v>
      </c>
      <c r="B15" s="64" t="s">
        <v>214</v>
      </c>
      <c r="C15" s="143">
        <v>6971351.3300000019</v>
      </c>
      <c r="D15" s="143">
        <v>1876699.2385610659</v>
      </c>
    </row>
    <row r="16" spans="1:4" x14ac:dyDescent="0.25">
      <c r="A16" s="63">
        <f t="shared" si="0"/>
        <v>9</v>
      </c>
      <c r="B16" s="64" t="s">
        <v>215</v>
      </c>
      <c r="C16" s="143">
        <v>3536011.48</v>
      </c>
      <c r="D16" s="143">
        <v>839923.46998608951</v>
      </c>
    </row>
    <row r="17" spans="1:5" x14ac:dyDescent="0.25">
      <c r="A17" s="63">
        <f t="shared" si="0"/>
        <v>10</v>
      </c>
      <c r="B17" s="64" t="s">
        <v>216</v>
      </c>
      <c r="C17" s="143">
        <v>16568384.259999998</v>
      </c>
      <c r="D17" s="143">
        <v>5230262.0365904383</v>
      </c>
    </row>
    <row r="18" spans="1:5" x14ac:dyDescent="0.25">
      <c r="A18" s="64"/>
      <c r="B18" s="103" t="s">
        <v>53</v>
      </c>
      <c r="C18" s="145">
        <v>2097882374.0494156</v>
      </c>
      <c r="D18" s="145">
        <v>1184485307.3301611</v>
      </c>
      <c r="E18" s="104"/>
    </row>
    <row r="21" spans="1:5" ht="15.75" x14ac:dyDescent="0.25">
      <c r="A21" s="193" t="str">
        <f>UPPER(("Distellery Section"))</f>
        <v>DISTELLERY SECTION</v>
      </c>
      <c r="B21" s="193"/>
      <c r="C21" s="193"/>
      <c r="D21" s="193"/>
    </row>
    <row r="22" spans="1:5" x14ac:dyDescent="0.25">
      <c r="A22" s="194" t="s">
        <v>82</v>
      </c>
      <c r="B22" s="194" t="s">
        <v>204</v>
      </c>
      <c r="C22" s="141" t="s">
        <v>77</v>
      </c>
      <c r="D22" s="141" t="s">
        <v>80</v>
      </c>
    </row>
    <row r="23" spans="1:5" x14ac:dyDescent="0.25">
      <c r="A23" s="194" t="s">
        <v>82</v>
      </c>
      <c r="B23" s="194"/>
      <c r="C23" s="141" t="s">
        <v>205</v>
      </c>
      <c r="D23" s="141" t="s">
        <v>217</v>
      </c>
    </row>
    <row r="24" spans="1:5" x14ac:dyDescent="0.25">
      <c r="A24" s="63">
        <v>1</v>
      </c>
      <c r="B24" s="106" t="s">
        <v>206</v>
      </c>
      <c r="C24" s="144">
        <v>7150585</v>
      </c>
      <c r="D24" s="144">
        <v>7150585</v>
      </c>
    </row>
    <row r="25" spans="1:5" x14ac:dyDescent="0.25">
      <c r="A25" s="63">
        <f>INT(INT(A24)+1)</f>
        <v>2</v>
      </c>
      <c r="B25" s="106" t="s">
        <v>78</v>
      </c>
      <c r="C25" s="144"/>
      <c r="D25" s="144"/>
    </row>
    <row r="26" spans="1:5" x14ac:dyDescent="0.25">
      <c r="A26" s="63" t="s">
        <v>239</v>
      </c>
      <c r="B26" s="107" t="s">
        <v>207</v>
      </c>
      <c r="C26" s="144">
        <v>20617993.013109162</v>
      </c>
      <c r="D26" s="144">
        <v>14560848.028049987</v>
      </c>
    </row>
    <row r="27" spans="1:5" x14ac:dyDescent="0.25">
      <c r="A27" s="63" t="s">
        <v>240</v>
      </c>
      <c r="B27" s="107" t="s">
        <v>208</v>
      </c>
      <c r="C27" s="144">
        <v>3361980.0421549291</v>
      </c>
      <c r="D27" s="144">
        <v>2840900.8177591362</v>
      </c>
    </row>
    <row r="28" spans="1:5" x14ac:dyDescent="0.25">
      <c r="A28" s="63">
        <v>3</v>
      </c>
      <c r="B28" s="106" t="s">
        <v>209</v>
      </c>
      <c r="C28" s="144">
        <v>1964498545.1660151</v>
      </c>
      <c r="D28" s="144">
        <v>1567906182.943656</v>
      </c>
    </row>
    <row r="29" spans="1:5" x14ac:dyDescent="0.25">
      <c r="A29" s="63">
        <v>4</v>
      </c>
      <c r="B29" s="106" t="s">
        <v>211</v>
      </c>
      <c r="C29" s="144">
        <v>934838.24433309771</v>
      </c>
      <c r="D29" s="144">
        <v>79781.524681886425</v>
      </c>
    </row>
    <row r="30" spans="1:5" x14ac:dyDescent="0.25">
      <c r="A30" s="63">
        <v>5</v>
      </c>
      <c r="B30" s="106" t="s">
        <v>212</v>
      </c>
      <c r="C30" s="144">
        <v>1570197.0699999998</v>
      </c>
      <c r="D30" s="144">
        <v>576260.26267283445</v>
      </c>
    </row>
    <row r="31" spans="1:5" x14ac:dyDescent="0.25">
      <c r="A31" s="63">
        <f t="shared" ref="A31:A34" si="1">INT(INT(A30)+1)</f>
        <v>6</v>
      </c>
      <c r="B31" s="106" t="s">
        <v>213</v>
      </c>
      <c r="C31" s="144">
        <v>4940751.7534404481</v>
      </c>
      <c r="D31" s="144">
        <v>3253099.8241045591</v>
      </c>
    </row>
    <row r="32" spans="1:5" x14ac:dyDescent="0.25">
      <c r="A32" s="63">
        <f t="shared" si="1"/>
        <v>7</v>
      </c>
      <c r="B32" s="106" t="s">
        <v>214</v>
      </c>
      <c r="C32" s="144">
        <v>1472472.16</v>
      </c>
      <c r="D32" s="144">
        <v>273311.3987030962</v>
      </c>
    </row>
    <row r="33" spans="1:4" x14ac:dyDescent="0.25">
      <c r="A33" s="63">
        <f t="shared" si="1"/>
        <v>8</v>
      </c>
      <c r="B33" s="106" t="s">
        <v>215</v>
      </c>
      <c r="C33" s="144">
        <v>755403.5</v>
      </c>
      <c r="D33" s="144">
        <v>257349.84877821279</v>
      </c>
    </row>
    <row r="34" spans="1:4" x14ac:dyDescent="0.25">
      <c r="A34" s="63">
        <f t="shared" si="1"/>
        <v>9</v>
      </c>
      <c r="B34" s="106" t="s">
        <v>216</v>
      </c>
      <c r="C34" s="144">
        <v>1345226</v>
      </c>
      <c r="D34" s="144">
        <v>738285.10747965414</v>
      </c>
    </row>
    <row r="35" spans="1:4" x14ac:dyDescent="0.25">
      <c r="A35" s="64"/>
      <c r="B35" s="108" t="s">
        <v>53</v>
      </c>
      <c r="C35" s="146">
        <v>2006647991.9490526</v>
      </c>
      <c r="D35" s="146">
        <v>1597636604.7558854</v>
      </c>
    </row>
    <row r="38" spans="1:4" ht="15.75" x14ac:dyDescent="0.25">
      <c r="A38" s="193" t="str">
        <f>UPPER("Barkatpur - Cogeneration")</f>
        <v>BARKATPUR - COGENERATION</v>
      </c>
      <c r="B38" s="193"/>
      <c r="C38" s="193"/>
      <c r="D38" s="193"/>
    </row>
    <row r="39" spans="1:4" x14ac:dyDescent="0.25">
      <c r="A39" s="194" t="s">
        <v>82</v>
      </c>
      <c r="B39" s="194" t="s">
        <v>204</v>
      </c>
      <c r="C39" s="141" t="s">
        <v>77</v>
      </c>
      <c r="D39" s="141" t="s">
        <v>80</v>
      </c>
    </row>
    <row r="40" spans="1:4" x14ac:dyDescent="0.25">
      <c r="A40" s="194" t="s">
        <v>82</v>
      </c>
      <c r="B40" s="194"/>
      <c r="C40" s="141" t="s">
        <v>205</v>
      </c>
      <c r="D40" s="141" t="s">
        <v>217</v>
      </c>
    </row>
    <row r="41" spans="1:4" x14ac:dyDescent="0.25">
      <c r="A41" s="63">
        <v>1</v>
      </c>
      <c r="B41" s="109" t="s">
        <v>218</v>
      </c>
      <c r="C41" s="147">
        <v>3440726.0540961511</v>
      </c>
      <c r="D41" s="148">
        <v>2341425.3798137875</v>
      </c>
    </row>
    <row r="42" spans="1:4" x14ac:dyDescent="0.25">
      <c r="A42" s="63">
        <v>2</v>
      </c>
      <c r="B42" s="109" t="s">
        <v>81</v>
      </c>
      <c r="C42" s="147">
        <v>532059480.58154899</v>
      </c>
      <c r="D42" s="148">
        <v>307591811.8264178</v>
      </c>
    </row>
    <row r="43" spans="1:4" x14ac:dyDescent="0.25">
      <c r="A43" s="63">
        <v>3</v>
      </c>
      <c r="B43" s="109" t="s">
        <v>214</v>
      </c>
      <c r="C43" s="147">
        <v>259420</v>
      </c>
      <c r="D43" s="148">
        <v>12970.996027397254</v>
      </c>
    </row>
    <row r="44" spans="1:4" x14ac:dyDescent="0.25">
      <c r="A44" s="63">
        <v>4</v>
      </c>
      <c r="B44" s="109" t="s">
        <v>212</v>
      </c>
      <c r="C44" s="147">
        <v>193000</v>
      </c>
      <c r="D44" s="148">
        <v>9649.5032876712503</v>
      </c>
    </row>
    <row r="45" spans="1:4" x14ac:dyDescent="0.25">
      <c r="A45" s="63"/>
      <c r="B45" s="110" t="s">
        <v>219</v>
      </c>
      <c r="C45" s="149">
        <v>535952626.63564515</v>
      </c>
      <c r="D45" s="149">
        <v>309955857.70554668</v>
      </c>
    </row>
    <row r="47" spans="1:4" x14ac:dyDescent="0.25">
      <c r="A47" s="101" t="s">
        <v>75</v>
      </c>
      <c r="B47" s="101" t="s">
        <v>35</v>
      </c>
      <c r="C47" s="141" t="s">
        <v>79</v>
      </c>
      <c r="D47" s="141" t="s">
        <v>220</v>
      </c>
    </row>
    <row r="48" spans="1:4" x14ac:dyDescent="0.25">
      <c r="A48" s="63">
        <v>1</v>
      </c>
      <c r="B48" s="111" t="s">
        <v>221</v>
      </c>
      <c r="C48" s="150">
        <f>$C$18</f>
        <v>2097882374.0494156</v>
      </c>
      <c r="D48" s="150">
        <f>$D$18</f>
        <v>1184485307.3301611</v>
      </c>
    </row>
    <row r="49" spans="1:4" x14ac:dyDescent="0.25">
      <c r="A49" s="63">
        <v>2</v>
      </c>
      <c r="B49" s="112" t="s">
        <v>222</v>
      </c>
      <c r="C49" s="147">
        <v>535952626.63564515</v>
      </c>
      <c r="D49" s="151">
        <f>D45</f>
        <v>309955857.70554668</v>
      </c>
    </row>
    <row r="50" spans="1:4" x14ac:dyDescent="0.25">
      <c r="A50" s="63">
        <v>3</v>
      </c>
      <c r="B50" s="112" t="s">
        <v>223</v>
      </c>
      <c r="C50" s="150">
        <f>$C$35</f>
        <v>2006647991.9490526</v>
      </c>
      <c r="D50" s="150">
        <f>D35</f>
        <v>1597636604.7558854</v>
      </c>
    </row>
    <row r="51" spans="1:4" x14ac:dyDescent="0.25">
      <c r="A51" s="63">
        <v>4</v>
      </c>
      <c r="B51" s="112" t="s">
        <v>89</v>
      </c>
      <c r="C51" s="150">
        <f>SUM(C48:C50)</f>
        <v>4640482992.6341133</v>
      </c>
      <c r="D51" s="150">
        <f>SUM(D48:D50)</f>
        <v>3092077769.7915931</v>
      </c>
    </row>
  </sheetData>
  <mergeCells count="10">
    <mergeCell ref="A38:D38"/>
    <mergeCell ref="A39:A40"/>
    <mergeCell ref="B39:B40"/>
    <mergeCell ref="A2:D2"/>
    <mergeCell ref="A3:D3"/>
    <mergeCell ref="A4:A5"/>
    <mergeCell ref="B4:B5"/>
    <mergeCell ref="A21:D21"/>
    <mergeCell ref="A22:A23"/>
    <mergeCell ref="B22:B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opLeftCell="A30" workbookViewId="0">
      <selection activeCell="C30" sqref="C30"/>
    </sheetView>
  </sheetViews>
  <sheetFormatPr defaultRowHeight="15" x14ac:dyDescent="0.25"/>
  <cols>
    <col min="3" max="3" width="22.85546875" customWidth="1"/>
    <col min="4" max="4" width="14.85546875" customWidth="1"/>
    <col min="5" max="5" width="15.85546875" customWidth="1"/>
    <col min="6" max="6" width="9.28515625" customWidth="1"/>
  </cols>
  <sheetData>
    <row r="1" spans="2:7" x14ac:dyDescent="0.25">
      <c r="D1" s="100"/>
    </row>
    <row r="2" spans="2:7" ht="15.75" x14ac:dyDescent="0.25">
      <c r="B2" s="193" t="str">
        <f>UPPER("Uttam Sugar Mills Limited")</f>
        <v>UTTAM SUGAR MILLS LIMITED</v>
      </c>
      <c r="C2" s="193"/>
      <c r="D2" s="193"/>
      <c r="E2" s="193"/>
    </row>
    <row r="3" spans="2:7" ht="15.75" x14ac:dyDescent="0.25">
      <c r="B3" s="193" t="str">
        <f>UPPER(("Sugar Section"))</f>
        <v>SUGAR SECTION</v>
      </c>
      <c r="C3" s="193"/>
      <c r="D3" s="193"/>
      <c r="E3" s="193"/>
    </row>
    <row r="4" spans="2:7" ht="12.75" customHeight="1" x14ac:dyDescent="0.25">
      <c r="B4" s="194" t="s">
        <v>82</v>
      </c>
      <c r="C4" s="194" t="s">
        <v>204</v>
      </c>
      <c r="D4" s="195" t="s">
        <v>79</v>
      </c>
      <c r="E4" s="195" t="s">
        <v>80</v>
      </c>
    </row>
    <row r="5" spans="2:7" x14ac:dyDescent="0.25">
      <c r="B5" s="194" t="s">
        <v>82</v>
      </c>
      <c r="C5" s="194"/>
      <c r="D5" s="196"/>
      <c r="E5" s="196"/>
    </row>
    <row r="6" spans="2:7" x14ac:dyDescent="0.25">
      <c r="B6" s="63">
        <v>1</v>
      </c>
      <c r="C6" s="64" t="s">
        <v>206</v>
      </c>
      <c r="D6" s="113">
        <v>20.0665762</v>
      </c>
      <c r="E6" s="113">
        <v>20.0665762</v>
      </c>
      <c r="G6">
        <v>10000000</v>
      </c>
    </row>
    <row r="7" spans="2:7" x14ac:dyDescent="0.25">
      <c r="B7" s="63">
        <f>INT(INT(B6)+1)</f>
        <v>2</v>
      </c>
      <c r="C7" s="64" t="s">
        <v>78</v>
      </c>
      <c r="D7" s="113">
        <v>0</v>
      </c>
      <c r="E7" s="113">
        <v>0</v>
      </c>
    </row>
    <row r="8" spans="2:7" x14ac:dyDescent="0.25">
      <c r="B8" s="63">
        <f t="shared" ref="B8:B17" si="0">INT(INT(B7)+1)</f>
        <v>3</v>
      </c>
      <c r="C8" s="102" t="s">
        <v>207</v>
      </c>
      <c r="D8" s="114">
        <v>15.974652159</v>
      </c>
      <c r="E8" s="113">
        <v>9.205740827725478</v>
      </c>
    </row>
    <row r="9" spans="2:7" x14ac:dyDescent="0.25">
      <c r="B9" s="63">
        <f t="shared" si="0"/>
        <v>4</v>
      </c>
      <c r="C9" s="102" t="s">
        <v>208</v>
      </c>
      <c r="D9" s="113">
        <v>2.9388612539999999</v>
      </c>
      <c r="E9" s="113">
        <v>2.3316072006582695</v>
      </c>
    </row>
    <row r="10" spans="2:7" x14ac:dyDescent="0.25">
      <c r="B10" s="63">
        <f t="shared" si="0"/>
        <v>5</v>
      </c>
      <c r="C10" s="64" t="s">
        <v>209</v>
      </c>
      <c r="D10" s="113">
        <v>164.04238695894156</v>
      </c>
      <c r="E10" s="113">
        <v>84.885115361024646</v>
      </c>
    </row>
    <row r="11" spans="2:7" x14ac:dyDescent="0.25">
      <c r="B11" s="63">
        <f t="shared" si="0"/>
        <v>6</v>
      </c>
      <c r="C11" s="64" t="s">
        <v>210</v>
      </c>
      <c r="D11" s="113">
        <v>0.80210029999999999</v>
      </c>
      <c r="E11" s="113">
        <v>4.7066715896954853E-2</v>
      </c>
    </row>
    <row r="12" spans="2:7" x14ac:dyDescent="0.25">
      <c r="B12" s="63">
        <f t="shared" si="0"/>
        <v>7</v>
      </c>
      <c r="C12" s="64" t="s">
        <v>211</v>
      </c>
      <c r="D12" s="113">
        <v>0.1363132</v>
      </c>
      <c r="E12" s="113">
        <v>1.216364790602799E-2</v>
      </c>
    </row>
    <row r="13" spans="2:7" x14ac:dyDescent="0.25">
      <c r="B13" s="63">
        <f t="shared" si="0"/>
        <v>8</v>
      </c>
      <c r="C13" s="64" t="s">
        <v>212</v>
      </c>
      <c r="D13" s="113">
        <v>1.228628826</v>
      </c>
      <c r="E13" s="113">
        <v>0.15167249468698091</v>
      </c>
    </row>
    <row r="14" spans="2:7" x14ac:dyDescent="0.25">
      <c r="B14" s="63">
        <f t="shared" si="0"/>
        <v>9</v>
      </c>
      <c r="C14" s="64" t="s">
        <v>213</v>
      </c>
      <c r="D14" s="113">
        <v>1.8911438</v>
      </c>
      <c r="E14" s="113">
        <v>0.95389981060398332</v>
      </c>
    </row>
    <row r="15" spans="2:7" x14ac:dyDescent="0.25">
      <c r="B15" s="63">
        <f t="shared" si="0"/>
        <v>10</v>
      </c>
      <c r="C15" s="64" t="s">
        <v>214</v>
      </c>
      <c r="D15" s="113">
        <v>0.69713513300000018</v>
      </c>
      <c r="E15" s="113">
        <v>0.18766992385610659</v>
      </c>
    </row>
    <row r="16" spans="2:7" x14ac:dyDescent="0.25">
      <c r="B16" s="63">
        <f t="shared" si="0"/>
        <v>11</v>
      </c>
      <c r="C16" s="64" t="s">
        <v>215</v>
      </c>
      <c r="D16" s="113">
        <v>0.35360114799999998</v>
      </c>
      <c r="E16" s="113">
        <v>8.3992346998608955E-2</v>
      </c>
    </row>
    <row r="17" spans="2:6" x14ac:dyDescent="0.25">
      <c r="B17" s="63">
        <f t="shared" si="0"/>
        <v>12</v>
      </c>
      <c r="C17" s="64" t="s">
        <v>216</v>
      </c>
      <c r="D17" s="113">
        <v>1.6568384259999998</v>
      </c>
      <c r="E17" s="113">
        <v>0.52302620365904384</v>
      </c>
    </row>
    <row r="18" spans="2:6" x14ac:dyDescent="0.25">
      <c r="B18" s="64"/>
      <c r="C18" s="103" t="s">
        <v>53</v>
      </c>
      <c r="D18" s="115">
        <v>209.78823740494155</v>
      </c>
      <c r="E18" s="115">
        <v>118.44853073301611</v>
      </c>
      <c r="F18" s="104"/>
    </row>
    <row r="20" spans="2:6" x14ac:dyDescent="0.25">
      <c r="E20" s="105"/>
    </row>
    <row r="21" spans="2:6" ht="15.75" x14ac:dyDescent="0.25">
      <c r="B21" s="193" t="str">
        <f>UPPER(("Distellery Section"))</f>
        <v>DISTELLERY SECTION</v>
      </c>
      <c r="C21" s="193"/>
      <c r="D21" s="193"/>
      <c r="E21" s="193"/>
    </row>
    <row r="22" spans="2:6" x14ac:dyDescent="0.25">
      <c r="B22" s="194" t="s">
        <v>82</v>
      </c>
      <c r="C22" s="194" t="s">
        <v>204</v>
      </c>
      <c r="D22" s="195" t="s">
        <v>79</v>
      </c>
      <c r="E22" s="195" t="s">
        <v>80</v>
      </c>
    </row>
    <row r="23" spans="2:6" x14ac:dyDescent="0.25">
      <c r="B23" s="194" t="s">
        <v>82</v>
      </c>
      <c r="C23" s="194"/>
      <c r="D23" s="196"/>
      <c r="E23" s="196"/>
    </row>
    <row r="24" spans="2:6" x14ac:dyDescent="0.25">
      <c r="B24" s="63">
        <v>1</v>
      </c>
      <c r="C24" s="106" t="s">
        <v>206</v>
      </c>
      <c r="D24" s="114">
        <v>0.71505850000000004</v>
      </c>
      <c r="E24" s="114">
        <v>0.71505850000000004</v>
      </c>
    </row>
    <row r="25" spans="2:6" x14ac:dyDescent="0.25">
      <c r="B25" s="63">
        <f>INT(INT(B24)+1)</f>
        <v>2</v>
      </c>
      <c r="C25" s="106" t="s">
        <v>78</v>
      </c>
      <c r="D25" s="114">
        <v>0</v>
      </c>
      <c r="E25" s="114">
        <v>0</v>
      </c>
    </row>
    <row r="26" spans="2:6" x14ac:dyDescent="0.25">
      <c r="B26" s="63">
        <f t="shared" ref="B26:B35" si="1">INT(INT(B25)+1)</f>
        <v>3</v>
      </c>
      <c r="C26" s="107" t="s">
        <v>207</v>
      </c>
      <c r="D26" s="114">
        <v>2.0617993013109164</v>
      </c>
      <c r="E26" s="114">
        <v>1.4560848028049986</v>
      </c>
    </row>
    <row r="27" spans="2:6" x14ac:dyDescent="0.25">
      <c r="B27" s="63">
        <f t="shared" si="1"/>
        <v>4</v>
      </c>
      <c r="C27" s="107" t="s">
        <v>208</v>
      </c>
      <c r="D27" s="114">
        <v>0.3361980042154929</v>
      </c>
      <c r="E27" s="114">
        <v>0.28409008177591361</v>
      </c>
    </row>
    <row r="28" spans="2:6" x14ac:dyDescent="0.25">
      <c r="B28" s="63">
        <f t="shared" si="1"/>
        <v>5</v>
      </c>
      <c r="C28" s="106" t="s">
        <v>209</v>
      </c>
      <c r="D28" s="114">
        <v>196.4498545166015</v>
      </c>
      <c r="E28" s="114">
        <v>156.7906182943656</v>
      </c>
    </row>
    <row r="29" spans="2:6" x14ac:dyDescent="0.25">
      <c r="B29" s="63">
        <f t="shared" si="1"/>
        <v>6</v>
      </c>
      <c r="C29" s="106" t="s">
        <v>210</v>
      </c>
      <c r="D29" s="114">
        <v>0</v>
      </c>
      <c r="E29" s="114">
        <v>0</v>
      </c>
    </row>
    <row r="30" spans="2:6" x14ac:dyDescent="0.25">
      <c r="B30" s="63">
        <f t="shared" si="1"/>
        <v>7</v>
      </c>
      <c r="C30" s="106" t="s">
        <v>211</v>
      </c>
      <c r="D30" s="114">
        <v>9.348382443330977E-2</v>
      </c>
      <c r="E30" s="114">
        <v>7.9781524681886429E-3</v>
      </c>
    </row>
    <row r="31" spans="2:6" x14ac:dyDescent="0.25">
      <c r="B31" s="63">
        <f t="shared" si="1"/>
        <v>8</v>
      </c>
      <c r="C31" s="106" t="s">
        <v>212</v>
      </c>
      <c r="D31" s="114">
        <v>0.15701970699999998</v>
      </c>
      <c r="E31" s="114">
        <v>5.7626026267283442E-2</v>
      </c>
    </row>
    <row r="32" spans="2:6" x14ac:dyDescent="0.25">
      <c r="B32" s="63">
        <f t="shared" si="1"/>
        <v>9</v>
      </c>
      <c r="C32" s="106" t="s">
        <v>213</v>
      </c>
      <c r="D32" s="114">
        <v>0.49407517534404483</v>
      </c>
      <c r="E32" s="114">
        <v>0.32530998241045589</v>
      </c>
    </row>
    <row r="33" spans="2:5" x14ac:dyDescent="0.25">
      <c r="B33" s="63">
        <f t="shared" si="1"/>
        <v>10</v>
      </c>
      <c r="C33" s="106" t="s">
        <v>214</v>
      </c>
      <c r="D33" s="114">
        <v>0.14724721599999999</v>
      </c>
      <c r="E33" s="114">
        <v>2.733113987030962E-2</v>
      </c>
    </row>
    <row r="34" spans="2:5" x14ac:dyDescent="0.25">
      <c r="B34" s="63">
        <f t="shared" si="1"/>
        <v>11</v>
      </c>
      <c r="C34" s="106" t="s">
        <v>215</v>
      </c>
      <c r="D34" s="114">
        <v>7.5540350000000006E-2</v>
      </c>
      <c r="E34" s="114">
        <v>2.573498487782128E-2</v>
      </c>
    </row>
    <row r="35" spans="2:5" x14ac:dyDescent="0.25">
      <c r="B35" s="63">
        <f t="shared" si="1"/>
        <v>12</v>
      </c>
      <c r="C35" s="106" t="s">
        <v>216</v>
      </c>
      <c r="D35" s="114">
        <v>0.13452259999999999</v>
      </c>
      <c r="E35" s="114">
        <v>7.3828510747965412E-2</v>
      </c>
    </row>
    <row r="36" spans="2:5" x14ac:dyDescent="0.25">
      <c r="B36" s="64"/>
      <c r="C36" s="108" t="s">
        <v>53</v>
      </c>
      <c r="D36" s="116">
        <v>200.66479919490527</v>
      </c>
      <c r="E36" s="116">
        <v>159.76366047558852</v>
      </c>
    </row>
    <row r="39" spans="2:5" ht="15.75" x14ac:dyDescent="0.25">
      <c r="B39" s="193" t="str">
        <f>UPPER("Barkatpur - Cogeneration")</f>
        <v>BARKATPUR - COGENERATION</v>
      </c>
      <c r="C39" s="193"/>
      <c r="D39" s="193"/>
      <c r="E39" s="193"/>
    </row>
    <row r="40" spans="2:5" x14ac:dyDescent="0.25">
      <c r="B40" s="194" t="s">
        <v>82</v>
      </c>
      <c r="C40" s="194" t="s">
        <v>204</v>
      </c>
      <c r="D40" s="195" t="s">
        <v>79</v>
      </c>
      <c r="E40" s="195" t="s">
        <v>80</v>
      </c>
    </row>
    <row r="41" spans="2:5" x14ac:dyDescent="0.25">
      <c r="B41" s="194" t="s">
        <v>82</v>
      </c>
      <c r="C41" s="194"/>
      <c r="D41" s="196"/>
      <c r="E41" s="196"/>
    </row>
    <row r="42" spans="2:5" x14ac:dyDescent="0.25">
      <c r="B42" s="63">
        <v>1</v>
      </c>
      <c r="C42" s="109" t="s">
        <v>218</v>
      </c>
      <c r="D42" s="117">
        <v>0.3440726054096151</v>
      </c>
      <c r="E42" s="118">
        <v>0.23414253798137874</v>
      </c>
    </row>
    <row r="43" spans="2:5" x14ac:dyDescent="0.25">
      <c r="B43" s="63">
        <v>2</v>
      </c>
      <c r="C43" s="109" t="s">
        <v>81</v>
      </c>
      <c r="D43" s="117">
        <v>53.205948058154895</v>
      </c>
      <c r="E43" s="118">
        <v>30.759181182641779</v>
      </c>
    </row>
    <row r="44" spans="2:5" x14ac:dyDescent="0.25">
      <c r="B44" s="63">
        <v>3</v>
      </c>
      <c r="C44" s="109" t="s">
        <v>214</v>
      </c>
      <c r="D44" s="117">
        <v>2.5942E-2</v>
      </c>
      <c r="E44" s="118">
        <v>1.2970996027397254E-3</v>
      </c>
    </row>
    <row r="45" spans="2:5" x14ac:dyDescent="0.25">
      <c r="B45" s="63">
        <v>4</v>
      </c>
      <c r="C45" s="109" t="s">
        <v>212</v>
      </c>
      <c r="D45" s="117">
        <v>1.9300000000000001E-2</v>
      </c>
      <c r="E45" s="118">
        <v>9.6495032876712508E-4</v>
      </c>
    </row>
    <row r="46" spans="2:5" x14ac:dyDescent="0.25">
      <c r="B46" s="63"/>
      <c r="C46" s="110" t="s">
        <v>219</v>
      </c>
      <c r="D46" s="119">
        <v>53.595262663564512</v>
      </c>
      <c r="E46" s="119">
        <v>30.995585770554669</v>
      </c>
    </row>
    <row r="47" spans="2:5" x14ac:dyDescent="0.25">
      <c r="B47" s="123"/>
      <c r="C47" s="124"/>
      <c r="D47" s="125"/>
      <c r="E47" s="125"/>
    </row>
    <row r="48" spans="2:5" ht="15.75" x14ac:dyDescent="0.25">
      <c r="B48" s="193" t="s">
        <v>224</v>
      </c>
      <c r="C48" s="193"/>
      <c r="D48" s="193"/>
      <c r="E48" s="193"/>
    </row>
    <row r="49" spans="2:5" x14ac:dyDescent="0.25">
      <c r="B49" s="101" t="str">
        <f>'FAR summary'!A47</f>
        <v>S.No.</v>
      </c>
      <c r="C49" s="101" t="str">
        <f>'FAR summary'!B47</f>
        <v>Particular</v>
      </c>
      <c r="D49" s="101" t="str">
        <f>'FAR summary'!C47</f>
        <v>Gross Block</v>
      </c>
      <c r="E49" s="101" t="str">
        <f>'FAR summary'!D47</f>
        <v>Net Bock</v>
      </c>
    </row>
    <row r="50" spans="2:5" x14ac:dyDescent="0.25">
      <c r="B50" s="63">
        <f>'FAR summary'!A48</f>
        <v>1</v>
      </c>
      <c r="C50" s="111" t="str">
        <f>'FAR summary'!B48</f>
        <v>Sugar Section</v>
      </c>
      <c r="D50" s="120">
        <f>('FAR summary'!C48)/10000000</f>
        <v>209.78823740494155</v>
      </c>
      <c r="E50" s="120">
        <f>('FAR summary'!D48)/10000000</f>
        <v>118.44853073301611</v>
      </c>
    </row>
    <row r="51" spans="2:5" x14ac:dyDescent="0.25">
      <c r="B51" s="63">
        <f>'FAR summary'!A49</f>
        <v>2</v>
      </c>
      <c r="C51" s="112" t="str">
        <f>'FAR summary'!B49</f>
        <v>Cogeneration Section</v>
      </c>
      <c r="D51" s="121">
        <f>('FAR summary'!C49)/10000000</f>
        <v>53.595262663564512</v>
      </c>
      <c r="E51" s="122">
        <f>('FAR summary'!D49)/10000000</f>
        <v>30.995585770554669</v>
      </c>
    </row>
    <row r="52" spans="2:5" x14ac:dyDescent="0.25">
      <c r="B52" s="63">
        <f>'FAR summary'!A50</f>
        <v>3</v>
      </c>
      <c r="C52" s="112" t="str">
        <f>'FAR summary'!B50</f>
        <v>Distillery Section</v>
      </c>
      <c r="D52" s="120">
        <f>('FAR summary'!C50)/10000000</f>
        <v>200.66479919490527</v>
      </c>
      <c r="E52" s="120">
        <f>('FAR summary'!D50)/10000000</f>
        <v>159.76366047558852</v>
      </c>
    </row>
    <row r="53" spans="2:5" x14ac:dyDescent="0.25">
      <c r="B53" s="63">
        <f>'FAR summary'!A51</f>
        <v>4</v>
      </c>
      <c r="C53" s="112" t="str">
        <f>'FAR summary'!B51</f>
        <v>Grand Total</v>
      </c>
      <c r="D53" s="120">
        <f>('FAR summary'!C51)/10000000</f>
        <v>464.04829926341131</v>
      </c>
      <c r="E53" s="120">
        <f>('FAR summary'!D51)/10000000</f>
        <v>309.20777697915929</v>
      </c>
    </row>
  </sheetData>
  <mergeCells count="17">
    <mergeCell ref="B2:E2"/>
    <mergeCell ref="B3:E3"/>
    <mergeCell ref="B4:B5"/>
    <mergeCell ref="C4:C5"/>
    <mergeCell ref="B21:E21"/>
    <mergeCell ref="B48:E48"/>
    <mergeCell ref="B39:E39"/>
    <mergeCell ref="B40:B41"/>
    <mergeCell ref="C40:C41"/>
    <mergeCell ref="D4:D5"/>
    <mergeCell ref="E4:E5"/>
    <mergeCell ref="D22:D23"/>
    <mergeCell ref="E22:E23"/>
    <mergeCell ref="D40:D41"/>
    <mergeCell ref="E40:E41"/>
    <mergeCell ref="B22:B23"/>
    <mergeCell ref="C22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Land</vt:lpstr>
      <vt:lpstr>Sheet2</vt:lpstr>
      <vt:lpstr>Building</vt:lpstr>
      <vt:lpstr>Sheet1</vt:lpstr>
      <vt:lpstr>FAR summary</vt:lpstr>
      <vt:lpstr>Co-generation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Afaque</dc:creator>
  <cp:lastModifiedBy>Adil Afaque</cp:lastModifiedBy>
  <dcterms:created xsi:type="dcterms:W3CDTF">2022-09-07T09:00:38Z</dcterms:created>
  <dcterms:modified xsi:type="dcterms:W3CDTF">2022-10-29T05:28:05Z</dcterms:modified>
</cp:coreProperties>
</file>