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In Progress Files\Adil Afaque\Uttam Sugar (Shermua)\report\"/>
    </mc:Choice>
  </mc:AlternateContent>
  <bookViews>
    <workbookView xWindow="0" yWindow="0" windowWidth="24000" windowHeight="9735" activeTab="1"/>
  </bookViews>
  <sheets>
    <sheet name="Land" sheetId="2" r:id="rId1"/>
    <sheet name="Building" sheetId="1" r:id="rId2"/>
    <sheet name="sugar summary" sheetId="3" r:id="rId3"/>
    <sheet name="Co-genaration" sheetId="4" r:id="rId4"/>
  </sheets>
  <externalReferences>
    <externalReference r:id="rId5"/>
    <externalReference r:id="rId6"/>
    <externalReference r:id="rId7"/>
  </externalReferences>
  <definedNames>
    <definedName name="_xlnm._FilterDatabase" localSheetId="1" hidden="1">Building!$B$3:$Z$35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48576" i="1" l="1"/>
  <c r="H1048576" i="1"/>
  <c r="F1048575" i="1"/>
  <c r="F1048572" i="1"/>
  <c r="E1048571" i="1"/>
  <c r="E1048567" i="1"/>
  <c r="J14" i="4" l="1"/>
  <c r="W6" i="1" l="1"/>
  <c r="W4" i="1"/>
  <c r="S18" i="1"/>
  <c r="I4" i="1"/>
  <c r="S4" i="1" s="1"/>
  <c r="N4" i="1"/>
  <c r="Q4" i="1"/>
  <c r="I6" i="1"/>
  <c r="S6" i="1" s="1"/>
  <c r="N6" i="1"/>
  <c r="Q6" i="1"/>
  <c r="T6" i="1" l="1"/>
  <c r="U6" i="1" s="1"/>
  <c r="T4" i="1"/>
  <c r="U4" i="1" s="1"/>
  <c r="W19" i="1"/>
  <c r="J18" i="1"/>
  <c r="I20" i="1" l="1"/>
  <c r="B2" i="1" l="1"/>
  <c r="W21" i="1" l="1"/>
  <c r="W20" i="1"/>
  <c r="W22" i="1" s="1"/>
  <c r="I21" i="1"/>
  <c r="J45" i="1"/>
  <c r="I19" i="1" s="1"/>
  <c r="B20" i="1"/>
  <c r="B21" i="1" s="1"/>
  <c r="E19" i="4" l="1"/>
  <c r="E20" i="4" s="1"/>
  <c r="E21" i="4" s="1"/>
  <c r="E22" i="4" s="1"/>
  <c r="E18" i="4"/>
  <c r="K10" i="3"/>
  <c r="K11" i="3"/>
  <c r="K12" i="3" s="1"/>
  <c r="K13" i="3" s="1"/>
  <c r="K14" i="3" s="1"/>
  <c r="K15" i="3" s="1"/>
  <c r="K16" i="3" s="1"/>
  <c r="K17" i="3" s="1"/>
  <c r="K18" i="3" s="1"/>
  <c r="K19" i="3" s="1"/>
  <c r="K9" i="3"/>
  <c r="F7" i="3"/>
  <c r="G7" i="3" s="1"/>
  <c r="F8" i="3"/>
  <c r="G8" i="3"/>
  <c r="F9" i="3"/>
  <c r="G9" i="3"/>
  <c r="F10" i="3"/>
  <c r="G10" i="3"/>
  <c r="F11" i="3"/>
  <c r="G11" i="3"/>
  <c r="F12" i="3"/>
  <c r="G12" i="3"/>
  <c r="F13" i="3"/>
  <c r="G13" i="3"/>
  <c r="F14" i="3"/>
  <c r="G14" i="3"/>
  <c r="F15" i="3"/>
  <c r="G15" i="3"/>
  <c r="F16" i="3"/>
  <c r="G16" i="3"/>
  <c r="F17" i="3"/>
  <c r="G17" i="3"/>
  <c r="F18" i="3"/>
  <c r="G18" i="3"/>
  <c r="F19" i="3"/>
  <c r="J49" i="1"/>
  <c r="H13" i="4"/>
  <c r="G13" i="4"/>
  <c r="E13" i="4"/>
  <c r="E14" i="4" s="1"/>
  <c r="H12" i="4"/>
  <c r="G12" i="4"/>
  <c r="E12" i="4"/>
  <c r="H11" i="4"/>
  <c r="G11" i="4"/>
  <c r="E11" i="4"/>
  <c r="H10" i="4"/>
  <c r="H14" i="4" s="1"/>
  <c r="G10" i="4"/>
  <c r="G14" i="4" s="1"/>
  <c r="E10" i="4"/>
  <c r="G9" i="4"/>
  <c r="G19" i="3" l="1"/>
  <c r="H26" i="2"/>
  <c r="F6" i="2"/>
  <c r="F7" i="2" s="1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Q5" i="1"/>
  <c r="Q7" i="1"/>
  <c r="Q8" i="1"/>
  <c r="Q9" i="1"/>
  <c r="Q10" i="1"/>
  <c r="Q11" i="1"/>
  <c r="Q12" i="1"/>
  <c r="Q13" i="1"/>
  <c r="Q14" i="1"/>
  <c r="Q15" i="1"/>
  <c r="Q16" i="1"/>
  <c r="Q17" i="1"/>
  <c r="N5" i="1"/>
  <c r="N7" i="1"/>
  <c r="N8" i="1"/>
  <c r="N9" i="1"/>
  <c r="N10" i="1"/>
  <c r="N11" i="1"/>
  <c r="N12" i="1"/>
  <c r="N13" i="1"/>
  <c r="N14" i="1"/>
  <c r="N15" i="1"/>
  <c r="N16" i="1"/>
  <c r="N17" i="1"/>
  <c r="B5" i="1"/>
  <c r="B6" i="1" s="1"/>
  <c r="I7" i="1"/>
  <c r="S7" i="1" s="1"/>
  <c r="I8" i="1"/>
  <c r="S8" i="1" s="1"/>
  <c r="I9" i="1"/>
  <c r="S9" i="1" s="1"/>
  <c r="I10" i="1"/>
  <c r="S10" i="1" s="1"/>
  <c r="I11" i="1"/>
  <c r="S11" i="1" s="1"/>
  <c r="I12" i="1"/>
  <c r="S12" i="1" s="1"/>
  <c r="I13" i="1"/>
  <c r="S13" i="1" s="1"/>
  <c r="I14" i="1"/>
  <c r="S14" i="1" s="1"/>
  <c r="I15" i="1"/>
  <c r="S15" i="1" s="1"/>
  <c r="I16" i="1"/>
  <c r="S16" i="1" s="1"/>
  <c r="I17" i="1"/>
  <c r="S17" i="1" s="1"/>
  <c r="I29" i="1"/>
  <c r="I30" i="1"/>
  <c r="I31" i="1"/>
  <c r="S28" i="1" s="1"/>
  <c r="T28" i="1" s="1"/>
  <c r="I32" i="1"/>
  <c r="S29" i="1" s="1"/>
  <c r="T29" i="1" s="1"/>
  <c r="I33" i="1"/>
  <c r="S30" i="1" s="1"/>
  <c r="T30" i="1" s="1"/>
  <c r="I34" i="1"/>
  <c r="S31" i="1" s="1"/>
  <c r="T31" i="1" s="1"/>
  <c r="I35" i="1"/>
  <c r="S32" i="1" s="1"/>
  <c r="T32" i="1" s="1"/>
  <c r="I36" i="1"/>
  <c r="S33" i="1" s="1"/>
  <c r="T33" i="1" s="1"/>
  <c r="I37" i="1"/>
  <c r="S34" i="1" s="1"/>
  <c r="T34" i="1" s="1"/>
  <c r="I38" i="1"/>
  <c r="S35" i="1" s="1"/>
  <c r="T35" i="1" s="1"/>
  <c r="I39" i="1"/>
  <c r="S36" i="1" s="1"/>
  <c r="T36" i="1" s="1"/>
  <c r="I40" i="1"/>
  <c r="S37" i="1" s="1"/>
  <c r="T37" i="1" s="1"/>
  <c r="I41" i="1"/>
  <c r="S38" i="1" s="1"/>
  <c r="T38" i="1" s="1"/>
  <c r="I42" i="1"/>
  <c r="S39" i="1" s="1"/>
  <c r="T39" i="1" s="1"/>
  <c r="I47" i="1"/>
  <c r="I43" i="1"/>
  <c r="S40" i="1" s="1"/>
  <c r="T40" i="1" s="1"/>
  <c r="I44" i="1"/>
  <c r="S41" i="1" s="1"/>
  <c r="T41" i="1" s="1"/>
  <c r="I5" i="1"/>
  <c r="B7" i="1" l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I45" i="1"/>
  <c r="S42" i="1" s="1"/>
  <c r="T7" i="1"/>
  <c r="U7" i="1" s="1"/>
  <c r="W7" i="1" s="1"/>
  <c r="I18" i="1"/>
  <c r="T15" i="1"/>
  <c r="U15" i="1" s="1"/>
  <c r="W15" i="1" s="1"/>
  <c r="T17" i="1"/>
  <c r="U17" i="1" s="1"/>
  <c r="W17" i="1" s="1"/>
  <c r="T13" i="1"/>
  <c r="U13" i="1" s="1"/>
  <c r="W13" i="1" s="1"/>
  <c r="T9" i="1"/>
  <c r="U9" i="1" s="1"/>
  <c r="W9" i="1" s="1"/>
  <c r="T16" i="1"/>
  <c r="U16" i="1" s="1"/>
  <c r="W16" i="1" s="1"/>
  <c r="T8" i="1"/>
  <c r="U8" i="1" s="1"/>
  <c r="W8" i="1" s="1"/>
  <c r="T14" i="1"/>
  <c r="U14" i="1" s="1"/>
  <c r="W14" i="1" s="1"/>
  <c r="T10" i="1"/>
  <c r="U10" i="1" s="1"/>
  <c r="W10" i="1" s="1"/>
  <c r="T12" i="1"/>
  <c r="U12" i="1" s="1"/>
  <c r="W12" i="1" s="1"/>
  <c r="T11" i="1"/>
  <c r="U11" i="1" s="1"/>
  <c r="W11" i="1" s="1"/>
  <c r="U41" i="1"/>
  <c r="W41" i="1" s="1"/>
  <c r="U39" i="1"/>
  <c r="W39" i="1" s="1"/>
  <c r="U37" i="1"/>
  <c r="W37" i="1" s="1"/>
  <c r="U35" i="1"/>
  <c r="W35" i="1" s="1"/>
  <c r="U33" i="1"/>
  <c r="W33" i="1" s="1"/>
  <c r="U31" i="1"/>
  <c r="W31" i="1" s="1"/>
  <c r="U29" i="1"/>
  <c r="W29" i="1" s="1"/>
  <c r="U40" i="1"/>
  <c r="W40" i="1" s="1"/>
  <c r="U38" i="1"/>
  <c r="W38" i="1" s="1"/>
  <c r="U36" i="1"/>
  <c r="W36" i="1" s="1"/>
  <c r="U34" i="1"/>
  <c r="W34" i="1" s="1"/>
  <c r="U32" i="1"/>
  <c r="W32" i="1" s="1"/>
  <c r="U30" i="1"/>
  <c r="W30" i="1" s="1"/>
  <c r="U28" i="1"/>
  <c r="W28" i="1" s="1"/>
  <c r="W69" i="1"/>
  <c r="W70" i="1" s="1"/>
  <c r="M67" i="1" s="1"/>
  <c r="M66" i="1"/>
  <c r="M65" i="1"/>
  <c r="M64" i="1"/>
  <c r="M63" i="1"/>
  <c r="Z60" i="1"/>
  <c r="Z59" i="1"/>
  <c r="P58" i="1"/>
  <c r="W48" i="1"/>
  <c r="Z47" i="1"/>
  <c r="W47" i="1"/>
  <c r="AA47" i="1" s="1"/>
  <c r="Z5" i="1"/>
  <c r="Z46" i="1" s="1"/>
  <c r="I49" i="1" l="1"/>
  <c r="AA18" i="1"/>
  <c r="T42" i="1"/>
  <c r="U42" i="1" s="1"/>
  <c r="W42" i="1" s="1"/>
  <c r="M68" i="1"/>
  <c r="S5" i="1"/>
  <c r="S46" i="1" l="1"/>
  <c r="T5" i="1"/>
  <c r="U5" i="1" l="1"/>
  <c r="W5" i="1" s="1"/>
  <c r="T18" i="1"/>
  <c r="U18" i="1" l="1"/>
  <c r="X18" i="1" s="1"/>
  <c r="AA5" i="1" l="1"/>
  <c r="W18" i="1"/>
  <c r="W23" i="1" l="1"/>
  <c r="W46" i="1" s="1"/>
  <c r="W49" i="1" s="1"/>
  <c r="AA49" i="1" s="1"/>
</calcChain>
</file>

<file path=xl/sharedStrings.xml><?xml version="1.0" encoding="utf-8"?>
<sst xmlns="http://schemas.openxmlformats.org/spreadsheetml/2006/main" count="280" uniqueCount="141">
  <si>
    <t>Sr. No.</t>
  </si>
  <si>
    <t>Floor</t>
  </si>
  <si>
    <t>Description</t>
  </si>
  <si>
    <t>Type of Structure</t>
  </si>
  <si>
    <t>Construction Category</t>
  </si>
  <si>
    <t>Condition of Structure</t>
  </si>
  <si>
    <r>
      <t xml:space="preserve">Area 
</t>
    </r>
    <r>
      <rPr>
        <b/>
        <i/>
        <sz val="11"/>
        <rFont val="Calibri"/>
        <family val="2"/>
        <scheme val="minor"/>
      </rPr>
      <t>(in sq ft)</t>
    </r>
  </si>
  <si>
    <r>
      <t xml:space="preserve">Area 
</t>
    </r>
    <r>
      <rPr>
        <b/>
        <i/>
        <sz val="11"/>
        <rFont val="Calibri"/>
        <family val="2"/>
        <scheme val="minor"/>
      </rPr>
      <t>(in sq mtr)</t>
    </r>
  </si>
  <si>
    <t>Height
(in ft.)</t>
  </si>
  <si>
    <t>Year of Construction</t>
  </si>
  <si>
    <t xml:space="preserve">Year of Valuation </t>
  </si>
  <si>
    <r>
      <t xml:space="preserve">Total Life Consumed 
</t>
    </r>
    <r>
      <rPr>
        <b/>
        <i/>
        <sz val="11"/>
        <rFont val="Calibri"/>
        <family val="2"/>
        <scheme val="minor"/>
      </rPr>
      <t>(in yrs.)</t>
    </r>
  </si>
  <si>
    <r>
      <t xml:space="preserve">Total Economical Life
</t>
    </r>
    <r>
      <rPr>
        <b/>
        <i/>
        <sz val="11"/>
        <rFont val="Calibri"/>
        <family val="2"/>
        <scheme val="minor"/>
      </rPr>
      <t>(in yrs.)</t>
    </r>
  </si>
  <si>
    <t>Salvage value</t>
  </si>
  <si>
    <t>Depreciation Rate</t>
  </si>
  <si>
    <r>
      <t xml:space="preserve">Plinth Area  Rate 
</t>
    </r>
    <r>
      <rPr>
        <b/>
        <i/>
        <sz val="11"/>
        <rFont val="Calibri"/>
        <family val="2"/>
        <scheme val="minor"/>
      </rPr>
      <t>(in per sq.ft.)</t>
    </r>
  </si>
  <si>
    <t>Gross Replacement Value
(INR)</t>
  </si>
  <si>
    <t xml:space="preserve">Depreciation Factor
(INR) </t>
  </si>
  <si>
    <t>Depreciated Value
(INR)</t>
  </si>
  <si>
    <t>Depreciated Replacement Market Value
(INR)</t>
  </si>
  <si>
    <t>Govt. Guideline rates
(per sq. ft.)</t>
  </si>
  <si>
    <t>Age Factor</t>
  </si>
  <si>
    <t>Total Govt. Guideline value</t>
  </si>
  <si>
    <t>TOTAL</t>
  </si>
  <si>
    <t>Ground Floor</t>
  </si>
  <si>
    <t>Boundary Wall</t>
  </si>
  <si>
    <t>RCC Wall with barbed wiring on top on all sides (3,180 mtr. Length &amp; 8 ft. height)</t>
  </si>
  <si>
    <t>Rs.5,000/- (per Running meter)</t>
  </si>
  <si>
    <t>Others</t>
  </si>
  <si>
    <t>Land Development</t>
  </si>
  <si>
    <t>Open Area Development, Road, Fire Tunnel, Rain Water Harvesting, sewere line, etc.</t>
  </si>
  <si>
    <t>Rs. 18.00 Lacs per acre</t>
  </si>
  <si>
    <t>REMARKS:-</t>
  </si>
  <si>
    <t>2. Covered Area has been taken on the basis of approved plan provided by the bank/client.</t>
  </si>
  <si>
    <t>3. Structure valuation is done on the basis of 'Depreciated Cost Approach' method only.</t>
  </si>
  <si>
    <t>S. No.</t>
  </si>
  <si>
    <t>Particular</t>
  </si>
  <si>
    <t>Rate</t>
  </si>
  <si>
    <t>UOM</t>
  </si>
  <si>
    <t>FV</t>
  </si>
  <si>
    <t>Basis</t>
  </si>
  <si>
    <t>Land Develop</t>
  </si>
  <si>
    <t>peracre</t>
  </si>
  <si>
    <t>The cost includs the land filling, cutting, grading etc. along with the development of green area, foudations, etc.</t>
  </si>
  <si>
    <t>Rain Water</t>
  </si>
  <si>
    <t>per m</t>
  </si>
  <si>
    <t>It includes the length of rain water harvesting, tunnels from from various open area to the pit</t>
  </si>
  <si>
    <t>Sewerage</t>
  </si>
  <si>
    <t>Length of sewarage system along the road length as per site measurement</t>
  </si>
  <si>
    <t>Road</t>
  </si>
  <si>
    <t>per sqm</t>
  </si>
  <si>
    <t>As per site measurement</t>
  </si>
  <si>
    <t>fire tunnels</t>
  </si>
  <si>
    <t>length measured through satellite measurement (500 m of Block A and 300 m of Block B</t>
  </si>
  <si>
    <t>Total</t>
  </si>
  <si>
    <t>The cost so arrived is devided by the total developed land area to arrive at the per acre cost of total land development</t>
  </si>
  <si>
    <t>which is approx Rs.18 Lcas per acre</t>
  </si>
  <si>
    <t>Mill House + Boiling house</t>
  </si>
  <si>
    <t>Sugar godown</t>
  </si>
  <si>
    <t>Boiler + Power house</t>
  </si>
  <si>
    <t>Work shop</t>
  </si>
  <si>
    <t>Store</t>
  </si>
  <si>
    <t>Hut ment</t>
  </si>
  <si>
    <t>Time office + secur.</t>
  </si>
  <si>
    <t>Canteen + cycle stand</t>
  </si>
  <si>
    <t>Cane office</t>
  </si>
  <si>
    <t>Sugar lab + soil lab</t>
  </si>
  <si>
    <t>Engg. Office + cane account</t>
  </si>
  <si>
    <t>Elec. Panels</t>
  </si>
  <si>
    <t>HOC</t>
  </si>
  <si>
    <t>Donga</t>
  </si>
  <si>
    <t>Out cane yard</t>
  </si>
  <si>
    <t>Inside cane yard</t>
  </si>
  <si>
    <t>ETP</t>
  </si>
  <si>
    <t>Molasses tank</t>
  </si>
  <si>
    <t>Switch yard</t>
  </si>
  <si>
    <t>Press mud + temp. godown</t>
  </si>
  <si>
    <t>lagoon</t>
  </si>
  <si>
    <t>kaccha lagoon</t>
  </si>
  <si>
    <t>Cooling tower</t>
  </si>
  <si>
    <t>Bagasse yard</t>
  </si>
  <si>
    <t>Back side of sugar godown</t>
  </si>
  <si>
    <t>main road to cow shade</t>
  </si>
  <si>
    <t>Factory farm</t>
  </si>
  <si>
    <t>Garden &amp; green belt</t>
  </si>
  <si>
    <t>Open Area</t>
  </si>
  <si>
    <t xml:space="preserve">PEB Structure over RCC pedestal with PCC flooring </t>
  </si>
  <si>
    <t xml:space="preserve">Boundary Wall </t>
  </si>
  <si>
    <t>RCC Structure with G.I sheet Roofing</t>
  </si>
  <si>
    <t>PEB structure</t>
  </si>
  <si>
    <t>Guest house</t>
  </si>
  <si>
    <t>Cow shade + new rooms</t>
  </si>
  <si>
    <t>RCC Structure with Brick wall  and G.I sheet Roofing</t>
  </si>
  <si>
    <t>RCC structure with Brick wall and RCC roof</t>
  </si>
  <si>
    <t>GI Shed</t>
  </si>
  <si>
    <t>S.No.</t>
  </si>
  <si>
    <t>Khasra No.</t>
  </si>
  <si>
    <t>Area in Hectares</t>
  </si>
  <si>
    <t>51/1</t>
  </si>
  <si>
    <t>51/2</t>
  </si>
  <si>
    <t>51/3</t>
  </si>
  <si>
    <t>51/4</t>
  </si>
  <si>
    <t>51/5</t>
  </si>
  <si>
    <t>60/318</t>
  </si>
  <si>
    <t>72/1</t>
  </si>
  <si>
    <t>72/2</t>
  </si>
  <si>
    <t>90/1</t>
  </si>
  <si>
    <t>90/2</t>
  </si>
  <si>
    <t>90/3</t>
  </si>
  <si>
    <t xml:space="preserve">Gross Block </t>
  </si>
  <si>
    <t xml:space="preserve">Net Block </t>
  </si>
  <si>
    <t xml:space="preserve">Land </t>
  </si>
  <si>
    <t xml:space="preserve">Factory Building </t>
  </si>
  <si>
    <t xml:space="preserve">Building </t>
  </si>
  <si>
    <t>plant and machinery</t>
  </si>
  <si>
    <t xml:space="preserve">DG set </t>
  </si>
  <si>
    <t xml:space="preserve">Lab </t>
  </si>
  <si>
    <t xml:space="preserve">Weigh Bridge </t>
  </si>
  <si>
    <t>Furniture</t>
  </si>
  <si>
    <t xml:space="preserve">Office Equipment </t>
  </si>
  <si>
    <t>Computer</t>
  </si>
  <si>
    <t xml:space="preserve">Tractor </t>
  </si>
  <si>
    <t>Vehicle</t>
  </si>
  <si>
    <t>Gross Block</t>
  </si>
  <si>
    <t>Net Block</t>
  </si>
  <si>
    <t>Plant and Machinery</t>
  </si>
  <si>
    <t>Ground Floor+Mezzanine</t>
  </si>
  <si>
    <t>S.No</t>
  </si>
  <si>
    <t>Average</t>
  </si>
  <si>
    <t>Class B construction (Normal)</t>
  </si>
  <si>
    <t>RCC with GI sheet Roofing</t>
  </si>
  <si>
    <t>Lime + clearification</t>
  </si>
  <si>
    <t xml:space="preserve">Open area &amp; Other Developed area </t>
  </si>
  <si>
    <t>Poor</t>
  </si>
  <si>
    <t>4000 per R.mtr.</t>
  </si>
  <si>
    <t>Grand Total</t>
  </si>
  <si>
    <t>2. Covered Area has been taken on the basis of area sheet of the buildings provided by the client.</t>
  </si>
  <si>
    <t>1. All the structures present within the compound of the property of M/S. Uttam Sugar Mills Limited| Situated at Village-Shermau, Taluk-Nakud, District-Saharanpur, Uttar Pradesh has been considered in this valuation report.</t>
  </si>
  <si>
    <t>1500 per sq.mtr.</t>
  </si>
  <si>
    <t>10,00,000 per acres</t>
  </si>
  <si>
    <t>Deterioration Factor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</si>
</sst>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_ * #,##0_ ;_ * \-#,##0_ ;_ * &quot;-&quot;??_ ;_ @_ "/>
    <numFmt numFmtId="165" formatCode="0.000"/>
    <numFmt numFmtId="166" formatCode="_ &quot;₹&quot;\ * #,##0_ ;_ &quot;₹&quot;\ * \-#,##0_ ;_ &quot;₹&quot;\ * &quot;-&quot;??_ ;_ @_ "/>
    <numFmt numFmtId="167" formatCode="_ * #,##0.0_ ;_ * \-#,##0.0_ ;_ * &quot;-&quot;??_ ;_ @_ "/>
    <numFmt numFmtId="168" formatCode="_(* #,##0_);_(* \(#,##0\);_(* &quot;-&quot;??_);_(@_)"/>
    <numFmt numFmtId="169" formatCode="0.0000"/>
    <numFmt numFmtId="170" formatCode="_ [$₹-4009]\ * #,##0.00_ ;_ [$₹-4009]\ * \-#,##0.00_ ;_ [$₹-4009]\ * &quot;-&quot;??_ ;_ @_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rgb="FF242021"/>
      <name val="Helvetica"/>
    </font>
    <font>
      <b/>
      <sz val="12"/>
      <color theme="0"/>
      <name val="Calibri"/>
      <family val="2"/>
      <scheme val="minor"/>
    </font>
    <font>
      <i/>
      <sz val="12"/>
      <color rgb="FF000000"/>
      <name val="Arial"/>
      <family val="2"/>
    </font>
    <font>
      <b/>
      <i/>
      <sz val="11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1E366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5">
    <xf numFmtId="0" fontId="0" fillId="0" borderId="0" xfId="0"/>
    <xf numFmtId="0" fontId="0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/>
    </xf>
    <xf numFmtId="164" fontId="4" fillId="3" borderId="1" xfId="1" applyNumberFormat="1" applyFont="1" applyFill="1" applyBorder="1" applyAlignment="1">
      <alignment horizontal="center" vertical="center" wrapText="1"/>
    </xf>
    <xf numFmtId="43" fontId="4" fillId="3" borderId="1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164" fontId="4" fillId="0" borderId="1" xfId="1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3" fontId="0" fillId="0" borderId="1" xfId="1" applyFont="1" applyFill="1" applyBorder="1" applyAlignment="1">
      <alignment horizontal="center" vertical="center"/>
    </xf>
    <xf numFmtId="166" fontId="0" fillId="0" borderId="1" xfId="2" applyNumberFormat="1" applyFont="1" applyFill="1" applyBorder="1" applyAlignment="1">
      <alignment horizontal="center" vertical="center"/>
    </xf>
    <xf numFmtId="0" fontId="0" fillId="0" borderId="1" xfId="2" applyNumberFormat="1" applyFont="1" applyFill="1" applyBorder="1" applyAlignment="1">
      <alignment horizontal="center" vertical="center"/>
    </xf>
    <xf numFmtId="164" fontId="0" fillId="0" borderId="0" xfId="0" applyNumberFormat="1" applyFont="1" applyFill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164" fontId="0" fillId="0" borderId="1" xfId="1" applyNumberFormat="1" applyFont="1" applyBorder="1" applyAlignment="1">
      <alignment horizontal="center" vertical="center"/>
    </xf>
    <xf numFmtId="43" fontId="0" fillId="0" borderId="1" xfId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9" fontId="0" fillId="0" borderId="1" xfId="0" applyNumberFormat="1" applyFont="1" applyBorder="1" applyAlignment="1">
      <alignment horizontal="center" vertical="center"/>
    </xf>
    <xf numFmtId="165" fontId="0" fillId="0" borderId="1" xfId="0" applyNumberFormat="1" applyFont="1" applyBorder="1" applyAlignment="1">
      <alignment horizontal="center" vertical="center"/>
    </xf>
    <xf numFmtId="166" fontId="0" fillId="0" borderId="1" xfId="2" applyNumberFormat="1" applyFont="1" applyBorder="1" applyAlignment="1">
      <alignment horizontal="center"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43" fontId="3" fillId="0" borderId="1" xfId="1" applyFont="1" applyBorder="1" applyAlignment="1">
      <alignment horizontal="center" vertical="center"/>
    </xf>
    <xf numFmtId="166" fontId="3" fillId="0" borderId="1" xfId="2" applyNumberFormat="1" applyFont="1" applyBorder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166" fontId="0" fillId="0" borderId="1" xfId="2" applyNumberFormat="1" applyFont="1" applyBorder="1" applyAlignment="1">
      <alignment vertical="center" wrapText="1"/>
    </xf>
    <xf numFmtId="164" fontId="0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166" fontId="0" fillId="0" borderId="1" xfId="2" applyNumberFormat="1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43" fontId="0" fillId="0" borderId="0" xfId="1" applyFont="1" applyAlignment="1">
      <alignment horizontal="center" vertical="center"/>
    </xf>
    <xf numFmtId="166" fontId="0" fillId="0" borderId="0" xfId="0" applyNumberFormat="1" applyFont="1" applyAlignment="1">
      <alignment horizontal="center" vertical="center"/>
    </xf>
    <xf numFmtId="44" fontId="0" fillId="0" borderId="0" xfId="0" applyNumberFormat="1" applyFont="1" applyAlignment="1">
      <alignment horizontal="center" vertical="center"/>
    </xf>
    <xf numFmtId="167" fontId="0" fillId="0" borderId="0" xfId="1" applyNumberFormat="1" applyFont="1" applyAlignment="1">
      <alignment horizontal="center" vertical="center"/>
    </xf>
    <xf numFmtId="9" fontId="0" fillId="0" borderId="0" xfId="3" applyFont="1" applyAlignment="1">
      <alignment horizontal="center" vertical="center"/>
    </xf>
    <xf numFmtId="1" fontId="0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164" fontId="4" fillId="3" borderId="1" xfId="1" applyNumberFormat="1" applyFont="1" applyFill="1" applyBorder="1" applyAlignment="1">
      <alignment horizontal="left" vertical="center" wrapText="1"/>
    </xf>
    <xf numFmtId="164" fontId="0" fillId="0" borderId="1" xfId="1" applyNumberFormat="1" applyFont="1" applyBorder="1" applyAlignment="1">
      <alignment vertical="center"/>
    </xf>
    <xf numFmtId="43" fontId="0" fillId="0" borderId="1" xfId="1" applyFont="1" applyBorder="1" applyAlignment="1">
      <alignment horizontal="left" vertical="center"/>
    </xf>
    <xf numFmtId="0" fontId="0" fillId="0" borderId="0" xfId="0" applyAlignment="1">
      <alignment vertical="center"/>
    </xf>
    <xf numFmtId="164" fontId="3" fillId="4" borderId="1" xfId="1" applyNumberFormat="1" applyFont="1" applyFill="1" applyBorder="1" applyAlignment="1">
      <alignment horizontal="center" vertical="center"/>
    </xf>
    <xf numFmtId="43" fontId="3" fillId="4" borderId="1" xfId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166" fontId="3" fillId="4" borderId="1" xfId="2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164" fontId="6" fillId="0" borderId="1" xfId="1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3" fontId="1" fillId="0" borderId="1" xfId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43" fontId="1" fillId="0" borderId="1" xfId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11" fillId="5" borderId="1" xfId="0" applyFont="1" applyFill="1" applyBorder="1" applyAlignment="1">
      <alignment horizontal="center"/>
    </xf>
    <xf numFmtId="0" fontId="11" fillId="5" borderId="1" xfId="0" applyFont="1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2" fillId="5" borderId="1" xfId="0" applyFont="1" applyFill="1" applyBorder="1" applyAlignment="1">
      <alignment horizontal="center"/>
    </xf>
    <xf numFmtId="168" fontId="0" fillId="0" borderId="1" xfId="1" applyNumberFormat="1" applyFont="1" applyBorder="1"/>
    <xf numFmtId="0" fontId="0" fillId="0" borderId="0" xfId="0" applyBorder="1"/>
    <xf numFmtId="0" fontId="3" fillId="0" borderId="1" xfId="0" applyFont="1" applyBorder="1"/>
    <xf numFmtId="168" fontId="3" fillId="0" borderId="1" xfId="1" applyNumberFormat="1" applyFont="1" applyBorder="1"/>
    <xf numFmtId="168" fontId="3" fillId="0" borderId="1" xfId="0" applyNumberFormat="1" applyFont="1" applyBorder="1"/>
    <xf numFmtId="0" fontId="7" fillId="0" borderId="1" xfId="0" applyFont="1" applyBorder="1" applyAlignment="1">
      <alignment horizontal="left" vertical="center" wrapText="1"/>
    </xf>
    <xf numFmtId="168" fontId="0" fillId="0" borderId="1" xfId="1" applyNumberFormat="1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168" fontId="0" fillId="0" borderId="1" xfId="0" applyNumberFormat="1" applyBorder="1" applyAlignment="1">
      <alignment horizontal="center"/>
    </xf>
    <xf numFmtId="169" fontId="0" fillId="0" borderId="0" xfId="0" applyNumberFormat="1"/>
    <xf numFmtId="2" fontId="0" fillId="0" borderId="1" xfId="0" applyNumberFormat="1" applyBorder="1"/>
    <xf numFmtId="169" fontId="0" fillId="0" borderId="1" xfId="0" applyNumberFormat="1" applyBorder="1"/>
    <xf numFmtId="170" fontId="6" fillId="0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10" fontId="0" fillId="0" borderId="1" xfId="2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4" fillId="4" borderId="1" xfId="1" applyNumberFormat="1" applyFont="1" applyFill="1" applyBorder="1" applyAlignment="1">
      <alignment horizontal="center" vertical="center" wrapText="1"/>
    </xf>
    <xf numFmtId="9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10" fontId="3" fillId="4" borderId="1" xfId="2" applyNumberFormat="1" applyFont="1" applyFill="1" applyBorder="1" applyAlignment="1">
      <alignment horizontal="center" vertical="center"/>
    </xf>
    <xf numFmtId="166" fontId="1" fillId="0" borderId="1" xfId="2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166" fontId="0" fillId="0" borderId="5" xfId="2" applyNumberFormat="1" applyFont="1" applyFill="1" applyBorder="1" applyAlignment="1">
      <alignment horizontal="center" vertical="center"/>
    </xf>
    <xf numFmtId="9" fontId="0" fillId="0" borderId="5" xfId="0" applyNumberFormat="1" applyFont="1" applyBorder="1" applyAlignment="1">
      <alignment horizontal="center" vertical="center"/>
    </xf>
    <xf numFmtId="165" fontId="0" fillId="0" borderId="5" xfId="0" applyNumberFormat="1" applyFont="1" applyBorder="1" applyAlignment="1">
      <alignment horizontal="center" vertical="center"/>
    </xf>
    <xf numFmtId="164" fontId="6" fillId="0" borderId="1" xfId="1" applyNumberFormat="1" applyFont="1" applyFill="1" applyBorder="1" applyAlignment="1">
      <alignment horizontal="center" vertical="center" wrapText="1"/>
    </xf>
    <xf numFmtId="17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68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7" fontId="6" fillId="0" borderId="1" xfId="1" applyNumberFormat="1" applyFont="1" applyFill="1" applyBorder="1" applyAlignment="1">
      <alignment horizontal="center" vertical="center" wrapText="1"/>
    </xf>
    <xf numFmtId="164" fontId="6" fillId="0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3" fontId="7" fillId="0" borderId="0" xfId="0" applyNumberFormat="1" applyFont="1"/>
    <xf numFmtId="3" fontId="0" fillId="0" borderId="0" xfId="0" applyNumberFormat="1" applyFont="1" applyAlignment="1">
      <alignment horizontal="center" vertical="center" wrapText="1"/>
    </xf>
    <xf numFmtId="43" fontId="0" fillId="0" borderId="0" xfId="1" applyFont="1" applyAlignment="1">
      <alignment horizontal="center" vertical="center" wrapText="1"/>
    </xf>
    <xf numFmtId="164" fontId="0" fillId="0" borderId="0" xfId="1" applyNumberFormat="1" applyFont="1" applyAlignment="1">
      <alignment horizontal="left" vertical="center"/>
    </xf>
    <xf numFmtId="3" fontId="0" fillId="0" borderId="0" xfId="0" applyNumberFormat="1" applyFont="1" applyAlignment="1">
      <alignment horizontal="left" vertical="center"/>
    </xf>
    <xf numFmtId="164" fontId="0" fillId="0" borderId="0" xfId="0" applyNumberFormat="1" applyFont="1" applyAlignment="1">
      <alignment horizontal="left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J%20Warehouse\Working\Copy%20of%20VIS_(2022-23)-PL111-094-149_PRJ_Warehousing_PVT_LTD_(SBI)_Building_sheet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ngineer11\Desktop\Uttam%20Sugar%20(Shermua)\Shermau\FAR-Shermau%2031.03.22%20(Sugar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ngineer11\Desktop\Uttam%20Sugar%20(Shermua)\Shermau\FAR%20-Cogen%20Shermau%2031.03.20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ket Value"/>
      <sheetName val="Land Val."/>
      <sheetName val="calculation"/>
    </sheetNames>
    <sheetDataSet>
      <sheetData sheetId="0"/>
      <sheetData sheetId="1">
        <row r="3">
          <cell r="D3">
            <v>42.185973066468989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hicle 2016 (2)"/>
      <sheetName val="Land"/>
      <sheetName val="SUMMARY "/>
      <sheetName val="LAND 2022"/>
      <sheetName val="Building 2022"/>
      <sheetName val="Plant &amp; Machinery 2022"/>
      <sheetName val="DG Set 2022"/>
      <sheetName val="Boiler"/>
      <sheetName val="Lab 2022"/>
      <sheetName val="Weigh Bridge2022"/>
      <sheetName val="Furniture 2022 "/>
      <sheetName val="Office Equip 2022"/>
      <sheetName val="Computer 2022 "/>
      <sheetName val="Tractor 2022"/>
      <sheetName val="Vehicle 2022"/>
    </sheetNames>
    <sheetDataSet>
      <sheetData sheetId="0" refreshError="1"/>
      <sheetData sheetId="1" refreshError="1"/>
      <sheetData sheetId="2" refreshError="1"/>
      <sheetData sheetId="3">
        <row r="55">
          <cell r="O55">
            <v>199216800</v>
          </cell>
        </row>
      </sheetData>
      <sheetData sheetId="4">
        <row r="376">
          <cell r="J376">
            <v>189765007.72999999</v>
          </cell>
          <cell r="AX376">
            <v>120758767.19447158</v>
          </cell>
        </row>
        <row r="541">
          <cell r="J541">
            <v>14545340.219999999</v>
          </cell>
          <cell r="AX541">
            <v>11919007.313125158</v>
          </cell>
        </row>
      </sheetData>
      <sheetData sheetId="5">
        <row r="484">
          <cell r="J484">
            <v>1283090935.6200016</v>
          </cell>
          <cell r="AW484">
            <v>524702421.5144648</v>
          </cell>
        </row>
      </sheetData>
      <sheetData sheetId="6">
        <row r="9">
          <cell r="J9">
            <v>7297747</v>
          </cell>
          <cell r="BV9">
            <v>364887.80089762155</v>
          </cell>
        </row>
      </sheetData>
      <sheetData sheetId="7" refreshError="1"/>
      <sheetData sheetId="8">
        <row r="28">
          <cell r="J28">
            <v>4475562.7602500003</v>
          </cell>
          <cell r="AX28">
            <v>2326603.6079020561</v>
          </cell>
        </row>
      </sheetData>
      <sheetData sheetId="9">
        <row r="64">
          <cell r="J64">
            <v>20739673.989999998</v>
          </cell>
          <cell r="AW64">
            <v>12184637.432047818</v>
          </cell>
        </row>
      </sheetData>
      <sheetData sheetId="10">
        <row r="113">
          <cell r="J113">
            <v>1895838.97</v>
          </cell>
          <cell r="AX113">
            <v>294133.26879355509</v>
          </cell>
        </row>
      </sheetData>
      <sheetData sheetId="11">
        <row r="112">
          <cell r="J112">
            <v>4589161.83</v>
          </cell>
          <cell r="AX112">
            <v>701460.76502573106</v>
          </cell>
        </row>
      </sheetData>
      <sheetData sheetId="12">
        <row r="108">
          <cell r="J108">
            <v>10179327.389999999</v>
          </cell>
          <cell r="AX108">
            <v>1422662.3105199744</v>
          </cell>
        </row>
      </sheetData>
      <sheetData sheetId="13">
        <row r="12">
          <cell r="J12">
            <v>9744936</v>
          </cell>
          <cell r="AW12">
            <v>488621.1457948279</v>
          </cell>
        </row>
      </sheetData>
      <sheetData sheetId="14">
        <row r="10">
          <cell r="J10">
            <v>1776047.77</v>
          </cell>
          <cell r="AW10">
            <v>1169008.29720382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uter 2022"/>
      <sheetName val="Furniture 2022"/>
      <sheetName val="Office Equipment 2022"/>
      <sheetName val="Vehicle 2022"/>
      <sheetName val="Plant &amp; Machinery 2022"/>
      <sheetName val=" Summary"/>
    </sheetNames>
    <sheetDataSet>
      <sheetData sheetId="0">
        <row r="11">
          <cell r="J11">
            <v>396860</v>
          </cell>
          <cell r="BP11">
            <v>19842</v>
          </cell>
        </row>
      </sheetData>
      <sheetData sheetId="1">
        <row r="14">
          <cell r="I14">
            <v>39721</v>
          </cell>
        </row>
      </sheetData>
      <sheetData sheetId="2">
        <row r="10">
          <cell r="J10">
            <v>667056</v>
          </cell>
          <cell r="BL10">
            <v>33353.800000000047</v>
          </cell>
        </row>
      </sheetData>
      <sheetData sheetId="3">
        <row r="34">
          <cell r="J34">
            <v>641608</v>
          </cell>
          <cell r="BO34">
            <v>32081.299999999988</v>
          </cell>
        </row>
      </sheetData>
      <sheetData sheetId="4">
        <row r="54">
          <cell r="J54">
            <v>177420667.37</v>
          </cell>
          <cell r="CC54">
            <v>95897695.211216107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4:H26"/>
  <sheetViews>
    <sheetView workbookViewId="0">
      <selection activeCell="H17" sqref="H17"/>
    </sheetView>
  </sheetViews>
  <sheetFormatPr defaultRowHeight="15" x14ac:dyDescent="0.25"/>
  <cols>
    <col min="6" max="6" width="10.7109375" customWidth="1"/>
    <col min="7" max="7" width="11.5703125" bestFit="1" customWidth="1"/>
    <col min="8" max="8" width="17.28515625" bestFit="1" customWidth="1"/>
  </cols>
  <sheetData>
    <row r="4" spans="6:8" ht="15.75" x14ac:dyDescent="0.25">
      <c r="F4" s="72" t="s">
        <v>95</v>
      </c>
      <c r="G4" s="73" t="s">
        <v>96</v>
      </c>
      <c r="H4" s="73" t="s">
        <v>97</v>
      </c>
    </row>
    <row r="5" spans="6:8" x14ac:dyDescent="0.25">
      <c r="F5" s="74">
        <v>1</v>
      </c>
      <c r="G5" s="74">
        <v>50</v>
      </c>
      <c r="H5" s="75">
        <v>6.3760000000000003</v>
      </c>
    </row>
    <row r="6" spans="6:8" x14ac:dyDescent="0.25">
      <c r="F6" s="74">
        <f>INT(INT(F5)+1)</f>
        <v>2</v>
      </c>
      <c r="G6" s="74" t="s">
        <v>98</v>
      </c>
      <c r="H6" s="75">
        <v>0.71499999999999997</v>
      </c>
    </row>
    <row r="7" spans="6:8" x14ac:dyDescent="0.25">
      <c r="F7" s="74">
        <f t="shared" ref="F7:F25" si="0">INT(INT(F6)+1)</f>
        <v>3</v>
      </c>
      <c r="G7" s="74" t="s">
        <v>99</v>
      </c>
      <c r="H7" s="75">
        <v>0.61499999999999999</v>
      </c>
    </row>
    <row r="8" spans="6:8" x14ac:dyDescent="0.25">
      <c r="F8" s="74">
        <f t="shared" si="0"/>
        <v>4</v>
      </c>
      <c r="G8" s="74" t="s">
        <v>100</v>
      </c>
      <c r="H8" s="75">
        <v>0.10199999999999999</v>
      </c>
    </row>
    <row r="9" spans="6:8" x14ac:dyDescent="0.25">
      <c r="F9" s="74">
        <f t="shared" si="0"/>
        <v>5</v>
      </c>
      <c r="G9" s="74" t="s">
        <v>101</v>
      </c>
      <c r="H9" s="75">
        <v>0.20499999999999999</v>
      </c>
    </row>
    <row r="10" spans="6:8" x14ac:dyDescent="0.25">
      <c r="F10" s="74">
        <f t="shared" si="0"/>
        <v>6</v>
      </c>
      <c r="G10" s="74" t="s">
        <v>102</v>
      </c>
      <c r="H10" s="75">
        <v>0.60299999999999998</v>
      </c>
    </row>
    <row r="11" spans="6:8" x14ac:dyDescent="0.25">
      <c r="F11" s="74">
        <f t="shared" si="0"/>
        <v>7</v>
      </c>
      <c r="G11" s="74">
        <v>58</v>
      </c>
      <c r="H11" s="75">
        <v>1.9850000000000001</v>
      </c>
    </row>
    <row r="12" spans="6:8" x14ac:dyDescent="0.25">
      <c r="F12" s="74">
        <f t="shared" si="0"/>
        <v>8</v>
      </c>
      <c r="G12" s="74">
        <v>59</v>
      </c>
      <c r="H12" s="75">
        <v>0.74</v>
      </c>
    </row>
    <row r="13" spans="6:8" x14ac:dyDescent="0.25">
      <c r="F13" s="74">
        <f t="shared" si="0"/>
        <v>9</v>
      </c>
      <c r="G13" s="74" t="s">
        <v>103</v>
      </c>
      <c r="H13" s="75">
        <v>0.76800000000000002</v>
      </c>
    </row>
    <row r="14" spans="6:8" x14ac:dyDescent="0.25">
      <c r="F14" s="74">
        <f t="shared" si="0"/>
        <v>10</v>
      </c>
      <c r="G14" s="74" t="s">
        <v>104</v>
      </c>
      <c r="H14" s="75">
        <v>1.367</v>
      </c>
    </row>
    <row r="15" spans="6:8" x14ac:dyDescent="0.25">
      <c r="F15" s="74">
        <f t="shared" si="0"/>
        <v>11</v>
      </c>
      <c r="G15" s="74" t="s">
        <v>105</v>
      </c>
      <c r="H15" s="75">
        <v>2.726</v>
      </c>
    </row>
    <row r="16" spans="6:8" x14ac:dyDescent="0.25">
      <c r="F16" s="74">
        <f t="shared" si="0"/>
        <v>12</v>
      </c>
      <c r="G16" s="74">
        <v>74</v>
      </c>
      <c r="H16" s="75">
        <v>2.4700000000000002</v>
      </c>
    </row>
    <row r="17" spans="6:8" x14ac:dyDescent="0.25">
      <c r="F17" s="74">
        <f t="shared" si="0"/>
        <v>13</v>
      </c>
      <c r="G17" s="74">
        <v>75</v>
      </c>
      <c r="H17" s="75">
        <v>1.2470000000000001</v>
      </c>
    </row>
    <row r="18" spans="6:8" x14ac:dyDescent="0.25">
      <c r="F18" s="74">
        <f t="shared" si="0"/>
        <v>14</v>
      </c>
      <c r="G18" s="74">
        <v>85</v>
      </c>
      <c r="H18" s="75">
        <v>0.123</v>
      </c>
    </row>
    <row r="19" spans="6:8" x14ac:dyDescent="0.25">
      <c r="F19" s="74">
        <f t="shared" si="0"/>
        <v>15</v>
      </c>
      <c r="G19" s="74">
        <v>89</v>
      </c>
      <c r="H19" s="75">
        <v>4.1000000000000002E-2</v>
      </c>
    </row>
    <row r="20" spans="6:8" x14ac:dyDescent="0.25">
      <c r="F20" s="74">
        <f t="shared" si="0"/>
        <v>16</v>
      </c>
      <c r="G20" s="74" t="s">
        <v>106</v>
      </c>
      <c r="H20" s="75">
        <v>0.154</v>
      </c>
    </row>
    <row r="21" spans="6:8" x14ac:dyDescent="0.25">
      <c r="F21" s="74">
        <f t="shared" si="0"/>
        <v>17</v>
      </c>
      <c r="G21" s="74" t="s">
        <v>107</v>
      </c>
      <c r="H21" s="75">
        <v>0.51200000000000001</v>
      </c>
    </row>
    <row r="22" spans="6:8" x14ac:dyDescent="0.25">
      <c r="F22" s="74">
        <f t="shared" si="0"/>
        <v>18</v>
      </c>
      <c r="G22" s="74" t="s">
        <v>108</v>
      </c>
      <c r="H22" s="75">
        <v>0.42</v>
      </c>
    </row>
    <row r="23" spans="6:8" x14ac:dyDescent="0.25">
      <c r="F23" s="74">
        <f t="shared" si="0"/>
        <v>19</v>
      </c>
      <c r="G23" s="74">
        <v>91</v>
      </c>
      <c r="H23" s="75">
        <v>5.0999999999999997E-2</v>
      </c>
    </row>
    <row r="24" spans="6:8" x14ac:dyDescent="0.25">
      <c r="F24" s="74">
        <f t="shared" si="0"/>
        <v>20</v>
      </c>
      <c r="G24" s="74">
        <v>93</v>
      </c>
      <c r="H24" s="75">
        <v>2.5609999999999999</v>
      </c>
    </row>
    <row r="25" spans="6:8" x14ac:dyDescent="0.25">
      <c r="F25" s="74">
        <f t="shared" si="0"/>
        <v>21</v>
      </c>
      <c r="G25" s="74">
        <v>94</v>
      </c>
      <c r="H25" s="75">
        <v>3.8879999999999999</v>
      </c>
    </row>
    <row r="26" spans="6:8" x14ac:dyDescent="0.25">
      <c r="F26" s="111" t="s">
        <v>54</v>
      </c>
      <c r="G26" s="112"/>
      <c r="H26" s="75">
        <f>SUM(H5:H25)</f>
        <v>27.668999999999997</v>
      </c>
    </row>
  </sheetData>
  <mergeCells count="1">
    <mergeCell ref="F26:G2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K1048576"/>
  <sheetViews>
    <sheetView tabSelected="1" topLeftCell="E1" zoomScaleNormal="100" workbookViewId="0">
      <pane ySplit="3" topLeftCell="A1048555" activePane="bottomLeft" state="frozen"/>
      <selection activeCell="D27" sqref="D27"/>
      <selection pane="bottomLeft" activeCell="H1048576" sqref="H1048576"/>
    </sheetView>
  </sheetViews>
  <sheetFormatPr defaultRowHeight="15" x14ac:dyDescent="0.25"/>
  <cols>
    <col min="1" max="1" width="9.140625" style="1"/>
    <col min="2" max="2" width="11.42578125" style="43" customWidth="1"/>
    <col min="3" max="3" width="23.28515625" style="43" hidden="1" customWidth="1"/>
    <col min="4" max="4" width="24.7109375" style="44" customWidth="1"/>
    <col min="5" max="5" width="23.28515625" style="43" customWidth="1"/>
    <col min="6" max="6" width="36.5703125" style="44" customWidth="1"/>
    <col min="7" max="7" width="16.85546875" style="1" hidden="1" customWidth="1"/>
    <col min="8" max="8" width="14.28515625" style="1" customWidth="1"/>
    <col min="9" max="9" width="13" style="33" customWidth="1"/>
    <col min="10" max="10" width="14.7109375" style="45" hidden="1" customWidth="1"/>
    <col min="11" max="11" width="11.85546875" style="45" customWidth="1"/>
    <col min="12" max="12" width="13.28515625" style="1" hidden="1" customWidth="1"/>
    <col min="13" max="13" width="13" style="1" hidden="1" customWidth="1"/>
    <col min="14" max="14" width="10.42578125" style="1" customWidth="1"/>
    <col min="15" max="15" width="11.42578125" style="1" customWidth="1"/>
    <col min="16" max="16" width="9.85546875" style="1" hidden="1" customWidth="1"/>
    <col min="17" max="17" width="12.85546875" style="1" hidden="1" customWidth="1"/>
    <col min="18" max="18" width="17.28515625" style="1" customWidth="1"/>
    <col min="19" max="19" width="16.85546875" style="1" customWidth="1"/>
    <col min="20" max="20" width="15.85546875" style="1" hidden="1" customWidth="1"/>
    <col min="21" max="21" width="16.85546875" style="1" customWidth="1"/>
    <col min="22" max="22" width="15.85546875" style="1" customWidth="1"/>
    <col min="23" max="23" width="16.85546875" style="1" customWidth="1"/>
    <col min="24" max="24" width="19.85546875" style="1" hidden="1" customWidth="1"/>
    <col min="25" max="25" width="11" style="1" hidden="1" customWidth="1"/>
    <col min="26" max="26" width="19.85546875" style="1" hidden="1" customWidth="1"/>
    <col min="27" max="27" width="12.5703125" style="1" bestFit="1" customWidth="1"/>
    <col min="28" max="29" width="16.85546875" style="1" bestFit="1" customWidth="1"/>
    <col min="30" max="30" width="14.28515625" style="1" bestFit="1" customWidth="1"/>
    <col min="31" max="36" width="9.140625" style="1"/>
    <col min="37" max="37" width="12.7109375" style="1" bestFit="1" customWidth="1"/>
    <col min="38" max="16384" width="9.140625" style="1"/>
  </cols>
  <sheetData>
    <row r="2" spans="2:27" x14ac:dyDescent="0.25">
      <c r="B2" s="126" t="str">
        <f>UPPER("Building Structural Sheet | M/S. Uttam Sugar Mills Limited| Situated at Village-Shermau, Taluk-Nakud, District-Saharanpur, Uttar Pradesh")</f>
        <v>BUILDING STRUCTURAL SHEET | M/S. UTTAM SUGAR MILLS LIMITED| SITUATED AT VILLAGE-SHERMAU, TALUK-NAKUD, DISTRICT-SAHARANPUR, UTTAR PRADESH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</row>
    <row r="3" spans="2:27" s="6" customFormat="1" ht="60" x14ac:dyDescent="0.25">
      <c r="B3" s="2" t="s">
        <v>0</v>
      </c>
      <c r="C3" s="2" t="s">
        <v>1</v>
      </c>
      <c r="D3" s="92" t="s">
        <v>2</v>
      </c>
      <c r="E3" s="2" t="s">
        <v>1</v>
      </c>
      <c r="F3" s="3" t="s">
        <v>3</v>
      </c>
      <c r="G3" s="2" t="s">
        <v>4</v>
      </c>
      <c r="H3" s="2" t="s">
        <v>5</v>
      </c>
      <c r="I3" s="4" t="s">
        <v>6</v>
      </c>
      <c r="J3" s="5" t="s">
        <v>7</v>
      </c>
      <c r="K3" s="5" t="s">
        <v>8</v>
      </c>
      <c r="L3" s="2" t="s">
        <v>9</v>
      </c>
      <c r="M3" s="2" t="s">
        <v>10</v>
      </c>
      <c r="N3" s="2" t="s">
        <v>11</v>
      </c>
      <c r="O3" s="2" t="s">
        <v>12</v>
      </c>
      <c r="P3" s="2" t="s">
        <v>13</v>
      </c>
      <c r="Q3" s="2" t="s">
        <v>14</v>
      </c>
      <c r="R3" s="2" t="s">
        <v>15</v>
      </c>
      <c r="S3" s="2" t="s">
        <v>16</v>
      </c>
      <c r="T3" s="2" t="s">
        <v>17</v>
      </c>
      <c r="U3" s="2" t="s">
        <v>18</v>
      </c>
      <c r="V3" s="2" t="s">
        <v>140</v>
      </c>
      <c r="W3" s="2" t="s">
        <v>19</v>
      </c>
      <c r="X3" s="2" t="s">
        <v>20</v>
      </c>
      <c r="Y3" s="2" t="s">
        <v>21</v>
      </c>
      <c r="Z3" s="2" t="s">
        <v>22</v>
      </c>
    </row>
    <row r="4" spans="2:27" s="8" customFormat="1" ht="45" x14ac:dyDescent="0.25">
      <c r="B4" s="108">
        <v>1</v>
      </c>
      <c r="C4" s="109" t="s">
        <v>126</v>
      </c>
      <c r="D4" s="69" t="s">
        <v>57</v>
      </c>
      <c r="E4" s="109" t="s">
        <v>126</v>
      </c>
      <c r="F4" s="13" t="s">
        <v>86</v>
      </c>
      <c r="G4" s="10" t="s">
        <v>129</v>
      </c>
      <c r="H4" s="10" t="s">
        <v>128</v>
      </c>
      <c r="I4" s="106">
        <f>J4*10.764</f>
        <v>87188.4</v>
      </c>
      <c r="J4" s="63">
        <v>8100</v>
      </c>
      <c r="K4" s="67">
        <v>72</v>
      </c>
      <c r="L4" s="108">
        <v>2007</v>
      </c>
      <c r="M4" s="108">
        <v>2022</v>
      </c>
      <c r="N4" s="108">
        <f>M4-L4</f>
        <v>15</v>
      </c>
      <c r="O4" s="108">
        <v>40</v>
      </c>
      <c r="P4" s="66">
        <v>0.1</v>
      </c>
      <c r="Q4" s="108">
        <f>(1-P4)/O4</f>
        <v>2.2499999999999999E-2</v>
      </c>
      <c r="R4" s="108">
        <v>1600</v>
      </c>
      <c r="S4" s="107">
        <f>R4*I4</f>
        <v>139501440</v>
      </c>
      <c r="T4" s="107">
        <f t="shared" ref="T4" si="0">S4*Q4*N4</f>
        <v>47081736</v>
      </c>
      <c r="U4" s="107">
        <f t="shared" ref="U4:U17" si="1">MAX(S4-T4,0)</f>
        <v>92419704</v>
      </c>
      <c r="V4" s="90">
        <v>0.2</v>
      </c>
      <c r="W4" s="107">
        <f t="shared" ref="W4:W17" si="2">U4*(1-V4)</f>
        <v>73935763.200000003</v>
      </c>
      <c r="X4" s="7"/>
      <c r="Y4" s="7"/>
      <c r="Z4" s="7"/>
    </row>
    <row r="5" spans="2:27" ht="45" x14ac:dyDescent="0.25">
      <c r="B5" s="10">
        <f>INT(B4)+1</f>
        <v>2</v>
      </c>
      <c r="C5" s="61" t="s">
        <v>24</v>
      </c>
      <c r="D5" s="12" t="s">
        <v>58</v>
      </c>
      <c r="E5" s="61" t="s">
        <v>24</v>
      </c>
      <c r="F5" s="70" t="s">
        <v>88</v>
      </c>
      <c r="G5" s="10" t="s">
        <v>129</v>
      </c>
      <c r="H5" s="10" t="s">
        <v>128</v>
      </c>
      <c r="I5" s="62">
        <f>J5*10.764</f>
        <v>161460</v>
      </c>
      <c r="J5" s="67">
        <v>15000</v>
      </c>
      <c r="K5" s="67">
        <v>50</v>
      </c>
      <c r="L5" s="65">
        <v>2007</v>
      </c>
      <c r="M5" s="65">
        <v>2022</v>
      </c>
      <c r="N5" s="65">
        <f t="shared" ref="N5:N17" si="3">M5-L5</f>
        <v>15</v>
      </c>
      <c r="O5" s="68">
        <v>50</v>
      </c>
      <c r="P5" s="66">
        <v>0.1</v>
      </c>
      <c r="Q5" s="65">
        <f t="shared" ref="Q5:Q17" si="4">(1-P5)/O5</f>
        <v>1.8000000000000002E-2</v>
      </c>
      <c r="R5" s="65">
        <v>1800</v>
      </c>
      <c r="S5" s="15">
        <f>R5*I5</f>
        <v>290628000</v>
      </c>
      <c r="T5" s="15">
        <f t="shared" ref="T5" si="5">S5*Q5*N5</f>
        <v>78469560.000000015</v>
      </c>
      <c r="U5" s="15">
        <f t="shared" si="1"/>
        <v>212158440</v>
      </c>
      <c r="V5" s="90">
        <v>0.15</v>
      </c>
      <c r="W5" s="89">
        <f t="shared" si="2"/>
        <v>180334674</v>
      </c>
      <c r="X5" s="15">
        <v>500</v>
      </c>
      <c r="Y5" s="16">
        <v>1</v>
      </c>
      <c r="Z5" s="15">
        <f>(X5*Y5*I5)</f>
        <v>80730000</v>
      </c>
      <c r="AA5" s="17">
        <f>W5/I5</f>
        <v>1116.9000000000001</v>
      </c>
    </row>
    <row r="6" spans="2:27" ht="45" x14ac:dyDescent="0.25">
      <c r="B6" s="10">
        <f t="shared" ref="B6:B21" si="6">INT(B5)+1</f>
        <v>3</v>
      </c>
      <c r="C6" s="61" t="s">
        <v>126</v>
      </c>
      <c r="D6" s="18" t="s">
        <v>59</v>
      </c>
      <c r="E6" s="61" t="s">
        <v>126</v>
      </c>
      <c r="F6" s="13" t="s">
        <v>86</v>
      </c>
      <c r="G6" s="10" t="s">
        <v>129</v>
      </c>
      <c r="H6" s="10" t="s">
        <v>133</v>
      </c>
      <c r="I6" s="62">
        <f t="shared" ref="I6:I17" si="7">J6*10.764</f>
        <v>79750.475999999995</v>
      </c>
      <c r="J6" s="64">
        <v>7409</v>
      </c>
      <c r="K6" s="64">
        <v>61</v>
      </c>
      <c r="L6" s="65">
        <v>2007</v>
      </c>
      <c r="M6" s="65">
        <v>2022</v>
      </c>
      <c r="N6" s="65">
        <f t="shared" si="3"/>
        <v>15</v>
      </c>
      <c r="O6" s="65">
        <v>40</v>
      </c>
      <c r="P6" s="66">
        <v>0.1</v>
      </c>
      <c r="Q6" s="65">
        <f t="shared" si="4"/>
        <v>2.2499999999999999E-2</v>
      </c>
      <c r="R6" s="65">
        <v>1600</v>
      </c>
      <c r="S6" s="15">
        <f t="shared" ref="S6:S17" si="8">R6*I6</f>
        <v>127600761.59999999</v>
      </c>
      <c r="T6" s="15">
        <f t="shared" ref="T6:T42" si="9">S6*Q6*N6</f>
        <v>43065257.039999999</v>
      </c>
      <c r="U6" s="15">
        <f t="shared" si="1"/>
        <v>84535504.560000002</v>
      </c>
      <c r="V6" s="90">
        <v>0.25</v>
      </c>
      <c r="W6" s="107">
        <f t="shared" si="2"/>
        <v>63401628.420000002</v>
      </c>
      <c r="X6" s="25"/>
      <c r="Y6" s="26"/>
      <c r="Z6" s="25"/>
      <c r="AA6" s="17"/>
    </row>
    <row r="7" spans="2:27" ht="45" x14ac:dyDescent="0.25">
      <c r="B7" s="10">
        <f>INT(B6)+1</f>
        <v>4</v>
      </c>
      <c r="C7" s="61" t="s">
        <v>24</v>
      </c>
      <c r="D7" s="18" t="s">
        <v>60</v>
      </c>
      <c r="E7" s="61" t="s">
        <v>24</v>
      </c>
      <c r="F7" s="51" t="s">
        <v>130</v>
      </c>
      <c r="G7" s="10" t="s">
        <v>129</v>
      </c>
      <c r="H7" s="10" t="s">
        <v>128</v>
      </c>
      <c r="I7" s="62">
        <f t="shared" si="7"/>
        <v>4520.88</v>
      </c>
      <c r="J7" s="64">
        <v>420</v>
      </c>
      <c r="K7" s="64">
        <v>22</v>
      </c>
      <c r="L7" s="65">
        <v>2007</v>
      </c>
      <c r="M7" s="65">
        <v>2022</v>
      </c>
      <c r="N7" s="65">
        <f t="shared" si="3"/>
        <v>15</v>
      </c>
      <c r="O7" s="65">
        <v>45</v>
      </c>
      <c r="P7" s="66">
        <v>0.1</v>
      </c>
      <c r="Q7" s="65">
        <f t="shared" si="4"/>
        <v>0.02</v>
      </c>
      <c r="R7" s="65">
        <v>1000</v>
      </c>
      <c r="S7" s="15">
        <f t="shared" si="8"/>
        <v>4520880</v>
      </c>
      <c r="T7" s="15">
        <f t="shared" si="9"/>
        <v>1356264</v>
      </c>
      <c r="U7" s="15">
        <f t="shared" si="1"/>
        <v>3164616</v>
      </c>
      <c r="V7" s="90">
        <v>0.15</v>
      </c>
      <c r="W7" s="89">
        <f t="shared" si="2"/>
        <v>2689923.6</v>
      </c>
      <c r="X7" s="25"/>
      <c r="Y7" s="26"/>
      <c r="Z7" s="25"/>
      <c r="AA7" s="17"/>
    </row>
    <row r="8" spans="2:27" ht="45" x14ac:dyDescent="0.25">
      <c r="B8" s="10">
        <f t="shared" si="6"/>
        <v>5</v>
      </c>
      <c r="C8" s="61" t="s">
        <v>24</v>
      </c>
      <c r="D8" s="18" t="s">
        <v>61</v>
      </c>
      <c r="E8" s="61" t="s">
        <v>24</v>
      </c>
      <c r="F8" s="51" t="s">
        <v>92</v>
      </c>
      <c r="G8" s="10" t="s">
        <v>129</v>
      </c>
      <c r="H8" s="10" t="s">
        <v>128</v>
      </c>
      <c r="I8" s="62">
        <f t="shared" si="7"/>
        <v>4520.88</v>
      </c>
      <c r="J8" s="64">
        <v>420</v>
      </c>
      <c r="K8" s="64">
        <v>22</v>
      </c>
      <c r="L8" s="65">
        <v>2007</v>
      </c>
      <c r="M8" s="65">
        <v>2022</v>
      </c>
      <c r="N8" s="65">
        <f t="shared" si="3"/>
        <v>15</v>
      </c>
      <c r="O8" s="102">
        <v>45</v>
      </c>
      <c r="P8" s="66">
        <v>0.1</v>
      </c>
      <c r="Q8" s="65">
        <f t="shared" si="4"/>
        <v>0.02</v>
      </c>
      <c r="R8" s="65">
        <v>1000</v>
      </c>
      <c r="S8" s="15">
        <f t="shared" si="8"/>
        <v>4520880</v>
      </c>
      <c r="T8" s="15">
        <f t="shared" si="9"/>
        <v>1356264</v>
      </c>
      <c r="U8" s="15">
        <f t="shared" si="1"/>
        <v>3164616</v>
      </c>
      <c r="V8" s="90">
        <v>0.15</v>
      </c>
      <c r="W8" s="89">
        <f t="shared" si="2"/>
        <v>2689923.6</v>
      </c>
      <c r="X8" s="25"/>
      <c r="Y8" s="26"/>
      <c r="Z8" s="25"/>
      <c r="AA8" s="17"/>
    </row>
    <row r="9" spans="2:27" ht="45" x14ac:dyDescent="0.25">
      <c r="B9" s="10">
        <f t="shared" si="6"/>
        <v>6</v>
      </c>
      <c r="C9" s="61" t="s">
        <v>24</v>
      </c>
      <c r="D9" s="18" t="s">
        <v>90</v>
      </c>
      <c r="E9" s="61" t="s">
        <v>24</v>
      </c>
      <c r="F9" s="51" t="s">
        <v>92</v>
      </c>
      <c r="G9" s="10" t="s">
        <v>129</v>
      </c>
      <c r="H9" s="10" t="s">
        <v>128</v>
      </c>
      <c r="I9" s="62">
        <f t="shared" si="7"/>
        <v>40472.639999999999</v>
      </c>
      <c r="J9" s="64">
        <v>3760</v>
      </c>
      <c r="K9" s="64">
        <v>12</v>
      </c>
      <c r="L9" s="65">
        <v>2007</v>
      </c>
      <c r="M9" s="65">
        <v>2022</v>
      </c>
      <c r="N9" s="65">
        <f t="shared" si="3"/>
        <v>15</v>
      </c>
      <c r="O9" s="102">
        <v>45</v>
      </c>
      <c r="P9" s="66">
        <v>0.1</v>
      </c>
      <c r="Q9" s="65">
        <f t="shared" si="4"/>
        <v>0.02</v>
      </c>
      <c r="R9" s="65">
        <v>1000</v>
      </c>
      <c r="S9" s="15">
        <f t="shared" si="8"/>
        <v>40472640</v>
      </c>
      <c r="T9" s="15">
        <f t="shared" si="9"/>
        <v>12141792</v>
      </c>
      <c r="U9" s="15">
        <f t="shared" si="1"/>
        <v>28330848</v>
      </c>
      <c r="V9" s="90">
        <v>0.15</v>
      </c>
      <c r="W9" s="89">
        <f t="shared" si="2"/>
        <v>24081220.800000001</v>
      </c>
      <c r="X9" s="25"/>
      <c r="Y9" s="26"/>
      <c r="Z9" s="25"/>
      <c r="AA9" s="17"/>
    </row>
    <row r="10" spans="2:27" ht="45" x14ac:dyDescent="0.25">
      <c r="B10" s="10">
        <f t="shared" si="6"/>
        <v>7</v>
      </c>
      <c r="C10" s="61" t="s">
        <v>24</v>
      </c>
      <c r="D10" s="18" t="s">
        <v>62</v>
      </c>
      <c r="E10" s="61" t="s">
        <v>24</v>
      </c>
      <c r="F10" s="51" t="s">
        <v>92</v>
      </c>
      <c r="G10" s="10" t="s">
        <v>129</v>
      </c>
      <c r="H10" s="10" t="s">
        <v>128</v>
      </c>
      <c r="I10" s="62">
        <f t="shared" si="7"/>
        <v>12593.88</v>
      </c>
      <c r="J10" s="64">
        <v>1170</v>
      </c>
      <c r="K10" s="64">
        <v>10</v>
      </c>
      <c r="L10" s="65">
        <v>2007</v>
      </c>
      <c r="M10" s="65">
        <v>2022</v>
      </c>
      <c r="N10" s="65">
        <f t="shared" si="3"/>
        <v>15</v>
      </c>
      <c r="O10" s="102">
        <v>45</v>
      </c>
      <c r="P10" s="66">
        <v>0.1</v>
      </c>
      <c r="Q10" s="65">
        <f t="shared" si="4"/>
        <v>0.02</v>
      </c>
      <c r="R10" s="65">
        <v>800</v>
      </c>
      <c r="S10" s="15">
        <f t="shared" si="8"/>
        <v>10075104</v>
      </c>
      <c r="T10" s="15">
        <f t="shared" si="9"/>
        <v>3022531.2</v>
      </c>
      <c r="U10" s="15">
        <f t="shared" si="1"/>
        <v>7052572.7999999998</v>
      </c>
      <c r="V10" s="90">
        <v>0.15</v>
      </c>
      <c r="W10" s="89">
        <f t="shared" si="2"/>
        <v>5994686.8799999999</v>
      </c>
      <c r="X10" s="25"/>
      <c r="Y10" s="26"/>
      <c r="Z10" s="25"/>
      <c r="AA10" s="17"/>
    </row>
    <row r="11" spans="2:27" ht="45" x14ac:dyDescent="0.25">
      <c r="B11" s="10">
        <f t="shared" si="6"/>
        <v>8</v>
      </c>
      <c r="C11" s="61" t="s">
        <v>24</v>
      </c>
      <c r="D11" s="18" t="s">
        <v>91</v>
      </c>
      <c r="E11" s="61" t="s">
        <v>24</v>
      </c>
      <c r="F11" s="19" t="s">
        <v>89</v>
      </c>
      <c r="G11" s="10" t="s">
        <v>129</v>
      </c>
      <c r="H11" s="10" t="s">
        <v>128</v>
      </c>
      <c r="I11" s="62">
        <f t="shared" si="7"/>
        <v>36167.040000000001</v>
      </c>
      <c r="J11" s="64">
        <v>3360</v>
      </c>
      <c r="K11" s="64">
        <v>25</v>
      </c>
      <c r="L11" s="65">
        <v>2007</v>
      </c>
      <c r="M11" s="65">
        <v>2022</v>
      </c>
      <c r="N11" s="65">
        <f t="shared" si="3"/>
        <v>15</v>
      </c>
      <c r="O11" s="65">
        <v>40</v>
      </c>
      <c r="P11" s="66">
        <v>0.1</v>
      </c>
      <c r="Q11" s="65">
        <f t="shared" si="4"/>
        <v>2.2499999999999999E-2</v>
      </c>
      <c r="R11" s="65">
        <v>700</v>
      </c>
      <c r="S11" s="15">
        <f t="shared" si="8"/>
        <v>25316928</v>
      </c>
      <c r="T11" s="15">
        <f t="shared" si="9"/>
        <v>8544463.1999999993</v>
      </c>
      <c r="U11" s="15">
        <f t="shared" si="1"/>
        <v>16772464.800000001</v>
      </c>
      <c r="V11" s="90">
        <v>0.15</v>
      </c>
      <c r="W11" s="89">
        <f t="shared" si="2"/>
        <v>14256595.08</v>
      </c>
      <c r="X11" s="25"/>
      <c r="Y11" s="26"/>
      <c r="Z11" s="25"/>
      <c r="AA11" s="17"/>
    </row>
    <row r="12" spans="2:27" ht="45" x14ac:dyDescent="0.25">
      <c r="B12" s="10">
        <f t="shared" si="6"/>
        <v>9</v>
      </c>
      <c r="C12" s="61" t="s">
        <v>24</v>
      </c>
      <c r="D12" s="18" t="s">
        <v>63</v>
      </c>
      <c r="E12" s="61" t="s">
        <v>24</v>
      </c>
      <c r="F12" s="51" t="s">
        <v>92</v>
      </c>
      <c r="G12" s="10" t="s">
        <v>129</v>
      </c>
      <c r="H12" s="10" t="s">
        <v>128</v>
      </c>
      <c r="I12" s="62">
        <f t="shared" si="7"/>
        <v>861.11999999999989</v>
      </c>
      <c r="J12" s="64">
        <v>80</v>
      </c>
      <c r="K12" s="64">
        <v>12</v>
      </c>
      <c r="L12" s="65">
        <v>2007</v>
      </c>
      <c r="M12" s="65">
        <v>2022</v>
      </c>
      <c r="N12" s="65">
        <f t="shared" si="3"/>
        <v>15</v>
      </c>
      <c r="O12" s="65">
        <v>45</v>
      </c>
      <c r="P12" s="66">
        <v>0.1</v>
      </c>
      <c r="Q12" s="65">
        <f t="shared" si="4"/>
        <v>0.02</v>
      </c>
      <c r="R12" s="65">
        <v>600</v>
      </c>
      <c r="S12" s="15">
        <f t="shared" si="8"/>
        <v>516671.99999999994</v>
      </c>
      <c r="T12" s="15">
        <f t="shared" si="9"/>
        <v>155001.59999999998</v>
      </c>
      <c r="U12" s="15">
        <f t="shared" si="1"/>
        <v>361670.39999999997</v>
      </c>
      <c r="V12" s="90">
        <v>0.15</v>
      </c>
      <c r="W12" s="89">
        <f t="shared" si="2"/>
        <v>307419.83999999997</v>
      </c>
      <c r="X12" s="25"/>
      <c r="Y12" s="26"/>
      <c r="Z12" s="25"/>
      <c r="AA12" s="17"/>
    </row>
    <row r="13" spans="2:27" ht="45" x14ac:dyDescent="0.25">
      <c r="B13" s="10">
        <f t="shared" si="6"/>
        <v>10</v>
      </c>
      <c r="C13" s="61" t="s">
        <v>24</v>
      </c>
      <c r="D13" s="18" t="s">
        <v>64</v>
      </c>
      <c r="E13" s="61" t="s">
        <v>24</v>
      </c>
      <c r="F13" s="19" t="s">
        <v>94</v>
      </c>
      <c r="G13" s="10" t="s">
        <v>129</v>
      </c>
      <c r="H13" s="10" t="s">
        <v>128</v>
      </c>
      <c r="I13" s="62">
        <f t="shared" si="7"/>
        <v>2637.18</v>
      </c>
      <c r="J13" s="64">
        <v>245</v>
      </c>
      <c r="K13" s="64">
        <v>11</v>
      </c>
      <c r="L13" s="65">
        <v>2007</v>
      </c>
      <c r="M13" s="65">
        <v>2022</v>
      </c>
      <c r="N13" s="65">
        <f t="shared" si="3"/>
        <v>15</v>
      </c>
      <c r="O13" s="65">
        <v>30</v>
      </c>
      <c r="P13" s="66">
        <v>0.1</v>
      </c>
      <c r="Q13" s="65">
        <f t="shared" si="4"/>
        <v>3.0000000000000002E-2</v>
      </c>
      <c r="R13" s="65">
        <v>500</v>
      </c>
      <c r="S13" s="15">
        <f t="shared" si="8"/>
        <v>1318590</v>
      </c>
      <c r="T13" s="15">
        <f t="shared" si="9"/>
        <v>593365.50000000012</v>
      </c>
      <c r="U13" s="15">
        <f t="shared" si="1"/>
        <v>725224.49999999988</v>
      </c>
      <c r="V13" s="90">
        <v>0.15</v>
      </c>
      <c r="W13" s="89">
        <f t="shared" si="2"/>
        <v>616440.82499999984</v>
      </c>
      <c r="X13" s="25"/>
      <c r="Y13" s="26"/>
      <c r="Z13" s="25"/>
      <c r="AA13" s="17"/>
    </row>
    <row r="14" spans="2:27" ht="45" x14ac:dyDescent="0.25">
      <c r="B14" s="10">
        <f t="shared" si="6"/>
        <v>11</v>
      </c>
      <c r="C14" s="61" t="s">
        <v>24</v>
      </c>
      <c r="D14" s="18" t="s">
        <v>65</v>
      </c>
      <c r="E14" s="61" t="s">
        <v>24</v>
      </c>
      <c r="F14" s="51" t="s">
        <v>92</v>
      </c>
      <c r="G14" s="10" t="s">
        <v>129</v>
      </c>
      <c r="H14" s="10" t="s">
        <v>128</v>
      </c>
      <c r="I14" s="62">
        <f t="shared" si="7"/>
        <v>9472.32</v>
      </c>
      <c r="J14" s="64">
        <v>880</v>
      </c>
      <c r="K14" s="64">
        <v>15</v>
      </c>
      <c r="L14" s="65">
        <v>2007</v>
      </c>
      <c r="M14" s="65">
        <v>2022</v>
      </c>
      <c r="N14" s="65">
        <f t="shared" si="3"/>
        <v>15</v>
      </c>
      <c r="O14" s="65">
        <v>45</v>
      </c>
      <c r="P14" s="66">
        <v>0.1</v>
      </c>
      <c r="Q14" s="65">
        <f t="shared" si="4"/>
        <v>0.02</v>
      </c>
      <c r="R14" s="65">
        <v>800</v>
      </c>
      <c r="S14" s="15">
        <f t="shared" si="8"/>
        <v>7577856</v>
      </c>
      <c r="T14" s="15">
        <f t="shared" si="9"/>
        <v>2273356.7999999998</v>
      </c>
      <c r="U14" s="15">
        <f t="shared" si="1"/>
        <v>5304499.2</v>
      </c>
      <c r="V14" s="90">
        <v>0.15</v>
      </c>
      <c r="W14" s="89">
        <f t="shared" si="2"/>
        <v>4508824.32</v>
      </c>
      <c r="X14" s="25"/>
      <c r="Y14" s="26"/>
      <c r="Z14" s="25"/>
      <c r="AA14" s="17"/>
    </row>
    <row r="15" spans="2:27" ht="45" x14ac:dyDescent="0.25">
      <c r="B15" s="10">
        <f t="shared" si="6"/>
        <v>12</v>
      </c>
      <c r="C15" s="61" t="s">
        <v>24</v>
      </c>
      <c r="D15" s="27" t="s">
        <v>66</v>
      </c>
      <c r="E15" s="61" t="s">
        <v>24</v>
      </c>
      <c r="F15" s="19" t="s">
        <v>92</v>
      </c>
      <c r="G15" s="10" t="s">
        <v>129</v>
      </c>
      <c r="H15" s="10" t="s">
        <v>128</v>
      </c>
      <c r="I15" s="62">
        <f t="shared" si="7"/>
        <v>1937.52</v>
      </c>
      <c r="J15" s="64">
        <v>180</v>
      </c>
      <c r="K15" s="64">
        <v>12</v>
      </c>
      <c r="L15" s="65">
        <v>2007</v>
      </c>
      <c r="M15" s="65">
        <v>2022</v>
      </c>
      <c r="N15" s="65">
        <f t="shared" si="3"/>
        <v>15</v>
      </c>
      <c r="O15" s="65">
        <v>45</v>
      </c>
      <c r="P15" s="66">
        <v>0.1</v>
      </c>
      <c r="Q15" s="65">
        <f t="shared" si="4"/>
        <v>0.02</v>
      </c>
      <c r="R15" s="65">
        <v>800</v>
      </c>
      <c r="S15" s="15">
        <f t="shared" si="8"/>
        <v>1550016</v>
      </c>
      <c r="T15" s="15">
        <f t="shared" si="9"/>
        <v>465004.79999999999</v>
      </c>
      <c r="U15" s="15">
        <f t="shared" si="1"/>
        <v>1085011.2</v>
      </c>
      <c r="V15" s="90">
        <v>0.15</v>
      </c>
      <c r="W15" s="89">
        <f t="shared" si="2"/>
        <v>922259.5199999999</v>
      </c>
      <c r="X15" s="25"/>
      <c r="Y15" s="26"/>
      <c r="Z15" s="25"/>
      <c r="AA15" s="17"/>
    </row>
    <row r="16" spans="2:27" ht="45" x14ac:dyDescent="0.25">
      <c r="B16" s="10">
        <f t="shared" si="6"/>
        <v>13</v>
      </c>
      <c r="C16" s="61" t="s">
        <v>24</v>
      </c>
      <c r="D16" s="27" t="s">
        <v>67</v>
      </c>
      <c r="E16" s="61" t="s">
        <v>24</v>
      </c>
      <c r="F16" s="19" t="s">
        <v>93</v>
      </c>
      <c r="G16" s="10" t="s">
        <v>129</v>
      </c>
      <c r="H16" s="10" t="s">
        <v>128</v>
      </c>
      <c r="I16" s="62">
        <f t="shared" si="7"/>
        <v>1506.9599999999998</v>
      </c>
      <c r="J16" s="64">
        <v>140</v>
      </c>
      <c r="K16" s="64">
        <v>12</v>
      </c>
      <c r="L16" s="65">
        <v>2007</v>
      </c>
      <c r="M16" s="65">
        <v>2022</v>
      </c>
      <c r="N16" s="65">
        <f t="shared" si="3"/>
        <v>15</v>
      </c>
      <c r="O16" s="65">
        <v>45</v>
      </c>
      <c r="P16" s="66">
        <v>0.1</v>
      </c>
      <c r="Q16" s="65">
        <f t="shared" si="4"/>
        <v>0.02</v>
      </c>
      <c r="R16" s="65">
        <v>700</v>
      </c>
      <c r="S16" s="15">
        <f t="shared" si="8"/>
        <v>1054871.9999999998</v>
      </c>
      <c r="T16" s="15">
        <f t="shared" si="9"/>
        <v>316461.59999999992</v>
      </c>
      <c r="U16" s="15">
        <f t="shared" si="1"/>
        <v>738410.39999999991</v>
      </c>
      <c r="V16" s="90">
        <v>0.15</v>
      </c>
      <c r="W16" s="89">
        <f t="shared" si="2"/>
        <v>627648.83999999985</v>
      </c>
      <c r="X16" s="25"/>
      <c r="Y16" s="26"/>
      <c r="Z16" s="25"/>
      <c r="AA16" s="17"/>
    </row>
    <row r="17" spans="2:27" ht="45" x14ac:dyDescent="0.25">
      <c r="B17" s="10">
        <f t="shared" si="6"/>
        <v>14</v>
      </c>
      <c r="C17" s="61" t="s">
        <v>24</v>
      </c>
      <c r="D17" s="71" t="s">
        <v>68</v>
      </c>
      <c r="E17" s="61" t="s">
        <v>24</v>
      </c>
      <c r="F17" s="51" t="s">
        <v>92</v>
      </c>
      <c r="G17" s="10" t="s">
        <v>129</v>
      </c>
      <c r="H17" s="10" t="s">
        <v>128</v>
      </c>
      <c r="I17" s="62">
        <f t="shared" si="7"/>
        <v>1937.52</v>
      </c>
      <c r="J17" s="64">
        <v>180</v>
      </c>
      <c r="K17" s="64">
        <v>17</v>
      </c>
      <c r="L17" s="65">
        <v>2007</v>
      </c>
      <c r="M17" s="65">
        <v>2022</v>
      </c>
      <c r="N17" s="65">
        <f t="shared" si="3"/>
        <v>15</v>
      </c>
      <c r="O17" s="65">
        <v>45</v>
      </c>
      <c r="P17" s="66">
        <v>0.1</v>
      </c>
      <c r="Q17" s="65">
        <f t="shared" si="4"/>
        <v>0.02</v>
      </c>
      <c r="R17" s="65">
        <v>700</v>
      </c>
      <c r="S17" s="15">
        <f t="shared" si="8"/>
        <v>1356264</v>
      </c>
      <c r="T17" s="15">
        <f t="shared" si="9"/>
        <v>406879.19999999995</v>
      </c>
      <c r="U17" s="15">
        <f t="shared" si="1"/>
        <v>949384.8</v>
      </c>
      <c r="V17" s="90">
        <v>0.15</v>
      </c>
      <c r="W17" s="89">
        <f t="shared" si="2"/>
        <v>806977.08000000007</v>
      </c>
      <c r="X17" s="25"/>
      <c r="Y17" s="26"/>
      <c r="Z17" s="25"/>
      <c r="AA17" s="17"/>
    </row>
    <row r="18" spans="2:27" x14ac:dyDescent="0.25">
      <c r="B18" s="94"/>
      <c r="C18" s="115" t="s">
        <v>54</v>
      </c>
      <c r="D18" s="116"/>
      <c r="E18" s="116"/>
      <c r="F18" s="117"/>
      <c r="G18" s="95"/>
      <c r="H18" s="95"/>
      <c r="I18" s="96">
        <f>SUM(I4:I17)</f>
        <v>445026.81600000005</v>
      </c>
      <c r="J18" s="57">
        <f>SUM(J4:J17)</f>
        <v>41344</v>
      </c>
      <c r="K18" s="57"/>
      <c r="L18" s="58"/>
      <c r="M18" s="58"/>
      <c r="N18" s="58"/>
      <c r="O18" s="58"/>
      <c r="P18" s="97"/>
      <c r="Q18" s="98"/>
      <c r="R18" s="99"/>
      <c r="S18" s="59">
        <f>SUM(S4:S17)</f>
        <v>656010903.60000002</v>
      </c>
      <c r="T18" s="59">
        <f>SUM(T4:T17)</f>
        <v>199247936.94</v>
      </c>
      <c r="U18" s="59">
        <f>SUM(U4:U17)</f>
        <v>456762966.65999997</v>
      </c>
      <c r="V18" s="100"/>
      <c r="W18" s="59">
        <f>SUM(W4:W17)</f>
        <v>375173986.00499994</v>
      </c>
      <c r="X18" s="25">
        <f>SUM(U18)</f>
        <v>456762966.65999997</v>
      </c>
      <c r="Y18" s="26"/>
      <c r="Z18" s="25"/>
      <c r="AA18" s="17">
        <f>I18*1000</f>
        <v>445026816.00000006</v>
      </c>
    </row>
    <row r="19" spans="2:27" x14ac:dyDescent="0.25">
      <c r="B19" s="10">
        <v>15</v>
      </c>
      <c r="C19" s="61"/>
      <c r="D19" s="118" t="s">
        <v>132</v>
      </c>
      <c r="E19" s="118"/>
      <c r="F19" s="118"/>
      <c r="G19" s="11"/>
      <c r="H19" s="11"/>
      <c r="I19" s="119" t="str">
        <f>ROUND(J45/4046.85,2) &amp;" acres"</f>
        <v>55.77 acres</v>
      </c>
      <c r="J19" s="119"/>
      <c r="K19" s="119"/>
      <c r="L19" s="119"/>
      <c r="M19" s="119"/>
      <c r="N19" s="119"/>
      <c r="O19" s="119"/>
      <c r="P19" s="23"/>
      <c r="Q19" s="24"/>
      <c r="R19" s="127" t="s">
        <v>139</v>
      </c>
      <c r="S19" s="127"/>
      <c r="T19" s="127"/>
      <c r="U19" s="127"/>
      <c r="V19" s="101"/>
      <c r="W19" s="101">
        <f>1000000*55.77</f>
        <v>55770000</v>
      </c>
      <c r="X19" s="25"/>
      <c r="Y19" s="26"/>
      <c r="Z19" s="25"/>
      <c r="AA19" s="17"/>
    </row>
    <row r="20" spans="2:27" x14ac:dyDescent="0.25">
      <c r="B20" s="10">
        <f t="shared" si="6"/>
        <v>16</v>
      </c>
      <c r="C20" s="61"/>
      <c r="D20" s="118" t="s">
        <v>49</v>
      </c>
      <c r="E20" s="118"/>
      <c r="F20" s="118"/>
      <c r="G20" s="11"/>
      <c r="H20" s="11"/>
      <c r="I20" s="120" t="str">
        <f>J47 &amp;" sq.mtr."</f>
        <v>27152 sq.mtr.</v>
      </c>
      <c r="J20" s="120"/>
      <c r="K20" s="120"/>
      <c r="L20" s="120"/>
      <c r="M20" s="120"/>
      <c r="N20" s="120"/>
      <c r="O20" s="120"/>
      <c r="P20" s="23"/>
      <c r="Q20" s="24"/>
      <c r="R20" s="128" t="s">
        <v>138</v>
      </c>
      <c r="S20" s="128"/>
      <c r="T20" s="128"/>
      <c r="U20" s="128"/>
      <c r="V20" s="101"/>
      <c r="W20" s="101">
        <f>1500*27152</f>
        <v>40728000</v>
      </c>
      <c r="X20" s="25"/>
      <c r="Y20" s="26"/>
      <c r="Z20" s="25"/>
      <c r="AA20" s="17"/>
    </row>
    <row r="21" spans="2:27" x14ac:dyDescent="0.25">
      <c r="B21" s="10">
        <f t="shared" si="6"/>
        <v>17</v>
      </c>
      <c r="C21" s="61"/>
      <c r="D21" s="118" t="s">
        <v>25</v>
      </c>
      <c r="E21" s="118"/>
      <c r="F21" s="118"/>
      <c r="G21" s="11"/>
      <c r="H21" s="11"/>
      <c r="I21" s="120" t="str">
        <f>3290 &amp;" R.mtr."</f>
        <v>3290 R.mtr.</v>
      </c>
      <c r="J21" s="120"/>
      <c r="K21" s="120"/>
      <c r="L21" s="120"/>
      <c r="M21" s="120"/>
      <c r="N21" s="120"/>
      <c r="O21" s="120"/>
      <c r="P21" s="23"/>
      <c r="Q21" s="24"/>
      <c r="R21" s="128" t="s">
        <v>134</v>
      </c>
      <c r="S21" s="128"/>
      <c r="T21" s="128"/>
      <c r="U21" s="128"/>
      <c r="V21" s="101"/>
      <c r="W21" s="101">
        <f>3290*3800</f>
        <v>12502000</v>
      </c>
      <c r="X21" s="25"/>
      <c r="Y21" s="26"/>
      <c r="Z21" s="25"/>
      <c r="AA21" s="17"/>
    </row>
    <row r="22" spans="2:27" x14ac:dyDescent="0.25">
      <c r="B22" s="123" t="s">
        <v>54</v>
      </c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5"/>
      <c r="V22" s="91"/>
      <c r="W22" s="15">
        <f>SUM(W19:W21)</f>
        <v>109000000</v>
      </c>
      <c r="X22" s="25"/>
      <c r="Y22" s="26"/>
      <c r="Z22" s="25"/>
      <c r="AA22" s="17"/>
    </row>
    <row r="23" spans="2:27" x14ac:dyDescent="0.25">
      <c r="B23" s="123" t="s">
        <v>135</v>
      </c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5"/>
      <c r="V23" s="15"/>
      <c r="W23" s="15">
        <f>W22+W18</f>
        <v>484173986.00499994</v>
      </c>
      <c r="X23" s="25"/>
      <c r="Y23" s="26"/>
      <c r="Z23" s="25"/>
      <c r="AA23" s="17"/>
    </row>
    <row r="24" spans="2:27" x14ac:dyDescent="0.25">
      <c r="B24" s="121" t="s">
        <v>32</v>
      </c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25"/>
      <c r="Y24" s="26"/>
      <c r="Z24" s="25"/>
      <c r="AA24" s="17"/>
    </row>
    <row r="25" spans="2:27" x14ac:dyDescent="0.25">
      <c r="B25" s="122" t="s">
        <v>137</v>
      </c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25"/>
      <c r="Y25" s="26"/>
      <c r="Z25" s="25"/>
      <c r="AA25" s="17"/>
    </row>
    <row r="26" spans="2:27" x14ac:dyDescent="0.25">
      <c r="B26" s="122" t="s">
        <v>136</v>
      </c>
      <c r="C26" s="122"/>
      <c r="D26" s="122"/>
      <c r="E26" s="122"/>
      <c r="F26" s="122"/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25"/>
      <c r="Y26" s="26"/>
      <c r="Z26" s="25"/>
      <c r="AA26" s="17"/>
    </row>
    <row r="27" spans="2:27" x14ac:dyDescent="0.25">
      <c r="B27" s="122" t="s">
        <v>34</v>
      </c>
      <c r="C27" s="122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25"/>
      <c r="Y27" s="26"/>
      <c r="Z27" s="25"/>
      <c r="AA27" s="17"/>
    </row>
    <row r="28" spans="2:27" x14ac:dyDescent="0.25">
      <c r="L28" s="93"/>
      <c r="M28" s="93"/>
      <c r="N28" s="93"/>
      <c r="O28" s="93"/>
      <c r="P28" s="104"/>
      <c r="Q28" s="105"/>
      <c r="R28" s="103"/>
      <c r="S28" s="103">
        <f t="shared" ref="S28:S42" si="10">R28*I31</f>
        <v>0</v>
      </c>
      <c r="T28" s="103">
        <f t="shared" si="9"/>
        <v>0</v>
      </c>
      <c r="U28" s="103">
        <f t="shared" ref="U28:U42" si="11">MAX(S28-T28,0)</f>
        <v>0</v>
      </c>
      <c r="V28" s="103"/>
      <c r="W28" s="103">
        <f t="shared" ref="W28:W42" si="12">U28</f>
        <v>0</v>
      </c>
      <c r="X28" s="25"/>
      <c r="Y28" s="26"/>
      <c r="Z28" s="25"/>
      <c r="AA28" s="17"/>
    </row>
    <row r="29" spans="2:27" x14ac:dyDescent="0.25">
      <c r="B29" s="10">
        <f>INT(B17)+1</f>
        <v>15</v>
      </c>
      <c r="C29" s="61" t="s">
        <v>85</v>
      </c>
      <c r="D29" s="27" t="s">
        <v>69</v>
      </c>
      <c r="E29" s="61" t="s">
        <v>85</v>
      </c>
      <c r="F29" s="19"/>
      <c r="G29" s="11"/>
      <c r="H29" s="11"/>
      <c r="I29" s="62">
        <f t="shared" ref="I29:I44" si="13">J29*10.764</f>
        <v>12206.375999999998</v>
      </c>
      <c r="J29" s="21">
        <v>1134</v>
      </c>
      <c r="L29" s="22"/>
      <c r="M29" s="22"/>
      <c r="N29" s="22"/>
      <c r="O29" s="22"/>
      <c r="P29" s="23"/>
      <c r="Q29" s="24"/>
      <c r="R29" s="15"/>
      <c r="S29" s="15">
        <f t="shared" si="10"/>
        <v>0</v>
      </c>
      <c r="T29" s="15">
        <f t="shared" si="9"/>
        <v>0</v>
      </c>
      <c r="U29" s="15">
        <f t="shared" si="11"/>
        <v>0</v>
      </c>
      <c r="V29" s="15"/>
      <c r="W29" s="15">
        <f t="shared" si="12"/>
        <v>0</v>
      </c>
      <c r="X29" s="25"/>
      <c r="Y29" s="26"/>
      <c r="Z29" s="25"/>
      <c r="AA29" s="17"/>
    </row>
    <row r="30" spans="2:27" x14ac:dyDescent="0.25">
      <c r="B30" s="10">
        <f t="shared" ref="B30:B45" si="14">INT(B29)+1</f>
        <v>16</v>
      </c>
      <c r="C30" s="61" t="s">
        <v>85</v>
      </c>
      <c r="D30" s="27" t="s">
        <v>70</v>
      </c>
      <c r="E30" s="61" t="s">
        <v>85</v>
      </c>
      <c r="F30" s="13"/>
      <c r="G30" s="10"/>
      <c r="H30" s="10"/>
      <c r="I30" s="62">
        <f t="shared" si="13"/>
        <v>28029.455999999998</v>
      </c>
      <c r="J30" s="14">
        <v>2604</v>
      </c>
      <c r="L30" s="22"/>
      <c r="M30" s="22"/>
      <c r="N30" s="22"/>
      <c r="O30" s="22"/>
      <c r="P30" s="23"/>
      <c r="Q30" s="24"/>
      <c r="R30" s="15"/>
      <c r="S30" s="15">
        <f t="shared" si="10"/>
        <v>0</v>
      </c>
      <c r="T30" s="15">
        <f t="shared" si="9"/>
        <v>0</v>
      </c>
      <c r="U30" s="15">
        <f t="shared" si="11"/>
        <v>0</v>
      </c>
      <c r="V30" s="15"/>
      <c r="W30" s="15">
        <f t="shared" si="12"/>
        <v>0</v>
      </c>
      <c r="X30" s="25"/>
      <c r="Y30" s="26"/>
      <c r="Z30" s="25"/>
      <c r="AA30" s="17"/>
    </row>
    <row r="31" spans="2:27" x14ac:dyDescent="0.25">
      <c r="B31" s="10">
        <f t="shared" si="14"/>
        <v>17</v>
      </c>
      <c r="C31" s="61" t="s">
        <v>85</v>
      </c>
      <c r="D31" s="27" t="s">
        <v>71</v>
      </c>
      <c r="E31" s="61" t="s">
        <v>85</v>
      </c>
      <c r="F31" s="19"/>
      <c r="G31" s="11"/>
      <c r="H31" s="11"/>
      <c r="I31" s="62">
        <f t="shared" si="13"/>
        <v>269100</v>
      </c>
      <c r="J31" s="21">
        <v>25000</v>
      </c>
      <c r="L31" s="22"/>
      <c r="M31" s="22"/>
      <c r="N31" s="22"/>
      <c r="O31" s="22"/>
      <c r="P31" s="23"/>
      <c r="Q31" s="24"/>
      <c r="R31" s="15"/>
      <c r="S31" s="15">
        <f t="shared" si="10"/>
        <v>0</v>
      </c>
      <c r="T31" s="15">
        <f t="shared" si="9"/>
        <v>0</v>
      </c>
      <c r="U31" s="15">
        <f t="shared" si="11"/>
        <v>0</v>
      </c>
      <c r="V31" s="15"/>
      <c r="W31" s="15">
        <f t="shared" si="12"/>
        <v>0</v>
      </c>
      <c r="X31" s="25"/>
      <c r="Y31" s="26"/>
      <c r="Z31" s="25"/>
      <c r="AA31" s="17"/>
    </row>
    <row r="32" spans="2:27" x14ac:dyDescent="0.25">
      <c r="B32" s="10">
        <f t="shared" si="14"/>
        <v>18</v>
      </c>
      <c r="C32" s="61" t="s">
        <v>85</v>
      </c>
      <c r="D32" s="27" t="s">
        <v>72</v>
      </c>
      <c r="E32" s="61" t="s">
        <v>85</v>
      </c>
      <c r="F32" s="19"/>
      <c r="G32" s="11"/>
      <c r="H32" s="11"/>
      <c r="I32" s="62">
        <f t="shared" si="13"/>
        <v>153494.63999999998</v>
      </c>
      <c r="J32" s="21">
        <v>14260</v>
      </c>
      <c r="L32" s="22"/>
      <c r="M32" s="22"/>
      <c r="N32" s="22"/>
      <c r="O32" s="22"/>
      <c r="P32" s="23"/>
      <c r="Q32" s="24"/>
      <c r="R32" s="15"/>
      <c r="S32" s="15">
        <f t="shared" si="10"/>
        <v>0</v>
      </c>
      <c r="T32" s="15">
        <f t="shared" si="9"/>
        <v>0</v>
      </c>
      <c r="U32" s="15">
        <f t="shared" si="11"/>
        <v>0</v>
      </c>
      <c r="V32" s="15"/>
      <c r="W32" s="15">
        <f t="shared" si="12"/>
        <v>0</v>
      </c>
      <c r="X32" s="25"/>
      <c r="Y32" s="26"/>
      <c r="Z32" s="25"/>
      <c r="AA32" s="17"/>
    </row>
    <row r="33" spans="2:37" x14ac:dyDescent="0.25">
      <c r="B33" s="10">
        <f t="shared" si="14"/>
        <v>19</v>
      </c>
      <c r="C33" s="61" t="s">
        <v>85</v>
      </c>
      <c r="D33" s="27" t="s">
        <v>73</v>
      </c>
      <c r="E33" s="61" t="s">
        <v>85</v>
      </c>
      <c r="F33" s="19"/>
      <c r="G33" s="11"/>
      <c r="H33" s="11"/>
      <c r="I33" s="62">
        <f t="shared" si="13"/>
        <v>117553.64399999999</v>
      </c>
      <c r="J33" s="21">
        <v>10921</v>
      </c>
      <c r="L33" s="22"/>
      <c r="M33" s="22"/>
      <c r="N33" s="22"/>
      <c r="O33" s="22"/>
      <c r="P33" s="23"/>
      <c r="Q33" s="24"/>
      <c r="R33" s="15"/>
      <c r="S33" s="15">
        <f t="shared" si="10"/>
        <v>0</v>
      </c>
      <c r="T33" s="15">
        <f t="shared" si="9"/>
        <v>0</v>
      </c>
      <c r="U33" s="15">
        <f t="shared" si="11"/>
        <v>0</v>
      </c>
      <c r="V33" s="15"/>
      <c r="W33" s="15">
        <f t="shared" si="12"/>
        <v>0</v>
      </c>
      <c r="X33" s="25"/>
      <c r="Y33" s="26"/>
      <c r="Z33" s="25"/>
      <c r="AA33" s="17"/>
    </row>
    <row r="34" spans="2:37" x14ac:dyDescent="0.25">
      <c r="B34" s="10">
        <f t="shared" si="14"/>
        <v>20</v>
      </c>
      <c r="C34" s="61" t="s">
        <v>85</v>
      </c>
      <c r="D34" s="27" t="s">
        <v>74</v>
      </c>
      <c r="E34" s="61" t="s">
        <v>85</v>
      </c>
      <c r="F34" s="19"/>
      <c r="G34" s="11"/>
      <c r="H34" s="11"/>
      <c r="I34" s="62">
        <f t="shared" si="13"/>
        <v>31269.42</v>
      </c>
      <c r="J34" s="21">
        <v>2905</v>
      </c>
      <c r="L34" s="22"/>
      <c r="M34" s="22"/>
      <c r="N34" s="22"/>
      <c r="O34" s="22"/>
      <c r="P34" s="23"/>
      <c r="Q34" s="24"/>
      <c r="R34" s="15"/>
      <c r="S34" s="15">
        <f t="shared" si="10"/>
        <v>0</v>
      </c>
      <c r="T34" s="15">
        <f t="shared" si="9"/>
        <v>0</v>
      </c>
      <c r="U34" s="15">
        <f t="shared" si="11"/>
        <v>0</v>
      </c>
      <c r="V34" s="15"/>
      <c r="W34" s="15">
        <f t="shared" si="12"/>
        <v>0</v>
      </c>
      <c r="X34" s="25"/>
      <c r="Y34" s="26"/>
      <c r="Z34" s="25"/>
      <c r="AA34" s="17"/>
    </row>
    <row r="35" spans="2:37" x14ac:dyDescent="0.25">
      <c r="B35" s="10">
        <f t="shared" si="14"/>
        <v>21</v>
      </c>
      <c r="C35" s="61" t="s">
        <v>85</v>
      </c>
      <c r="D35" s="27" t="s">
        <v>75</v>
      </c>
      <c r="E35" s="61" t="s">
        <v>85</v>
      </c>
      <c r="F35" s="19"/>
      <c r="G35" s="11"/>
      <c r="H35" s="11"/>
      <c r="I35" s="62">
        <f t="shared" si="13"/>
        <v>12077.207999999999</v>
      </c>
      <c r="J35" s="21">
        <v>1122</v>
      </c>
      <c r="L35" s="22"/>
      <c r="M35" s="22"/>
      <c r="N35" s="22"/>
      <c r="O35" s="22"/>
      <c r="P35" s="23"/>
      <c r="Q35" s="24"/>
      <c r="R35" s="15"/>
      <c r="S35" s="15">
        <f t="shared" si="10"/>
        <v>0</v>
      </c>
      <c r="T35" s="15">
        <f t="shared" si="9"/>
        <v>0</v>
      </c>
      <c r="U35" s="15">
        <f t="shared" si="11"/>
        <v>0</v>
      </c>
      <c r="V35" s="15"/>
      <c r="W35" s="15">
        <f t="shared" si="12"/>
        <v>0</v>
      </c>
      <c r="X35" s="25"/>
      <c r="Y35" s="26"/>
      <c r="Z35" s="25"/>
      <c r="AA35" s="17"/>
    </row>
    <row r="36" spans="2:37" x14ac:dyDescent="0.25">
      <c r="B36" s="10">
        <f t="shared" si="14"/>
        <v>22</v>
      </c>
      <c r="C36" s="61" t="s">
        <v>85</v>
      </c>
      <c r="D36" s="27" t="s">
        <v>76</v>
      </c>
      <c r="E36" s="61" t="s">
        <v>85</v>
      </c>
      <c r="F36" s="19"/>
      <c r="G36" s="11"/>
      <c r="H36" s="11"/>
      <c r="I36" s="62">
        <f t="shared" si="13"/>
        <v>285784.2</v>
      </c>
      <c r="J36" s="21">
        <v>26550</v>
      </c>
      <c r="L36" s="22"/>
      <c r="M36" s="22"/>
      <c r="N36" s="22"/>
      <c r="O36" s="22"/>
      <c r="P36" s="23"/>
      <c r="Q36" s="24"/>
      <c r="R36" s="15"/>
      <c r="S36" s="15">
        <f t="shared" si="10"/>
        <v>0</v>
      </c>
      <c r="T36" s="15">
        <f t="shared" si="9"/>
        <v>0</v>
      </c>
      <c r="U36" s="15">
        <f t="shared" si="11"/>
        <v>0</v>
      </c>
      <c r="V36" s="15"/>
      <c r="W36" s="15">
        <f t="shared" si="12"/>
        <v>0</v>
      </c>
      <c r="X36" s="25"/>
      <c r="Y36" s="26"/>
      <c r="Z36" s="25"/>
      <c r="AA36" s="17"/>
    </row>
    <row r="37" spans="2:37" x14ac:dyDescent="0.25">
      <c r="B37" s="10">
        <f t="shared" si="14"/>
        <v>23</v>
      </c>
      <c r="C37" s="61" t="s">
        <v>85</v>
      </c>
      <c r="D37" s="27" t="s">
        <v>77</v>
      </c>
      <c r="E37" s="61" t="s">
        <v>85</v>
      </c>
      <c r="F37" s="19"/>
      <c r="G37" s="11"/>
      <c r="H37" s="11"/>
      <c r="I37" s="62">
        <f t="shared" si="13"/>
        <v>87188.4</v>
      </c>
      <c r="J37" s="21">
        <v>8100</v>
      </c>
      <c r="L37" s="22"/>
      <c r="M37" s="22"/>
      <c r="N37" s="22"/>
      <c r="O37" s="22"/>
      <c r="P37" s="23"/>
      <c r="Q37" s="24"/>
      <c r="R37" s="15"/>
      <c r="S37" s="15">
        <f t="shared" si="10"/>
        <v>0</v>
      </c>
      <c r="T37" s="15">
        <f t="shared" si="9"/>
        <v>0</v>
      </c>
      <c r="U37" s="15">
        <f t="shared" si="11"/>
        <v>0</v>
      </c>
      <c r="V37" s="15"/>
      <c r="W37" s="15">
        <f t="shared" si="12"/>
        <v>0</v>
      </c>
      <c r="X37" s="25"/>
      <c r="Y37" s="26"/>
      <c r="Z37" s="25"/>
      <c r="AA37" s="17"/>
    </row>
    <row r="38" spans="2:37" x14ac:dyDescent="0.25">
      <c r="B38" s="10">
        <f t="shared" si="14"/>
        <v>24</v>
      </c>
      <c r="C38" s="61" t="s">
        <v>85</v>
      </c>
      <c r="D38" s="27" t="s">
        <v>78</v>
      </c>
      <c r="E38" s="61" t="s">
        <v>85</v>
      </c>
      <c r="F38" s="19"/>
      <c r="G38" s="11"/>
      <c r="H38" s="11"/>
      <c r="I38" s="62">
        <f t="shared" si="13"/>
        <v>161460</v>
      </c>
      <c r="J38" s="21">
        <v>15000</v>
      </c>
      <c r="L38" s="22"/>
      <c r="M38" s="22"/>
      <c r="N38" s="22"/>
      <c r="O38" s="22"/>
      <c r="P38" s="23"/>
      <c r="Q38" s="24"/>
      <c r="R38" s="15"/>
      <c r="S38" s="15">
        <f t="shared" si="10"/>
        <v>0</v>
      </c>
      <c r="T38" s="15">
        <f t="shared" si="9"/>
        <v>0</v>
      </c>
      <c r="U38" s="15">
        <f t="shared" si="11"/>
        <v>0</v>
      </c>
      <c r="V38" s="15"/>
      <c r="W38" s="15">
        <f t="shared" si="12"/>
        <v>0</v>
      </c>
      <c r="X38" s="25"/>
      <c r="Y38" s="26"/>
      <c r="Z38" s="25"/>
      <c r="AA38" s="17"/>
    </row>
    <row r="39" spans="2:37" x14ac:dyDescent="0.25">
      <c r="B39" s="10">
        <f t="shared" si="14"/>
        <v>25</v>
      </c>
      <c r="C39" s="61" t="s">
        <v>85</v>
      </c>
      <c r="D39" s="27" t="s">
        <v>79</v>
      </c>
      <c r="E39" s="61" t="s">
        <v>85</v>
      </c>
      <c r="F39" s="19"/>
      <c r="G39" s="11"/>
      <c r="H39" s="11"/>
      <c r="I39" s="62">
        <f t="shared" si="13"/>
        <v>11237.616</v>
      </c>
      <c r="J39" s="21">
        <v>1044</v>
      </c>
      <c r="L39" s="22"/>
      <c r="M39" s="22"/>
      <c r="N39" s="22"/>
      <c r="O39" s="22"/>
      <c r="P39" s="23"/>
      <c r="Q39" s="24"/>
      <c r="R39" s="15"/>
      <c r="S39" s="15">
        <f t="shared" si="10"/>
        <v>0</v>
      </c>
      <c r="T39" s="15">
        <f t="shared" si="9"/>
        <v>0</v>
      </c>
      <c r="U39" s="15">
        <f t="shared" si="11"/>
        <v>0</v>
      </c>
      <c r="V39" s="15"/>
      <c r="W39" s="15">
        <f t="shared" si="12"/>
        <v>0</v>
      </c>
      <c r="X39" s="25"/>
      <c r="Y39" s="26"/>
      <c r="Z39" s="25"/>
      <c r="AA39" s="17"/>
    </row>
    <row r="40" spans="2:37" x14ac:dyDescent="0.25">
      <c r="B40" s="10">
        <f t="shared" si="14"/>
        <v>26</v>
      </c>
      <c r="C40" s="61" t="s">
        <v>85</v>
      </c>
      <c r="D40" s="27" t="s">
        <v>131</v>
      </c>
      <c r="E40" s="61" t="s">
        <v>85</v>
      </c>
      <c r="F40" s="19"/>
      <c r="G40" s="11"/>
      <c r="H40" s="11"/>
      <c r="I40" s="62">
        <f t="shared" si="13"/>
        <v>18987.696</v>
      </c>
      <c r="J40" s="21">
        <v>1764</v>
      </c>
      <c r="K40" s="21"/>
      <c r="L40" s="22"/>
      <c r="M40" s="22"/>
      <c r="N40" s="22"/>
      <c r="O40" s="22"/>
      <c r="P40" s="23"/>
      <c r="Q40" s="24"/>
      <c r="R40" s="15"/>
      <c r="S40" s="15">
        <f t="shared" si="10"/>
        <v>0</v>
      </c>
      <c r="T40" s="15">
        <f t="shared" si="9"/>
        <v>0</v>
      </c>
      <c r="U40" s="15">
        <f t="shared" si="11"/>
        <v>0</v>
      </c>
      <c r="V40" s="15"/>
      <c r="W40" s="15">
        <f t="shared" si="12"/>
        <v>0</v>
      </c>
      <c r="X40" s="25"/>
      <c r="Y40" s="26"/>
      <c r="Z40" s="25"/>
      <c r="AA40" s="17"/>
    </row>
    <row r="41" spans="2:37" x14ac:dyDescent="0.25">
      <c r="B41" s="10">
        <f t="shared" si="14"/>
        <v>27</v>
      </c>
      <c r="C41" s="61" t="s">
        <v>85</v>
      </c>
      <c r="D41" s="27" t="s">
        <v>80</v>
      </c>
      <c r="E41" s="61" t="s">
        <v>85</v>
      </c>
      <c r="F41" s="19"/>
      <c r="G41" s="11"/>
      <c r="H41" s="11"/>
      <c r="I41" s="62">
        <f t="shared" si="13"/>
        <v>64583.999999999993</v>
      </c>
      <c r="J41" s="21">
        <v>6000</v>
      </c>
      <c r="K41" s="21"/>
      <c r="L41" s="22"/>
      <c r="M41" s="22"/>
      <c r="N41" s="22"/>
      <c r="O41" s="22"/>
      <c r="P41" s="23"/>
      <c r="Q41" s="24"/>
      <c r="R41" s="15"/>
      <c r="S41" s="15">
        <f t="shared" si="10"/>
        <v>0</v>
      </c>
      <c r="T41" s="15">
        <f t="shared" si="9"/>
        <v>0</v>
      </c>
      <c r="U41" s="15">
        <f t="shared" si="11"/>
        <v>0</v>
      </c>
      <c r="V41" s="15"/>
      <c r="W41" s="15">
        <f t="shared" si="12"/>
        <v>0</v>
      </c>
      <c r="X41" s="25"/>
      <c r="Y41" s="26"/>
      <c r="Z41" s="25"/>
      <c r="AA41" s="17"/>
    </row>
    <row r="42" spans="2:37" x14ac:dyDescent="0.25">
      <c r="B42" s="10">
        <f t="shared" si="14"/>
        <v>28</v>
      </c>
      <c r="C42" s="61" t="s">
        <v>85</v>
      </c>
      <c r="D42" s="27" t="s">
        <v>81</v>
      </c>
      <c r="E42" s="61" t="s">
        <v>85</v>
      </c>
      <c r="F42" s="19"/>
      <c r="G42" s="11"/>
      <c r="H42" s="11"/>
      <c r="I42" s="62">
        <f t="shared" si="13"/>
        <v>43056</v>
      </c>
      <c r="J42" s="21">
        <v>4000</v>
      </c>
      <c r="K42" s="21"/>
      <c r="L42" s="22"/>
      <c r="M42" s="22"/>
      <c r="N42" s="22"/>
      <c r="O42" s="22"/>
      <c r="P42" s="23"/>
      <c r="Q42" s="24"/>
      <c r="R42" s="25"/>
      <c r="S42" s="25">
        <f t="shared" si="10"/>
        <v>0</v>
      </c>
      <c r="T42" s="25">
        <f t="shared" si="9"/>
        <v>0</v>
      </c>
      <c r="U42" s="25">
        <f t="shared" si="11"/>
        <v>0</v>
      </c>
      <c r="V42" s="25"/>
      <c r="W42" s="25">
        <f t="shared" si="12"/>
        <v>0</v>
      </c>
      <c r="X42" s="25"/>
      <c r="Y42" s="26"/>
      <c r="Z42" s="25"/>
      <c r="AA42" s="17"/>
    </row>
    <row r="43" spans="2:37" x14ac:dyDescent="0.25">
      <c r="B43" s="10">
        <f t="shared" si="14"/>
        <v>29</v>
      </c>
      <c r="C43" s="61" t="s">
        <v>83</v>
      </c>
      <c r="D43" s="27" t="s">
        <v>83</v>
      </c>
      <c r="E43" s="61" t="s">
        <v>83</v>
      </c>
      <c r="F43" s="19"/>
      <c r="G43" s="11"/>
      <c r="H43" s="11"/>
      <c r="I43" s="62">
        <f t="shared" si="13"/>
        <v>806223.6</v>
      </c>
      <c r="J43" s="21">
        <v>74900</v>
      </c>
      <c r="K43" s="21"/>
      <c r="L43" s="22"/>
      <c r="M43" s="22"/>
      <c r="N43" s="22"/>
      <c r="O43" s="22"/>
      <c r="P43" s="23"/>
      <c r="Q43" s="24"/>
      <c r="R43" s="25"/>
      <c r="S43" s="25"/>
      <c r="T43" s="25"/>
      <c r="U43" s="25"/>
      <c r="V43" s="25"/>
      <c r="W43" s="25"/>
      <c r="X43" s="25"/>
      <c r="Y43" s="26"/>
      <c r="Z43" s="25"/>
      <c r="AA43" s="17"/>
    </row>
    <row r="44" spans="2:37" x14ac:dyDescent="0.25">
      <c r="B44" s="10">
        <f t="shared" si="14"/>
        <v>30</v>
      </c>
      <c r="C44" s="61" t="s">
        <v>84</v>
      </c>
      <c r="D44" s="27" t="s">
        <v>84</v>
      </c>
      <c r="E44" s="61" t="s">
        <v>84</v>
      </c>
      <c r="F44" s="19"/>
      <c r="G44" s="11"/>
      <c r="H44" s="11"/>
      <c r="I44" s="62">
        <f t="shared" si="13"/>
        <v>327225.59999999998</v>
      </c>
      <c r="J44" s="21">
        <v>30400</v>
      </c>
      <c r="K44" s="21"/>
      <c r="L44" s="22"/>
      <c r="M44" s="22"/>
      <c r="N44" s="22"/>
      <c r="O44" s="22"/>
      <c r="P44" s="23"/>
      <c r="Q44" s="24"/>
      <c r="R44" s="25"/>
      <c r="S44" s="25"/>
      <c r="T44" s="25"/>
      <c r="U44" s="25"/>
      <c r="V44" s="25"/>
      <c r="W44" s="25"/>
      <c r="X44" s="25"/>
      <c r="Y44" s="26"/>
      <c r="Z44" s="25"/>
      <c r="AA44" s="17"/>
    </row>
    <row r="45" spans="2:37" x14ac:dyDescent="0.25">
      <c r="B45" s="10">
        <f t="shared" si="14"/>
        <v>31</v>
      </c>
      <c r="F45" s="19"/>
      <c r="G45" s="11"/>
      <c r="H45" s="11"/>
      <c r="I45" s="30">
        <f>SUM(I29:I44)</f>
        <v>2429477.8560000001</v>
      </c>
      <c r="J45" s="21">
        <f>SUM(J29:J44)</f>
        <v>225704</v>
      </c>
      <c r="K45" s="21"/>
      <c r="L45" s="22"/>
      <c r="M45" s="22"/>
      <c r="N45" s="22"/>
      <c r="O45" s="22"/>
      <c r="P45" s="23"/>
      <c r="Q45" s="24"/>
      <c r="R45" s="25"/>
      <c r="S45" s="25"/>
      <c r="T45" s="25"/>
      <c r="U45" s="25"/>
      <c r="V45" s="25"/>
      <c r="W45" s="25"/>
      <c r="X45" s="25"/>
      <c r="Y45" s="26"/>
      <c r="Z45" s="25"/>
      <c r="AA45" s="17"/>
    </row>
    <row r="46" spans="2:37" x14ac:dyDescent="0.25">
      <c r="B46" s="10"/>
      <c r="F46" s="82"/>
      <c r="G46" s="11"/>
      <c r="H46" s="11"/>
      <c r="I46" s="30"/>
      <c r="J46" s="21"/>
      <c r="K46" s="31"/>
      <c r="L46" s="28"/>
      <c r="M46" s="28"/>
      <c r="N46" s="28"/>
      <c r="O46" s="28"/>
      <c r="P46" s="28"/>
      <c r="Q46" s="28"/>
      <c r="R46" s="28"/>
      <c r="S46" s="32">
        <f>SUM(S5:S29)</f>
        <v>1172520367.2</v>
      </c>
      <c r="T46" s="32"/>
      <c r="U46" s="32"/>
      <c r="V46" s="32"/>
      <c r="W46" s="32">
        <f>SUM(W5:W29)</f>
        <v>1378586194.8149998</v>
      </c>
      <c r="X46" s="22"/>
      <c r="Y46" s="22"/>
      <c r="Z46" s="32">
        <f>SUM(Z5:Z29)</f>
        <v>80730000</v>
      </c>
      <c r="AA46" s="33"/>
      <c r="AK46" s="33"/>
    </row>
    <row r="47" spans="2:37" ht="30" x14ac:dyDescent="0.25">
      <c r="B47" s="10"/>
      <c r="C47" s="61" t="s">
        <v>49</v>
      </c>
      <c r="D47" s="27" t="s">
        <v>82</v>
      </c>
      <c r="E47" s="61" t="s">
        <v>49</v>
      </c>
      <c r="F47" s="19"/>
      <c r="G47" s="11"/>
      <c r="H47" s="11"/>
      <c r="I47" s="9">
        <f>J47*10.764</f>
        <v>292264.12799999997</v>
      </c>
      <c r="J47" s="21">
        <v>27152</v>
      </c>
      <c r="K47" s="35"/>
      <c r="L47" s="35"/>
      <c r="M47" s="35"/>
      <c r="N47" s="35"/>
      <c r="O47" s="35"/>
      <c r="P47" s="35"/>
      <c r="Q47" s="35"/>
      <c r="R47" s="36" t="s">
        <v>27</v>
      </c>
      <c r="S47" s="36"/>
      <c r="T47" s="36"/>
      <c r="U47" s="36"/>
      <c r="V47" s="36"/>
      <c r="W47" s="25">
        <f>5000*3180</f>
        <v>15900000</v>
      </c>
      <c r="X47" s="25"/>
      <c r="Y47" s="26"/>
      <c r="Z47" s="25">
        <f>(X47*Y47*J50)</f>
        <v>0</v>
      </c>
      <c r="AA47" s="37" t="e">
        <f>W47/I50</f>
        <v>#DIV/0!</v>
      </c>
    </row>
    <row r="48" spans="2:37" ht="30" x14ac:dyDescent="0.25">
      <c r="B48" s="10"/>
      <c r="C48" s="11"/>
      <c r="D48" s="11" t="s">
        <v>87</v>
      </c>
      <c r="E48" s="11"/>
      <c r="F48" s="19"/>
      <c r="G48" s="11"/>
      <c r="H48" s="11"/>
      <c r="I48" s="20">
        <v>3290</v>
      </c>
      <c r="J48" s="21"/>
      <c r="K48" s="38"/>
      <c r="L48" s="38"/>
      <c r="M48" s="38"/>
      <c r="N48" s="38"/>
      <c r="O48" s="38"/>
      <c r="P48" s="38"/>
      <c r="Q48" s="38"/>
      <c r="R48" s="39" t="s">
        <v>31</v>
      </c>
      <c r="S48" s="39"/>
      <c r="T48" s="39"/>
      <c r="U48" s="39"/>
      <c r="V48" s="39"/>
      <c r="W48" s="25">
        <f>'[1]Land Val.'!D3*1800000</f>
        <v>75934751.519644186</v>
      </c>
      <c r="X48" s="25"/>
      <c r="Y48" s="26"/>
      <c r="Z48" s="25"/>
      <c r="AA48" s="37"/>
    </row>
    <row r="49" spans="2:30" x14ac:dyDescent="0.25">
      <c r="B49" s="29" t="s">
        <v>23</v>
      </c>
      <c r="C49" s="29"/>
      <c r="D49" s="29"/>
      <c r="E49" s="29"/>
      <c r="F49" s="29"/>
      <c r="G49" s="29"/>
      <c r="H49" s="29"/>
      <c r="I49" s="30">
        <f>SUM(I5:I38)</f>
        <v>1961028.5760000001</v>
      </c>
      <c r="J49" s="31">
        <f>SUM(J5:J38)</f>
        <v>182184</v>
      </c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32">
        <f>SUM(W46:W48)</f>
        <v>1470420946.3346441</v>
      </c>
      <c r="X49" s="25"/>
      <c r="Y49" s="26"/>
      <c r="Z49" s="25"/>
      <c r="AA49" s="37">
        <f>W49/I49</f>
        <v>749.82127457516663</v>
      </c>
    </row>
    <row r="50" spans="2:30" ht="42.75" x14ac:dyDescent="0.25">
      <c r="B50" s="10">
        <v>22</v>
      </c>
      <c r="C50" s="34" t="s">
        <v>24</v>
      </c>
      <c r="D50" s="34" t="s">
        <v>25</v>
      </c>
      <c r="E50" s="34" t="s">
        <v>24</v>
      </c>
      <c r="F50" s="35" t="s">
        <v>26</v>
      </c>
      <c r="G50" s="35"/>
      <c r="H50" s="35"/>
      <c r="I50" s="35"/>
      <c r="J50" s="35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</row>
    <row r="51" spans="2:30" ht="42.75" x14ac:dyDescent="0.25">
      <c r="B51" s="10">
        <v>23</v>
      </c>
      <c r="C51" s="12" t="s">
        <v>28</v>
      </c>
      <c r="D51" s="12" t="s">
        <v>29</v>
      </c>
      <c r="E51" s="12" t="s">
        <v>28</v>
      </c>
      <c r="F51" s="38" t="s">
        <v>30</v>
      </c>
      <c r="G51" s="38"/>
      <c r="H51" s="38"/>
      <c r="I51" s="38"/>
      <c r="J51" s="38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B51" s="33"/>
      <c r="AC51" s="33"/>
    </row>
    <row r="52" spans="2:30" ht="165" x14ac:dyDescent="0.25">
      <c r="B52" s="42" t="s">
        <v>33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B52" s="33"/>
      <c r="AC52" s="33"/>
    </row>
    <row r="53" spans="2:30" ht="135" x14ac:dyDescent="0.25">
      <c r="B53" s="42" t="s">
        <v>34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B53" s="33"/>
      <c r="AC53" s="33"/>
    </row>
    <row r="54" spans="2:30" x14ac:dyDescent="0.25">
      <c r="AB54" s="37"/>
      <c r="AD54" s="45"/>
    </row>
    <row r="55" spans="2:30" x14ac:dyDescent="0.25">
      <c r="W55" s="46"/>
      <c r="Z55" s="47"/>
      <c r="AB55" s="37"/>
      <c r="AD55" s="45"/>
    </row>
    <row r="56" spans="2:30" x14ac:dyDescent="0.25">
      <c r="W56" s="33"/>
      <c r="X56" s="48">
        <v>1591673007.4160292</v>
      </c>
      <c r="Z56" s="47"/>
    </row>
    <row r="57" spans="2:30" x14ac:dyDescent="0.25">
      <c r="W57" s="37"/>
    </row>
    <row r="58" spans="2:30" x14ac:dyDescent="0.25">
      <c r="P58" s="1">
        <f>28/12</f>
        <v>2.3333333333333335</v>
      </c>
      <c r="T58" s="49"/>
      <c r="W58" s="37"/>
      <c r="X58" s="33">
        <v>1715487907.55146</v>
      </c>
      <c r="Z58" s="1">
        <v>202</v>
      </c>
      <c r="AB58" s="46"/>
    </row>
    <row r="59" spans="2:30" x14ac:dyDescent="0.25">
      <c r="W59" s="37"/>
      <c r="Z59" s="50">
        <f>Z58*0.85</f>
        <v>171.7</v>
      </c>
    </row>
    <row r="60" spans="2:30" x14ac:dyDescent="0.25">
      <c r="C60" s="113" t="s">
        <v>30</v>
      </c>
      <c r="D60" s="114"/>
      <c r="E60" s="114"/>
      <c r="F60" s="114"/>
      <c r="G60" s="113"/>
      <c r="H60" s="113"/>
      <c r="I60" s="113"/>
      <c r="J60" s="113"/>
      <c r="K60" s="113"/>
      <c r="L60" s="114"/>
      <c r="M60" s="114"/>
      <c r="N60" s="114"/>
      <c r="O60" s="113"/>
      <c r="W60" s="37"/>
      <c r="Z60" s="1">
        <f>Z58*0.75</f>
        <v>151.5</v>
      </c>
      <c r="AB60" s="46"/>
    </row>
    <row r="61" spans="2:30" x14ac:dyDescent="0.25">
      <c r="W61" s="37"/>
    </row>
    <row r="62" spans="2:30" x14ac:dyDescent="0.25">
      <c r="I62" s="4" t="s">
        <v>35</v>
      </c>
      <c r="J62" s="4" t="s">
        <v>36</v>
      </c>
      <c r="K62" s="4" t="s">
        <v>37</v>
      </c>
      <c r="L62" s="4" t="s">
        <v>38</v>
      </c>
      <c r="M62" s="4" t="s">
        <v>39</v>
      </c>
      <c r="N62" s="52" t="s">
        <v>40</v>
      </c>
    </row>
    <row r="63" spans="2:30" x14ac:dyDescent="0.25">
      <c r="I63" s="22">
        <v>1</v>
      </c>
      <c r="J63" s="27" t="s">
        <v>41</v>
      </c>
      <c r="K63" s="53">
        <v>300000</v>
      </c>
      <c r="L63" s="27" t="s">
        <v>42</v>
      </c>
      <c r="M63" s="25">
        <f>K63*42</f>
        <v>12600000</v>
      </c>
      <c r="N63" s="54" t="s">
        <v>43</v>
      </c>
    </row>
    <row r="64" spans="2:30" x14ac:dyDescent="0.25">
      <c r="I64" s="22">
        <v>2</v>
      </c>
      <c r="J64" s="27" t="s">
        <v>44</v>
      </c>
      <c r="K64" s="53">
        <v>3000</v>
      </c>
      <c r="L64" s="27" t="s">
        <v>45</v>
      </c>
      <c r="M64" s="25">
        <f>K64*2500</f>
        <v>7500000</v>
      </c>
      <c r="N64" s="54" t="s">
        <v>46</v>
      </c>
    </row>
    <row r="65" spans="9:30" x14ac:dyDescent="0.25">
      <c r="I65" s="22">
        <v>3</v>
      </c>
      <c r="J65" s="27" t="s">
        <v>47</v>
      </c>
      <c r="K65" s="53">
        <v>3350</v>
      </c>
      <c r="L65" s="27" t="s">
        <v>45</v>
      </c>
      <c r="M65" s="25">
        <f>K65*2500</f>
        <v>8375000</v>
      </c>
      <c r="N65" s="54" t="s">
        <v>48</v>
      </c>
    </row>
    <row r="66" spans="9:30" x14ac:dyDescent="0.25">
      <c r="I66" s="22">
        <v>4</v>
      </c>
      <c r="J66" s="27" t="s">
        <v>49</v>
      </c>
      <c r="K66" s="53">
        <v>1800</v>
      </c>
      <c r="L66" s="27" t="s">
        <v>50</v>
      </c>
      <c r="M66" s="25">
        <f>K66*2500*10</f>
        <v>45000000</v>
      </c>
      <c r="N66" s="54" t="s">
        <v>51</v>
      </c>
      <c r="AB66" s="33"/>
    </row>
    <row r="67" spans="9:30" x14ac:dyDescent="0.25">
      <c r="I67" s="22">
        <v>5</v>
      </c>
      <c r="J67" s="27" t="s">
        <v>52</v>
      </c>
      <c r="K67" s="53">
        <v>800</v>
      </c>
      <c r="L67" s="27" t="s">
        <v>50</v>
      </c>
      <c r="M67" s="25">
        <f>K67*W70</f>
        <v>2560000</v>
      </c>
      <c r="N67" s="54" t="s">
        <v>53</v>
      </c>
      <c r="W67" s="55">
        <v>500</v>
      </c>
    </row>
    <row r="68" spans="9:30" x14ac:dyDescent="0.25">
      <c r="I68" s="56"/>
      <c r="J68" s="57"/>
      <c r="K68" s="57" t="s">
        <v>54</v>
      </c>
      <c r="L68" s="58"/>
      <c r="M68" s="59">
        <f>SUM(M63:M67)</f>
        <v>76035000</v>
      </c>
      <c r="N68" s="58"/>
      <c r="R68" s="60"/>
      <c r="W68" s="55">
        <v>300</v>
      </c>
    </row>
    <row r="69" spans="9:30" x14ac:dyDescent="0.25">
      <c r="W69" s="55">
        <f>SUM(W67:W68)</f>
        <v>800</v>
      </c>
    </row>
    <row r="70" spans="9:30" x14ac:dyDescent="0.25">
      <c r="I70" s="33" t="s">
        <v>55</v>
      </c>
      <c r="W70" s="55">
        <f>W69*4</f>
        <v>3200</v>
      </c>
    </row>
    <row r="71" spans="9:30" x14ac:dyDescent="0.25">
      <c r="I71" s="33" t="s">
        <v>56</v>
      </c>
      <c r="AD71" s="33"/>
    </row>
    <row r="74" spans="9:30" x14ac:dyDescent="0.25">
      <c r="W74" s="33"/>
    </row>
    <row r="1048564" spans="5:9" x14ac:dyDescent="0.2">
      <c r="E1048564" s="129">
        <v>138449250</v>
      </c>
    </row>
    <row r="1048565" spans="5:9" x14ac:dyDescent="0.2">
      <c r="E1048565" s="129">
        <v>484173986</v>
      </c>
    </row>
    <row r="1048566" spans="5:9" x14ac:dyDescent="0.2">
      <c r="E1048566" s="129">
        <v>834994654</v>
      </c>
    </row>
    <row r="1048567" spans="5:9" x14ac:dyDescent="0.25">
      <c r="E1048567" s="130">
        <f>SUM(E1048564:E1048566)</f>
        <v>1457617890</v>
      </c>
    </row>
    <row r="1048570" spans="5:9" x14ac:dyDescent="0.25">
      <c r="E1048570" s="131">
        <v>27.669</v>
      </c>
    </row>
    <row r="1048571" spans="5:9" x14ac:dyDescent="0.25">
      <c r="E1048571" s="131">
        <f>E1048570*10000/4047</f>
        <v>68.369162342475903</v>
      </c>
      <c r="F1048571" s="44">
        <v>2025000</v>
      </c>
    </row>
    <row r="1048572" spans="5:9" x14ac:dyDescent="0.25">
      <c r="E1048572" s="43">
        <v>68.37</v>
      </c>
      <c r="F1048572" s="132">
        <f>F1048571*E1048572</f>
        <v>138449250</v>
      </c>
    </row>
    <row r="1048573" spans="5:9" x14ac:dyDescent="0.25">
      <c r="F1048573" s="15">
        <v>484173986.00499994</v>
      </c>
    </row>
    <row r="1048574" spans="5:9" x14ac:dyDescent="0.25">
      <c r="F1048574" s="133">
        <v>834994654</v>
      </c>
    </row>
    <row r="1048575" spans="5:9" x14ac:dyDescent="0.25">
      <c r="F1048575" s="134">
        <f>SUM(F1048572:F1048574)</f>
        <v>1457617890.0049999</v>
      </c>
    </row>
    <row r="1048576" spans="5:9" x14ac:dyDescent="0.25">
      <c r="F1048576" s="44">
        <v>145.80000000000001</v>
      </c>
      <c r="H1048576" s="45">
        <f>F1048576*0.85</f>
        <v>123.93</v>
      </c>
      <c r="I1048576" s="45">
        <f>F1048576*0.75</f>
        <v>109.35000000000001</v>
      </c>
    </row>
  </sheetData>
  <mergeCells count="18">
    <mergeCell ref="B2:Z2"/>
    <mergeCell ref="R19:U19"/>
    <mergeCell ref="R20:U20"/>
    <mergeCell ref="R21:U21"/>
    <mergeCell ref="C60:O60"/>
    <mergeCell ref="C18:F18"/>
    <mergeCell ref="D19:F19"/>
    <mergeCell ref="D20:F20"/>
    <mergeCell ref="D21:F21"/>
    <mergeCell ref="I19:O19"/>
    <mergeCell ref="I20:O20"/>
    <mergeCell ref="I21:O21"/>
    <mergeCell ref="B24:W24"/>
    <mergeCell ref="B25:W25"/>
    <mergeCell ref="B26:W26"/>
    <mergeCell ref="B27:W27"/>
    <mergeCell ref="B22:U22"/>
    <mergeCell ref="B23:U23"/>
  </mergeCells>
  <dataValidations disablePrompts="1" count="1">
    <dataValidation type="list" allowBlank="1" showInputMessage="1" showErrorMessage="1" promptTitle="Condition of Structure" prompt="Condition of Structure" sqref="H29:H49 H4:H21">
      <formula1>"Poor, Average, Ordinary, Good, Very Good, Excellent"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6:N20"/>
  <sheetViews>
    <sheetView workbookViewId="0">
      <selection activeCell="G1" sqref="G1"/>
    </sheetView>
  </sheetViews>
  <sheetFormatPr defaultRowHeight="15" x14ac:dyDescent="0.25"/>
  <cols>
    <col min="5" max="5" width="19.28515625" bestFit="1" customWidth="1"/>
    <col min="6" max="6" width="18.5703125" bestFit="1" customWidth="1"/>
    <col min="7" max="7" width="16.85546875" bestFit="1" customWidth="1"/>
    <col min="9" max="9" width="6.5703125" customWidth="1"/>
    <col min="10" max="10" width="5.5703125" customWidth="1"/>
    <col min="12" max="12" width="19.28515625" bestFit="1" customWidth="1"/>
    <col min="13" max="13" width="11.5703125" customWidth="1"/>
    <col min="14" max="14" width="9.85546875" customWidth="1"/>
    <col min="261" max="261" width="19.28515625" bestFit="1" customWidth="1"/>
    <col min="262" max="262" width="18.5703125" bestFit="1" customWidth="1"/>
    <col min="263" max="263" width="16.85546875" bestFit="1" customWidth="1"/>
    <col min="517" max="517" width="19.28515625" bestFit="1" customWidth="1"/>
    <col min="518" max="518" width="18.5703125" bestFit="1" customWidth="1"/>
    <col min="519" max="519" width="16.85546875" bestFit="1" customWidth="1"/>
    <col min="773" max="773" width="19.28515625" bestFit="1" customWidth="1"/>
    <col min="774" max="774" width="18.5703125" bestFit="1" customWidth="1"/>
    <col min="775" max="775" width="16.85546875" bestFit="1" customWidth="1"/>
    <col min="1029" max="1029" width="19.28515625" bestFit="1" customWidth="1"/>
    <col min="1030" max="1030" width="18.5703125" bestFit="1" customWidth="1"/>
    <col min="1031" max="1031" width="16.85546875" bestFit="1" customWidth="1"/>
    <col min="1285" max="1285" width="19.28515625" bestFit="1" customWidth="1"/>
    <col min="1286" max="1286" width="18.5703125" bestFit="1" customWidth="1"/>
    <col min="1287" max="1287" width="16.85546875" bestFit="1" customWidth="1"/>
    <col min="1541" max="1541" width="19.28515625" bestFit="1" customWidth="1"/>
    <col min="1542" max="1542" width="18.5703125" bestFit="1" customWidth="1"/>
    <col min="1543" max="1543" width="16.85546875" bestFit="1" customWidth="1"/>
    <col min="1797" max="1797" width="19.28515625" bestFit="1" customWidth="1"/>
    <col min="1798" max="1798" width="18.5703125" bestFit="1" customWidth="1"/>
    <col min="1799" max="1799" width="16.85546875" bestFit="1" customWidth="1"/>
    <col min="2053" max="2053" width="19.28515625" bestFit="1" customWidth="1"/>
    <col min="2054" max="2054" width="18.5703125" bestFit="1" customWidth="1"/>
    <col min="2055" max="2055" width="16.85546875" bestFit="1" customWidth="1"/>
    <col min="2309" max="2309" width="19.28515625" bestFit="1" customWidth="1"/>
    <col min="2310" max="2310" width="18.5703125" bestFit="1" customWidth="1"/>
    <col min="2311" max="2311" width="16.85546875" bestFit="1" customWidth="1"/>
    <col min="2565" max="2565" width="19.28515625" bestFit="1" customWidth="1"/>
    <col min="2566" max="2566" width="18.5703125" bestFit="1" customWidth="1"/>
    <col min="2567" max="2567" width="16.85546875" bestFit="1" customWidth="1"/>
    <col min="2821" max="2821" width="19.28515625" bestFit="1" customWidth="1"/>
    <col min="2822" max="2822" width="18.5703125" bestFit="1" customWidth="1"/>
    <col min="2823" max="2823" width="16.85546875" bestFit="1" customWidth="1"/>
    <col min="3077" max="3077" width="19.28515625" bestFit="1" customWidth="1"/>
    <col min="3078" max="3078" width="18.5703125" bestFit="1" customWidth="1"/>
    <col min="3079" max="3079" width="16.85546875" bestFit="1" customWidth="1"/>
    <col min="3333" max="3333" width="19.28515625" bestFit="1" customWidth="1"/>
    <col min="3334" max="3334" width="18.5703125" bestFit="1" customWidth="1"/>
    <col min="3335" max="3335" width="16.85546875" bestFit="1" customWidth="1"/>
    <col min="3589" max="3589" width="19.28515625" bestFit="1" customWidth="1"/>
    <col min="3590" max="3590" width="18.5703125" bestFit="1" customWidth="1"/>
    <col min="3591" max="3591" width="16.85546875" bestFit="1" customWidth="1"/>
    <col min="3845" max="3845" width="19.28515625" bestFit="1" customWidth="1"/>
    <col min="3846" max="3846" width="18.5703125" bestFit="1" customWidth="1"/>
    <col min="3847" max="3847" width="16.85546875" bestFit="1" customWidth="1"/>
    <col min="4101" max="4101" width="19.28515625" bestFit="1" customWidth="1"/>
    <col min="4102" max="4102" width="18.5703125" bestFit="1" customWidth="1"/>
    <col min="4103" max="4103" width="16.85546875" bestFit="1" customWidth="1"/>
    <col min="4357" max="4357" width="19.28515625" bestFit="1" customWidth="1"/>
    <col min="4358" max="4358" width="18.5703125" bestFit="1" customWidth="1"/>
    <col min="4359" max="4359" width="16.85546875" bestFit="1" customWidth="1"/>
    <col min="4613" max="4613" width="19.28515625" bestFit="1" customWidth="1"/>
    <col min="4614" max="4614" width="18.5703125" bestFit="1" customWidth="1"/>
    <col min="4615" max="4615" width="16.85546875" bestFit="1" customWidth="1"/>
    <col min="4869" max="4869" width="19.28515625" bestFit="1" customWidth="1"/>
    <col min="4870" max="4870" width="18.5703125" bestFit="1" customWidth="1"/>
    <col min="4871" max="4871" width="16.85546875" bestFit="1" customWidth="1"/>
    <col min="5125" max="5125" width="19.28515625" bestFit="1" customWidth="1"/>
    <col min="5126" max="5126" width="18.5703125" bestFit="1" customWidth="1"/>
    <col min="5127" max="5127" width="16.85546875" bestFit="1" customWidth="1"/>
    <col min="5381" max="5381" width="19.28515625" bestFit="1" customWidth="1"/>
    <col min="5382" max="5382" width="18.5703125" bestFit="1" customWidth="1"/>
    <col min="5383" max="5383" width="16.85546875" bestFit="1" customWidth="1"/>
    <col min="5637" max="5637" width="19.28515625" bestFit="1" customWidth="1"/>
    <col min="5638" max="5638" width="18.5703125" bestFit="1" customWidth="1"/>
    <col min="5639" max="5639" width="16.85546875" bestFit="1" customWidth="1"/>
    <col min="5893" max="5893" width="19.28515625" bestFit="1" customWidth="1"/>
    <col min="5894" max="5894" width="18.5703125" bestFit="1" customWidth="1"/>
    <col min="5895" max="5895" width="16.85546875" bestFit="1" customWidth="1"/>
    <col min="6149" max="6149" width="19.28515625" bestFit="1" customWidth="1"/>
    <col min="6150" max="6150" width="18.5703125" bestFit="1" customWidth="1"/>
    <col min="6151" max="6151" width="16.85546875" bestFit="1" customWidth="1"/>
    <col min="6405" max="6405" width="19.28515625" bestFit="1" customWidth="1"/>
    <col min="6406" max="6406" width="18.5703125" bestFit="1" customWidth="1"/>
    <col min="6407" max="6407" width="16.85546875" bestFit="1" customWidth="1"/>
    <col min="6661" max="6661" width="19.28515625" bestFit="1" customWidth="1"/>
    <col min="6662" max="6662" width="18.5703125" bestFit="1" customWidth="1"/>
    <col min="6663" max="6663" width="16.85546875" bestFit="1" customWidth="1"/>
    <col min="6917" max="6917" width="19.28515625" bestFit="1" customWidth="1"/>
    <col min="6918" max="6918" width="18.5703125" bestFit="1" customWidth="1"/>
    <col min="6919" max="6919" width="16.85546875" bestFit="1" customWidth="1"/>
    <col min="7173" max="7173" width="19.28515625" bestFit="1" customWidth="1"/>
    <col min="7174" max="7174" width="18.5703125" bestFit="1" customWidth="1"/>
    <col min="7175" max="7175" width="16.85546875" bestFit="1" customWidth="1"/>
    <col min="7429" max="7429" width="19.28515625" bestFit="1" customWidth="1"/>
    <col min="7430" max="7430" width="18.5703125" bestFit="1" customWidth="1"/>
    <col min="7431" max="7431" width="16.85546875" bestFit="1" customWidth="1"/>
    <col min="7685" max="7685" width="19.28515625" bestFit="1" customWidth="1"/>
    <col min="7686" max="7686" width="18.5703125" bestFit="1" customWidth="1"/>
    <col min="7687" max="7687" width="16.85546875" bestFit="1" customWidth="1"/>
    <col min="7941" max="7941" width="19.28515625" bestFit="1" customWidth="1"/>
    <col min="7942" max="7942" width="18.5703125" bestFit="1" customWidth="1"/>
    <col min="7943" max="7943" width="16.85546875" bestFit="1" customWidth="1"/>
    <col min="8197" max="8197" width="19.28515625" bestFit="1" customWidth="1"/>
    <col min="8198" max="8198" width="18.5703125" bestFit="1" customWidth="1"/>
    <col min="8199" max="8199" width="16.85546875" bestFit="1" customWidth="1"/>
    <col min="8453" max="8453" width="19.28515625" bestFit="1" customWidth="1"/>
    <col min="8454" max="8454" width="18.5703125" bestFit="1" customWidth="1"/>
    <col min="8455" max="8455" width="16.85546875" bestFit="1" customWidth="1"/>
    <col min="8709" max="8709" width="19.28515625" bestFit="1" customWidth="1"/>
    <col min="8710" max="8710" width="18.5703125" bestFit="1" customWidth="1"/>
    <col min="8711" max="8711" width="16.85546875" bestFit="1" customWidth="1"/>
    <col min="8965" max="8965" width="19.28515625" bestFit="1" customWidth="1"/>
    <col min="8966" max="8966" width="18.5703125" bestFit="1" customWidth="1"/>
    <col min="8967" max="8967" width="16.85546875" bestFit="1" customWidth="1"/>
    <col min="9221" max="9221" width="19.28515625" bestFit="1" customWidth="1"/>
    <col min="9222" max="9222" width="18.5703125" bestFit="1" customWidth="1"/>
    <col min="9223" max="9223" width="16.85546875" bestFit="1" customWidth="1"/>
    <col min="9477" max="9477" width="19.28515625" bestFit="1" customWidth="1"/>
    <col min="9478" max="9478" width="18.5703125" bestFit="1" customWidth="1"/>
    <col min="9479" max="9479" width="16.85546875" bestFit="1" customWidth="1"/>
    <col min="9733" max="9733" width="19.28515625" bestFit="1" customWidth="1"/>
    <col min="9734" max="9734" width="18.5703125" bestFit="1" customWidth="1"/>
    <col min="9735" max="9735" width="16.85546875" bestFit="1" customWidth="1"/>
    <col min="9989" max="9989" width="19.28515625" bestFit="1" customWidth="1"/>
    <col min="9990" max="9990" width="18.5703125" bestFit="1" customWidth="1"/>
    <col min="9991" max="9991" width="16.85546875" bestFit="1" customWidth="1"/>
    <col min="10245" max="10245" width="19.28515625" bestFit="1" customWidth="1"/>
    <col min="10246" max="10246" width="18.5703125" bestFit="1" customWidth="1"/>
    <col min="10247" max="10247" width="16.85546875" bestFit="1" customWidth="1"/>
    <col min="10501" max="10501" width="19.28515625" bestFit="1" customWidth="1"/>
    <col min="10502" max="10502" width="18.5703125" bestFit="1" customWidth="1"/>
    <col min="10503" max="10503" width="16.85546875" bestFit="1" customWidth="1"/>
    <col min="10757" max="10757" width="19.28515625" bestFit="1" customWidth="1"/>
    <col min="10758" max="10758" width="18.5703125" bestFit="1" customWidth="1"/>
    <col min="10759" max="10759" width="16.85546875" bestFit="1" customWidth="1"/>
    <col min="11013" max="11013" width="19.28515625" bestFit="1" customWidth="1"/>
    <col min="11014" max="11014" width="18.5703125" bestFit="1" customWidth="1"/>
    <col min="11015" max="11015" width="16.85546875" bestFit="1" customWidth="1"/>
    <col min="11269" max="11269" width="19.28515625" bestFit="1" customWidth="1"/>
    <col min="11270" max="11270" width="18.5703125" bestFit="1" customWidth="1"/>
    <col min="11271" max="11271" width="16.85546875" bestFit="1" customWidth="1"/>
    <col min="11525" max="11525" width="19.28515625" bestFit="1" customWidth="1"/>
    <col min="11526" max="11526" width="18.5703125" bestFit="1" customWidth="1"/>
    <col min="11527" max="11527" width="16.85546875" bestFit="1" customWidth="1"/>
    <col min="11781" max="11781" width="19.28515625" bestFit="1" customWidth="1"/>
    <col min="11782" max="11782" width="18.5703125" bestFit="1" customWidth="1"/>
    <col min="11783" max="11783" width="16.85546875" bestFit="1" customWidth="1"/>
    <col min="12037" max="12037" width="19.28515625" bestFit="1" customWidth="1"/>
    <col min="12038" max="12038" width="18.5703125" bestFit="1" customWidth="1"/>
    <col min="12039" max="12039" width="16.85546875" bestFit="1" customWidth="1"/>
    <col min="12293" max="12293" width="19.28515625" bestFit="1" customWidth="1"/>
    <col min="12294" max="12294" width="18.5703125" bestFit="1" customWidth="1"/>
    <col min="12295" max="12295" width="16.85546875" bestFit="1" customWidth="1"/>
    <col min="12549" max="12549" width="19.28515625" bestFit="1" customWidth="1"/>
    <col min="12550" max="12550" width="18.5703125" bestFit="1" customWidth="1"/>
    <col min="12551" max="12551" width="16.85546875" bestFit="1" customWidth="1"/>
    <col min="12805" max="12805" width="19.28515625" bestFit="1" customWidth="1"/>
    <col min="12806" max="12806" width="18.5703125" bestFit="1" customWidth="1"/>
    <col min="12807" max="12807" width="16.85546875" bestFit="1" customWidth="1"/>
    <col min="13061" max="13061" width="19.28515625" bestFit="1" customWidth="1"/>
    <col min="13062" max="13062" width="18.5703125" bestFit="1" customWidth="1"/>
    <col min="13063" max="13063" width="16.85546875" bestFit="1" customWidth="1"/>
    <col min="13317" max="13317" width="19.28515625" bestFit="1" customWidth="1"/>
    <col min="13318" max="13318" width="18.5703125" bestFit="1" customWidth="1"/>
    <col min="13319" max="13319" width="16.85546875" bestFit="1" customWidth="1"/>
    <col min="13573" max="13573" width="19.28515625" bestFit="1" customWidth="1"/>
    <col min="13574" max="13574" width="18.5703125" bestFit="1" customWidth="1"/>
    <col min="13575" max="13575" width="16.85546875" bestFit="1" customWidth="1"/>
    <col min="13829" max="13829" width="19.28515625" bestFit="1" customWidth="1"/>
    <col min="13830" max="13830" width="18.5703125" bestFit="1" customWidth="1"/>
    <col min="13831" max="13831" width="16.85546875" bestFit="1" customWidth="1"/>
    <col min="14085" max="14085" width="19.28515625" bestFit="1" customWidth="1"/>
    <col min="14086" max="14086" width="18.5703125" bestFit="1" customWidth="1"/>
    <col min="14087" max="14087" width="16.85546875" bestFit="1" customWidth="1"/>
    <col min="14341" max="14341" width="19.28515625" bestFit="1" customWidth="1"/>
    <col min="14342" max="14342" width="18.5703125" bestFit="1" customWidth="1"/>
    <col min="14343" max="14343" width="16.85546875" bestFit="1" customWidth="1"/>
    <col min="14597" max="14597" width="19.28515625" bestFit="1" customWidth="1"/>
    <col min="14598" max="14598" width="18.5703125" bestFit="1" customWidth="1"/>
    <col min="14599" max="14599" width="16.85546875" bestFit="1" customWidth="1"/>
    <col min="14853" max="14853" width="19.28515625" bestFit="1" customWidth="1"/>
    <col min="14854" max="14854" width="18.5703125" bestFit="1" customWidth="1"/>
    <col min="14855" max="14855" width="16.85546875" bestFit="1" customWidth="1"/>
    <col min="15109" max="15109" width="19.28515625" bestFit="1" customWidth="1"/>
    <col min="15110" max="15110" width="18.5703125" bestFit="1" customWidth="1"/>
    <col min="15111" max="15111" width="16.85546875" bestFit="1" customWidth="1"/>
    <col min="15365" max="15365" width="19.28515625" bestFit="1" customWidth="1"/>
    <col min="15366" max="15366" width="18.5703125" bestFit="1" customWidth="1"/>
    <col min="15367" max="15367" width="16.85546875" bestFit="1" customWidth="1"/>
    <col min="15621" max="15621" width="19.28515625" bestFit="1" customWidth="1"/>
    <col min="15622" max="15622" width="18.5703125" bestFit="1" customWidth="1"/>
    <col min="15623" max="15623" width="16.85546875" bestFit="1" customWidth="1"/>
    <col min="15877" max="15877" width="19.28515625" bestFit="1" customWidth="1"/>
    <col min="15878" max="15878" width="18.5703125" bestFit="1" customWidth="1"/>
    <col min="15879" max="15879" width="16.85546875" bestFit="1" customWidth="1"/>
    <col min="16133" max="16133" width="19.28515625" bestFit="1" customWidth="1"/>
    <col min="16134" max="16134" width="18.5703125" bestFit="1" customWidth="1"/>
    <col min="16135" max="16135" width="16.85546875" bestFit="1" customWidth="1"/>
  </cols>
  <sheetData>
    <row r="6" spans="5:14" x14ac:dyDescent="0.25">
      <c r="E6" s="76" t="s">
        <v>36</v>
      </c>
      <c r="F6" s="76" t="s">
        <v>109</v>
      </c>
      <c r="G6" s="76" t="s">
        <v>110</v>
      </c>
    </row>
    <row r="7" spans="5:14" x14ac:dyDescent="0.25">
      <c r="E7" s="75" t="s">
        <v>111</v>
      </c>
      <c r="F7" s="77">
        <f>'[2]LAND 2022'!O55</f>
        <v>199216800</v>
      </c>
      <c r="G7" s="77">
        <f>F7</f>
        <v>199216800</v>
      </c>
      <c r="K7" s="76" t="s">
        <v>127</v>
      </c>
      <c r="L7" s="76" t="s">
        <v>36</v>
      </c>
      <c r="M7" s="76" t="s">
        <v>109</v>
      </c>
      <c r="N7" s="76" t="s">
        <v>110</v>
      </c>
    </row>
    <row r="8" spans="5:14" x14ac:dyDescent="0.25">
      <c r="E8" s="75" t="s">
        <v>112</v>
      </c>
      <c r="F8" s="77">
        <f>'[2]Building 2022'!$J$376</f>
        <v>189765007.72999999</v>
      </c>
      <c r="G8" s="77">
        <f>'[2]Building 2022'!$AX$376</f>
        <v>120758767.19447158</v>
      </c>
      <c r="K8" s="74">
        <v>1</v>
      </c>
      <c r="L8" s="75" t="s">
        <v>111</v>
      </c>
      <c r="M8" s="87">
        <v>19.921679999999999</v>
      </c>
      <c r="N8" s="87">
        <v>19.921679999999999</v>
      </c>
    </row>
    <row r="9" spans="5:14" s="78" customFormat="1" x14ac:dyDescent="0.25">
      <c r="E9" s="75" t="s">
        <v>113</v>
      </c>
      <c r="F9" s="77">
        <f>'[2]Building 2022'!$J$541</f>
        <v>14545340.219999999</v>
      </c>
      <c r="G9" s="77">
        <f>'[2]Building 2022'!$AX$541</f>
        <v>11919007.313125158</v>
      </c>
      <c r="K9" s="74">
        <f>INT(K8)+1</f>
        <v>2</v>
      </c>
      <c r="L9" s="75" t="s">
        <v>112</v>
      </c>
      <c r="M9" s="87">
        <v>18.976500772999998</v>
      </c>
      <c r="N9" s="87">
        <v>12.075876719447159</v>
      </c>
    </row>
    <row r="10" spans="5:14" x14ac:dyDescent="0.25">
      <c r="E10" s="75" t="s">
        <v>114</v>
      </c>
      <c r="F10" s="77">
        <f>'[2]Plant &amp; Machinery 2022'!$J$484</f>
        <v>1283090935.6200016</v>
      </c>
      <c r="G10" s="77">
        <f>'[2]Plant &amp; Machinery 2022'!$AW$484</f>
        <v>524702421.5144648</v>
      </c>
      <c r="K10" s="74">
        <f t="shared" ref="K10:K19" si="0">INT(K9)+1</f>
        <v>3</v>
      </c>
      <c r="L10" s="75" t="s">
        <v>113</v>
      </c>
      <c r="M10" s="87">
        <v>1.4545340219999998</v>
      </c>
      <c r="N10" s="87">
        <v>1.1919007313125158</v>
      </c>
    </row>
    <row r="11" spans="5:14" x14ac:dyDescent="0.25">
      <c r="E11" s="75" t="s">
        <v>115</v>
      </c>
      <c r="F11" s="77">
        <f>'[2]DG Set 2022'!$J$9</f>
        <v>7297747</v>
      </c>
      <c r="G11" s="77">
        <f>'[2]DG Set 2022'!$BV$9</f>
        <v>364887.80089762155</v>
      </c>
      <c r="K11" s="74">
        <f t="shared" si="0"/>
        <v>4</v>
      </c>
      <c r="L11" s="75" t="s">
        <v>114</v>
      </c>
      <c r="M11" s="87">
        <v>128.30909356200016</v>
      </c>
      <c r="N11" s="87">
        <v>52.470242151446477</v>
      </c>
    </row>
    <row r="12" spans="5:14" x14ac:dyDescent="0.25">
      <c r="E12" s="75" t="s">
        <v>116</v>
      </c>
      <c r="F12" s="77">
        <f>'[2]Lab 2022'!$J$28</f>
        <v>4475562.7602500003</v>
      </c>
      <c r="G12" s="77">
        <f>'[2]Lab 2022'!$AX$28</f>
        <v>2326603.6079020561</v>
      </c>
      <c r="K12" s="74">
        <f t="shared" si="0"/>
        <v>5</v>
      </c>
      <c r="L12" s="75" t="s">
        <v>115</v>
      </c>
      <c r="M12" s="87">
        <v>0.7297747</v>
      </c>
      <c r="N12" s="87">
        <v>3.6488780089762154E-2</v>
      </c>
    </row>
    <row r="13" spans="5:14" x14ac:dyDescent="0.25">
      <c r="E13" s="75" t="s">
        <v>117</v>
      </c>
      <c r="F13" s="77">
        <f>'[2]Weigh Bridge2022'!$J$64</f>
        <v>20739673.989999998</v>
      </c>
      <c r="G13" s="77">
        <f>'[2]Weigh Bridge2022'!$AW$64</f>
        <v>12184637.432047818</v>
      </c>
      <c r="K13" s="74">
        <f t="shared" si="0"/>
        <v>6</v>
      </c>
      <c r="L13" s="75" t="s">
        <v>116</v>
      </c>
      <c r="M13" s="87">
        <v>0.44755627602500003</v>
      </c>
      <c r="N13" s="87">
        <v>0.23266036079020561</v>
      </c>
    </row>
    <row r="14" spans="5:14" x14ac:dyDescent="0.25">
      <c r="E14" s="75" t="s">
        <v>118</v>
      </c>
      <c r="F14" s="77">
        <f>'[2]Furniture 2022 '!$J$113</f>
        <v>1895838.97</v>
      </c>
      <c r="G14" s="77">
        <f>'[2]Furniture 2022 '!$AX$113</f>
        <v>294133.26879355509</v>
      </c>
      <c r="K14" s="74">
        <f t="shared" si="0"/>
        <v>7</v>
      </c>
      <c r="L14" s="75" t="s">
        <v>117</v>
      </c>
      <c r="M14" s="87">
        <v>2.0739673989999998</v>
      </c>
      <c r="N14" s="87">
        <v>1.2184637432047818</v>
      </c>
    </row>
    <row r="15" spans="5:14" x14ac:dyDescent="0.25">
      <c r="E15" s="75" t="s">
        <v>119</v>
      </c>
      <c r="F15" s="77">
        <f>'[2]Office Equip 2022'!$J$112</f>
        <v>4589161.83</v>
      </c>
      <c r="G15" s="77">
        <f>'[2]Office Equip 2022'!$AX$112</f>
        <v>701460.76502573106</v>
      </c>
      <c r="K15" s="74">
        <f t="shared" si="0"/>
        <v>8</v>
      </c>
      <c r="L15" s="75" t="s">
        <v>118</v>
      </c>
      <c r="M15" s="87">
        <v>0.189583897</v>
      </c>
      <c r="N15" s="87">
        <v>2.9413326879355509E-2</v>
      </c>
    </row>
    <row r="16" spans="5:14" x14ac:dyDescent="0.25">
      <c r="E16" s="75" t="s">
        <v>120</v>
      </c>
      <c r="F16" s="77">
        <f>'[2]Computer 2022 '!$J$108</f>
        <v>10179327.389999999</v>
      </c>
      <c r="G16" s="77">
        <f>'[2]Computer 2022 '!$AX$108</f>
        <v>1422662.3105199744</v>
      </c>
      <c r="K16" s="74">
        <f t="shared" si="0"/>
        <v>9</v>
      </c>
      <c r="L16" s="75" t="s">
        <v>119</v>
      </c>
      <c r="M16" s="87">
        <v>0.45891618300000003</v>
      </c>
      <c r="N16" s="87">
        <v>7.014607650257311E-2</v>
      </c>
    </row>
    <row r="17" spans="5:14" x14ac:dyDescent="0.25">
      <c r="E17" s="75" t="s">
        <v>121</v>
      </c>
      <c r="F17" s="77">
        <f>'[2]Tractor 2022'!$J$12</f>
        <v>9744936</v>
      </c>
      <c r="G17" s="77">
        <f>'[2]Tractor 2022'!$AW$12</f>
        <v>488621.1457948279</v>
      </c>
      <c r="K17" s="74">
        <f t="shared" si="0"/>
        <v>10</v>
      </c>
      <c r="L17" s="75" t="s">
        <v>120</v>
      </c>
      <c r="M17" s="87">
        <v>1.0179327389999999</v>
      </c>
      <c r="N17" s="87">
        <v>0.14226623105199745</v>
      </c>
    </row>
    <row r="18" spans="5:14" x14ac:dyDescent="0.25">
      <c r="E18" s="75" t="s">
        <v>122</v>
      </c>
      <c r="F18" s="77">
        <f>'[2]Vehicle 2022'!$J$10</f>
        <v>1776047.77</v>
      </c>
      <c r="G18" s="77">
        <f>'[2]Vehicle 2022'!$AW$10</f>
        <v>1169008.29720382</v>
      </c>
      <c r="K18" s="74">
        <f t="shared" si="0"/>
        <v>11</v>
      </c>
      <c r="L18" s="75" t="s">
        <v>121</v>
      </c>
      <c r="M18" s="87">
        <v>0.97449359999999996</v>
      </c>
      <c r="N18" s="87">
        <v>4.8862114579482793E-2</v>
      </c>
    </row>
    <row r="19" spans="5:14" x14ac:dyDescent="0.25">
      <c r="E19" s="79" t="s">
        <v>54</v>
      </c>
      <c r="F19" s="80">
        <f>SUM(F7:F18)</f>
        <v>1747316379.2802517</v>
      </c>
      <c r="G19" s="81">
        <f>SUM(G7:G18)</f>
        <v>875549010.65024698</v>
      </c>
      <c r="K19" s="74">
        <f t="shared" si="0"/>
        <v>12</v>
      </c>
      <c r="L19" s="75" t="s">
        <v>122</v>
      </c>
      <c r="M19" s="87">
        <v>0.17760477699999999</v>
      </c>
      <c r="N19" s="87">
        <v>0.116900829720382</v>
      </c>
    </row>
    <row r="20" spans="5:14" x14ac:dyDescent="0.25">
      <c r="K20" s="75"/>
      <c r="L20" s="79" t="s">
        <v>54</v>
      </c>
      <c r="M20" s="87">
        <v>174.73163792802518</v>
      </c>
      <c r="N20" s="87">
        <v>87.554901065024694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8:N22"/>
  <sheetViews>
    <sheetView workbookViewId="0"/>
  </sheetViews>
  <sheetFormatPr defaultRowHeight="15" x14ac:dyDescent="0.25"/>
  <cols>
    <col min="6" max="6" width="19.28515625" bestFit="1" customWidth="1"/>
    <col min="7" max="7" width="15.85546875" bestFit="1" customWidth="1"/>
    <col min="8" max="8" width="14.85546875" bestFit="1" customWidth="1"/>
    <col min="10" max="10" width="14.85546875" bestFit="1" customWidth="1"/>
    <col min="13" max="14" width="12" bestFit="1" customWidth="1"/>
    <col min="262" max="262" width="19.28515625" bestFit="1" customWidth="1"/>
    <col min="263" max="263" width="15.85546875" bestFit="1" customWidth="1"/>
    <col min="264" max="264" width="14.85546875" bestFit="1" customWidth="1"/>
    <col min="518" max="518" width="19.28515625" bestFit="1" customWidth="1"/>
    <col min="519" max="519" width="15.85546875" bestFit="1" customWidth="1"/>
    <col min="520" max="520" width="14.85546875" bestFit="1" customWidth="1"/>
    <col min="774" max="774" width="19.28515625" bestFit="1" customWidth="1"/>
    <col min="775" max="775" width="15.85546875" bestFit="1" customWidth="1"/>
    <col min="776" max="776" width="14.85546875" bestFit="1" customWidth="1"/>
    <col min="1030" max="1030" width="19.28515625" bestFit="1" customWidth="1"/>
    <col min="1031" max="1031" width="15.85546875" bestFit="1" customWidth="1"/>
    <col min="1032" max="1032" width="14.85546875" bestFit="1" customWidth="1"/>
    <col min="1286" max="1286" width="19.28515625" bestFit="1" customWidth="1"/>
    <col min="1287" max="1287" width="15.85546875" bestFit="1" customWidth="1"/>
    <col min="1288" max="1288" width="14.85546875" bestFit="1" customWidth="1"/>
    <col min="1542" max="1542" width="19.28515625" bestFit="1" customWidth="1"/>
    <col min="1543" max="1543" width="15.85546875" bestFit="1" customWidth="1"/>
    <col min="1544" max="1544" width="14.85546875" bestFit="1" customWidth="1"/>
    <col min="1798" max="1798" width="19.28515625" bestFit="1" customWidth="1"/>
    <col min="1799" max="1799" width="15.85546875" bestFit="1" customWidth="1"/>
    <col min="1800" max="1800" width="14.85546875" bestFit="1" customWidth="1"/>
    <col min="2054" max="2054" width="19.28515625" bestFit="1" customWidth="1"/>
    <col min="2055" max="2055" width="15.85546875" bestFit="1" customWidth="1"/>
    <col min="2056" max="2056" width="14.85546875" bestFit="1" customWidth="1"/>
    <col min="2310" max="2310" width="19.28515625" bestFit="1" customWidth="1"/>
    <col min="2311" max="2311" width="15.85546875" bestFit="1" customWidth="1"/>
    <col min="2312" max="2312" width="14.85546875" bestFit="1" customWidth="1"/>
    <col min="2566" max="2566" width="19.28515625" bestFit="1" customWidth="1"/>
    <col min="2567" max="2567" width="15.85546875" bestFit="1" customWidth="1"/>
    <col min="2568" max="2568" width="14.85546875" bestFit="1" customWidth="1"/>
    <col min="2822" max="2822" width="19.28515625" bestFit="1" customWidth="1"/>
    <col min="2823" max="2823" width="15.85546875" bestFit="1" customWidth="1"/>
    <col min="2824" max="2824" width="14.85546875" bestFit="1" customWidth="1"/>
    <col min="3078" max="3078" width="19.28515625" bestFit="1" customWidth="1"/>
    <col min="3079" max="3079" width="15.85546875" bestFit="1" customWidth="1"/>
    <col min="3080" max="3080" width="14.85546875" bestFit="1" customWidth="1"/>
    <col min="3334" max="3334" width="19.28515625" bestFit="1" customWidth="1"/>
    <col min="3335" max="3335" width="15.85546875" bestFit="1" customWidth="1"/>
    <col min="3336" max="3336" width="14.85546875" bestFit="1" customWidth="1"/>
    <col min="3590" max="3590" width="19.28515625" bestFit="1" customWidth="1"/>
    <col min="3591" max="3591" width="15.85546875" bestFit="1" customWidth="1"/>
    <col min="3592" max="3592" width="14.85546875" bestFit="1" customWidth="1"/>
    <col min="3846" max="3846" width="19.28515625" bestFit="1" customWidth="1"/>
    <col min="3847" max="3847" width="15.85546875" bestFit="1" customWidth="1"/>
    <col min="3848" max="3848" width="14.85546875" bestFit="1" customWidth="1"/>
    <col min="4102" max="4102" width="19.28515625" bestFit="1" customWidth="1"/>
    <col min="4103" max="4103" width="15.85546875" bestFit="1" customWidth="1"/>
    <col min="4104" max="4104" width="14.85546875" bestFit="1" customWidth="1"/>
    <col min="4358" max="4358" width="19.28515625" bestFit="1" customWidth="1"/>
    <col min="4359" max="4359" width="15.85546875" bestFit="1" customWidth="1"/>
    <col min="4360" max="4360" width="14.85546875" bestFit="1" customWidth="1"/>
    <col min="4614" max="4614" width="19.28515625" bestFit="1" customWidth="1"/>
    <col min="4615" max="4615" width="15.85546875" bestFit="1" customWidth="1"/>
    <col min="4616" max="4616" width="14.85546875" bestFit="1" customWidth="1"/>
    <col min="4870" max="4870" width="19.28515625" bestFit="1" customWidth="1"/>
    <col min="4871" max="4871" width="15.85546875" bestFit="1" customWidth="1"/>
    <col min="4872" max="4872" width="14.85546875" bestFit="1" customWidth="1"/>
    <col min="5126" max="5126" width="19.28515625" bestFit="1" customWidth="1"/>
    <col min="5127" max="5127" width="15.85546875" bestFit="1" customWidth="1"/>
    <col min="5128" max="5128" width="14.85546875" bestFit="1" customWidth="1"/>
    <col min="5382" max="5382" width="19.28515625" bestFit="1" customWidth="1"/>
    <col min="5383" max="5383" width="15.85546875" bestFit="1" customWidth="1"/>
    <col min="5384" max="5384" width="14.85546875" bestFit="1" customWidth="1"/>
    <col min="5638" max="5638" width="19.28515625" bestFit="1" customWidth="1"/>
    <col min="5639" max="5639" width="15.85546875" bestFit="1" customWidth="1"/>
    <col min="5640" max="5640" width="14.85546875" bestFit="1" customWidth="1"/>
    <col min="5894" max="5894" width="19.28515625" bestFit="1" customWidth="1"/>
    <col min="5895" max="5895" width="15.85546875" bestFit="1" customWidth="1"/>
    <col min="5896" max="5896" width="14.85546875" bestFit="1" customWidth="1"/>
    <col min="6150" max="6150" width="19.28515625" bestFit="1" customWidth="1"/>
    <col min="6151" max="6151" width="15.85546875" bestFit="1" customWidth="1"/>
    <col min="6152" max="6152" width="14.85546875" bestFit="1" customWidth="1"/>
    <col min="6406" max="6406" width="19.28515625" bestFit="1" customWidth="1"/>
    <col min="6407" max="6407" width="15.85546875" bestFit="1" customWidth="1"/>
    <col min="6408" max="6408" width="14.85546875" bestFit="1" customWidth="1"/>
    <col min="6662" max="6662" width="19.28515625" bestFit="1" customWidth="1"/>
    <col min="6663" max="6663" width="15.85546875" bestFit="1" customWidth="1"/>
    <col min="6664" max="6664" width="14.85546875" bestFit="1" customWidth="1"/>
    <col min="6918" max="6918" width="19.28515625" bestFit="1" customWidth="1"/>
    <col min="6919" max="6919" width="15.85546875" bestFit="1" customWidth="1"/>
    <col min="6920" max="6920" width="14.85546875" bestFit="1" customWidth="1"/>
    <col min="7174" max="7174" width="19.28515625" bestFit="1" customWidth="1"/>
    <col min="7175" max="7175" width="15.85546875" bestFit="1" customWidth="1"/>
    <col min="7176" max="7176" width="14.85546875" bestFit="1" customWidth="1"/>
    <col min="7430" max="7430" width="19.28515625" bestFit="1" customWidth="1"/>
    <col min="7431" max="7431" width="15.85546875" bestFit="1" customWidth="1"/>
    <col min="7432" max="7432" width="14.85546875" bestFit="1" customWidth="1"/>
    <col min="7686" max="7686" width="19.28515625" bestFit="1" customWidth="1"/>
    <col min="7687" max="7687" width="15.85546875" bestFit="1" customWidth="1"/>
    <col min="7688" max="7688" width="14.85546875" bestFit="1" customWidth="1"/>
    <col min="7942" max="7942" width="19.28515625" bestFit="1" customWidth="1"/>
    <col min="7943" max="7943" width="15.85546875" bestFit="1" customWidth="1"/>
    <col min="7944" max="7944" width="14.85546875" bestFit="1" customWidth="1"/>
    <col min="8198" max="8198" width="19.28515625" bestFit="1" customWidth="1"/>
    <col min="8199" max="8199" width="15.85546875" bestFit="1" customWidth="1"/>
    <col min="8200" max="8200" width="14.85546875" bestFit="1" customWidth="1"/>
    <col min="8454" max="8454" width="19.28515625" bestFit="1" customWidth="1"/>
    <col min="8455" max="8455" width="15.85546875" bestFit="1" customWidth="1"/>
    <col min="8456" max="8456" width="14.85546875" bestFit="1" customWidth="1"/>
    <col min="8710" max="8710" width="19.28515625" bestFit="1" customWidth="1"/>
    <col min="8711" max="8711" width="15.85546875" bestFit="1" customWidth="1"/>
    <col min="8712" max="8712" width="14.85546875" bestFit="1" customWidth="1"/>
    <col min="8966" max="8966" width="19.28515625" bestFit="1" customWidth="1"/>
    <col min="8967" max="8967" width="15.85546875" bestFit="1" customWidth="1"/>
    <col min="8968" max="8968" width="14.85546875" bestFit="1" customWidth="1"/>
    <col min="9222" max="9222" width="19.28515625" bestFit="1" customWidth="1"/>
    <col min="9223" max="9223" width="15.85546875" bestFit="1" customWidth="1"/>
    <col min="9224" max="9224" width="14.85546875" bestFit="1" customWidth="1"/>
    <col min="9478" max="9478" width="19.28515625" bestFit="1" customWidth="1"/>
    <col min="9479" max="9479" width="15.85546875" bestFit="1" customWidth="1"/>
    <col min="9480" max="9480" width="14.85546875" bestFit="1" customWidth="1"/>
    <col min="9734" max="9734" width="19.28515625" bestFit="1" customWidth="1"/>
    <col min="9735" max="9735" width="15.85546875" bestFit="1" customWidth="1"/>
    <col min="9736" max="9736" width="14.85546875" bestFit="1" customWidth="1"/>
    <col min="9990" max="9990" width="19.28515625" bestFit="1" customWidth="1"/>
    <col min="9991" max="9991" width="15.85546875" bestFit="1" customWidth="1"/>
    <col min="9992" max="9992" width="14.85546875" bestFit="1" customWidth="1"/>
    <col min="10246" max="10246" width="19.28515625" bestFit="1" customWidth="1"/>
    <col min="10247" max="10247" width="15.85546875" bestFit="1" customWidth="1"/>
    <col min="10248" max="10248" width="14.85546875" bestFit="1" customWidth="1"/>
    <col min="10502" max="10502" width="19.28515625" bestFit="1" customWidth="1"/>
    <col min="10503" max="10503" width="15.85546875" bestFit="1" customWidth="1"/>
    <col min="10504" max="10504" width="14.85546875" bestFit="1" customWidth="1"/>
    <col min="10758" max="10758" width="19.28515625" bestFit="1" customWidth="1"/>
    <col min="10759" max="10759" width="15.85546875" bestFit="1" customWidth="1"/>
    <col min="10760" max="10760" width="14.85546875" bestFit="1" customWidth="1"/>
    <col min="11014" max="11014" width="19.28515625" bestFit="1" customWidth="1"/>
    <col min="11015" max="11015" width="15.85546875" bestFit="1" customWidth="1"/>
    <col min="11016" max="11016" width="14.85546875" bestFit="1" customWidth="1"/>
    <col min="11270" max="11270" width="19.28515625" bestFit="1" customWidth="1"/>
    <col min="11271" max="11271" width="15.85546875" bestFit="1" customWidth="1"/>
    <col min="11272" max="11272" width="14.85546875" bestFit="1" customWidth="1"/>
    <col min="11526" max="11526" width="19.28515625" bestFit="1" customWidth="1"/>
    <col min="11527" max="11527" width="15.85546875" bestFit="1" customWidth="1"/>
    <col min="11528" max="11528" width="14.85546875" bestFit="1" customWidth="1"/>
    <col min="11782" max="11782" width="19.28515625" bestFit="1" customWidth="1"/>
    <col min="11783" max="11783" width="15.85546875" bestFit="1" customWidth="1"/>
    <col min="11784" max="11784" width="14.85546875" bestFit="1" customWidth="1"/>
    <col min="12038" max="12038" width="19.28515625" bestFit="1" customWidth="1"/>
    <col min="12039" max="12039" width="15.85546875" bestFit="1" customWidth="1"/>
    <col min="12040" max="12040" width="14.85546875" bestFit="1" customWidth="1"/>
    <col min="12294" max="12294" width="19.28515625" bestFit="1" customWidth="1"/>
    <col min="12295" max="12295" width="15.85546875" bestFit="1" customWidth="1"/>
    <col min="12296" max="12296" width="14.85546875" bestFit="1" customWidth="1"/>
    <col min="12550" max="12550" width="19.28515625" bestFit="1" customWidth="1"/>
    <col min="12551" max="12551" width="15.85546875" bestFit="1" customWidth="1"/>
    <col min="12552" max="12552" width="14.85546875" bestFit="1" customWidth="1"/>
    <col min="12806" max="12806" width="19.28515625" bestFit="1" customWidth="1"/>
    <col min="12807" max="12807" width="15.85546875" bestFit="1" customWidth="1"/>
    <col min="12808" max="12808" width="14.85546875" bestFit="1" customWidth="1"/>
    <col min="13062" max="13062" width="19.28515625" bestFit="1" customWidth="1"/>
    <col min="13063" max="13063" width="15.85546875" bestFit="1" customWidth="1"/>
    <col min="13064" max="13064" width="14.85546875" bestFit="1" customWidth="1"/>
    <col min="13318" max="13318" width="19.28515625" bestFit="1" customWidth="1"/>
    <col min="13319" max="13319" width="15.85546875" bestFit="1" customWidth="1"/>
    <col min="13320" max="13320" width="14.85546875" bestFit="1" customWidth="1"/>
    <col min="13574" max="13574" width="19.28515625" bestFit="1" customWidth="1"/>
    <col min="13575" max="13575" width="15.85546875" bestFit="1" customWidth="1"/>
    <col min="13576" max="13576" width="14.85546875" bestFit="1" customWidth="1"/>
    <col min="13830" max="13830" width="19.28515625" bestFit="1" customWidth="1"/>
    <col min="13831" max="13831" width="15.85546875" bestFit="1" customWidth="1"/>
    <col min="13832" max="13832" width="14.85546875" bestFit="1" customWidth="1"/>
    <col min="14086" max="14086" width="19.28515625" bestFit="1" customWidth="1"/>
    <col min="14087" max="14087" width="15.85546875" bestFit="1" customWidth="1"/>
    <col min="14088" max="14088" width="14.85546875" bestFit="1" customWidth="1"/>
    <col min="14342" max="14342" width="19.28515625" bestFit="1" customWidth="1"/>
    <col min="14343" max="14343" width="15.85546875" bestFit="1" customWidth="1"/>
    <col min="14344" max="14344" width="14.85546875" bestFit="1" customWidth="1"/>
    <col min="14598" max="14598" width="19.28515625" bestFit="1" customWidth="1"/>
    <col min="14599" max="14599" width="15.85546875" bestFit="1" customWidth="1"/>
    <col min="14600" max="14600" width="14.85546875" bestFit="1" customWidth="1"/>
    <col min="14854" max="14854" width="19.28515625" bestFit="1" customWidth="1"/>
    <col min="14855" max="14855" width="15.85546875" bestFit="1" customWidth="1"/>
    <col min="14856" max="14856" width="14.85546875" bestFit="1" customWidth="1"/>
    <col min="15110" max="15110" width="19.28515625" bestFit="1" customWidth="1"/>
    <col min="15111" max="15111" width="15.85546875" bestFit="1" customWidth="1"/>
    <col min="15112" max="15112" width="14.85546875" bestFit="1" customWidth="1"/>
    <col min="15366" max="15366" width="19.28515625" bestFit="1" customWidth="1"/>
    <col min="15367" max="15367" width="15.85546875" bestFit="1" customWidth="1"/>
    <col min="15368" max="15368" width="14.85546875" bestFit="1" customWidth="1"/>
    <col min="15622" max="15622" width="19.28515625" bestFit="1" customWidth="1"/>
    <col min="15623" max="15623" width="15.85546875" bestFit="1" customWidth="1"/>
    <col min="15624" max="15624" width="14.85546875" bestFit="1" customWidth="1"/>
    <col min="15878" max="15878" width="19.28515625" bestFit="1" customWidth="1"/>
    <col min="15879" max="15879" width="15.85546875" bestFit="1" customWidth="1"/>
    <col min="15880" max="15880" width="14.85546875" bestFit="1" customWidth="1"/>
    <col min="16134" max="16134" width="19.28515625" bestFit="1" customWidth="1"/>
    <col min="16135" max="16135" width="15.85546875" bestFit="1" customWidth="1"/>
    <col min="16136" max="16136" width="14.85546875" bestFit="1" customWidth="1"/>
  </cols>
  <sheetData>
    <row r="8" spans="5:14" x14ac:dyDescent="0.25">
      <c r="E8" s="76" t="s">
        <v>95</v>
      </c>
      <c r="F8" s="76" t="s">
        <v>36</v>
      </c>
      <c r="G8" s="76" t="s">
        <v>123</v>
      </c>
      <c r="H8" s="76" t="s">
        <v>124</v>
      </c>
      <c r="M8">
        <v>10000000</v>
      </c>
    </row>
    <row r="9" spans="5:14" x14ac:dyDescent="0.25">
      <c r="E9" s="74">
        <v>1</v>
      </c>
      <c r="F9" s="74" t="s">
        <v>118</v>
      </c>
      <c r="G9" s="83">
        <f>'[3]Furniture 2022'!$I$14</f>
        <v>39721</v>
      </c>
      <c r="H9" s="83">
        <v>0</v>
      </c>
    </row>
    <row r="10" spans="5:14" x14ac:dyDescent="0.25">
      <c r="E10" s="74">
        <f>INT(E9)+1</f>
        <v>2</v>
      </c>
      <c r="F10" s="74" t="s">
        <v>119</v>
      </c>
      <c r="G10" s="83">
        <f>'[3]Office Equipment 2022'!$J$10</f>
        <v>667056</v>
      </c>
      <c r="H10" s="83">
        <f>'[3]Office Equipment 2022'!$BL$10</f>
        <v>33353.800000000047</v>
      </c>
      <c r="M10" s="86">
        <v>3.9721000000000001E-3</v>
      </c>
      <c r="N10" s="86">
        <v>0</v>
      </c>
    </row>
    <row r="11" spans="5:14" x14ac:dyDescent="0.25">
      <c r="E11" s="74">
        <f t="shared" ref="E11:E14" si="0">INT(E10)+1</f>
        <v>3</v>
      </c>
      <c r="F11" s="74" t="s">
        <v>120</v>
      </c>
      <c r="G11" s="83">
        <f>'[3]Computer 2022'!$J$11</f>
        <v>396860</v>
      </c>
      <c r="H11" s="83">
        <f>'[3]Computer 2022'!$BP$11</f>
        <v>19842</v>
      </c>
      <c r="M11" s="86">
        <v>6.6705600000000004E-2</v>
      </c>
      <c r="N11" s="86">
        <v>3.3353800000000045E-3</v>
      </c>
    </row>
    <row r="12" spans="5:14" x14ac:dyDescent="0.25">
      <c r="E12" s="74">
        <f t="shared" si="0"/>
        <v>4</v>
      </c>
      <c r="F12" s="74" t="s">
        <v>125</v>
      </c>
      <c r="G12" s="83">
        <f>'[3]Plant &amp; Machinery 2022'!$J$54</f>
        <v>177420667.37</v>
      </c>
      <c r="H12" s="83">
        <f>'[3]Plant &amp; Machinery 2022'!$CC$54</f>
        <v>95897695.211216107</v>
      </c>
      <c r="M12" s="86">
        <v>3.9685999999999999E-2</v>
      </c>
      <c r="N12" s="86">
        <v>1.9842000000000002E-3</v>
      </c>
    </row>
    <row r="13" spans="5:14" x14ac:dyDescent="0.25">
      <c r="E13" s="74">
        <f t="shared" si="0"/>
        <v>5</v>
      </c>
      <c r="F13" s="74" t="s">
        <v>122</v>
      </c>
      <c r="G13" s="83">
        <f>'[3]Vehicle 2022'!$J$34</f>
        <v>641608</v>
      </c>
      <c r="H13" s="83">
        <f>'[3]Vehicle 2022'!$BO$34</f>
        <v>32081.299999999988</v>
      </c>
      <c r="J13" s="110"/>
      <c r="M13" s="86">
        <v>17.742066737000002</v>
      </c>
      <c r="N13" s="86">
        <v>9.5897695211216103</v>
      </c>
    </row>
    <row r="14" spans="5:14" x14ac:dyDescent="0.25">
      <c r="E14" s="74">
        <f t="shared" si="0"/>
        <v>6</v>
      </c>
      <c r="F14" s="84" t="s">
        <v>54</v>
      </c>
      <c r="G14" s="85">
        <f>SUM(G9:G13)</f>
        <v>179165912.37</v>
      </c>
      <c r="H14" s="83">
        <f>SUM(H9:H13)</f>
        <v>95982972.311216101</v>
      </c>
      <c r="J14" s="110">
        <f>H14+'sugar summary'!G19</f>
        <v>971531982.96146309</v>
      </c>
      <c r="M14" s="86">
        <v>6.4160800000000004E-2</v>
      </c>
      <c r="N14" s="86">
        <v>3.2081299999999987E-3</v>
      </c>
    </row>
    <row r="15" spans="5:14" x14ac:dyDescent="0.25">
      <c r="M15" s="86">
        <v>17.916591237000002</v>
      </c>
      <c r="N15" s="86">
        <v>9.5982972311216095</v>
      </c>
    </row>
    <row r="16" spans="5:14" x14ac:dyDescent="0.25">
      <c r="E16" s="76" t="s">
        <v>95</v>
      </c>
      <c r="F16" s="76" t="s">
        <v>36</v>
      </c>
      <c r="G16" s="76" t="s">
        <v>123</v>
      </c>
      <c r="H16" s="76" t="s">
        <v>124</v>
      </c>
    </row>
    <row r="17" spans="5:8" x14ac:dyDescent="0.25">
      <c r="E17" s="74">
        <v>1</v>
      </c>
      <c r="F17" s="74" t="s">
        <v>118</v>
      </c>
      <c r="G17" s="88">
        <v>3.9721000000000001E-3</v>
      </c>
      <c r="H17" s="88">
        <v>0</v>
      </c>
    </row>
    <row r="18" spans="5:8" x14ac:dyDescent="0.25">
      <c r="E18" s="74">
        <f>INT(E17)+1</f>
        <v>2</v>
      </c>
      <c r="F18" s="74" t="s">
        <v>119</v>
      </c>
      <c r="G18" s="88">
        <v>6.6705600000000004E-2</v>
      </c>
      <c r="H18" s="88">
        <v>3.3353800000000045E-3</v>
      </c>
    </row>
    <row r="19" spans="5:8" x14ac:dyDescent="0.25">
      <c r="E19" s="74">
        <f t="shared" ref="E19:E22" si="1">INT(E18)+1</f>
        <v>3</v>
      </c>
      <c r="F19" s="74" t="s">
        <v>120</v>
      </c>
      <c r="G19" s="88">
        <v>3.9685999999999999E-2</v>
      </c>
      <c r="H19" s="88">
        <v>1.9842000000000002E-3</v>
      </c>
    </row>
    <row r="20" spans="5:8" x14ac:dyDescent="0.25">
      <c r="E20" s="74">
        <f t="shared" si="1"/>
        <v>4</v>
      </c>
      <c r="F20" s="74" t="s">
        <v>125</v>
      </c>
      <c r="G20" s="88">
        <v>17.742066737000002</v>
      </c>
      <c r="H20" s="88">
        <v>9.5897695211216103</v>
      </c>
    </row>
    <row r="21" spans="5:8" x14ac:dyDescent="0.25">
      <c r="E21" s="74">
        <f t="shared" si="1"/>
        <v>5</v>
      </c>
      <c r="F21" s="74" t="s">
        <v>122</v>
      </c>
      <c r="G21" s="88">
        <v>6.4160800000000004E-2</v>
      </c>
      <c r="H21" s="88">
        <v>3.2081299999999987E-3</v>
      </c>
    </row>
    <row r="22" spans="5:8" x14ac:dyDescent="0.25">
      <c r="E22" s="74">
        <f t="shared" si="1"/>
        <v>6</v>
      </c>
      <c r="F22" s="84" t="s">
        <v>54</v>
      </c>
      <c r="G22" s="88">
        <v>17.916591237000002</v>
      </c>
      <c r="H22" s="88">
        <v>9.5982972311216095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Land</vt:lpstr>
      <vt:lpstr>Building</vt:lpstr>
      <vt:lpstr>sugar summary</vt:lpstr>
      <vt:lpstr>Co-genaration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Adil Afaque</dc:creator>
  <cp:lastModifiedBy>Adil Afaque</cp:lastModifiedBy>
  <dcterms:created xsi:type="dcterms:W3CDTF">2022-09-07T09:00:38Z</dcterms:created>
  <dcterms:modified xsi:type="dcterms:W3CDTF">2022-09-19T06:03:16Z</dcterms:modified>
</cp:coreProperties>
</file>