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Gaurav Sharma\VIS(2022-23)-PL186-141-289, Ms. Theta Pharmaceuticals\uploads\VIS(2022-23)-PL186-141-289\document\"/>
    </mc:Choice>
  </mc:AlternateContent>
  <bookViews>
    <workbookView xWindow="0" yWindow="0" windowWidth="20490" windowHeight="7755" tabRatio="673" activeTab="2"/>
  </bookViews>
  <sheets>
    <sheet name="Sheet1" sheetId="1" r:id="rId1"/>
    <sheet name="Sheet2" sheetId="2" r:id="rId2"/>
    <sheet name="Sheet3" sheetId="3" r:id="rId3"/>
    <sheet name="Sheet6" sheetId="6" r:id="rId4"/>
    <sheet name="Sheet4" sheetId="4" r:id="rId5"/>
    <sheet name="Sheet7" sheetId="7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20" i="1"/>
  <c r="L15" i="1"/>
  <c r="I7" i="2"/>
  <c r="I9" i="2" s="1"/>
  <c r="J9" i="2" s="1"/>
  <c r="J8" i="2"/>
  <c r="J6" i="2"/>
  <c r="J5" i="2"/>
  <c r="J4" i="2"/>
  <c r="L11" i="1"/>
  <c r="L10" i="1"/>
  <c r="L9" i="1"/>
  <c r="I8" i="2"/>
  <c r="I6" i="2"/>
  <c r="I5" i="2"/>
  <c r="I4" i="2"/>
  <c r="H4" i="2"/>
  <c r="K30" i="1"/>
  <c r="K4" i="1"/>
  <c r="K5" i="1"/>
  <c r="K6" i="1"/>
  <c r="K7" i="1"/>
  <c r="K8" i="1"/>
  <c r="K9" i="1"/>
  <c r="K10" i="1"/>
  <c r="K11" i="1"/>
  <c r="K3" i="1"/>
  <c r="C3" i="6"/>
  <c r="F3" i="6"/>
  <c r="H3" i="6"/>
  <c r="I3" i="6"/>
  <c r="C4" i="6"/>
  <c r="F4" i="6"/>
  <c r="H4" i="6"/>
  <c r="I4" i="6"/>
  <c r="C5" i="6"/>
  <c r="F5" i="6"/>
  <c r="I5" i="6" s="1"/>
  <c r="G5" i="6"/>
  <c r="H5" i="6"/>
  <c r="C6" i="6"/>
  <c r="F6" i="6"/>
  <c r="I6" i="6" s="1"/>
  <c r="H6" i="6"/>
  <c r="C7" i="6"/>
  <c r="F7" i="6"/>
  <c r="I7" i="6" s="1"/>
  <c r="H7" i="6"/>
  <c r="E14" i="7"/>
  <c r="E12" i="7"/>
  <c r="B7" i="7"/>
  <c r="B6" i="7"/>
  <c r="H30" i="1"/>
  <c r="E30" i="1"/>
  <c r="F30" i="1" s="1"/>
  <c r="I31" i="1"/>
  <c r="H31" i="1"/>
  <c r="L31" i="1" s="1"/>
  <c r="F31" i="1"/>
  <c r="E31" i="1"/>
  <c r="I29" i="1"/>
  <c r="H29" i="1"/>
  <c r="L29" i="1" s="1"/>
  <c r="F29" i="1"/>
  <c r="E29" i="1"/>
  <c r="H28" i="1"/>
  <c r="L28" i="1" s="1"/>
  <c r="E28" i="1"/>
  <c r="F28" i="1" s="1"/>
  <c r="H27" i="1"/>
  <c r="L27" i="1" s="1"/>
  <c r="E27" i="1"/>
  <c r="F27" i="1" s="1"/>
  <c r="N10" i="2"/>
  <c r="M11" i="2"/>
  <c r="J4" i="3"/>
  <c r="I4" i="3"/>
  <c r="G4" i="3"/>
  <c r="M12" i="1"/>
  <c r="H5" i="2"/>
  <c r="G5" i="2"/>
  <c r="N8" i="2"/>
  <c r="G6" i="2"/>
  <c r="G7" i="2"/>
  <c r="G8" i="2"/>
  <c r="G9" i="2"/>
  <c r="G4" i="2"/>
  <c r="H7" i="2"/>
  <c r="H9" i="2" s="1"/>
  <c r="H6" i="2"/>
  <c r="H8" i="2" s="1"/>
  <c r="K8" i="2" s="1"/>
  <c r="G5" i="3"/>
  <c r="J5" i="3" s="1"/>
  <c r="G6" i="3"/>
  <c r="J6" i="3" s="1"/>
  <c r="G7" i="3"/>
  <c r="J7" i="3" s="1"/>
  <c r="G8" i="3"/>
  <c r="J8" i="3" s="1"/>
  <c r="G3" i="3"/>
  <c r="J3" i="3" s="1"/>
  <c r="H12" i="1"/>
  <c r="E24" i="1"/>
  <c r="I4" i="1"/>
  <c r="I5" i="1"/>
  <c r="I6" i="1"/>
  <c r="I7" i="1"/>
  <c r="I8" i="1"/>
  <c r="I9" i="1"/>
  <c r="I10" i="1"/>
  <c r="I11" i="1"/>
  <c r="I3" i="1"/>
  <c r="H23" i="1"/>
  <c r="I23" i="1" s="1"/>
  <c r="H16" i="1"/>
  <c r="L16" i="1" s="1"/>
  <c r="H17" i="1"/>
  <c r="L17" i="1" s="1"/>
  <c r="H18" i="1"/>
  <c r="I18" i="1" s="1"/>
  <c r="H19" i="1"/>
  <c r="I19" i="1" s="1"/>
  <c r="H20" i="1"/>
  <c r="I20" i="1" s="1"/>
  <c r="H15" i="1"/>
  <c r="F4" i="1"/>
  <c r="J4" i="1" s="1"/>
  <c r="F5" i="1"/>
  <c r="J5" i="1" s="1"/>
  <c r="F6" i="1"/>
  <c r="J6" i="1" s="1"/>
  <c r="F7" i="1"/>
  <c r="J7" i="1" s="1"/>
  <c r="F8" i="1"/>
  <c r="J8" i="1" s="1"/>
  <c r="F15" i="1"/>
  <c r="F16" i="1"/>
  <c r="F17" i="1"/>
  <c r="F18" i="1"/>
  <c r="F19" i="1"/>
  <c r="F20" i="1"/>
  <c r="F21" i="1"/>
  <c r="G21" i="1" s="1"/>
  <c r="F22" i="1"/>
  <c r="G22" i="1" s="1"/>
  <c r="H22" i="1" s="1"/>
  <c r="L22" i="1" s="1"/>
  <c r="F23" i="1"/>
  <c r="F3" i="1"/>
  <c r="L3" i="1" s="1"/>
  <c r="E11" i="1"/>
  <c r="F11" i="1" s="1"/>
  <c r="J11" i="1" s="1"/>
  <c r="E10" i="1"/>
  <c r="F10" i="1" s="1"/>
  <c r="J10" i="1" s="1"/>
  <c r="E9" i="1"/>
  <c r="F9" i="1" s="1"/>
  <c r="J9" i="1" s="1"/>
  <c r="J7" i="2" l="1"/>
  <c r="K4" i="2"/>
  <c r="K12" i="1"/>
  <c r="L7" i="1"/>
  <c r="K27" i="1"/>
  <c r="L6" i="1"/>
  <c r="K23" i="1"/>
  <c r="K19" i="1"/>
  <c r="K22" i="1"/>
  <c r="K18" i="1"/>
  <c r="K29" i="1"/>
  <c r="K17" i="1"/>
  <c r="K28" i="1"/>
  <c r="L5" i="1"/>
  <c r="K15" i="1"/>
  <c r="K20" i="1"/>
  <c r="K16" i="1"/>
  <c r="K31" i="1"/>
  <c r="L8" i="1"/>
  <c r="L4" i="1"/>
  <c r="J30" i="1"/>
  <c r="L30" i="1"/>
  <c r="F32" i="1"/>
  <c r="I30" i="1"/>
  <c r="J31" i="1"/>
  <c r="J29" i="1"/>
  <c r="L32" i="1"/>
  <c r="I28" i="1"/>
  <c r="J22" i="1"/>
  <c r="J27" i="1"/>
  <c r="J28" i="1"/>
  <c r="E32" i="1"/>
  <c r="I22" i="1"/>
  <c r="K5" i="2"/>
  <c r="F12" i="1"/>
  <c r="H32" i="1"/>
  <c r="F24" i="1"/>
  <c r="I27" i="1"/>
  <c r="I32" i="1" s="1"/>
  <c r="K9" i="2"/>
  <c r="I8" i="3"/>
  <c r="I7" i="3"/>
  <c r="I6" i="3"/>
  <c r="I3" i="3"/>
  <c r="I5" i="3"/>
  <c r="H21" i="1"/>
  <c r="K21" i="1" s="1"/>
  <c r="E12" i="1"/>
  <c r="L19" i="1"/>
  <c r="K7" i="2"/>
  <c r="L18" i="1"/>
  <c r="K6" i="2"/>
  <c r="J3" i="1"/>
  <c r="J15" i="1"/>
  <c r="J17" i="1"/>
  <c r="J23" i="1"/>
  <c r="J20" i="1"/>
  <c r="J16" i="1"/>
  <c r="I17" i="1"/>
  <c r="J19" i="1"/>
  <c r="I16" i="1"/>
  <c r="J18" i="1"/>
  <c r="I15" i="1"/>
  <c r="L12" i="1" l="1"/>
  <c r="K24" i="1"/>
  <c r="H24" i="1"/>
  <c r="J21" i="1"/>
  <c r="L21" i="1"/>
  <c r="L24" i="1" s="1"/>
  <c r="I21" i="1"/>
  <c r="I24" i="1" s="1"/>
  <c r="J32" i="1"/>
  <c r="J24" i="1"/>
  <c r="J12" i="1"/>
  <c r="I12" i="1"/>
</calcChain>
</file>

<file path=xl/sharedStrings.xml><?xml version="1.0" encoding="utf-8"?>
<sst xmlns="http://schemas.openxmlformats.org/spreadsheetml/2006/main" count="291" uniqueCount="100">
  <si>
    <t>Sr. No.</t>
  </si>
  <si>
    <t>Machine Name</t>
  </si>
  <si>
    <t>Make</t>
  </si>
  <si>
    <t>Model</t>
  </si>
  <si>
    <t>Compression M/C 61 Stations</t>
  </si>
  <si>
    <t>Compression M/C 37 Stations</t>
  </si>
  <si>
    <t>Compression M/C 27 Stations</t>
  </si>
  <si>
    <t>Capsule Filling Machine</t>
  </si>
  <si>
    <t>Blister Packing Machine</t>
  </si>
  <si>
    <t>ALU-ALU Packing Machine</t>
  </si>
  <si>
    <t>Strip Packing Machine</t>
  </si>
  <si>
    <t>GMP</t>
  </si>
  <si>
    <t>240 Plus (PG)</t>
  </si>
  <si>
    <t>240 Plus</t>
  </si>
  <si>
    <t>PG</t>
  </si>
  <si>
    <t>Excel</t>
  </si>
  <si>
    <t>10TR-GMP</t>
  </si>
  <si>
    <t>Falcon</t>
  </si>
  <si>
    <t>Accura Press</t>
  </si>
  <si>
    <t>Fluid Pack</t>
  </si>
  <si>
    <t>Pharmafil</t>
  </si>
  <si>
    <t>Accurate</t>
  </si>
  <si>
    <t>IMA (PG)</t>
  </si>
  <si>
    <t>-</t>
  </si>
  <si>
    <t>2,56,200 Tablets/Hour</t>
  </si>
  <si>
    <t>2,22,200 Tablets/Hour</t>
  </si>
  <si>
    <t>1,29,000 Tablets/Hour</t>
  </si>
  <si>
    <t>35,000 Capsules/Hour</t>
  </si>
  <si>
    <t>Batch Size</t>
  </si>
  <si>
    <t>Tablet Name</t>
  </si>
  <si>
    <t>No. of Tablet Produced / Hour</t>
  </si>
  <si>
    <t>Calpro</t>
  </si>
  <si>
    <t xml:space="preserve">Cetirizine </t>
  </si>
  <si>
    <t>Tablet Size</t>
  </si>
  <si>
    <t>Small</t>
  </si>
  <si>
    <t>Medium</t>
  </si>
  <si>
    <t>Large</t>
  </si>
  <si>
    <t>Vigromen 100</t>
  </si>
  <si>
    <t>Paracetamol</t>
  </si>
  <si>
    <t>Installed Capacity</t>
  </si>
  <si>
    <t>Deviation</t>
  </si>
  <si>
    <t>Difference in Capacity as claimed by company Vs assessed by us</t>
  </si>
  <si>
    <t>Total</t>
  </si>
  <si>
    <t xml:space="preserve">Capacity as per Market Reference </t>
  </si>
  <si>
    <t>Capacity as per Market Reference (Shift Capacity for 9 hours)</t>
  </si>
  <si>
    <t>Capacity Claimed by Company (for Shift Capacity of 9 hours)</t>
  </si>
  <si>
    <t>Running Time of Compression Machine (Hours)</t>
  </si>
  <si>
    <t>Running Time of Packing Machine (Hours)</t>
  </si>
  <si>
    <t>Blister Machine</t>
  </si>
  <si>
    <t>No. of Tablet Packed / Hour</t>
  </si>
  <si>
    <t>Batch Size (No. of Tablet Produced)</t>
  </si>
  <si>
    <t>DETAILS OF COMPRESSION MACHINES AS PER BATCH MANUFACTURING RECORD</t>
  </si>
  <si>
    <t>DETAILS OF PACKAGING MACHINE AS PER BATCH MANUFACTURING RECORD</t>
  </si>
  <si>
    <t>2440 Blister per Minute</t>
  </si>
  <si>
    <t>Cetfast</t>
  </si>
  <si>
    <t>Plant Section</t>
  </si>
  <si>
    <t>Capsules &amp; Tablets</t>
  </si>
  <si>
    <t>Filling Machine</t>
  </si>
  <si>
    <t>Deshera Tech 120</t>
  </si>
  <si>
    <t>Opthalmic Section</t>
  </si>
  <si>
    <t>Bottle Filling Machine</t>
  </si>
  <si>
    <t>Anchor Mark</t>
  </si>
  <si>
    <t>Oral Liquid Section</t>
  </si>
  <si>
    <t>Ointment Section</t>
  </si>
  <si>
    <t>Tube Filling Machine</t>
  </si>
  <si>
    <t>Square Pharma Machineries</t>
  </si>
  <si>
    <t>Lotion Section</t>
  </si>
  <si>
    <t>Amba Sales</t>
  </si>
  <si>
    <t>Filling &amp; Sealing Machine</t>
  </si>
  <si>
    <t>Dusting Powder Section</t>
  </si>
  <si>
    <t>Capacity Claimed by Company (Per Hour)</t>
  </si>
  <si>
    <t>Capacity as per Market Reference (Per Hour)</t>
  </si>
  <si>
    <t>120 bottles per minute</t>
  </si>
  <si>
    <t>Filling Machine (Opthalmic Section)</t>
  </si>
  <si>
    <t>Tube Filling Machine (Ointment Section)</t>
  </si>
  <si>
    <t>Filling Machine (Lotion Section)</t>
  </si>
  <si>
    <t>20 bottles per minute</t>
  </si>
  <si>
    <t>Double Filling Head Machine (Dusting Powder Section)</t>
  </si>
  <si>
    <t>DETAILS OF FILLING MACHINE AS PER BATCH MANUFACTURING RECORD</t>
  </si>
  <si>
    <t>Running Time of Filling Machine (Hours)</t>
  </si>
  <si>
    <t>Spurna Hair Oil</t>
  </si>
  <si>
    <t>No. of Bottles/Vials/Tubes / Hour</t>
  </si>
  <si>
    <t>Product Name</t>
  </si>
  <si>
    <t>ALBENIPRO SUSPENSION FILLING -  37 - 38.</t>
  </si>
  <si>
    <t>MEDICARE CREAM FILLING - 22</t>
  </si>
  <si>
    <t>ELDER EYE REFRESH FILLING - 23</t>
  </si>
  <si>
    <t>KATWALK DUSTING POWDER - 15,16</t>
  </si>
  <si>
    <t>SPURNA HAIR OIL - 28</t>
  </si>
  <si>
    <t>Bottle Filling Machine (Oral liquid section)</t>
  </si>
  <si>
    <t>Elder Eye Fresh</t>
  </si>
  <si>
    <t>Albenipro</t>
  </si>
  <si>
    <t>Edicare</t>
  </si>
  <si>
    <t>Katwalk</t>
  </si>
  <si>
    <t>Output Capacity</t>
  </si>
  <si>
    <t>OTHER SECTION (OPTHALMIC, OINTMENT, DUSTING POWDER)</t>
  </si>
  <si>
    <t>PACKING SECTION</t>
  </si>
  <si>
    <t>COMPRESSION &amp; FILLING SECTION</t>
  </si>
  <si>
    <t>Capacity Assessment Assessed (per shift per day) (lesser of market &amp; claimed by company)</t>
  </si>
  <si>
    <t xml:space="preserve">Capacity Assessment Assessed (per shift per day) </t>
  </si>
  <si>
    <t>Installed Capacity  (lesser of market &amp; claimed by company)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</si>
</sst>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/>
    <xf numFmtId="9" fontId="0" fillId="0" borderId="1" xfId="2" applyFont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164" fontId="0" fillId="0" borderId="0" xfId="1" applyNumberFormat="1" applyFont="1" applyBorder="1" applyAlignment="1"/>
    <xf numFmtId="9" fontId="0" fillId="0" borderId="1" xfId="2" applyFont="1" applyBorder="1" applyAlignment="1"/>
    <xf numFmtId="164" fontId="0" fillId="0" borderId="0" xfId="1" applyNumberFormat="1" applyFont="1" applyAlignment="1"/>
    <xf numFmtId="164" fontId="3" fillId="0" borderId="1" xfId="1" applyNumberFormat="1" applyFont="1" applyBorder="1" applyAlignment="1"/>
    <xf numFmtId="43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43" fontId="0" fillId="0" borderId="0" xfId="0" applyNumberFormat="1"/>
    <xf numFmtId="0" fontId="0" fillId="0" borderId="2" xfId="0" applyBorder="1" applyAlignment="1"/>
    <xf numFmtId="164" fontId="0" fillId="0" borderId="1" xfId="2" applyNumberFormat="1" applyFont="1" applyBorder="1"/>
    <xf numFmtId="3" fontId="3" fillId="0" borderId="1" xfId="0" applyNumberFormat="1" applyFont="1" applyBorder="1" applyAlignment="1">
      <alignment horizontal="right"/>
    </xf>
    <xf numFmtId="164" fontId="0" fillId="0" borderId="0" xfId="1" applyNumberFormat="1" applyFont="1"/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/>
    </xf>
    <xf numFmtId="9" fontId="0" fillId="0" borderId="1" xfId="2" applyFont="1" applyFill="1" applyBorder="1" applyAlignment="1">
      <alignment vertical="center"/>
    </xf>
    <xf numFmtId="3" fontId="0" fillId="0" borderId="1" xfId="0" applyNumberForma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/>
    <xf numFmtId="0" fontId="5" fillId="0" borderId="0" xfId="0" applyFont="1"/>
    <xf numFmtId="0" fontId="5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70" zoomScaleNormal="70" workbookViewId="0">
      <pane ySplit="1" topLeftCell="A2" activePane="bottomLeft" state="frozen"/>
      <selection pane="bottomLeft" activeCell="L7" sqref="L7"/>
    </sheetView>
  </sheetViews>
  <sheetFormatPr defaultRowHeight="15" x14ac:dyDescent="0.25"/>
  <cols>
    <col min="1" max="1" width="7.7109375" customWidth="1"/>
    <col min="2" max="2" width="31.85546875" customWidth="1"/>
    <col min="3" max="3" width="29.28515625" bestFit="1" customWidth="1"/>
    <col min="4" max="4" width="17.7109375" style="20" customWidth="1"/>
    <col min="5" max="5" width="18.7109375" customWidth="1"/>
    <col min="6" max="6" width="25.7109375" customWidth="1"/>
    <col min="7" max="7" width="22.42578125" hidden="1" customWidth="1"/>
    <col min="8" max="8" width="22.42578125" customWidth="1"/>
    <col min="9" max="9" width="28.28515625" customWidth="1"/>
    <col min="10" max="10" width="26" customWidth="1"/>
    <col min="11" max="11" width="26" hidden="1" customWidth="1"/>
    <col min="12" max="12" width="25.7109375" customWidth="1"/>
    <col min="13" max="13" width="12.5703125" bestFit="1" customWidth="1"/>
  </cols>
  <sheetData>
    <row r="1" spans="1:15" ht="7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45</v>
      </c>
      <c r="F1" s="6" t="s">
        <v>70</v>
      </c>
      <c r="G1" s="6" t="s">
        <v>43</v>
      </c>
      <c r="H1" s="6" t="s">
        <v>71</v>
      </c>
      <c r="I1" s="6" t="s">
        <v>44</v>
      </c>
      <c r="J1" s="6" t="s">
        <v>41</v>
      </c>
      <c r="K1" s="6" t="s">
        <v>98</v>
      </c>
      <c r="L1" s="6" t="s">
        <v>97</v>
      </c>
      <c r="M1" s="7"/>
      <c r="N1" s="7"/>
      <c r="O1" s="8"/>
    </row>
    <row r="2" spans="1:15" x14ac:dyDescent="0.25">
      <c r="A2" s="55" t="s">
        <v>96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7"/>
      <c r="N2" s="7"/>
      <c r="O2" s="8"/>
    </row>
    <row r="3" spans="1:15" x14ac:dyDescent="0.25">
      <c r="A3" s="2">
        <v>1</v>
      </c>
      <c r="B3" s="3" t="s">
        <v>4</v>
      </c>
      <c r="C3" s="2" t="s">
        <v>17</v>
      </c>
      <c r="D3" s="2" t="s">
        <v>11</v>
      </c>
      <c r="E3" s="1">
        <v>2300000</v>
      </c>
      <c r="F3" s="1">
        <f>E3/9</f>
        <v>255555.55555555556</v>
      </c>
      <c r="G3" s="5" t="s">
        <v>24</v>
      </c>
      <c r="H3" s="5">
        <v>256200</v>
      </c>
      <c r="I3" s="1">
        <f>H3*9</f>
        <v>2305800</v>
      </c>
      <c r="J3" s="15">
        <f>H3-F3</f>
        <v>644.44444444443798</v>
      </c>
      <c r="K3" s="15">
        <f>H3*80%</f>
        <v>204960</v>
      </c>
      <c r="L3" s="15">
        <f>F3*80%</f>
        <v>204444.44444444447</v>
      </c>
      <c r="M3" s="23"/>
      <c r="N3" s="7"/>
      <c r="O3" s="8"/>
    </row>
    <row r="4" spans="1:15" x14ac:dyDescent="0.25">
      <c r="A4" s="2">
        <v>2</v>
      </c>
      <c r="B4" s="3" t="s">
        <v>4</v>
      </c>
      <c r="C4" s="2" t="s">
        <v>18</v>
      </c>
      <c r="D4" s="2" t="s">
        <v>11</v>
      </c>
      <c r="E4" s="1">
        <v>2300000</v>
      </c>
      <c r="F4" s="1">
        <f t="shared" ref="F4:F23" si="0">E4/9</f>
        <v>255555.55555555556</v>
      </c>
      <c r="G4" s="5" t="s">
        <v>24</v>
      </c>
      <c r="H4" s="5">
        <v>256200</v>
      </c>
      <c r="I4" s="1">
        <f t="shared" ref="I4:I22" si="1">H4*9</f>
        <v>2305800</v>
      </c>
      <c r="J4" s="15">
        <f t="shared" ref="J4:J31" si="2">H4-F4</f>
        <v>644.44444444443798</v>
      </c>
      <c r="K4" s="15">
        <f t="shared" ref="K4:K11" si="3">H4*80%</f>
        <v>204960</v>
      </c>
      <c r="L4" s="15">
        <f t="shared" ref="L4:L8" si="4">F4*80%</f>
        <v>204444.44444444447</v>
      </c>
      <c r="M4" s="7"/>
      <c r="N4" s="7"/>
      <c r="O4" s="8"/>
    </row>
    <row r="5" spans="1:15" x14ac:dyDescent="0.25">
      <c r="A5" s="2">
        <v>3</v>
      </c>
      <c r="B5" s="3" t="s">
        <v>4</v>
      </c>
      <c r="C5" s="2" t="s">
        <v>18</v>
      </c>
      <c r="D5" s="2" t="s">
        <v>11</v>
      </c>
      <c r="E5" s="1">
        <v>2300000</v>
      </c>
      <c r="F5" s="1">
        <f t="shared" si="0"/>
        <v>255555.55555555556</v>
      </c>
      <c r="G5" s="5" t="s">
        <v>24</v>
      </c>
      <c r="H5" s="5">
        <v>256200</v>
      </c>
      <c r="I5" s="1">
        <f t="shared" si="1"/>
        <v>2305800</v>
      </c>
      <c r="J5" s="15">
        <f t="shared" si="2"/>
        <v>644.44444444443798</v>
      </c>
      <c r="K5" s="15">
        <f t="shared" si="3"/>
        <v>204960</v>
      </c>
      <c r="L5" s="15">
        <f t="shared" si="4"/>
        <v>204444.44444444447</v>
      </c>
      <c r="M5" s="7"/>
      <c r="N5" s="7"/>
      <c r="O5" s="8"/>
    </row>
    <row r="6" spans="1:15" x14ac:dyDescent="0.25">
      <c r="A6" s="2">
        <v>4</v>
      </c>
      <c r="B6" s="3" t="s">
        <v>5</v>
      </c>
      <c r="C6" s="2" t="s">
        <v>18</v>
      </c>
      <c r="D6" s="2" t="s">
        <v>11</v>
      </c>
      <c r="E6" s="4">
        <v>1200000</v>
      </c>
      <c r="F6" s="1">
        <f t="shared" si="0"/>
        <v>133333.33333333334</v>
      </c>
      <c r="G6" s="5" t="s">
        <v>25</v>
      </c>
      <c r="H6" s="5">
        <v>222200</v>
      </c>
      <c r="I6" s="1">
        <f t="shared" si="1"/>
        <v>1999800</v>
      </c>
      <c r="J6" s="15">
        <f t="shared" si="2"/>
        <v>88866.666666666657</v>
      </c>
      <c r="K6" s="15">
        <f t="shared" si="3"/>
        <v>177760</v>
      </c>
      <c r="L6" s="15">
        <f t="shared" si="4"/>
        <v>106666.66666666669</v>
      </c>
      <c r="M6" s="7"/>
      <c r="N6" s="7"/>
      <c r="O6" s="8"/>
    </row>
    <row r="7" spans="1:15" x14ac:dyDescent="0.25">
      <c r="A7" s="2">
        <v>5</v>
      </c>
      <c r="B7" s="3" t="s">
        <v>5</v>
      </c>
      <c r="C7" s="2" t="s">
        <v>18</v>
      </c>
      <c r="D7" s="2" t="s">
        <v>11</v>
      </c>
      <c r="E7" s="4">
        <v>1200000</v>
      </c>
      <c r="F7" s="1">
        <f t="shared" si="0"/>
        <v>133333.33333333334</v>
      </c>
      <c r="G7" s="5" t="s">
        <v>25</v>
      </c>
      <c r="H7" s="5">
        <v>222200</v>
      </c>
      <c r="I7" s="1">
        <f t="shared" si="1"/>
        <v>1999800</v>
      </c>
      <c r="J7" s="15">
        <f t="shared" si="2"/>
        <v>88866.666666666657</v>
      </c>
      <c r="K7" s="15">
        <f t="shared" si="3"/>
        <v>177760</v>
      </c>
      <c r="L7" s="15">
        <f t="shared" si="4"/>
        <v>106666.66666666669</v>
      </c>
      <c r="M7" s="7"/>
      <c r="N7" s="7"/>
      <c r="O7" s="8"/>
    </row>
    <row r="8" spans="1:15" x14ac:dyDescent="0.25">
      <c r="A8" s="2">
        <v>6</v>
      </c>
      <c r="B8" s="3" t="s">
        <v>6</v>
      </c>
      <c r="C8" s="2" t="s">
        <v>19</v>
      </c>
      <c r="D8" s="2" t="s">
        <v>11</v>
      </c>
      <c r="E8" s="4">
        <v>1040000</v>
      </c>
      <c r="F8" s="1">
        <f t="shared" si="0"/>
        <v>115555.55555555556</v>
      </c>
      <c r="G8" s="5" t="s">
        <v>26</v>
      </c>
      <c r="H8" s="5">
        <v>129000</v>
      </c>
      <c r="I8" s="1">
        <f t="shared" si="1"/>
        <v>1161000</v>
      </c>
      <c r="J8" s="15">
        <f t="shared" si="2"/>
        <v>13444.444444444438</v>
      </c>
      <c r="K8" s="15">
        <f t="shared" si="3"/>
        <v>103200</v>
      </c>
      <c r="L8" s="15">
        <f t="shared" si="4"/>
        <v>92444.444444444453</v>
      </c>
      <c r="M8" s="7"/>
      <c r="N8" s="7"/>
      <c r="O8" s="8"/>
    </row>
    <row r="9" spans="1:15" x14ac:dyDescent="0.25">
      <c r="A9" s="2">
        <v>7</v>
      </c>
      <c r="B9" s="3" t="s">
        <v>7</v>
      </c>
      <c r="C9" s="2" t="s">
        <v>20</v>
      </c>
      <c r="D9" s="2" t="s">
        <v>11</v>
      </c>
      <c r="E9" s="4">
        <f>1150000/3</f>
        <v>383333.33333333331</v>
      </c>
      <c r="F9" s="1">
        <f t="shared" si="0"/>
        <v>42592.592592592591</v>
      </c>
      <c r="G9" s="5" t="s">
        <v>27</v>
      </c>
      <c r="H9" s="5">
        <v>35000</v>
      </c>
      <c r="I9" s="1">
        <f t="shared" si="1"/>
        <v>315000</v>
      </c>
      <c r="J9" s="15">
        <f t="shared" si="2"/>
        <v>-7592.5925925925912</v>
      </c>
      <c r="K9" s="15">
        <f t="shared" si="3"/>
        <v>28000</v>
      </c>
      <c r="L9" s="15">
        <f>H9*80%</f>
        <v>28000</v>
      </c>
      <c r="M9" s="7"/>
      <c r="N9" s="7"/>
      <c r="O9" s="8"/>
    </row>
    <row r="10" spans="1:15" x14ac:dyDescent="0.25">
      <c r="A10" s="2">
        <v>8</v>
      </c>
      <c r="B10" s="3" t="s">
        <v>7</v>
      </c>
      <c r="C10" s="2" t="s">
        <v>20</v>
      </c>
      <c r="D10" s="2" t="s">
        <v>11</v>
      </c>
      <c r="E10" s="4">
        <f>1150000/3</f>
        <v>383333.33333333331</v>
      </c>
      <c r="F10" s="1">
        <f t="shared" si="0"/>
        <v>42592.592592592591</v>
      </c>
      <c r="G10" s="5" t="s">
        <v>27</v>
      </c>
      <c r="H10" s="5">
        <v>35000</v>
      </c>
      <c r="I10" s="1">
        <f t="shared" si="1"/>
        <v>315000</v>
      </c>
      <c r="J10" s="15">
        <f t="shared" si="2"/>
        <v>-7592.5925925925912</v>
      </c>
      <c r="K10" s="15">
        <f t="shared" si="3"/>
        <v>28000</v>
      </c>
      <c r="L10" s="15">
        <f t="shared" ref="L10:L11" si="5">H10*80%</f>
        <v>28000</v>
      </c>
      <c r="M10" s="7"/>
      <c r="N10" s="7"/>
      <c r="O10" s="8"/>
    </row>
    <row r="11" spans="1:15" x14ac:dyDescent="0.25">
      <c r="A11" s="2">
        <v>9</v>
      </c>
      <c r="B11" s="3" t="s">
        <v>7</v>
      </c>
      <c r="C11" s="2" t="s">
        <v>20</v>
      </c>
      <c r="D11" s="2" t="s">
        <v>11</v>
      </c>
      <c r="E11" s="4">
        <f>1150000/3</f>
        <v>383333.33333333331</v>
      </c>
      <c r="F11" s="1">
        <f t="shared" si="0"/>
        <v>42592.592592592591</v>
      </c>
      <c r="G11" s="5" t="s">
        <v>27</v>
      </c>
      <c r="H11" s="5">
        <v>35000</v>
      </c>
      <c r="I11" s="1">
        <f t="shared" si="1"/>
        <v>315000</v>
      </c>
      <c r="J11" s="15">
        <f t="shared" si="2"/>
        <v>-7592.5925925925912</v>
      </c>
      <c r="K11" s="15">
        <f t="shared" si="3"/>
        <v>28000</v>
      </c>
      <c r="L11" s="15">
        <f t="shared" si="5"/>
        <v>28000</v>
      </c>
      <c r="M11" s="7"/>
      <c r="N11" s="7"/>
      <c r="O11" s="8"/>
    </row>
    <row r="12" spans="1:15" x14ac:dyDescent="0.25">
      <c r="A12" s="58" t="s">
        <v>42</v>
      </c>
      <c r="B12" s="59"/>
      <c r="C12" s="27"/>
      <c r="D12" s="27"/>
      <c r="E12" s="28">
        <f>SUM(E3:E11)</f>
        <v>11490000.000000002</v>
      </c>
      <c r="F12" s="28">
        <f>SUM(F3:F11)</f>
        <v>1276666.6666666667</v>
      </c>
      <c r="G12" s="33" t="s">
        <v>23</v>
      </c>
      <c r="H12" s="28">
        <f>SUM(H3:H11)</f>
        <v>1447000</v>
      </c>
      <c r="I12" s="28">
        <f ca="1">SUM(I3:I15)</f>
        <v>14340600</v>
      </c>
      <c r="J12" s="24">
        <f>H12-F12</f>
        <v>170333.33333333326</v>
      </c>
      <c r="K12" s="24">
        <f>SUM(K3:K11)</f>
        <v>1157600</v>
      </c>
      <c r="L12" s="24">
        <f>SUM(L3:L11)</f>
        <v>1003111.1111111112</v>
      </c>
      <c r="M12" s="7">
        <f>3.4/20</f>
        <v>0.16999999999999998</v>
      </c>
      <c r="N12" s="7"/>
      <c r="O12" s="8"/>
    </row>
    <row r="13" spans="1:15" x14ac:dyDescent="0.25">
      <c r="A13" s="50"/>
      <c r="B13" s="51"/>
      <c r="C13" s="27"/>
      <c r="D13" s="27"/>
      <c r="E13" s="28"/>
      <c r="F13" s="28"/>
      <c r="G13" s="33"/>
      <c r="H13" s="28"/>
      <c r="I13" s="28"/>
      <c r="J13" s="24"/>
      <c r="K13" s="24"/>
      <c r="L13" s="24"/>
      <c r="M13" s="7"/>
      <c r="N13" s="7"/>
      <c r="O13" s="8"/>
    </row>
    <row r="14" spans="1:15" x14ac:dyDescent="0.25">
      <c r="A14" s="55" t="s">
        <v>95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7"/>
      <c r="N14" s="7"/>
      <c r="O14" s="8"/>
    </row>
    <row r="15" spans="1:15" x14ac:dyDescent="0.25">
      <c r="A15" s="2">
        <v>10</v>
      </c>
      <c r="B15" s="3" t="s">
        <v>8</v>
      </c>
      <c r="C15" s="2" t="s">
        <v>21</v>
      </c>
      <c r="D15" s="2" t="s">
        <v>12</v>
      </c>
      <c r="E15" s="4">
        <v>2500000</v>
      </c>
      <c r="F15" s="1">
        <f>E15/9</f>
        <v>277777.77777777775</v>
      </c>
      <c r="G15" s="5" t="s">
        <v>53</v>
      </c>
      <c r="H15" s="5">
        <f t="shared" ref="H15:H20" si="6">2440*60</f>
        <v>146400</v>
      </c>
      <c r="I15" s="1">
        <f>H15*9</f>
        <v>1317600</v>
      </c>
      <c r="J15" s="15">
        <f>H15-F15</f>
        <v>-131377.77777777775</v>
      </c>
      <c r="K15" s="15">
        <f>H15*125%</f>
        <v>183000</v>
      </c>
      <c r="L15" s="15">
        <f>H15*125%</f>
        <v>183000</v>
      </c>
      <c r="M15" s="7"/>
      <c r="N15" s="7"/>
      <c r="O15" s="8"/>
    </row>
    <row r="16" spans="1:15" x14ac:dyDescent="0.25">
      <c r="A16" s="2">
        <v>11</v>
      </c>
      <c r="B16" s="3" t="s">
        <v>8</v>
      </c>
      <c r="C16" s="2" t="s">
        <v>21</v>
      </c>
      <c r="D16" s="2" t="s">
        <v>13</v>
      </c>
      <c r="E16" s="4">
        <v>2000000</v>
      </c>
      <c r="F16" s="1">
        <f t="shared" si="0"/>
        <v>222222.22222222222</v>
      </c>
      <c r="G16" s="5" t="s">
        <v>53</v>
      </c>
      <c r="H16" s="5">
        <f t="shared" si="6"/>
        <v>146400</v>
      </c>
      <c r="I16" s="1">
        <f t="shared" si="1"/>
        <v>1317600</v>
      </c>
      <c r="J16" s="15">
        <f t="shared" si="2"/>
        <v>-75822.222222222219</v>
      </c>
      <c r="K16" s="15">
        <f t="shared" ref="K16:K23" si="7">H16*125%</f>
        <v>183000</v>
      </c>
      <c r="L16" s="15">
        <f t="shared" ref="L16:L22" si="8">H16*125%</f>
        <v>183000</v>
      </c>
      <c r="M16" s="7"/>
      <c r="N16" s="7"/>
      <c r="O16" s="8"/>
    </row>
    <row r="17" spans="1:15" x14ac:dyDescent="0.25">
      <c r="A17" s="2">
        <v>12</v>
      </c>
      <c r="B17" s="3" t="s">
        <v>8</v>
      </c>
      <c r="C17" s="2" t="s">
        <v>21</v>
      </c>
      <c r="D17" s="2" t="s">
        <v>13</v>
      </c>
      <c r="E17" s="4">
        <v>2000000</v>
      </c>
      <c r="F17" s="1">
        <f t="shared" si="0"/>
        <v>222222.22222222222</v>
      </c>
      <c r="G17" s="5" t="s">
        <v>53</v>
      </c>
      <c r="H17" s="5">
        <f t="shared" si="6"/>
        <v>146400</v>
      </c>
      <c r="I17" s="1">
        <f t="shared" si="1"/>
        <v>1317600</v>
      </c>
      <c r="J17" s="15">
        <f t="shared" si="2"/>
        <v>-75822.222222222219</v>
      </c>
      <c r="K17" s="15">
        <f t="shared" si="7"/>
        <v>183000</v>
      </c>
      <c r="L17" s="15">
        <f t="shared" si="8"/>
        <v>183000</v>
      </c>
      <c r="M17" s="7"/>
      <c r="N17" s="7"/>
      <c r="O17" s="8"/>
    </row>
    <row r="18" spans="1:15" x14ac:dyDescent="0.25">
      <c r="A18" s="2">
        <v>13</v>
      </c>
      <c r="B18" s="3" t="s">
        <v>8</v>
      </c>
      <c r="C18" s="2" t="s">
        <v>21</v>
      </c>
      <c r="D18" s="2" t="s">
        <v>13</v>
      </c>
      <c r="E18" s="4">
        <v>2000000</v>
      </c>
      <c r="F18" s="1">
        <f t="shared" si="0"/>
        <v>222222.22222222222</v>
      </c>
      <c r="G18" s="5" t="s">
        <v>53</v>
      </c>
      <c r="H18" s="5">
        <f t="shared" si="6"/>
        <v>146400</v>
      </c>
      <c r="I18" s="1">
        <f t="shared" si="1"/>
        <v>1317600</v>
      </c>
      <c r="J18" s="15">
        <f t="shared" si="2"/>
        <v>-75822.222222222219</v>
      </c>
      <c r="K18" s="15">
        <f t="shared" si="7"/>
        <v>183000</v>
      </c>
      <c r="L18" s="15">
        <f t="shared" si="8"/>
        <v>183000</v>
      </c>
      <c r="M18" s="7"/>
      <c r="N18" s="7"/>
      <c r="O18" s="8"/>
    </row>
    <row r="19" spans="1:15" x14ac:dyDescent="0.25">
      <c r="A19" s="2">
        <v>14</v>
      </c>
      <c r="B19" s="3" t="s">
        <v>8</v>
      </c>
      <c r="C19" s="2" t="s">
        <v>21</v>
      </c>
      <c r="D19" s="2" t="s">
        <v>13</v>
      </c>
      <c r="E19" s="4">
        <v>2000000</v>
      </c>
      <c r="F19" s="1">
        <f t="shared" si="0"/>
        <v>222222.22222222222</v>
      </c>
      <c r="G19" s="5" t="s">
        <v>53</v>
      </c>
      <c r="H19" s="5">
        <f t="shared" si="6"/>
        <v>146400</v>
      </c>
      <c r="I19" s="1">
        <f t="shared" si="1"/>
        <v>1317600</v>
      </c>
      <c r="J19" s="15">
        <f t="shared" si="2"/>
        <v>-75822.222222222219</v>
      </c>
      <c r="K19" s="15">
        <f t="shared" si="7"/>
        <v>183000</v>
      </c>
      <c r="L19" s="15">
        <f t="shared" si="8"/>
        <v>183000</v>
      </c>
      <c r="M19" s="7"/>
      <c r="N19" s="7"/>
      <c r="O19" s="8"/>
    </row>
    <row r="20" spans="1:15" x14ac:dyDescent="0.25">
      <c r="A20" s="2">
        <v>15</v>
      </c>
      <c r="B20" s="3" t="s">
        <v>8</v>
      </c>
      <c r="C20" s="2" t="s">
        <v>21</v>
      </c>
      <c r="D20" s="2" t="s">
        <v>13</v>
      </c>
      <c r="E20" s="4">
        <v>750000</v>
      </c>
      <c r="F20" s="1">
        <f t="shared" si="0"/>
        <v>83333.333333333328</v>
      </c>
      <c r="G20" s="5" t="s">
        <v>53</v>
      </c>
      <c r="H20" s="5">
        <f t="shared" si="6"/>
        <v>146400</v>
      </c>
      <c r="I20" s="1">
        <f t="shared" si="1"/>
        <v>1317600</v>
      </c>
      <c r="J20" s="15">
        <f t="shared" si="2"/>
        <v>63066.666666666672</v>
      </c>
      <c r="K20" s="15">
        <f t="shared" si="7"/>
        <v>183000</v>
      </c>
      <c r="L20" s="15">
        <f>F20*125%</f>
        <v>104166.66666666666</v>
      </c>
      <c r="M20" s="7"/>
      <c r="N20" s="7"/>
      <c r="O20" s="8"/>
    </row>
    <row r="21" spans="1:15" x14ac:dyDescent="0.25">
      <c r="A21" s="2">
        <v>16</v>
      </c>
      <c r="B21" s="3" t="s">
        <v>9</v>
      </c>
      <c r="C21" s="2" t="s">
        <v>21</v>
      </c>
      <c r="D21" s="2" t="s">
        <v>14</v>
      </c>
      <c r="E21" s="4">
        <v>450000</v>
      </c>
      <c r="F21" s="1">
        <f t="shared" si="0"/>
        <v>50000</v>
      </c>
      <c r="G21" s="5">
        <f>F21</f>
        <v>50000</v>
      </c>
      <c r="H21" s="5">
        <f>G21</f>
        <v>50000</v>
      </c>
      <c r="I21" s="1">
        <f t="shared" si="1"/>
        <v>450000</v>
      </c>
      <c r="J21" s="15">
        <f t="shared" si="2"/>
        <v>0</v>
      </c>
      <c r="K21" s="15">
        <f t="shared" si="7"/>
        <v>62500</v>
      </c>
      <c r="L21" s="15">
        <f t="shared" si="8"/>
        <v>62500</v>
      </c>
      <c r="M21" s="7"/>
      <c r="N21" s="7"/>
      <c r="O21" s="8"/>
    </row>
    <row r="22" spans="1:15" x14ac:dyDescent="0.25">
      <c r="A22" s="2">
        <v>17</v>
      </c>
      <c r="B22" s="3" t="s">
        <v>9</v>
      </c>
      <c r="C22" s="2" t="s">
        <v>22</v>
      </c>
      <c r="D22" s="2" t="s">
        <v>15</v>
      </c>
      <c r="E22" s="4">
        <v>240000</v>
      </c>
      <c r="F22" s="1">
        <f t="shared" si="0"/>
        <v>26666.666666666668</v>
      </c>
      <c r="G22" s="5">
        <f>F22</f>
        <v>26666.666666666668</v>
      </c>
      <c r="H22" s="5">
        <f>G22</f>
        <v>26666.666666666668</v>
      </c>
      <c r="I22" s="1">
        <f t="shared" si="1"/>
        <v>240000</v>
      </c>
      <c r="J22" s="15">
        <f t="shared" si="2"/>
        <v>0</v>
      </c>
      <c r="K22" s="15">
        <f t="shared" si="7"/>
        <v>33333.333333333336</v>
      </c>
      <c r="L22" s="15">
        <f t="shared" si="8"/>
        <v>33333.333333333336</v>
      </c>
      <c r="M22" s="7"/>
      <c r="N22" s="7"/>
      <c r="O22" s="8"/>
    </row>
    <row r="23" spans="1:15" x14ac:dyDescent="0.25">
      <c r="A23" s="2">
        <v>18</v>
      </c>
      <c r="B23" s="3" t="s">
        <v>10</v>
      </c>
      <c r="C23" s="2" t="s">
        <v>16</v>
      </c>
      <c r="D23" s="2" t="s">
        <v>16</v>
      </c>
      <c r="E23" s="4">
        <v>800000</v>
      </c>
      <c r="F23" s="1">
        <f t="shared" si="0"/>
        <v>88888.888888888891</v>
      </c>
      <c r="G23" s="5">
        <v>2000</v>
      </c>
      <c r="H23" s="5">
        <f>2000*60</f>
        <v>120000</v>
      </c>
      <c r="I23" s="4">
        <f>H23*9</f>
        <v>1080000</v>
      </c>
      <c r="J23" s="15">
        <f t="shared" si="2"/>
        <v>31111.111111111109</v>
      </c>
      <c r="K23" s="15">
        <f t="shared" si="7"/>
        <v>150000</v>
      </c>
      <c r="L23" s="15">
        <f>F23*125%</f>
        <v>111111.11111111111</v>
      </c>
      <c r="M23" s="7"/>
      <c r="N23" s="7"/>
    </row>
    <row r="24" spans="1:15" x14ac:dyDescent="0.25">
      <c r="A24" s="58" t="s">
        <v>42</v>
      </c>
      <c r="B24" s="59"/>
      <c r="C24" s="26"/>
      <c r="D24" s="27"/>
      <c r="E24" s="28">
        <f>SUM(E15:E23)</f>
        <v>12740000</v>
      </c>
      <c r="F24" s="28">
        <f>SUM(F15:F23)</f>
        <v>1415555.5555555557</v>
      </c>
      <c r="G24" s="33" t="s">
        <v>23</v>
      </c>
      <c r="H24" s="28">
        <f>SUM(H15:H23)</f>
        <v>1075066.6666666665</v>
      </c>
      <c r="I24" s="28">
        <f>SUM(I15:I23)</f>
        <v>9675600</v>
      </c>
      <c r="J24" s="25">
        <f>H24-F24</f>
        <v>-340488.88888888923</v>
      </c>
      <c r="K24" s="25">
        <f>SUM(K15:K23)</f>
        <v>1343833.3333333333</v>
      </c>
      <c r="L24" s="29">
        <f>SUM(L15:L23)</f>
        <v>1226111.1111111108</v>
      </c>
      <c r="M24" s="30"/>
    </row>
    <row r="25" spans="1:15" x14ac:dyDescent="0.25">
      <c r="A25" s="50"/>
      <c r="B25" s="51"/>
      <c r="C25" s="26"/>
      <c r="D25" s="27"/>
      <c r="E25" s="28"/>
      <c r="F25" s="28"/>
      <c r="G25" s="33"/>
      <c r="H25" s="28"/>
      <c r="I25" s="28"/>
      <c r="J25" s="25"/>
      <c r="K25" s="25"/>
      <c r="L25" s="29"/>
      <c r="M25" s="30"/>
    </row>
    <row r="26" spans="1:15" x14ac:dyDescent="0.25">
      <c r="A26" s="55" t="s">
        <v>94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1"/>
      <c r="M26" s="30"/>
    </row>
    <row r="27" spans="1:15" ht="31.5" customHeight="1" x14ac:dyDescent="0.25">
      <c r="A27" s="18">
        <v>19</v>
      </c>
      <c r="B27" s="39" t="s">
        <v>73</v>
      </c>
      <c r="C27" s="37" t="s">
        <v>58</v>
      </c>
      <c r="D27" s="37" t="s">
        <v>58</v>
      </c>
      <c r="E27" s="4">
        <f>120*60*9</f>
        <v>64800</v>
      </c>
      <c r="F27" s="4">
        <f>E27/9</f>
        <v>7200</v>
      </c>
      <c r="G27" s="5" t="s">
        <v>72</v>
      </c>
      <c r="H27" s="4">
        <f>120*60</f>
        <v>7200</v>
      </c>
      <c r="I27" s="4">
        <f>H27*9</f>
        <v>64800</v>
      </c>
      <c r="J27" s="15">
        <f t="shared" si="2"/>
        <v>0</v>
      </c>
      <c r="K27" s="15">
        <f>H27*80%</f>
        <v>5760</v>
      </c>
      <c r="L27" s="15">
        <f>H27*80%</f>
        <v>5760</v>
      </c>
    </row>
    <row r="28" spans="1:15" ht="30" x14ac:dyDescent="0.25">
      <c r="A28" s="18">
        <v>20</v>
      </c>
      <c r="B28" s="39" t="s">
        <v>74</v>
      </c>
      <c r="C28" s="37" t="s">
        <v>65</v>
      </c>
      <c r="D28" s="43" t="s">
        <v>65</v>
      </c>
      <c r="E28" s="4">
        <f>120*60*9</f>
        <v>64800</v>
      </c>
      <c r="F28" s="4">
        <f>E28/9</f>
        <v>7200</v>
      </c>
      <c r="G28" s="5" t="s">
        <v>72</v>
      </c>
      <c r="H28" s="4">
        <f>120*60</f>
        <v>7200</v>
      </c>
      <c r="I28" s="4">
        <f>H28*9</f>
        <v>64800</v>
      </c>
      <c r="J28" s="15">
        <f t="shared" si="2"/>
        <v>0</v>
      </c>
      <c r="K28" s="15">
        <f t="shared" ref="K28:K31" si="9">H28*80%</f>
        <v>5760</v>
      </c>
      <c r="L28" s="15">
        <f t="shared" ref="L28:L31" si="10">H28*80%</f>
        <v>5760</v>
      </c>
    </row>
    <row r="29" spans="1:15" x14ac:dyDescent="0.25">
      <c r="A29" s="18">
        <v>21</v>
      </c>
      <c r="B29" s="39" t="s">
        <v>75</v>
      </c>
      <c r="C29" s="37" t="s">
        <v>67</v>
      </c>
      <c r="D29" s="37" t="s">
        <v>67</v>
      </c>
      <c r="E29" s="3">
        <f>20*60*9</f>
        <v>10800</v>
      </c>
      <c r="F29" s="3">
        <f>20*60</f>
        <v>1200</v>
      </c>
      <c r="G29" s="49" t="s">
        <v>76</v>
      </c>
      <c r="H29" s="3">
        <f>20*60</f>
        <v>1200</v>
      </c>
      <c r="I29" s="3">
        <f>20*60*9</f>
        <v>10800</v>
      </c>
      <c r="J29" s="15">
        <f t="shared" si="2"/>
        <v>0</v>
      </c>
      <c r="K29" s="15">
        <f t="shared" si="9"/>
        <v>960</v>
      </c>
      <c r="L29" s="15">
        <f t="shared" si="10"/>
        <v>960</v>
      </c>
    </row>
    <row r="30" spans="1:15" ht="27.75" customHeight="1" x14ac:dyDescent="0.25">
      <c r="A30" s="18">
        <v>22</v>
      </c>
      <c r="B30" s="44" t="s">
        <v>88</v>
      </c>
      <c r="C30" s="37" t="s">
        <v>61</v>
      </c>
      <c r="D30" s="37" t="s">
        <v>61</v>
      </c>
      <c r="E30" s="3">
        <f>120*60*9</f>
        <v>64800</v>
      </c>
      <c r="F30" s="4">
        <f>E30/9</f>
        <v>7200</v>
      </c>
      <c r="G30" s="5" t="s">
        <v>72</v>
      </c>
      <c r="H30" s="4">
        <f>120*60</f>
        <v>7200</v>
      </c>
      <c r="I30" s="4">
        <f>H30*9</f>
        <v>64800</v>
      </c>
      <c r="J30" s="15">
        <f t="shared" si="2"/>
        <v>0</v>
      </c>
      <c r="K30" s="15">
        <f t="shared" si="9"/>
        <v>5760</v>
      </c>
      <c r="L30" s="15">
        <f t="shared" si="10"/>
        <v>5760</v>
      </c>
    </row>
    <row r="31" spans="1:15" ht="28.5" customHeight="1" x14ac:dyDescent="0.25">
      <c r="A31" s="18">
        <v>23</v>
      </c>
      <c r="B31" s="39" t="s">
        <v>77</v>
      </c>
      <c r="C31" s="37" t="s">
        <v>67</v>
      </c>
      <c r="D31" s="37" t="s">
        <v>67</v>
      </c>
      <c r="E31" s="3">
        <f>20*60*9</f>
        <v>10800</v>
      </c>
      <c r="F31" s="3">
        <f>20*60</f>
        <v>1200</v>
      </c>
      <c r="G31" s="49" t="s">
        <v>76</v>
      </c>
      <c r="H31" s="3">
        <f>20*60</f>
        <v>1200</v>
      </c>
      <c r="I31" s="3">
        <f>20*60*9</f>
        <v>10800</v>
      </c>
      <c r="J31" s="15">
        <f t="shared" si="2"/>
        <v>0</v>
      </c>
      <c r="K31" s="15">
        <f t="shared" si="9"/>
        <v>960</v>
      </c>
      <c r="L31" s="15">
        <f t="shared" si="10"/>
        <v>960</v>
      </c>
    </row>
    <row r="32" spans="1:15" x14ac:dyDescent="0.25">
      <c r="A32" s="58" t="s">
        <v>42</v>
      </c>
      <c r="B32" s="59"/>
      <c r="C32" s="26"/>
      <c r="D32" s="27"/>
      <c r="E32" s="28">
        <f>SUM(E27:E31)</f>
        <v>216000</v>
      </c>
      <c r="F32" s="28">
        <f>SUM(F27:F31)</f>
        <v>24000</v>
      </c>
      <c r="G32" s="33" t="s">
        <v>23</v>
      </c>
      <c r="H32" s="28">
        <f>SUM(H27:H31)</f>
        <v>24000</v>
      </c>
      <c r="I32" s="28">
        <f>SUM(I27:I31)</f>
        <v>216000</v>
      </c>
      <c r="J32" s="25">
        <f>H32-F32</f>
        <v>0</v>
      </c>
      <c r="K32" s="25"/>
      <c r="L32" s="29">
        <f>SUM(L27:L31)</f>
        <v>19200</v>
      </c>
      <c r="M32" s="30"/>
    </row>
    <row r="33" spans="3:3" x14ac:dyDescent="0.25">
      <c r="C33" s="9"/>
    </row>
    <row r="34" spans="3:3" x14ac:dyDescent="0.25">
      <c r="C34" s="9"/>
    </row>
  </sheetData>
  <mergeCells count="6">
    <mergeCell ref="A2:L2"/>
    <mergeCell ref="A24:B24"/>
    <mergeCell ref="A12:B12"/>
    <mergeCell ref="A32:B32"/>
    <mergeCell ref="A26:L26"/>
    <mergeCell ref="A14:L14"/>
  </mergeCells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J16" sqref="J16"/>
    </sheetView>
  </sheetViews>
  <sheetFormatPr defaultRowHeight="15" x14ac:dyDescent="0.25"/>
  <cols>
    <col min="1" max="1" width="6.7109375" customWidth="1"/>
    <col min="2" max="2" width="27.28515625" bestFit="1" customWidth="1"/>
    <col min="3" max="3" width="13.5703125" customWidth="1"/>
    <col min="4" max="4" width="16.28515625" customWidth="1"/>
    <col min="5" max="5" width="15.28515625" customWidth="1"/>
    <col min="6" max="6" width="12.85546875" customWidth="1"/>
    <col min="7" max="7" width="15.28515625" customWidth="1"/>
    <col min="8" max="8" width="11.5703125" hidden="1" customWidth="1"/>
    <col min="9" max="10" width="17.42578125" customWidth="1"/>
    <col min="11" max="11" width="9.5703125" bestFit="1" customWidth="1"/>
    <col min="13" max="13" width="10" bestFit="1" customWidth="1"/>
  </cols>
  <sheetData>
    <row r="1" spans="1:16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M1" s="7"/>
      <c r="N1" s="7"/>
      <c r="O1" s="7"/>
      <c r="P1" s="7"/>
    </row>
    <row r="2" spans="1:16" x14ac:dyDescent="0.25">
      <c r="A2" s="62" t="s">
        <v>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M2" s="7"/>
      <c r="N2" s="7"/>
      <c r="O2" s="7"/>
      <c r="P2" s="7"/>
    </row>
    <row r="3" spans="1:16" ht="56.25" customHeight="1" x14ac:dyDescent="0.25">
      <c r="A3" s="13" t="s">
        <v>0</v>
      </c>
      <c r="B3" s="13" t="s">
        <v>1</v>
      </c>
      <c r="C3" s="14" t="s">
        <v>50</v>
      </c>
      <c r="D3" s="14" t="s">
        <v>46</v>
      </c>
      <c r="E3" s="13" t="s">
        <v>29</v>
      </c>
      <c r="F3" s="13" t="s">
        <v>33</v>
      </c>
      <c r="G3" s="14" t="s">
        <v>30</v>
      </c>
      <c r="H3" s="14" t="s">
        <v>39</v>
      </c>
      <c r="I3" s="14" t="s">
        <v>99</v>
      </c>
      <c r="J3" s="14" t="s">
        <v>93</v>
      </c>
      <c r="K3" s="14" t="s">
        <v>40</v>
      </c>
      <c r="O3" s="7"/>
      <c r="P3" s="7"/>
    </row>
    <row r="4" spans="1:16" x14ac:dyDescent="0.25">
      <c r="A4" s="2">
        <v>1</v>
      </c>
      <c r="B4" s="3" t="s">
        <v>4</v>
      </c>
      <c r="C4" s="10">
        <v>7714200</v>
      </c>
      <c r="D4" s="19">
        <v>44</v>
      </c>
      <c r="E4" s="2" t="s">
        <v>32</v>
      </c>
      <c r="F4" s="18" t="s">
        <v>34</v>
      </c>
      <c r="G4" s="11">
        <f t="shared" ref="G4:G9" si="0">C4/D4</f>
        <v>175322.72727272726</v>
      </c>
      <c r="H4" s="15">
        <f>Sheet1!H3</f>
        <v>256200</v>
      </c>
      <c r="I4" s="1">
        <f>Sheet1!F3</f>
        <v>255555.55555555556</v>
      </c>
      <c r="J4" s="22">
        <f>G4/I4</f>
        <v>0.68604545454545451</v>
      </c>
      <c r="K4" s="32">
        <f>G4-H4</f>
        <v>-80877.272727272735</v>
      </c>
      <c r="O4" s="7"/>
      <c r="P4" s="7"/>
    </row>
    <row r="5" spans="1:16" x14ac:dyDescent="0.25">
      <c r="A5" s="2">
        <v>2</v>
      </c>
      <c r="B5" s="3" t="s">
        <v>4</v>
      </c>
      <c r="C5" s="10">
        <v>7000000</v>
      </c>
      <c r="D5" s="19">
        <v>21</v>
      </c>
      <c r="E5" s="2" t="s">
        <v>54</v>
      </c>
      <c r="F5" s="18" t="s">
        <v>35</v>
      </c>
      <c r="G5" s="11">
        <f t="shared" si="0"/>
        <v>333333.33333333331</v>
      </c>
      <c r="H5" s="15">
        <f>Sheet1!H3</f>
        <v>256200</v>
      </c>
      <c r="I5" s="15">
        <f>Sheet1!F3</f>
        <v>255555.55555555556</v>
      </c>
      <c r="J5" s="22">
        <f t="shared" ref="J5:J9" si="1">G5/I5</f>
        <v>1.3043478260869563</v>
      </c>
      <c r="K5" s="32">
        <f>G5-H5</f>
        <v>77133.333333333314</v>
      </c>
      <c r="O5" s="7"/>
      <c r="P5" s="7"/>
    </row>
    <row r="6" spans="1:16" x14ac:dyDescent="0.25">
      <c r="A6" s="2">
        <v>3</v>
      </c>
      <c r="B6" s="3" t="s">
        <v>5</v>
      </c>
      <c r="C6" s="11">
        <v>600000</v>
      </c>
      <c r="D6" s="12">
        <v>13.5</v>
      </c>
      <c r="E6" s="2" t="s">
        <v>31</v>
      </c>
      <c r="F6" s="18" t="s">
        <v>36</v>
      </c>
      <c r="G6" s="11">
        <f t="shared" si="0"/>
        <v>44444.444444444445</v>
      </c>
      <c r="H6" s="1">
        <f>Sheet1!H6</f>
        <v>222200</v>
      </c>
      <c r="I6" s="1">
        <f>Sheet1!F6</f>
        <v>133333.33333333334</v>
      </c>
      <c r="J6" s="22">
        <f t="shared" si="1"/>
        <v>0.33333333333333331</v>
      </c>
      <c r="K6" s="32">
        <f t="shared" ref="K6:K9" si="2">G6-H6</f>
        <v>-177755.55555555556</v>
      </c>
      <c r="O6" s="7"/>
      <c r="P6" s="7"/>
    </row>
    <row r="7" spans="1:16" x14ac:dyDescent="0.25">
      <c r="A7" s="2">
        <v>4</v>
      </c>
      <c r="B7" s="3" t="s">
        <v>6</v>
      </c>
      <c r="C7" s="11">
        <v>1500000</v>
      </c>
      <c r="D7" s="19">
        <v>12.5</v>
      </c>
      <c r="E7" s="18" t="s">
        <v>38</v>
      </c>
      <c r="F7" s="18" t="s">
        <v>36</v>
      </c>
      <c r="G7" s="11">
        <f t="shared" si="0"/>
        <v>120000</v>
      </c>
      <c r="H7" s="1">
        <f>Sheet1!H8</f>
        <v>129000</v>
      </c>
      <c r="I7" s="1">
        <f>Sheet1!F8</f>
        <v>115555.55555555556</v>
      </c>
      <c r="J7" s="22">
        <f t="shared" si="1"/>
        <v>1.0384615384615383</v>
      </c>
      <c r="K7" s="32">
        <f t="shared" si="2"/>
        <v>-9000</v>
      </c>
      <c r="O7" s="7"/>
      <c r="P7" s="7"/>
    </row>
    <row r="8" spans="1:16" x14ac:dyDescent="0.25">
      <c r="A8" s="2">
        <v>5</v>
      </c>
      <c r="B8" s="3" t="s">
        <v>5</v>
      </c>
      <c r="C8" s="17">
        <v>800000</v>
      </c>
      <c r="D8" s="19">
        <v>7</v>
      </c>
      <c r="E8" s="18" t="s">
        <v>38</v>
      </c>
      <c r="F8" s="18" t="s">
        <v>36</v>
      </c>
      <c r="G8" s="11">
        <f t="shared" si="0"/>
        <v>114285.71428571429</v>
      </c>
      <c r="H8" s="1">
        <f>H6</f>
        <v>222200</v>
      </c>
      <c r="I8" s="1">
        <f>I6</f>
        <v>133333.33333333334</v>
      </c>
      <c r="J8" s="22">
        <f t="shared" si="1"/>
        <v>0.8571428571428571</v>
      </c>
      <c r="K8" s="32">
        <f t="shared" si="2"/>
        <v>-107914.28571428571</v>
      </c>
      <c r="N8">
        <f>3.4/20</f>
        <v>0.16999999999999998</v>
      </c>
      <c r="O8" s="7"/>
      <c r="P8" s="7"/>
    </row>
    <row r="9" spans="1:16" x14ac:dyDescent="0.25">
      <c r="A9" s="18">
        <v>6</v>
      </c>
      <c r="B9" s="3" t="s">
        <v>6</v>
      </c>
      <c r="C9" s="17">
        <v>1500000</v>
      </c>
      <c r="D9" s="19">
        <v>17</v>
      </c>
      <c r="E9" s="18" t="s">
        <v>37</v>
      </c>
      <c r="F9" s="18" t="s">
        <v>35</v>
      </c>
      <c r="G9" s="11">
        <f t="shared" si="0"/>
        <v>88235.294117647063</v>
      </c>
      <c r="H9" s="1">
        <f>H7</f>
        <v>129000</v>
      </c>
      <c r="I9" s="1">
        <f>I7</f>
        <v>115555.55555555556</v>
      </c>
      <c r="J9" s="22">
        <f t="shared" si="1"/>
        <v>0.76357466063348411</v>
      </c>
      <c r="K9" s="32">
        <f t="shared" si="2"/>
        <v>-40764.705882352937</v>
      </c>
    </row>
    <row r="10" spans="1:16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M10">
        <v>1500000</v>
      </c>
      <c r="N10">
        <f>M10/27</f>
        <v>55555.555555555555</v>
      </c>
    </row>
    <row r="11" spans="1:16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M11" s="34">
        <f>M10/12.5</f>
        <v>120000</v>
      </c>
    </row>
    <row r="12" spans="1:16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6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6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6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</sheetData>
  <mergeCells count="2">
    <mergeCell ref="A2:K2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8"/>
    </sheetView>
  </sheetViews>
  <sheetFormatPr defaultRowHeight="15" x14ac:dyDescent="0.25"/>
  <cols>
    <col min="1" max="1" width="6.5703125" customWidth="1"/>
    <col min="2" max="2" width="14.7109375" customWidth="1"/>
    <col min="3" max="3" width="9.85546875" customWidth="1"/>
    <col min="4" max="4" width="14.42578125" customWidth="1"/>
    <col min="5" max="5" width="13.140625" customWidth="1"/>
    <col min="6" max="6" width="10.7109375" customWidth="1"/>
    <col min="7" max="8" width="9.140625" customWidth="1"/>
    <col min="10" max="10" width="10" customWidth="1"/>
  </cols>
  <sheetData>
    <row r="1" spans="1:10" x14ac:dyDescent="0.25">
      <c r="A1" s="62" t="s">
        <v>52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60" x14ac:dyDescent="0.25">
      <c r="A2" s="13" t="s">
        <v>0</v>
      </c>
      <c r="B2" s="13" t="s">
        <v>1</v>
      </c>
      <c r="C2" s="13" t="s">
        <v>28</v>
      </c>
      <c r="D2" s="14" t="s">
        <v>47</v>
      </c>
      <c r="E2" s="13" t="s">
        <v>29</v>
      </c>
      <c r="F2" s="13" t="s">
        <v>33</v>
      </c>
      <c r="G2" s="14" t="s">
        <v>49</v>
      </c>
      <c r="H2" s="14" t="s">
        <v>39</v>
      </c>
      <c r="I2" s="14" t="s">
        <v>93</v>
      </c>
      <c r="J2" s="14" t="s">
        <v>40</v>
      </c>
    </row>
    <row r="3" spans="1:10" x14ac:dyDescent="0.25">
      <c r="A3" s="2">
        <v>1</v>
      </c>
      <c r="B3" s="15" t="s">
        <v>48</v>
      </c>
      <c r="C3" s="10">
        <v>7714200</v>
      </c>
      <c r="D3" s="19">
        <v>42</v>
      </c>
      <c r="E3" s="2" t="s">
        <v>32</v>
      </c>
      <c r="F3" s="18" t="s">
        <v>34</v>
      </c>
      <c r="G3" s="11">
        <f t="shared" ref="G3:G8" si="0">C3/D3</f>
        <v>183671.42857142858</v>
      </c>
      <c r="H3" s="10">
        <v>146400</v>
      </c>
      <c r="I3" s="16">
        <f t="shared" ref="I3:I8" si="1">G3/H3</f>
        <v>1.2545862607338019</v>
      </c>
      <c r="J3" s="11">
        <f>G3-H3</f>
        <v>37271.42857142858</v>
      </c>
    </row>
    <row r="4" spans="1:10" x14ac:dyDescent="0.25">
      <c r="A4" s="2">
        <v>2</v>
      </c>
      <c r="B4" s="15" t="s">
        <v>48</v>
      </c>
      <c r="C4" s="10">
        <v>7000000</v>
      </c>
      <c r="D4" s="19">
        <v>40.5</v>
      </c>
      <c r="E4" s="2" t="s">
        <v>54</v>
      </c>
      <c r="F4" s="18" t="s">
        <v>35</v>
      </c>
      <c r="G4" s="11">
        <f t="shared" si="0"/>
        <v>172839.50617283949</v>
      </c>
      <c r="H4" s="10">
        <v>146400</v>
      </c>
      <c r="I4" s="16">
        <f t="shared" si="1"/>
        <v>1.1805977197598325</v>
      </c>
      <c r="J4" s="11">
        <f>G4-H4</f>
        <v>26439.506172839494</v>
      </c>
    </row>
    <row r="5" spans="1:10" x14ac:dyDescent="0.25">
      <c r="A5" s="2">
        <v>3</v>
      </c>
      <c r="B5" s="15" t="s">
        <v>48</v>
      </c>
      <c r="C5" s="11">
        <v>600000</v>
      </c>
      <c r="D5" s="12">
        <v>11.5</v>
      </c>
      <c r="E5" s="2" t="s">
        <v>31</v>
      </c>
      <c r="F5" s="18" t="s">
        <v>36</v>
      </c>
      <c r="G5" s="11">
        <f t="shared" si="0"/>
        <v>52173.913043478264</v>
      </c>
      <c r="H5" s="10">
        <v>146400</v>
      </c>
      <c r="I5" s="16">
        <f t="shared" si="1"/>
        <v>0.35637918745545261</v>
      </c>
      <c r="J5" s="11">
        <f t="shared" ref="J5:J8" si="2">G5-H5</f>
        <v>-94226.086956521729</v>
      </c>
    </row>
    <row r="6" spans="1:10" x14ac:dyDescent="0.25">
      <c r="A6" s="2">
        <v>4</v>
      </c>
      <c r="B6" s="15" t="s">
        <v>48</v>
      </c>
      <c r="C6" s="11">
        <v>1500000</v>
      </c>
      <c r="D6" s="19">
        <v>12.5</v>
      </c>
      <c r="E6" s="18" t="s">
        <v>38</v>
      </c>
      <c r="F6" s="18" t="s">
        <v>36</v>
      </c>
      <c r="G6" s="11">
        <f t="shared" si="0"/>
        <v>120000</v>
      </c>
      <c r="H6" s="10">
        <v>146400</v>
      </c>
      <c r="I6" s="16">
        <f t="shared" si="1"/>
        <v>0.81967213114754101</v>
      </c>
      <c r="J6" s="11">
        <f t="shared" si="2"/>
        <v>-26400</v>
      </c>
    </row>
    <row r="7" spans="1:10" x14ac:dyDescent="0.25">
      <c r="A7" s="2">
        <v>5</v>
      </c>
      <c r="B7" s="15" t="s">
        <v>48</v>
      </c>
      <c r="C7" s="17">
        <v>800000</v>
      </c>
      <c r="D7" s="19">
        <v>14</v>
      </c>
      <c r="E7" s="18" t="s">
        <v>38</v>
      </c>
      <c r="F7" s="18" t="s">
        <v>36</v>
      </c>
      <c r="G7" s="11">
        <f t="shared" si="0"/>
        <v>57142.857142857145</v>
      </c>
      <c r="H7" s="10">
        <v>146400</v>
      </c>
      <c r="I7" s="16">
        <f t="shared" si="1"/>
        <v>0.39032006245120998</v>
      </c>
      <c r="J7" s="11">
        <f t="shared" si="2"/>
        <v>-89257.142857142855</v>
      </c>
    </row>
    <row r="8" spans="1:10" x14ac:dyDescent="0.25">
      <c r="A8" s="2">
        <v>6</v>
      </c>
      <c r="B8" s="15" t="s">
        <v>48</v>
      </c>
      <c r="C8" s="17">
        <v>1500000</v>
      </c>
      <c r="D8" s="19">
        <v>27</v>
      </c>
      <c r="E8" s="18" t="s">
        <v>37</v>
      </c>
      <c r="F8" s="18" t="s">
        <v>35</v>
      </c>
      <c r="G8" s="11">
        <f t="shared" si="0"/>
        <v>55555.555555555555</v>
      </c>
      <c r="H8" s="10">
        <v>146400</v>
      </c>
      <c r="I8" s="16">
        <f t="shared" si="1"/>
        <v>0.37947783849423194</v>
      </c>
      <c r="J8" s="11">
        <f t="shared" si="2"/>
        <v>-90844.444444444438</v>
      </c>
    </row>
    <row r="9" spans="1:10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B4" sqref="B4"/>
    </sheetView>
  </sheetViews>
  <sheetFormatPr defaultRowHeight="15" x14ac:dyDescent="0.25"/>
  <cols>
    <col min="2" max="2" width="36.7109375" customWidth="1"/>
    <col min="3" max="3" width="10" bestFit="1" customWidth="1"/>
    <col min="4" max="4" width="19" customWidth="1"/>
    <col min="5" max="5" width="14.28515625" bestFit="1" customWidth="1"/>
    <col min="6" max="6" width="12.5703125" customWidth="1"/>
    <col min="9" max="9" width="9.7109375" bestFit="1" customWidth="1"/>
  </cols>
  <sheetData>
    <row r="1" spans="1:11" x14ac:dyDescent="0.25">
      <c r="A1" s="64" t="s">
        <v>78</v>
      </c>
      <c r="B1" s="65"/>
      <c r="C1" s="65"/>
      <c r="D1" s="65"/>
      <c r="E1" s="65"/>
      <c r="F1" s="65"/>
      <c r="G1" s="65"/>
      <c r="H1" s="65"/>
      <c r="I1" s="66"/>
      <c r="J1" s="52"/>
      <c r="K1" s="42"/>
    </row>
    <row r="2" spans="1:11" ht="56.25" customHeight="1" x14ac:dyDescent="0.25">
      <c r="A2" s="13" t="s">
        <v>0</v>
      </c>
      <c r="B2" s="13" t="s">
        <v>1</v>
      </c>
      <c r="C2" s="13" t="s">
        <v>28</v>
      </c>
      <c r="D2" s="14" t="s">
        <v>79</v>
      </c>
      <c r="E2" s="13" t="s">
        <v>82</v>
      </c>
      <c r="F2" s="14" t="s">
        <v>81</v>
      </c>
      <c r="G2" s="14" t="s">
        <v>39</v>
      </c>
      <c r="H2" s="14" t="s">
        <v>93</v>
      </c>
      <c r="I2" s="14" t="s">
        <v>40</v>
      </c>
      <c r="J2" s="52"/>
      <c r="K2" s="42"/>
    </row>
    <row r="3" spans="1:11" x14ac:dyDescent="0.25">
      <c r="A3" s="37">
        <v>1</v>
      </c>
      <c r="B3" s="39" t="s">
        <v>73</v>
      </c>
      <c r="C3" s="10">
        <f>(200*1000)/10</f>
        <v>20000</v>
      </c>
      <c r="D3" s="19">
        <v>4</v>
      </c>
      <c r="E3" s="2" t="s">
        <v>89</v>
      </c>
      <c r="F3" s="11">
        <f>C3/D3</f>
        <v>5000</v>
      </c>
      <c r="G3" s="10">
        <v>7200</v>
      </c>
      <c r="H3" s="16">
        <f t="shared" ref="H3:H4" si="0">F3/G3</f>
        <v>0.69444444444444442</v>
      </c>
      <c r="I3" s="11">
        <f>F3-G3</f>
        <v>-2200</v>
      </c>
      <c r="J3" s="52"/>
      <c r="K3" s="42"/>
    </row>
    <row r="4" spans="1:11" ht="16.5" customHeight="1" x14ac:dyDescent="0.25">
      <c r="A4" s="37">
        <v>2</v>
      </c>
      <c r="B4" s="39" t="s">
        <v>74</v>
      </c>
      <c r="C4" s="10">
        <f>(600*1000)/25</f>
        <v>24000</v>
      </c>
      <c r="D4" s="19">
        <v>8</v>
      </c>
      <c r="E4" s="2" t="s">
        <v>91</v>
      </c>
      <c r="F4" s="11">
        <f>C4/D4</f>
        <v>3000</v>
      </c>
      <c r="G4" s="10">
        <v>7200</v>
      </c>
      <c r="H4" s="16">
        <f t="shared" si="0"/>
        <v>0.41666666666666669</v>
      </c>
      <c r="I4" s="11">
        <f>F4-G4</f>
        <v>-4200</v>
      </c>
      <c r="J4" s="52"/>
      <c r="K4" s="42"/>
    </row>
    <row r="5" spans="1:11" x14ac:dyDescent="0.25">
      <c r="A5" s="37">
        <v>3</v>
      </c>
      <c r="B5" s="39" t="s">
        <v>75</v>
      </c>
      <c r="C5" s="45">
        <f>500*1000/100</f>
        <v>5000</v>
      </c>
      <c r="D5" s="46">
        <v>6</v>
      </c>
      <c r="E5" s="40" t="s">
        <v>80</v>
      </c>
      <c r="F5" s="45">
        <f>C5/D5</f>
        <v>833.33333333333337</v>
      </c>
      <c r="G5" s="47">
        <f>20*60</f>
        <v>1200</v>
      </c>
      <c r="H5" s="48">
        <f>F5/G5</f>
        <v>0.69444444444444453</v>
      </c>
      <c r="I5" s="45">
        <f>F5-G5</f>
        <v>-366.66666666666663</v>
      </c>
      <c r="J5" s="52"/>
      <c r="K5" s="42"/>
    </row>
    <row r="6" spans="1:11" s="41" customFormat="1" ht="28.5" customHeight="1" x14ac:dyDescent="0.25">
      <c r="A6" s="40">
        <v>4</v>
      </c>
      <c r="B6" s="44" t="s">
        <v>88</v>
      </c>
      <c r="C6" s="45">
        <f>(1275*1000)/10</f>
        <v>127500</v>
      </c>
      <c r="D6" s="46">
        <v>17.5</v>
      </c>
      <c r="E6" s="40" t="s">
        <v>90</v>
      </c>
      <c r="F6" s="45">
        <f t="shared" ref="F6:F7" si="1">C6/D6</f>
        <v>7285.7142857142853</v>
      </c>
      <c r="G6" s="47">
        <v>7200</v>
      </c>
      <c r="H6" s="48">
        <f>F6/G6</f>
        <v>1.0119047619047619</v>
      </c>
      <c r="I6" s="45">
        <f>F6-G6</f>
        <v>85.714285714285325</v>
      </c>
      <c r="J6" s="52"/>
      <c r="K6" s="42"/>
    </row>
    <row r="7" spans="1:11" ht="30" x14ac:dyDescent="0.25">
      <c r="A7" s="37">
        <v>5</v>
      </c>
      <c r="B7" s="39" t="s">
        <v>77</v>
      </c>
      <c r="C7" s="45">
        <f>(300*1000)/60</f>
        <v>5000</v>
      </c>
      <c r="D7" s="46">
        <v>6</v>
      </c>
      <c r="E7" s="40" t="s">
        <v>92</v>
      </c>
      <c r="F7" s="45">
        <f t="shared" si="1"/>
        <v>833.33333333333337</v>
      </c>
      <c r="G7" s="47">
        <v>1200</v>
      </c>
      <c r="H7" s="48">
        <f>F7/G7</f>
        <v>0.69444444444444453</v>
      </c>
      <c r="I7" s="45">
        <f>F7-G7</f>
        <v>-366.66666666666663</v>
      </c>
      <c r="J7" s="52"/>
      <c r="K7" s="42"/>
    </row>
    <row r="8" spans="1:11" x14ac:dyDescent="0.25">
      <c r="A8" s="31"/>
      <c r="B8" s="31"/>
      <c r="C8" s="31"/>
      <c r="D8" s="31"/>
      <c r="E8" s="31"/>
      <c r="F8" s="31"/>
      <c r="G8" s="31"/>
      <c r="H8" s="31"/>
      <c r="I8" s="31"/>
    </row>
    <row r="9" spans="1:1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x14ac:dyDescent="0.25">
      <c r="A15" s="42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I20" sqref="I20"/>
    </sheetView>
  </sheetViews>
  <sheetFormatPr defaultRowHeight="15" x14ac:dyDescent="0.25"/>
  <cols>
    <col min="2" max="2" width="27.28515625" bestFit="1" customWidth="1"/>
    <col min="3" max="4" width="26.140625" bestFit="1" customWidth="1"/>
    <col min="5" max="5" width="22.42578125" bestFit="1" customWidth="1"/>
  </cols>
  <sheetData>
    <row r="1" spans="1:5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55</v>
      </c>
    </row>
    <row r="2" spans="1:5" x14ac:dyDescent="0.25">
      <c r="A2" s="2">
        <v>1</v>
      </c>
      <c r="B2" s="3" t="s">
        <v>4</v>
      </c>
      <c r="C2" s="2" t="s">
        <v>17</v>
      </c>
      <c r="D2" s="2" t="s">
        <v>11</v>
      </c>
      <c r="E2" s="18" t="s">
        <v>56</v>
      </c>
    </row>
    <row r="3" spans="1:5" x14ac:dyDescent="0.25">
      <c r="A3" s="2">
        <v>2</v>
      </c>
      <c r="B3" s="3" t="s">
        <v>4</v>
      </c>
      <c r="C3" s="2" t="s">
        <v>18</v>
      </c>
      <c r="D3" s="2" t="s">
        <v>11</v>
      </c>
      <c r="E3" s="18" t="s">
        <v>56</v>
      </c>
    </row>
    <row r="4" spans="1:5" x14ac:dyDescent="0.25">
      <c r="A4" s="2">
        <v>3</v>
      </c>
      <c r="B4" s="3" t="s">
        <v>4</v>
      </c>
      <c r="C4" s="2" t="s">
        <v>18</v>
      </c>
      <c r="D4" s="2" t="s">
        <v>11</v>
      </c>
      <c r="E4" s="18" t="s">
        <v>56</v>
      </c>
    </row>
    <row r="5" spans="1:5" x14ac:dyDescent="0.25">
      <c r="A5" s="2">
        <v>4</v>
      </c>
      <c r="B5" s="3" t="s">
        <v>5</v>
      </c>
      <c r="C5" s="2" t="s">
        <v>18</v>
      </c>
      <c r="D5" s="2" t="s">
        <v>11</v>
      </c>
      <c r="E5" s="18" t="s">
        <v>56</v>
      </c>
    </row>
    <row r="6" spans="1:5" x14ac:dyDescent="0.25">
      <c r="A6" s="2">
        <v>5</v>
      </c>
      <c r="B6" s="3" t="s">
        <v>5</v>
      </c>
      <c r="C6" s="2" t="s">
        <v>18</v>
      </c>
      <c r="D6" s="2" t="s">
        <v>11</v>
      </c>
      <c r="E6" s="18" t="s">
        <v>56</v>
      </c>
    </row>
    <row r="7" spans="1:5" x14ac:dyDescent="0.25">
      <c r="A7" s="2">
        <v>6</v>
      </c>
      <c r="B7" s="3" t="s">
        <v>6</v>
      </c>
      <c r="C7" s="2" t="s">
        <v>19</v>
      </c>
      <c r="D7" s="2" t="s">
        <v>11</v>
      </c>
      <c r="E7" s="18" t="s">
        <v>56</v>
      </c>
    </row>
    <row r="8" spans="1:5" x14ac:dyDescent="0.25">
      <c r="A8" s="2">
        <v>7</v>
      </c>
      <c r="B8" s="3" t="s">
        <v>7</v>
      </c>
      <c r="C8" s="2" t="s">
        <v>20</v>
      </c>
      <c r="D8" s="2" t="s">
        <v>11</v>
      </c>
      <c r="E8" s="18" t="s">
        <v>56</v>
      </c>
    </row>
    <row r="9" spans="1:5" x14ac:dyDescent="0.25">
      <c r="A9" s="2">
        <v>8</v>
      </c>
      <c r="B9" s="3" t="s">
        <v>7</v>
      </c>
      <c r="C9" s="2" t="s">
        <v>20</v>
      </c>
      <c r="D9" s="2" t="s">
        <v>11</v>
      </c>
      <c r="E9" s="18" t="s">
        <v>56</v>
      </c>
    </row>
    <row r="10" spans="1:5" x14ac:dyDescent="0.25">
      <c r="A10" s="2">
        <v>9</v>
      </c>
      <c r="B10" s="3" t="s">
        <v>7</v>
      </c>
      <c r="C10" s="2" t="s">
        <v>20</v>
      </c>
      <c r="D10" s="2" t="s">
        <v>11</v>
      </c>
      <c r="E10" s="18" t="s">
        <v>56</v>
      </c>
    </row>
    <row r="11" spans="1:5" x14ac:dyDescent="0.25">
      <c r="A11" s="2">
        <v>10</v>
      </c>
      <c r="B11" s="3" t="s">
        <v>8</v>
      </c>
      <c r="C11" s="2" t="s">
        <v>21</v>
      </c>
      <c r="D11" s="2" t="s">
        <v>12</v>
      </c>
      <c r="E11" s="18" t="s">
        <v>56</v>
      </c>
    </row>
    <row r="12" spans="1:5" x14ac:dyDescent="0.25">
      <c r="A12" s="2">
        <v>11</v>
      </c>
      <c r="B12" s="3" t="s">
        <v>8</v>
      </c>
      <c r="C12" s="2" t="s">
        <v>21</v>
      </c>
      <c r="D12" s="2" t="s">
        <v>13</v>
      </c>
      <c r="E12" s="18" t="s">
        <v>56</v>
      </c>
    </row>
    <row r="13" spans="1:5" x14ac:dyDescent="0.25">
      <c r="A13" s="2">
        <v>12</v>
      </c>
      <c r="B13" s="3" t="s">
        <v>8</v>
      </c>
      <c r="C13" s="2" t="s">
        <v>21</v>
      </c>
      <c r="D13" s="2" t="s">
        <v>13</v>
      </c>
      <c r="E13" s="18" t="s">
        <v>56</v>
      </c>
    </row>
    <row r="14" spans="1:5" x14ac:dyDescent="0.25">
      <c r="A14" s="2">
        <v>13</v>
      </c>
      <c r="B14" s="3" t="s">
        <v>8</v>
      </c>
      <c r="C14" s="2" t="s">
        <v>21</v>
      </c>
      <c r="D14" s="2" t="s">
        <v>13</v>
      </c>
      <c r="E14" s="18" t="s">
        <v>56</v>
      </c>
    </row>
    <row r="15" spans="1:5" x14ac:dyDescent="0.25">
      <c r="A15" s="2">
        <v>14</v>
      </c>
      <c r="B15" s="3" t="s">
        <v>8</v>
      </c>
      <c r="C15" s="2" t="s">
        <v>21</v>
      </c>
      <c r="D15" s="2" t="s">
        <v>13</v>
      </c>
      <c r="E15" s="18" t="s">
        <v>56</v>
      </c>
    </row>
    <row r="16" spans="1:5" x14ac:dyDescent="0.25">
      <c r="A16" s="2">
        <v>15</v>
      </c>
      <c r="B16" s="3" t="s">
        <v>8</v>
      </c>
      <c r="C16" s="2" t="s">
        <v>21</v>
      </c>
      <c r="D16" s="2" t="s">
        <v>13</v>
      </c>
      <c r="E16" s="18" t="s">
        <v>56</v>
      </c>
    </row>
    <row r="17" spans="1:5" x14ac:dyDescent="0.25">
      <c r="A17" s="2">
        <v>16</v>
      </c>
      <c r="B17" s="3" t="s">
        <v>9</v>
      </c>
      <c r="C17" s="2" t="s">
        <v>21</v>
      </c>
      <c r="D17" s="2" t="s">
        <v>14</v>
      </c>
      <c r="E17" s="18" t="s">
        <v>56</v>
      </c>
    </row>
    <row r="18" spans="1:5" x14ac:dyDescent="0.25">
      <c r="A18" s="2">
        <v>17</v>
      </c>
      <c r="B18" s="3" t="s">
        <v>9</v>
      </c>
      <c r="C18" s="2" t="s">
        <v>22</v>
      </c>
      <c r="D18" s="2" t="s">
        <v>15</v>
      </c>
      <c r="E18" s="18" t="s">
        <v>56</v>
      </c>
    </row>
    <row r="19" spans="1:5" x14ac:dyDescent="0.25">
      <c r="A19" s="2">
        <v>18</v>
      </c>
      <c r="B19" s="3" t="s">
        <v>10</v>
      </c>
      <c r="C19" s="2" t="s">
        <v>16</v>
      </c>
      <c r="D19" s="2" t="s">
        <v>16</v>
      </c>
      <c r="E19" s="18" t="s">
        <v>56</v>
      </c>
    </row>
    <row r="20" spans="1:5" x14ac:dyDescent="0.25">
      <c r="A20" s="2">
        <v>19</v>
      </c>
      <c r="B20" s="38" t="s">
        <v>57</v>
      </c>
      <c r="C20" s="37" t="s">
        <v>58</v>
      </c>
      <c r="D20" s="37" t="s">
        <v>58</v>
      </c>
      <c r="E20" s="18" t="s">
        <v>59</v>
      </c>
    </row>
    <row r="21" spans="1:5" x14ac:dyDescent="0.25">
      <c r="A21" s="2">
        <v>20</v>
      </c>
      <c r="B21" s="36" t="s">
        <v>64</v>
      </c>
      <c r="C21" s="37" t="s">
        <v>65</v>
      </c>
      <c r="D21" s="37" t="s">
        <v>65</v>
      </c>
      <c r="E21" s="18" t="s">
        <v>63</v>
      </c>
    </row>
    <row r="22" spans="1:5" x14ac:dyDescent="0.25">
      <c r="A22" s="2">
        <v>21</v>
      </c>
      <c r="B22" s="36" t="s">
        <v>60</v>
      </c>
      <c r="C22" s="37" t="s">
        <v>67</v>
      </c>
      <c r="D22" s="37" t="s">
        <v>67</v>
      </c>
      <c r="E22" s="18" t="s">
        <v>66</v>
      </c>
    </row>
    <row r="23" spans="1:5" x14ac:dyDescent="0.25">
      <c r="A23" s="2">
        <v>22</v>
      </c>
      <c r="B23" s="36" t="s">
        <v>68</v>
      </c>
      <c r="C23" s="37" t="s">
        <v>67</v>
      </c>
      <c r="D23" s="37" t="s">
        <v>67</v>
      </c>
      <c r="E23" s="18" t="s">
        <v>69</v>
      </c>
    </row>
    <row r="24" spans="1:5" x14ac:dyDescent="0.25">
      <c r="A24" s="2">
        <v>23</v>
      </c>
      <c r="B24" s="36" t="s">
        <v>60</v>
      </c>
      <c r="C24" s="37" t="s">
        <v>61</v>
      </c>
      <c r="D24" s="37" t="s">
        <v>61</v>
      </c>
      <c r="E24" s="3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8" sqref="B8:D14"/>
    </sheetView>
  </sheetViews>
  <sheetFormatPr defaultRowHeight="15" x14ac:dyDescent="0.25"/>
  <cols>
    <col min="1" max="1" width="44.140625" customWidth="1"/>
  </cols>
  <sheetData>
    <row r="1" spans="1:5" x14ac:dyDescent="0.25">
      <c r="A1" s="53" t="s">
        <v>83</v>
      </c>
    </row>
    <row r="2" spans="1:5" x14ac:dyDescent="0.25">
      <c r="A2" s="54" t="s">
        <v>84</v>
      </c>
    </row>
    <row r="3" spans="1:5" x14ac:dyDescent="0.25">
      <c r="A3" s="54" t="s">
        <v>85</v>
      </c>
    </row>
    <row r="4" spans="1:5" x14ac:dyDescent="0.25">
      <c r="A4" s="53" t="s">
        <v>86</v>
      </c>
    </row>
    <row r="5" spans="1:5" x14ac:dyDescent="0.25">
      <c r="A5" s="54" t="s">
        <v>87</v>
      </c>
    </row>
    <row r="6" spans="1:5" x14ac:dyDescent="0.25">
      <c r="B6">
        <f>600*1000</f>
        <v>600000</v>
      </c>
    </row>
    <row r="7" spans="1:5" x14ac:dyDescent="0.25">
      <c r="B7">
        <f>B6/25</f>
        <v>24000</v>
      </c>
    </row>
    <row r="11" spans="1:5" x14ac:dyDescent="0.25">
      <c r="E11">
        <v>300</v>
      </c>
    </row>
    <row r="12" spans="1:5" x14ac:dyDescent="0.25">
      <c r="E12">
        <f>E11*1000</f>
        <v>300000</v>
      </c>
    </row>
    <row r="13" spans="1:5" x14ac:dyDescent="0.25">
      <c r="E13">
        <v>60</v>
      </c>
    </row>
    <row r="14" spans="1:5" x14ac:dyDescent="0.25">
      <c r="E14">
        <f>E12/E13</f>
        <v>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Sheet6</vt:lpstr>
      <vt:lpstr>Sheet4</vt:lpstr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Sharma</dc:creator>
  <cp:lastModifiedBy>Rahul Gupta</cp:lastModifiedBy>
  <cp:lastPrinted>2022-07-27T11:04:10Z</cp:lastPrinted>
  <dcterms:created xsi:type="dcterms:W3CDTF">2022-07-27T10:10:43Z</dcterms:created>
  <dcterms:modified xsi:type="dcterms:W3CDTF">2022-08-29T05:10:12Z</dcterms:modified>
</cp:coreProperties>
</file>