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In Progress Files\Arun Tomar\- - - IN PROGRESS (2022 - 2023) - - -\VIS(2022-23) - CHANDU KAKA - All 4 Properties\VIS(2022-23)-PL191-144-276 - 3 - 439\"/>
    </mc:Choice>
  </mc:AlternateContent>
  <bookViews>
    <workbookView showVerticalScroll="0" xWindow="0" yWindow="0" windowWidth="24000" windowHeight="9735" activeTab="1"/>
  </bookViews>
  <sheets>
    <sheet name="Building" sheetId="4" r:id="rId1"/>
    <sheet name="Land+Building" sheetId="3" r:id="rId2"/>
    <sheet name="Dealer 1 - Narendra Thakur" sheetId="5" r:id="rId3"/>
    <sheet name="Dealer 2 - Sagar Verma" sheetId="6" r:id="rId4"/>
  </sheets>
  <definedNames>
    <definedName name="_xlnm.Print_Area" localSheetId="0">Building!$B$1:$T$13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 i="3" l="1"/>
  <c r="D3" i="3"/>
  <c r="J2" i="3"/>
  <c r="R6" i="6" l="1"/>
  <c r="P6" i="6" l="1"/>
  <c r="D8" i="3"/>
  <c r="O6" i="6"/>
  <c r="C3" i="3"/>
  <c r="N18" i="6"/>
  <c r="N16" i="6"/>
  <c r="V6" i="6"/>
  <c r="Q6" i="6" l="1"/>
  <c r="I6" i="6"/>
  <c r="I7" i="5"/>
  <c r="I8" i="5"/>
  <c r="K6" i="6"/>
  <c r="K11" i="6" s="1"/>
  <c r="K10" i="6"/>
  <c r="I10" i="6"/>
  <c r="K9" i="6"/>
  <c r="I9" i="6"/>
  <c r="K8" i="6"/>
  <c r="I8" i="6"/>
  <c r="K7" i="6"/>
  <c r="I7" i="6"/>
  <c r="U6" i="5"/>
  <c r="Q6" i="5"/>
  <c r="K10" i="5"/>
  <c r="K9" i="5"/>
  <c r="K8" i="5"/>
  <c r="K7" i="5"/>
  <c r="K6" i="5"/>
  <c r="I10" i="5"/>
  <c r="I9" i="5"/>
  <c r="N17" i="6" l="1"/>
  <c r="N20" i="6" s="1"/>
  <c r="N22" i="6" s="1"/>
  <c r="I11" i="6"/>
  <c r="M6" i="6" s="1"/>
  <c r="K11" i="5"/>
  <c r="I11" i="5"/>
  <c r="O6" i="5" s="1"/>
  <c r="P6" i="5" s="1"/>
  <c r="R6" i="5" s="1"/>
  <c r="G8" i="4"/>
  <c r="G7" i="4"/>
  <c r="G6" i="4"/>
  <c r="P6" i="4" s="1"/>
  <c r="G5" i="4"/>
  <c r="G4" i="4"/>
  <c r="P4" i="4" s="1"/>
  <c r="N6" i="4"/>
  <c r="K6" i="4"/>
  <c r="P5" i="4"/>
  <c r="N5" i="4"/>
  <c r="K5" i="4"/>
  <c r="N4" i="4"/>
  <c r="K4" i="4"/>
  <c r="F17" i="3"/>
  <c r="F23" i="3"/>
  <c r="F22" i="3"/>
  <c r="F21" i="3"/>
  <c r="F20" i="3"/>
  <c r="F19" i="3"/>
  <c r="G9" i="4" l="1"/>
  <c r="J15" i="6"/>
  <c r="J16" i="6" s="1"/>
  <c r="F24" i="3"/>
  <c r="F28" i="3" s="1"/>
  <c r="F29" i="3" s="1"/>
  <c r="Q5" i="4"/>
  <c r="R5" i="4" s="1"/>
  <c r="T5" i="4" s="1"/>
  <c r="U5" i="4" s="1"/>
  <c r="Q6" i="4"/>
  <c r="R6" i="4" s="1"/>
  <c r="T6" i="4" s="1"/>
  <c r="U6" i="4" s="1"/>
  <c r="Q4" i="4"/>
  <c r="R4" i="4" s="1"/>
  <c r="E10" i="3"/>
  <c r="I21" i="4"/>
  <c r="J18" i="4"/>
  <c r="H18" i="4"/>
  <c r="E18" i="4"/>
  <c r="P8" i="4"/>
  <c r="N8" i="4"/>
  <c r="K8" i="4"/>
  <c r="P7" i="4"/>
  <c r="N7" i="4"/>
  <c r="K7" i="4"/>
  <c r="E11" i="3"/>
  <c r="E3" i="3"/>
  <c r="C8" i="3" s="1"/>
  <c r="P9" i="4" l="1"/>
  <c r="T4" i="4"/>
  <c r="Q8" i="4"/>
  <c r="R8" i="4" s="1"/>
  <c r="T8" i="4" s="1"/>
  <c r="U8" i="4" s="1"/>
  <c r="K18" i="4"/>
  <c r="L18" i="4" s="1"/>
  <c r="N18" i="4" s="1"/>
  <c r="Q7" i="4"/>
  <c r="R7" i="4" s="1"/>
  <c r="R9" i="4" l="1"/>
  <c r="U4" i="4"/>
  <c r="T7" i="4"/>
  <c r="T9" i="4" s="1"/>
  <c r="P18" i="4" l="1"/>
  <c r="U7" i="4"/>
  <c r="P21" i="4" l="1"/>
  <c r="E8" i="3"/>
</calcChain>
</file>

<file path=xl/sharedStrings.xml><?xml version="1.0" encoding="utf-8"?>
<sst xmlns="http://schemas.openxmlformats.org/spreadsheetml/2006/main" count="217" uniqueCount="136">
  <si>
    <t>SR. No.</t>
  </si>
  <si>
    <t>Floor</t>
  </si>
  <si>
    <t>Year of Construction</t>
  </si>
  <si>
    <t xml:space="preserve">Year of Valuation </t>
  </si>
  <si>
    <t>Type of Structure</t>
  </si>
  <si>
    <t>Salvage value</t>
  </si>
  <si>
    <t>TOTAL</t>
  </si>
  <si>
    <t>Depreciation Rate</t>
  </si>
  <si>
    <t xml:space="preserve">Depreciation
(INR) </t>
  </si>
  <si>
    <t>Depreciated Value
(INR)</t>
  </si>
  <si>
    <t>Depreciated Replacement Market Value
(INR)</t>
  </si>
  <si>
    <t>Particular</t>
  </si>
  <si>
    <t>Gross Replacement Value
(INR)</t>
  </si>
  <si>
    <t>Discounting Factor</t>
  </si>
  <si>
    <r>
      <t xml:space="preserve">Height </t>
    </r>
    <r>
      <rPr>
        <b/>
        <i/>
        <sz val="10"/>
        <rFont val="Calibri"/>
        <family val="2"/>
        <scheme val="minor"/>
      </rPr>
      <t>(in ft.)</t>
    </r>
  </si>
  <si>
    <r>
      <t xml:space="preserve">Total Life Consumed 
</t>
    </r>
    <r>
      <rPr>
        <b/>
        <i/>
        <sz val="10"/>
        <rFont val="Calibri"/>
        <family val="2"/>
        <scheme val="minor"/>
      </rPr>
      <t>(in years)</t>
    </r>
  </si>
  <si>
    <r>
      <t xml:space="preserve">Total Economical Life
</t>
    </r>
    <r>
      <rPr>
        <b/>
        <i/>
        <sz val="10"/>
        <rFont val="Calibri"/>
        <family val="2"/>
        <scheme val="minor"/>
      </rPr>
      <t>(in years)</t>
    </r>
  </si>
  <si>
    <r>
      <t xml:space="preserve">Plinth Area  Rate 
</t>
    </r>
    <r>
      <rPr>
        <b/>
        <i/>
        <sz val="10"/>
        <rFont val="Calibri"/>
        <family val="2"/>
        <scheme val="minor"/>
      </rPr>
      <t>(in per sq.ft)</t>
    </r>
  </si>
  <si>
    <r>
      <t xml:space="preserve">Area 
</t>
    </r>
    <r>
      <rPr>
        <b/>
        <i/>
        <sz val="10"/>
        <rFont val="Calibri"/>
        <family val="2"/>
        <scheme val="minor"/>
      </rPr>
      <t>(in sq.ft)</t>
    </r>
  </si>
  <si>
    <t>Remarks:</t>
  </si>
  <si>
    <t>RCC framed pillar beam column on RCC slab</t>
  </si>
  <si>
    <t xml:space="preserve"> Building 1</t>
  </si>
  <si>
    <t>Ground Floor</t>
  </si>
  <si>
    <t>First Floor</t>
  </si>
  <si>
    <r>
      <t>3.</t>
    </r>
    <r>
      <rPr>
        <i/>
        <sz val="10"/>
        <color theme="1"/>
        <rFont val="Calibri"/>
        <family val="2"/>
        <scheme val="minor"/>
      </rPr>
      <t xml:space="preserve"> The valuation is done by considering the depreciated replacement cost approach.</t>
    </r>
  </si>
  <si>
    <t>Unit</t>
  </si>
  <si>
    <t>Rates</t>
  </si>
  <si>
    <t>Value</t>
  </si>
  <si>
    <t xml:space="preserve">Land </t>
  </si>
  <si>
    <t>Building</t>
  </si>
  <si>
    <t>Total</t>
  </si>
  <si>
    <t>FMV</t>
  </si>
  <si>
    <t>Plot area
(in sqm)</t>
  </si>
  <si>
    <t>-</t>
  </si>
  <si>
    <t>Area</t>
  </si>
  <si>
    <t>Boundary wall valuation</t>
  </si>
  <si>
    <r>
      <t xml:space="preserve">Plinth Area  Rate 
</t>
    </r>
    <r>
      <rPr>
        <b/>
        <i/>
        <sz val="10"/>
        <rFont val="Calibri"/>
        <family val="2"/>
        <scheme val="minor"/>
      </rPr>
      <t>(in per running ft.)</t>
    </r>
  </si>
  <si>
    <t>Building + Wall</t>
  </si>
  <si>
    <r>
      <t xml:space="preserve">Wall
</t>
    </r>
    <r>
      <rPr>
        <b/>
        <i/>
        <sz val="10"/>
        <rFont val="Calibri"/>
        <family val="2"/>
        <scheme val="minor"/>
      </rPr>
      <t>(in Running ft.)</t>
    </r>
  </si>
  <si>
    <t>RV @ 15% Less</t>
  </si>
  <si>
    <t>DV @ 25% Less</t>
  </si>
  <si>
    <t>1 means no factor applied</t>
  </si>
  <si>
    <t>B</t>
  </si>
  <si>
    <t>G</t>
  </si>
  <si>
    <t>Circle Rate</t>
  </si>
  <si>
    <t>Grand Total</t>
  </si>
  <si>
    <t>Unit Type</t>
  </si>
  <si>
    <t>Office</t>
  </si>
  <si>
    <t>Residential</t>
  </si>
  <si>
    <t>Parking</t>
  </si>
  <si>
    <t>Showroom / Shop</t>
  </si>
  <si>
    <t>Land / Unit no.</t>
  </si>
  <si>
    <t>Land</t>
  </si>
  <si>
    <t>Building Age Factor</t>
  </si>
  <si>
    <t>Road Widening factor</t>
  </si>
  <si>
    <t>Final Value</t>
  </si>
  <si>
    <t>% Difference</t>
  </si>
  <si>
    <t>CIRCLE RATE VALUE</t>
  </si>
  <si>
    <t>Second floor</t>
  </si>
  <si>
    <t>Third Floor</t>
  </si>
  <si>
    <t>Fourth Floor</t>
  </si>
  <si>
    <t>Shop / Showroom</t>
  </si>
  <si>
    <t>Residential unit</t>
  </si>
  <si>
    <t>in R. mtr.</t>
  </si>
  <si>
    <t>Rs /sqmtr.</t>
  </si>
  <si>
    <t>BUILDING VALUATION OF M/S. CHANDUKAKASARAF AND SONS PRIVATE LIMITED | PUNE, MAHARASHTRA</t>
  </si>
  <si>
    <r>
      <t xml:space="preserve">2. </t>
    </r>
    <r>
      <rPr>
        <i/>
        <sz val="10"/>
        <color theme="1"/>
        <rFont val="Calibri"/>
        <family val="2"/>
        <scheme val="minor"/>
      </rPr>
      <t xml:space="preserve">All the structure that has been taken in the area statemnet belonging to </t>
    </r>
    <r>
      <rPr>
        <b/>
        <i/>
        <sz val="10"/>
        <rFont val="Calibri"/>
        <family val="2"/>
        <scheme val="minor"/>
      </rPr>
      <t>M/S. CHANDUKAKASARAF AND SONS PRIVATE LIMITE.</t>
    </r>
  </si>
  <si>
    <r>
      <t xml:space="preserve">1. </t>
    </r>
    <r>
      <rPr>
        <b/>
        <i/>
        <sz val="10"/>
        <color theme="1"/>
        <rFont val="Calibri"/>
        <family val="2"/>
        <scheme val="minor"/>
      </rPr>
      <t>All the details pertaing to the building area statement such as area, floor, etc has been taken from the onsite survey and aproved building plan as provided by the bank / client.</t>
    </r>
  </si>
  <si>
    <t>2 F</t>
  </si>
  <si>
    <t>3 F</t>
  </si>
  <si>
    <t>4 F</t>
  </si>
  <si>
    <t>G F</t>
  </si>
  <si>
    <t>1 F</t>
  </si>
  <si>
    <t>Stilt Parking</t>
  </si>
  <si>
    <t>Floor no.</t>
  </si>
  <si>
    <t>Permissiable usage</t>
  </si>
  <si>
    <t>Shop</t>
  </si>
  <si>
    <t>Redential Unit</t>
  </si>
  <si>
    <t>Specification</t>
  </si>
  <si>
    <t>1BHK + 1RK</t>
  </si>
  <si>
    <r>
      <t xml:space="preserve">Super Area
</t>
    </r>
    <r>
      <rPr>
        <b/>
        <sz val="9"/>
        <color theme="1"/>
        <rFont val="Calibri"/>
        <family val="2"/>
        <scheme val="minor"/>
      </rPr>
      <t>(in sq.ft.)</t>
    </r>
  </si>
  <si>
    <r>
      <t xml:space="preserve">Market rate
</t>
    </r>
    <r>
      <rPr>
        <b/>
        <sz val="9"/>
        <color theme="1"/>
        <rFont val="Calibri"/>
        <family val="2"/>
        <scheme val="minor"/>
      </rPr>
      <t>(Rs. / Sq.ft.)</t>
    </r>
  </si>
  <si>
    <t>Negotiation Factor</t>
  </si>
  <si>
    <t>Builder profit</t>
  </si>
  <si>
    <t>Sno.</t>
  </si>
  <si>
    <r>
      <t xml:space="preserve">Value of Land
</t>
    </r>
    <r>
      <rPr>
        <b/>
        <sz val="9"/>
        <color theme="1"/>
        <rFont val="Calibri"/>
        <family val="2"/>
        <scheme val="minor"/>
      </rPr>
      <t>(in Rs.)</t>
    </r>
  </si>
  <si>
    <r>
      <t xml:space="preserve">COC
</t>
    </r>
    <r>
      <rPr>
        <b/>
        <sz val="9"/>
        <color theme="1"/>
        <rFont val="Calibri"/>
        <family val="2"/>
        <scheme val="minor"/>
      </rPr>
      <t>(in Rs.)</t>
    </r>
  </si>
  <si>
    <r>
      <t xml:space="preserve">Asking Price
</t>
    </r>
    <r>
      <rPr>
        <b/>
        <sz val="9"/>
        <color theme="1"/>
        <rFont val="Calibri"/>
        <family val="2"/>
        <scheme val="minor"/>
      </rPr>
      <t>(in Rs.)</t>
    </r>
  </si>
  <si>
    <r>
      <t xml:space="preserve">Asking Price
after negotiations
</t>
    </r>
    <r>
      <rPr>
        <b/>
        <sz val="9"/>
        <color theme="1"/>
        <rFont val="Calibri"/>
        <family val="2"/>
        <scheme val="minor"/>
      </rPr>
      <t>(in Rs.)</t>
    </r>
  </si>
  <si>
    <t>Market Value
Unit wise</t>
  </si>
  <si>
    <t>Total COC</t>
  </si>
  <si>
    <t>Total
Market Value</t>
  </si>
  <si>
    <r>
      <t xml:space="preserve">Considered Rate for COC
</t>
    </r>
    <r>
      <rPr>
        <b/>
        <sz val="9"/>
        <color theme="1"/>
        <rFont val="Calibri"/>
        <family val="2"/>
        <scheme val="minor"/>
      </rPr>
      <t>(Rs. Per sq.ft.)</t>
    </r>
  </si>
  <si>
    <r>
      <t xml:space="preserve">Area of Land
</t>
    </r>
    <r>
      <rPr>
        <b/>
        <sz val="9"/>
        <color theme="1"/>
        <rFont val="Calibri"/>
        <family val="2"/>
        <scheme val="minor"/>
      </rPr>
      <t>(in sq.mtr)</t>
    </r>
  </si>
  <si>
    <r>
      <t xml:space="preserve">Land Rate
</t>
    </r>
    <r>
      <rPr>
        <b/>
        <sz val="9"/>
        <color theme="1"/>
        <rFont val="Calibri"/>
        <family val="2"/>
        <scheme val="minor"/>
      </rPr>
      <t>(in Rs. sq.mtr.)</t>
    </r>
  </si>
  <si>
    <t xml:space="preserve">COMPUTATION OF LAND VALUE </t>
  </si>
  <si>
    <t>Name:</t>
  </si>
  <si>
    <t>Narendra Thakur</t>
  </si>
  <si>
    <t>Contact No.:</t>
  </si>
  <si>
    <t>Nature of reference:</t>
  </si>
  <si>
    <t>Property Consultant</t>
  </si>
  <si>
    <t>Size of the Property:</t>
  </si>
  <si>
    <t>Approx. 120 sq.mtr</t>
  </si>
  <si>
    <t xml:space="preserve">Location: </t>
  </si>
  <si>
    <t>Near Kem hospital</t>
  </si>
  <si>
    <t>Rates/ Price informed:</t>
  </si>
  <si>
    <t>Around Rs.75,000/- to Rs.90,000 /- per Sq.yds.</t>
  </si>
  <si>
    <t>Any other details/ Discussion held:</t>
  </si>
  <si>
    <r>
      <t>As per the discussion held with the above-mentioned Property consultant working in the neighborhood of the subject property, we came to know that he had a live deal in hand for a property with land area of approx. 120 sq.mtr. with Still Parking on ground floor + Shop on FF (1300 sq.ft.) + Residential units on 2</t>
    </r>
    <r>
      <rPr>
        <vertAlign val="superscript"/>
        <sz val="11"/>
        <color theme="1"/>
        <rFont val="Arial"/>
        <family val="2"/>
      </rPr>
      <t>nd</t>
    </r>
    <r>
      <rPr>
        <sz val="11"/>
        <color theme="1"/>
        <rFont val="Arial"/>
        <family val="2"/>
      </rPr>
      <t>, 3rd, 4</t>
    </r>
    <r>
      <rPr>
        <vertAlign val="superscript"/>
        <sz val="11"/>
        <color theme="1"/>
        <rFont val="Arial"/>
        <family val="2"/>
      </rPr>
      <t>th</t>
    </r>
    <r>
      <rPr>
        <sz val="11"/>
        <color theme="1"/>
        <rFont val="Arial"/>
        <family val="2"/>
      </rPr>
      <t xml:space="preserve"> floor with super area of 990 sq.ft. for each residential unit. Total built up area = 4270 sq.ft.</t>
    </r>
  </si>
  <si>
    <t>The property is being constructed and is at finishing stage.</t>
  </si>
  <si>
    <t>Asking price for this property is 06.50 Crore which is negotiable.</t>
  </si>
  <si>
    <t>Also e reported that the The shops will be sold at a rate of Rs. 25,000 per sq.ft. to 30,000 per sq.ft. Similarly residential units will be sold for approx. Rs. 9500 per sq.ft.</t>
  </si>
  <si>
    <t>This range may vary with change in the plot/unit size, specifications location and other associated factors.</t>
  </si>
  <si>
    <t>Balaji Commercial Properties</t>
  </si>
  <si>
    <t>Approx. 440 sq.mtr.</t>
  </si>
  <si>
    <t>Location:</t>
  </si>
  <si>
    <t>Near Railway reservation office, in range of ~400 mtr.</t>
  </si>
  <si>
    <t>Land Rate of approx. Rs. 3,40,000/- lakhs per sq.mtr.</t>
  </si>
  <si>
    <t>As per the discussion held with the above-mentioned Property consultant working in the neighborhood of the subject property, he reported to us and gave an idea that that the prevailing rates for properties with land area of approx. ~112 sq.mtr. with shop on ground floor and residential units on remaining 2nd, 3rd, and 4th Floors with super area of 1200 sq.ft. on each floor with a total built up area 6000 sq.ft.</t>
  </si>
  <si>
    <t>Also he reported that the shops will be sold at a rate of up to Rs. 30,000 per sq.ft. similarly residential units will be sold for approx. Rs. 10,000 to Rs. 12,000 per sq.ft.</t>
  </si>
  <si>
    <t>Economic life</t>
  </si>
  <si>
    <t>Salvage val</t>
  </si>
  <si>
    <t>Dep Rate</t>
  </si>
  <si>
    <t>replacement val</t>
  </si>
  <si>
    <t>Consumed life</t>
  </si>
  <si>
    <t>Total Depreciation</t>
  </si>
  <si>
    <t>Depreciated value</t>
  </si>
  <si>
    <t>Area in
(Sq.mtr.)</t>
  </si>
  <si>
    <t>CTS 439</t>
  </si>
  <si>
    <t>Age / Year of Construction</t>
  </si>
  <si>
    <t>Final Rates After adjustments</t>
  </si>
  <si>
    <t xml:space="preserve">Since buyers are limited </t>
  </si>
  <si>
    <t>1st rate</t>
  </si>
  <si>
    <t>Final Rate After Adjustment</t>
  </si>
  <si>
    <t>Rate is derived after discounting  the average of rates by 10%</t>
  </si>
  <si>
    <t>Subject  Building</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</si>
</sst>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quot;₹&quot;\ * #,##0.00_ ;_ &quot;₹&quot;\ * \-#,##0.00_ ;_ &quot;₹&quot;\ * &quot;-&quot;??_ ;_ @_ "/>
    <numFmt numFmtId="43" formatCode="_ * #,##0.00_ ;_ * \-#,##0.00_ ;_ * &quot;-&quot;??_ ;_ @_ "/>
    <numFmt numFmtId="164" formatCode="_ * #,##0_ ;_ * \-#,##0_ ;_ * &quot;-&quot;??_ ;_ @_ "/>
    <numFmt numFmtId="165" formatCode="0.0000"/>
    <numFmt numFmtId="166" formatCode="_ &quot;₹&quot;\ * #,##0_ ;_ &quot;₹&quot;\ * \-#,##0_ ;_ &quot;₹&quot;\ * &quot;-&quot;??_ ;_ @_ "/>
    <numFmt numFmtId="167" formatCode="_ * #,##0.0_ ;_ * \-#,##0.0_ ;_ * &quot;-&quot;?_ ;_ @_ "/>
    <numFmt numFmtId="168" formatCode="_ [$₹-4009]\ * #,##0_ ;_ [$₹-4009]\ * \-#,##0_ ;_ [$₹-4009]\ * &quot;-&quot;??_ ;_ @_ "/>
  </numFmts>
  <fonts count="19"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b/>
      <i/>
      <sz val="11"/>
      <color theme="1"/>
      <name val="Calibri"/>
      <family val="2"/>
      <scheme val="minor"/>
    </font>
    <font>
      <b/>
      <sz val="11"/>
      <name val="Calibri"/>
      <family val="2"/>
      <scheme val="minor"/>
    </font>
    <font>
      <b/>
      <i/>
      <sz val="10"/>
      <name val="Calibri"/>
      <family val="2"/>
      <scheme val="minor"/>
    </font>
    <font>
      <sz val="11"/>
      <name val="Calibri"/>
      <family val="2"/>
      <scheme val="minor"/>
    </font>
    <font>
      <i/>
      <sz val="11"/>
      <color theme="1"/>
      <name val="Calibri"/>
      <family val="2"/>
      <scheme val="minor"/>
    </font>
    <font>
      <b/>
      <i/>
      <sz val="10"/>
      <color theme="1"/>
      <name val="Calibri"/>
      <family val="2"/>
      <scheme val="minor"/>
    </font>
    <font>
      <i/>
      <sz val="10"/>
      <color theme="1"/>
      <name val="Calibri"/>
      <family val="2"/>
      <scheme val="minor"/>
    </font>
    <font>
      <b/>
      <sz val="16"/>
      <color theme="0"/>
      <name val="Calibri"/>
      <family val="2"/>
      <scheme val="minor"/>
    </font>
    <font>
      <sz val="16"/>
      <color theme="1"/>
      <name val="Calibri"/>
      <family val="2"/>
      <scheme val="minor"/>
    </font>
    <font>
      <b/>
      <sz val="11"/>
      <color theme="0"/>
      <name val="Calibri"/>
      <family val="2"/>
      <scheme val="minor"/>
    </font>
    <font>
      <b/>
      <sz val="14"/>
      <color theme="0"/>
      <name val="Calibri"/>
      <family val="2"/>
      <scheme val="minor"/>
    </font>
    <font>
      <sz val="9"/>
      <color theme="1"/>
      <name val="Calibri"/>
      <family val="2"/>
      <scheme val="minor"/>
    </font>
    <font>
      <b/>
      <sz val="9"/>
      <color theme="1"/>
      <name val="Calibri"/>
      <family val="2"/>
      <scheme val="minor"/>
    </font>
    <font>
      <sz val="11"/>
      <color theme="1"/>
      <name val="Arial"/>
      <family val="2"/>
    </font>
    <font>
      <vertAlign val="superscript"/>
      <sz val="11"/>
      <color theme="1"/>
      <name val="Arial"/>
      <family val="2"/>
    </font>
  </fonts>
  <fills count="10">
    <fill>
      <patternFill patternType="none"/>
    </fill>
    <fill>
      <patternFill patternType="gray125"/>
    </fill>
    <fill>
      <patternFill patternType="solid">
        <fgColor theme="4" tint="0.39997558519241921"/>
        <bgColor indexed="64"/>
      </patternFill>
    </fill>
    <fill>
      <patternFill patternType="solid">
        <fgColor rgb="FF1E3661"/>
        <bgColor indexed="64"/>
      </patternFill>
    </fill>
    <fill>
      <patternFill patternType="solid">
        <fgColor rgb="FF0070C0"/>
        <bgColor indexed="64"/>
      </patternFill>
    </fill>
    <fill>
      <patternFill patternType="solid">
        <fgColor rgb="FF00B0F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33">
    <xf numFmtId="0" fontId="0" fillId="0" borderId="0" xfId="0"/>
    <xf numFmtId="164" fontId="0" fillId="0" borderId="0" xfId="0" applyNumberFormat="1"/>
    <xf numFmtId="44" fontId="0" fillId="0" borderId="0" xfId="0" applyNumberFormat="1"/>
    <xf numFmtId="166" fontId="0" fillId="0" borderId="1" xfId="1" applyNumberFormat="1" applyFont="1" applyBorder="1" applyAlignment="1">
      <alignment horizontal="center" vertical="center"/>
    </xf>
    <xf numFmtId="166" fontId="2" fillId="0" borderId="1" xfId="1" applyNumberFormat="1" applyFont="1" applyBorder="1" applyAlignment="1">
      <alignment horizontal="center" vertical="center"/>
    </xf>
    <xf numFmtId="166" fontId="0" fillId="0" borderId="0" xfId="0" applyNumberFormat="1"/>
    <xf numFmtId="44" fontId="0" fillId="0" borderId="0" xfId="1" applyFont="1"/>
    <xf numFmtId="0" fontId="5" fillId="2" borderId="1" xfId="0" applyFont="1" applyFill="1" applyBorder="1" applyAlignment="1">
      <alignment horizontal="center" vertical="center"/>
    </xf>
    <xf numFmtId="0" fontId="7" fillId="0" borderId="0" xfId="0" applyFont="1"/>
    <xf numFmtId="0" fontId="0" fillId="0" borderId="0" xfId="0" applyAlignment="1">
      <alignment wrapText="1"/>
    </xf>
    <xf numFmtId="0" fontId="12" fillId="0" borderId="1" xfId="0" applyFont="1" applyBorder="1" applyAlignment="1">
      <alignment horizontal="center" vertical="center"/>
    </xf>
    <xf numFmtId="164" fontId="12" fillId="0" borderId="1" xfId="3" applyNumberFormat="1" applyFont="1" applyBorder="1" applyAlignment="1">
      <alignment horizontal="center" vertical="center"/>
    </xf>
    <xf numFmtId="164" fontId="12" fillId="0" borderId="1" xfId="0" applyNumberFormat="1" applyFont="1" applyBorder="1"/>
    <xf numFmtId="164" fontId="12" fillId="0" borderId="1" xfId="0" applyNumberFormat="1" applyFont="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164" fontId="12" fillId="0" borderId="1" xfId="3" applyNumberFormat="1" applyFont="1" applyBorder="1"/>
    <xf numFmtId="0" fontId="0" fillId="0" borderId="0" xfId="0" applyAlignment="1">
      <alignment vertical="center"/>
    </xf>
    <xf numFmtId="0" fontId="13" fillId="5" borderId="1" xfId="0" applyFont="1" applyFill="1" applyBorder="1" applyAlignment="1">
      <alignment horizontal="center" vertical="center"/>
    </xf>
    <xf numFmtId="2" fontId="0" fillId="0" borderId="1" xfId="0" applyNumberFormat="1" applyBorder="1" applyAlignment="1">
      <alignment horizontal="center" vertical="center"/>
    </xf>
    <xf numFmtId="2" fontId="2" fillId="0" borderId="1" xfId="3" applyNumberFormat="1" applyFont="1" applyBorder="1" applyAlignment="1">
      <alignment horizontal="center" vertical="center"/>
    </xf>
    <xf numFmtId="164" fontId="0" fillId="0" borderId="1" xfId="3" applyNumberFormat="1" applyFont="1" applyBorder="1" applyAlignment="1">
      <alignment horizontal="center" vertical="center"/>
    </xf>
    <xf numFmtId="166" fontId="15" fillId="0" borderId="1" xfId="1" applyNumberFormat="1" applyFont="1" applyBorder="1" applyAlignment="1">
      <alignment horizontal="center" vertical="center"/>
    </xf>
    <xf numFmtId="0" fontId="0" fillId="0" borderId="0" xfId="0"/>
    <xf numFmtId="9" fontId="0" fillId="0" borderId="1" xfId="0" applyNumberFormat="1" applyBorder="1" applyAlignment="1">
      <alignment horizontal="center" vertical="center"/>
    </xf>
    <xf numFmtId="165" fontId="0" fillId="0" borderId="1" xfId="0" applyNumberFormat="1" applyBorder="1" applyAlignment="1">
      <alignment horizontal="center" vertical="center"/>
    </xf>
    <xf numFmtId="1" fontId="0" fillId="0" borderId="1" xfId="0" applyNumberFormat="1" applyBorder="1" applyAlignment="1">
      <alignment horizontal="center" vertical="center"/>
    </xf>
    <xf numFmtId="9" fontId="0" fillId="0" borderId="1" xfId="2" applyFont="1" applyBorder="1" applyAlignment="1">
      <alignment horizontal="center" vertical="center"/>
    </xf>
    <xf numFmtId="0" fontId="5" fillId="2" borderId="1" xfId="0" applyFont="1" applyFill="1" applyBorder="1" applyAlignment="1">
      <alignment horizontal="center" vertical="center" wrapText="1"/>
    </xf>
    <xf numFmtId="0" fontId="0" fillId="0" borderId="0" xfId="0" applyAlignment="1">
      <alignment horizontal="center"/>
    </xf>
    <xf numFmtId="166" fontId="2" fillId="0" borderId="1" xfId="0" applyNumberFormat="1" applyFont="1" applyBorder="1" applyAlignment="1">
      <alignment horizontal="center"/>
    </xf>
    <xf numFmtId="0" fontId="14" fillId="6" borderId="1" xfId="0" applyFont="1" applyFill="1" applyBorder="1" applyAlignment="1">
      <alignment horizontal="center" vertical="center" wrapText="1"/>
    </xf>
    <xf numFmtId="166" fontId="0" fillId="0" borderId="0" xfId="0" applyNumberFormat="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xf numFmtId="0" fontId="2" fillId="0" borderId="1" xfId="0" applyFont="1" applyBorder="1" applyAlignment="1">
      <alignment horizontal="center"/>
    </xf>
    <xf numFmtId="0" fontId="0" fillId="0" borderId="1" xfId="0" applyFont="1" applyBorder="1" applyAlignment="1">
      <alignment horizontal="center" vertical="center"/>
    </xf>
    <xf numFmtId="0" fontId="0" fillId="0" borderId="1" xfId="0" applyFont="1" applyBorder="1" applyAlignment="1">
      <alignment horizontal="left" vertical="center"/>
    </xf>
    <xf numFmtId="0" fontId="0" fillId="0" borderId="1" xfId="0" applyFont="1" applyFill="1" applyBorder="1" applyAlignment="1">
      <alignment horizontal="left" vertical="center"/>
    </xf>
    <xf numFmtId="164" fontId="2" fillId="0" borderId="1" xfId="3" applyNumberFormat="1" applyFont="1" applyBorder="1" applyAlignment="1">
      <alignment horizontal="center"/>
    </xf>
    <xf numFmtId="10" fontId="0" fillId="0" borderId="1" xfId="0" applyNumberFormat="1" applyBorder="1"/>
    <xf numFmtId="0" fontId="2" fillId="0" borderId="1" xfId="0" applyFont="1" applyBorder="1" applyAlignment="1">
      <alignment horizontal="left" vertical="center"/>
    </xf>
    <xf numFmtId="0" fontId="13" fillId="5" borderId="1" xfId="0" applyFont="1" applyFill="1" applyBorder="1" applyAlignment="1">
      <alignment horizontal="center"/>
    </xf>
    <xf numFmtId="43" fontId="0" fillId="0" borderId="1" xfId="3" applyFont="1" applyBorder="1" applyAlignment="1">
      <alignment horizontal="center" vertical="center"/>
    </xf>
    <xf numFmtId="167" fontId="0" fillId="0" borderId="0" xfId="0" applyNumberFormat="1"/>
    <xf numFmtId="0" fontId="0" fillId="0" borderId="11"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4" xfId="0" applyBorder="1" applyAlignment="1">
      <alignment horizontal="center" vertical="center"/>
    </xf>
    <xf numFmtId="43" fontId="0" fillId="0" borderId="14" xfId="3" applyFont="1" applyBorder="1" applyAlignment="1">
      <alignment horizontal="center" vertical="center"/>
    </xf>
    <xf numFmtId="0" fontId="2" fillId="7" borderId="8"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9"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9" borderId="8" xfId="0" applyFont="1" applyFill="1" applyBorder="1" applyAlignment="1">
      <alignment horizontal="center" vertical="center" wrapText="1"/>
    </xf>
    <xf numFmtId="0" fontId="2" fillId="9" borderId="10" xfId="0" applyFont="1" applyFill="1" applyBorder="1" applyAlignment="1">
      <alignment horizontal="center" vertical="center" wrapText="1"/>
    </xf>
    <xf numFmtId="168" fontId="0" fillId="0" borderId="12" xfId="3" applyNumberFormat="1" applyFont="1" applyBorder="1"/>
    <xf numFmtId="168" fontId="0" fillId="0" borderId="15" xfId="3" applyNumberFormat="1" applyFont="1" applyBorder="1"/>
    <xf numFmtId="168" fontId="2" fillId="0" borderId="7" xfId="0" applyNumberFormat="1" applyFont="1" applyBorder="1"/>
    <xf numFmtId="166" fontId="0" fillId="0" borderId="11" xfId="1" applyNumberFormat="1" applyFont="1" applyBorder="1"/>
    <xf numFmtId="166" fontId="0" fillId="0" borderId="13" xfId="1" applyNumberFormat="1" applyFont="1" applyBorder="1"/>
    <xf numFmtId="166" fontId="0" fillId="0" borderId="1" xfId="1" applyNumberFormat="1" applyFont="1" applyBorder="1"/>
    <xf numFmtId="166" fontId="0" fillId="0" borderId="14" xfId="1" applyNumberFormat="1" applyFont="1" applyBorder="1"/>
    <xf numFmtId="10" fontId="0" fillId="0" borderId="0" xfId="0" applyNumberFormat="1"/>
    <xf numFmtId="0" fontId="17" fillId="0" borderId="1" xfId="0" applyFont="1" applyBorder="1" applyAlignment="1">
      <alignment vertical="center" wrapText="1"/>
    </xf>
    <xf numFmtId="0" fontId="17" fillId="0" borderId="1" xfId="0" applyFont="1" applyBorder="1" applyAlignment="1">
      <alignment horizontal="justify" vertical="center" wrapText="1"/>
    </xf>
    <xf numFmtId="43" fontId="0" fillId="0" borderId="0" xfId="0" applyNumberFormat="1"/>
    <xf numFmtId="166" fontId="0" fillId="0" borderId="11" xfId="1" applyNumberFormat="1" applyFont="1" applyBorder="1" applyAlignment="1">
      <alignment vertical="center"/>
    </xf>
    <xf numFmtId="168" fontId="0" fillId="0" borderId="12" xfId="3" applyNumberFormat="1" applyFont="1" applyBorder="1" applyAlignment="1">
      <alignment vertical="center"/>
    </xf>
    <xf numFmtId="168" fontId="0" fillId="0" borderId="15" xfId="3" applyNumberFormat="1" applyFont="1" applyBorder="1" applyAlignment="1">
      <alignment vertical="center"/>
    </xf>
    <xf numFmtId="166" fontId="0" fillId="0" borderId="13" xfId="1" applyNumberFormat="1" applyFont="1" applyBorder="1" applyAlignment="1">
      <alignment vertical="center"/>
    </xf>
    <xf numFmtId="168" fontId="2" fillId="0" borderId="7" xfId="0" applyNumberFormat="1" applyFont="1" applyBorder="1" applyAlignment="1">
      <alignment vertical="center"/>
    </xf>
    <xf numFmtId="164" fontId="0" fillId="0" borderId="0" xfId="3" applyNumberFormat="1" applyFont="1" applyAlignment="1">
      <alignment horizontal="center" vertical="center"/>
    </xf>
    <xf numFmtId="43" fontId="0" fillId="0" borderId="0" xfId="3" applyFont="1" applyFill="1" applyBorder="1" applyAlignment="1">
      <alignment horizontal="center" vertical="center"/>
    </xf>
    <xf numFmtId="0" fontId="0" fillId="0" borderId="1" xfId="0" applyBorder="1" applyAlignment="1">
      <alignment wrapText="1"/>
    </xf>
    <xf numFmtId="9" fontId="0" fillId="0" borderId="1" xfId="0" applyNumberFormat="1" applyBorder="1"/>
    <xf numFmtId="168" fontId="0" fillId="0" borderId="1" xfId="0" applyNumberFormat="1" applyBorder="1"/>
    <xf numFmtId="2" fontId="12" fillId="0" borderId="1"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43" fontId="2" fillId="0" borderId="1" xfId="3" applyNumberFormat="1" applyFont="1" applyBorder="1" applyAlignment="1">
      <alignment horizontal="center"/>
    </xf>
    <xf numFmtId="0" fontId="17" fillId="0" borderId="1" xfId="0" applyFont="1" applyBorder="1" applyAlignment="1">
      <alignment horizontal="left" vertical="center" wrapText="1"/>
    </xf>
    <xf numFmtId="0" fontId="0" fillId="0" borderId="1" xfId="0" applyBorder="1" applyAlignment="1">
      <alignment horizontal="left" vertical="center" wrapText="1"/>
    </xf>
    <xf numFmtId="0" fontId="2" fillId="0" borderId="1" xfId="0" applyFont="1" applyBorder="1" applyAlignment="1">
      <alignment horizontal="center" vertical="center" wrapText="1"/>
    </xf>
    <xf numFmtId="0" fontId="8" fillId="0" borderId="1"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4" fillId="0" borderId="1" xfId="0" applyFont="1" applyBorder="1" applyAlignment="1">
      <alignment horizontal="left" vertical="center"/>
    </xf>
    <xf numFmtId="0" fontId="8" fillId="0" borderId="1" xfId="0" applyFont="1" applyFill="1" applyBorder="1" applyAlignment="1">
      <alignment horizontal="left" vertical="center" wrapText="1"/>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wrapText="1"/>
    </xf>
    <xf numFmtId="0" fontId="14" fillId="5" borderId="1"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166" fontId="0" fillId="0" borderId="12" xfId="1" applyNumberFormat="1" applyFont="1" applyBorder="1" applyAlignment="1">
      <alignment horizontal="center" vertical="center" wrapText="1"/>
    </xf>
    <xf numFmtId="166" fontId="0" fillId="0" borderId="15" xfId="1" applyNumberFormat="1" applyFont="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2" fillId="7" borderId="21"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17" fillId="0" borderId="1" xfId="0" applyFont="1" applyBorder="1" applyAlignment="1">
      <alignment vertical="center" wrapText="1"/>
    </xf>
    <xf numFmtId="10" fontId="0" fillId="0" borderId="1" xfId="0" applyNumberFormat="1" applyBorder="1" applyAlignment="1">
      <alignment horizontal="center" vertical="center" wrapText="1"/>
    </xf>
    <xf numFmtId="10" fontId="0" fillId="0" borderId="14" xfId="0" applyNumberFormat="1" applyBorder="1" applyAlignment="1">
      <alignment horizontal="center" vertical="center" wrapText="1"/>
    </xf>
    <xf numFmtId="43" fontId="0" fillId="0" borderId="1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13" xfId="0" applyNumberFormat="1" applyBorder="1" applyAlignment="1">
      <alignment horizontal="center" vertical="center" wrapText="1"/>
    </xf>
    <xf numFmtId="166" fontId="0" fillId="0" borderId="5" xfId="1" applyNumberFormat="1" applyFont="1" applyBorder="1" applyAlignment="1">
      <alignment horizontal="center" vertical="center" wrapText="1"/>
    </xf>
    <xf numFmtId="166" fontId="0" fillId="0" borderId="6" xfId="1" applyNumberFormat="1" applyFont="1" applyBorder="1" applyAlignment="1">
      <alignment horizontal="center" vertical="center" wrapText="1"/>
    </xf>
    <xf numFmtId="166" fontId="0" fillId="0" borderId="16" xfId="1" applyNumberFormat="1" applyFont="1" applyBorder="1" applyAlignment="1">
      <alignment horizontal="center" vertical="center" wrapText="1"/>
    </xf>
    <xf numFmtId="166" fontId="0" fillId="0" borderId="1" xfId="1" applyNumberFormat="1" applyFont="1" applyBorder="1" applyAlignment="1">
      <alignment horizontal="center" vertical="center" wrapText="1"/>
    </xf>
    <xf numFmtId="166" fontId="0" fillId="0" borderId="14" xfId="1" applyNumberFormat="1" applyFont="1" applyBorder="1" applyAlignment="1">
      <alignment horizontal="center" vertical="center" wrapText="1"/>
    </xf>
    <xf numFmtId="0" fontId="0" fillId="0" borderId="0" xfId="0" applyAlignment="1">
      <alignment horizontal="center" vertical="center"/>
    </xf>
    <xf numFmtId="166" fontId="0" fillId="0" borderId="23" xfId="1" applyNumberFormat="1" applyFont="1" applyBorder="1" applyAlignment="1">
      <alignment horizontal="center" vertical="center" wrapText="1"/>
    </xf>
    <xf numFmtId="164" fontId="0" fillId="0" borderId="1" xfId="3" applyNumberFormat="1" applyFont="1" applyBorder="1" applyAlignment="1">
      <alignment horizontal="center" vertical="center" wrapText="1"/>
    </xf>
    <xf numFmtId="0" fontId="0" fillId="0" borderId="1" xfId="0" applyBorder="1" applyAlignment="1">
      <alignment horizontal="center" vertical="center" wrapText="1"/>
    </xf>
  </cellXfs>
  <cellStyles count="8">
    <cellStyle name="Comma" xfId="3" builtinId="3"/>
    <cellStyle name="Comma 2" xfId="5"/>
    <cellStyle name="Comma 3" xfId="7"/>
    <cellStyle name="Currency" xfId="1" builtinId="4"/>
    <cellStyle name="Currency 2" xfId="4"/>
    <cellStyle name="Currency 3" xfId="6"/>
    <cellStyle name="Normal" xfId="0" builtinId="0"/>
    <cellStyle name="Percent" xfId="2" builtinId="5"/>
  </cellStyles>
  <dxfs count="0"/>
  <tableStyles count="0" defaultTableStyle="TableStyleMedium2" defaultPivotStyle="PivotStyleLight16"/>
  <colors>
    <mruColors>
      <color rgb="FF1E36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179292</xdr:colOff>
      <xdr:row>8</xdr:row>
      <xdr:rowOff>44822</xdr:rowOff>
    </xdr:from>
    <xdr:to>
      <xdr:col>10</xdr:col>
      <xdr:colOff>729517</xdr:colOff>
      <xdr:row>24</xdr:row>
      <xdr:rowOff>118776</xdr:rowOff>
    </xdr:to>
    <xdr:pic>
      <xdr:nvPicPr>
        <xdr:cNvPr id="8" name="Picture 7"/>
        <xdr:cNvPicPr/>
      </xdr:nvPicPr>
      <xdr:blipFill>
        <a:blip xmlns:r="http://schemas.openxmlformats.org/officeDocument/2006/relationships" r:embed="rId1"/>
        <a:stretch>
          <a:fillRect/>
        </a:stretch>
      </xdr:blipFill>
      <xdr:spPr>
        <a:xfrm>
          <a:off x="7743263" y="2342028"/>
          <a:ext cx="5727343" cy="3357277"/>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818028</xdr:colOff>
      <xdr:row>15</xdr:row>
      <xdr:rowOff>56029</xdr:rowOff>
    </xdr:from>
    <xdr:to>
      <xdr:col>20</xdr:col>
      <xdr:colOff>11463617</xdr:colOff>
      <xdr:row>36</xdr:row>
      <xdr:rowOff>89646</xdr:rowOff>
    </xdr:to>
    <xdr:pic>
      <xdr:nvPicPr>
        <xdr:cNvPr id="2" name="Picture 1"/>
        <xdr:cNvPicPr/>
      </xdr:nvPicPr>
      <xdr:blipFill>
        <a:blip xmlns:r="http://schemas.openxmlformats.org/officeDocument/2006/relationships" r:embed="rId1"/>
        <a:stretch>
          <a:fillRect/>
        </a:stretch>
      </xdr:blipFill>
      <xdr:spPr>
        <a:xfrm>
          <a:off x="16046822" y="4572000"/>
          <a:ext cx="11777383" cy="40341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W23"/>
  <sheetViews>
    <sheetView zoomScale="85" zoomScaleNormal="85" zoomScaleSheetLayoutView="85" workbookViewId="0">
      <selection activeCell="B2" sqref="B2:T13"/>
    </sheetView>
  </sheetViews>
  <sheetFormatPr defaultRowHeight="15" x14ac:dyDescent="0.25"/>
  <cols>
    <col min="1" max="1" width="3.42578125" style="23" customWidth="1"/>
    <col min="2" max="2" width="12.85546875" style="23" bestFit="1" customWidth="1"/>
    <col min="3" max="3" width="13.140625" style="23" bestFit="1" customWidth="1"/>
    <col min="4" max="4" width="10.85546875" style="9" bestFit="1" customWidth="1"/>
    <col min="5" max="5" width="18.28515625" style="9" bestFit="1" customWidth="1"/>
    <col min="6" max="6" width="23.140625" style="9" bestFit="1" customWidth="1"/>
    <col min="7" max="7" width="12.7109375" style="23" bestFit="1" customWidth="1"/>
    <col min="8" max="8" width="10.42578125" style="23" bestFit="1" customWidth="1"/>
    <col min="9" max="9" width="12.85546875" style="23" bestFit="1" customWidth="1"/>
    <col min="10" max="10" width="11.42578125" style="23" hidden="1" customWidth="1"/>
    <col min="11" max="11" width="11.7109375" style="23" bestFit="1" customWidth="1"/>
    <col min="12" max="12" width="11.28515625" style="23" bestFit="1" customWidth="1"/>
    <col min="13" max="13" width="9.85546875" style="23" bestFit="1" customWidth="1"/>
    <col min="14" max="14" width="12.7109375" style="23" hidden="1" customWidth="1"/>
    <col min="15" max="15" width="10.85546875" style="23" bestFit="1" customWidth="1"/>
    <col min="16" max="16" width="13.42578125" style="23" customWidth="1"/>
    <col min="17" max="17" width="12.42578125" style="23" hidden="1" customWidth="1"/>
    <col min="18" max="18" width="11.85546875" style="23" hidden="1" customWidth="1"/>
    <col min="19" max="19" width="11.42578125" style="23" hidden="1" customWidth="1"/>
    <col min="20" max="20" width="13.140625" style="29" bestFit="1" customWidth="1"/>
    <col min="21" max="21" width="10.7109375" style="23" bestFit="1" customWidth="1"/>
    <col min="22" max="23" width="14.28515625" style="23" bestFit="1" customWidth="1"/>
    <col min="24" max="16384" width="9.140625" style="23"/>
  </cols>
  <sheetData>
    <row r="2" spans="1:23" ht="15.75" x14ac:dyDescent="0.25">
      <c r="B2" s="95" t="s">
        <v>65</v>
      </c>
      <c r="C2" s="96"/>
      <c r="D2" s="96"/>
      <c r="E2" s="96"/>
      <c r="F2" s="96"/>
      <c r="G2" s="96"/>
      <c r="H2" s="96"/>
      <c r="I2" s="96"/>
      <c r="J2" s="96"/>
      <c r="K2" s="96"/>
      <c r="L2" s="96"/>
      <c r="M2" s="96"/>
      <c r="N2" s="96"/>
      <c r="O2" s="96"/>
      <c r="P2" s="96"/>
      <c r="Q2" s="96"/>
      <c r="R2" s="96"/>
      <c r="S2" s="96"/>
      <c r="T2" s="97"/>
    </row>
    <row r="3" spans="1:23" s="8" customFormat="1" ht="60" x14ac:dyDescent="0.25">
      <c r="A3" s="23"/>
      <c r="B3" s="7" t="s">
        <v>0</v>
      </c>
      <c r="C3" s="7" t="s">
        <v>1</v>
      </c>
      <c r="D3" s="28" t="s">
        <v>11</v>
      </c>
      <c r="E3" s="28" t="s">
        <v>25</v>
      </c>
      <c r="F3" s="28" t="s">
        <v>4</v>
      </c>
      <c r="G3" s="28" t="s">
        <v>18</v>
      </c>
      <c r="H3" s="28" t="s">
        <v>14</v>
      </c>
      <c r="I3" s="28" t="s">
        <v>2</v>
      </c>
      <c r="J3" s="28" t="s">
        <v>3</v>
      </c>
      <c r="K3" s="28" t="s">
        <v>15</v>
      </c>
      <c r="L3" s="28" t="s">
        <v>16</v>
      </c>
      <c r="M3" s="28" t="s">
        <v>5</v>
      </c>
      <c r="N3" s="28" t="s">
        <v>7</v>
      </c>
      <c r="O3" s="28" t="s">
        <v>17</v>
      </c>
      <c r="P3" s="28" t="s">
        <v>12</v>
      </c>
      <c r="Q3" s="28" t="s">
        <v>8</v>
      </c>
      <c r="R3" s="28" t="s">
        <v>9</v>
      </c>
      <c r="S3" s="28" t="s">
        <v>13</v>
      </c>
      <c r="T3" s="28" t="s">
        <v>10</v>
      </c>
    </row>
    <row r="4" spans="1:23" ht="30" x14ac:dyDescent="0.25">
      <c r="B4" s="38">
        <v>1</v>
      </c>
      <c r="C4" s="37" t="s">
        <v>22</v>
      </c>
      <c r="D4" s="36" t="s">
        <v>135</v>
      </c>
      <c r="E4" s="36" t="s">
        <v>61</v>
      </c>
      <c r="F4" s="36" t="s">
        <v>20</v>
      </c>
      <c r="G4" s="19">
        <f>70.54*F15</f>
        <v>759.29255999999998</v>
      </c>
      <c r="H4" s="19">
        <v>9.35</v>
      </c>
      <c r="I4" s="37">
        <v>2005</v>
      </c>
      <c r="J4" s="37">
        <v>2022</v>
      </c>
      <c r="K4" s="37">
        <f>J4-I4</f>
        <v>17</v>
      </c>
      <c r="L4" s="37">
        <v>60</v>
      </c>
      <c r="M4" s="24">
        <v>0.1</v>
      </c>
      <c r="N4" s="25">
        <f>(1-M4)/L4</f>
        <v>1.5000000000000001E-2</v>
      </c>
      <c r="O4" s="89">
        <v>1500</v>
      </c>
      <c r="P4" s="3">
        <f>O4*G4</f>
        <v>1138938.8400000001</v>
      </c>
      <c r="Q4" s="3">
        <f>P4*N4*K4</f>
        <v>290429.40420000005</v>
      </c>
      <c r="R4" s="3">
        <f t="shared" ref="R4" si="0">MAX(P4-Q4,0)</f>
        <v>848509.43580000009</v>
      </c>
      <c r="S4" s="27">
        <v>0</v>
      </c>
      <c r="T4" s="3">
        <f>IF(R4&gt;M4*P4,R4*(1-S4),P4*M4)</f>
        <v>848509.43580000009</v>
      </c>
      <c r="U4" s="6">
        <f>T4/G4</f>
        <v>1117.5000000000002</v>
      </c>
      <c r="V4" s="1"/>
      <c r="W4" s="1"/>
    </row>
    <row r="5" spans="1:23" ht="30" x14ac:dyDescent="0.25">
      <c r="B5" s="38">
        <v>2</v>
      </c>
      <c r="C5" s="37" t="s">
        <v>23</v>
      </c>
      <c r="D5" s="36" t="s">
        <v>135</v>
      </c>
      <c r="E5" s="36" t="s">
        <v>47</v>
      </c>
      <c r="F5" s="36" t="s">
        <v>20</v>
      </c>
      <c r="G5" s="19">
        <f>69.54*F15</f>
        <v>748.52855999999997</v>
      </c>
      <c r="H5" s="19">
        <v>9.31</v>
      </c>
      <c r="I5" s="37">
        <v>2005</v>
      </c>
      <c r="J5" s="37">
        <v>2022</v>
      </c>
      <c r="K5" s="37">
        <f>J5-I5</f>
        <v>17</v>
      </c>
      <c r="L5" s="37">
        <v>60</v>
      </c>
      <c r="M5" s="24">
        <v>0.1</v>
      </c>
      <c r="N5" s="25">
        <f>(1-M5)/L5</f>
        <v>1.5000000000000001E-2</v>
      </c>
      <c r="O5" s="89">
        <v>1500</v>
      </c>
      <c r="P5" s="3">
        <f>O5*G5</f>
        <v>1122792.8399999999</v>
      </c>
      <c r="Q5" s="3">
        <f>P5*N5*K5</f>
        <v>286312.17420000001</v>
      </c>
      <c r="R5" s="3">
        <f>MAX(P5-Q5,0)</f>
        <v>836480.66579999984</v>
      </c>
      <c r="S5" s="27">
        <v>0</v>
      </c>
      <c r="T5" s="3">
        <f>IF(R5&gt;M5*P5,R5*(1-S5),P5*M5)</f>
        <v>836480.66579999984</v>
      </c>
      <c r="U5" s="6">
        <f>T5/G5</f>
        <v>1117.4999999999998</v>
      </c>
      <c r="V5" s="1"/>
      <c r="W5" s="1"/>
    </row>
    <row r="6" spans="1:23" ht="30" x14ac:dyDescent="0.25">
      <c r="B6" s="38">
        <v>3</v>
      </c>
      <c r="C6" s="37" t="s">
        <v>58</v>
      </c>
      <c r="D6" s="36" t="s">
        <v>135</v>
      </c>
      <c r="E6" s="36" t="s">
        <v>62</v>
      </c>
      <c r="F6" s="36" t="s">
        <v>20</v>
      </c>
      <c r="G6" s="19">
        <f>63.18*F15</f>
        <v>680.06952000000001</v>
      </c>
      <c r="H6" s="19">
        <v>7.89</v>
      </c>
      <c r="I6" s="37">
        <v>2005</v>
      </c>
      <c r="J6" s="37">
        <v>2022</v>
      </c>
      <c r="K6" s="37">
        <f>J6-I6</f>
        <v>17</v>
      </c>
      <c r="L6" s="37">
        <v>60</v>
      </c>
      <c r="M6" s="24">
        <v>0.1</v>
      </c>
      <c r="N6" s="25">
        <f>(1-M6)/L6</f>
        <v>1.5000000000000001E-2</v>
      </c>
      <c r="O6" s="89">
        <v>1500</v>
      </c>
      <c r="P6" s="3">
        <f>O6*G6</f>
        <v>1020104.28</v>
      </c>
      <c r="Q6" s="3">
        <f>P6*N6*K6</f>
        <v>260126.59140000003</v>
      </c>
      <c r="R6" s="3">
        <f t="shared" ref="R6" si="1">MAX(P6-Q6,0)</f>
        <v>759977.68859999999</v>
      </c>
      <c r="S6" s="27">
        <v>0</v>
      </c>
      <c r="T6" s="3">
        <f>IF(R6&gt;M6*P6,R6*(1-S6),P6*M6)</f>
        <v>759977.68859999999</v>
      </c>
      <c r="U6" s="6">
        <f>T6/G6</f>
        <v>1117.5</v>
      </c>
      <c r="V6" s="1"/>
      <c r="W6" s="1"/>
    </row>
    <row r="7" spans="1:23" ht="30" x14ac:dyDescent="0.25">
      <c r="B7" s="35">
        <v>4</v>
      </c>
      <c r="C7" s="34" t="s">
        <v>59</v>
      </c>
      <c r="D7" s="33" t="s">
        <v>21</v>
      </c>
      <c r="E7" s="36" t="s">
        <v>62</v>
      </c>
      <c r="F7" s="33" t="s">
        <v>20</v>
      </c>
      <c r="G7" s="19">
        <f>50.56*F15</f>
        <v>544.22784000000001</v>
      </c>
      <c r="H7" s="19">
        <v>8.64</v>
      </c>
      <c r="I7" s="34">
        <v>2005</v>
      </c>
      <c r="J7" s="34">
        <v>2022</v>
      </c>
      <c r="K7" s="34">
        <f>J7-I7</f>
        <v>17</v>
      </c>
      <c r="L7" s="34">
        <v>60</v>
      </c>
      <c r="M7" s="24">
        <v>0.1</v>
      </c>
      <c r="N7" s="25">
        <f>(1-M7)/L7</f>
        <v>1.5000000000000001E-2</v>
      </c>
      <c r="O7" s="89">
        <v>1250</v>
      </c>
      <c r="P7" s="3">
        <f>O7*G7</f>
        <v>680284.8</v>
      </c>
      <c r="Q7" s="3">
        <f>P7*N7*K7</f>
        <v>173472.62400000001</v>
      </c>
      <c r="R7" s="3">
        <f t="shared" ref="R7" si="2">MAX(P7-Q7,0)</f>
        <v>506812.17600000004</v>
      </c>
      <c r="S7" s="27">
        <v>0</v>
      </c>
      <c r="T7" s="3">
        <f>IF(R7&gt;M7*P7,R7*(1-S7),P7*M7)</f>
        <v>506812.17600000004</v>
      </c>
      <c r="U7" s="6">
        <f>T7/G7</f>
        <v>931.25</v>
      </c>
      <c r="V7" s="1"/>
      <c r="W7" s="1"/>
    </row>
    <row r="8" spans="1:23" ht="30" x14ac:dyDescent="0.25">
      <c r="B8" s="35">
        <v>5</v>
      </c>
      <c r="C8" s="34" t="s">
        <v>60</v>
      </c>
      <c r="D8" s="36" t="s">
        <v>135</v>
      </c>
      <c r="E8" s="36" t="s">
        <v>62</v>
      </c>
      <c r="F8" s="33" t="s">
        <v>20</v>
      </c>
      <c r="G8" s="19">
        <f>28.59*F15</f>
        <v>307.74275999999998</v>
      </c>
      <c r="H8" s="19">
        <v>8.66</v>
      </c>
      <c r="I8" s="34">
        <v>2005</v>
      </c>
      <c r="J8" s="34">
        <v>2022</v>
      </c>
      <c r="K8" s="34">
        <f>J8-I8</f>
        <v>17</v>
      </c>
      <c r="L8" s="34">
        <v>60</v>
      </c>
      <c r="M8" s="24">
        <v>0.1</v>
      </c>
      <c r="N8" s="25">
        <f>(1-M8)/L8</f>
        <v>1.5000000000000001E-2</v>
      </c>
      <c r="O8" s="89">
        <v>1250</v>
      </c>
      <c r="P8" s="3">
        <f>O8*G8</f>
        <v>384678.44999999995</v>
      </c>
      <c r="Q8" s="3">
        <f>P8*N8*K8</f>
        <v>98093.004749999993</v>
      </c>
      <c r="R8" s="3">
        <f>MAX(P8-Q8,0)</f>
        <v>286585.44524999999</v>
      </c>
      <c r="S8" s="27">
        <v>0</v>
      </c>
      <c r="T8" s="3">
        <f>IF(R8&gt;M8*P8,R8*(1-S8),P8*M8)</f>
        <v>286585.44524999999</v>
      </c>
      <c r="U8" s="6">
        <f>T8/G8</f>
        <v>931.25</v>
      </c>
      <c r="V8" s="1"/>
      <c r="W8" s="1"/>
    </row>
    <row r="9" spans="1:23" x14ac:dyDescent="0.25">
      <c r="B9" s="98" t="s">
        <v>6</v>
      </c>
      <c r="C9" s="98"/>
      <c r="D9" s="98"/>
      <c r="E9" s="98"/>
      <c r="F9" s="98"/>
      <c r="G9" s="20">
        <f>SUM(G4:G8)</f>
        <v>3039.8612400000002</v>
      </c>
      <c r="H9" s="99"/>
      <c r="I9" s="100"/>
      <c r="J9" s="100"/>
      <c r="K9" s="100"/>
      <c r="L9" s="100"/>
      <c r="M9" s="100"/>
      <c r="N9" s="100"/>
      <c r="O9" s="101"/>
      <c r="P9" s="4">
        <f>SUM(P4:P8)</f>
        <v>4346799.21</v>
      </c>
      <c r="Q9" s="4"/>
      <c r="R9" s="4">
        <f>SUM(R4:R8)</f>
        <v>3238365.4114499995</v>
      </c>
      <c r="S9" s="4"/>
      <c r="T9" s="4">
        <f>SUM(T4:T8)</f>
        <v>3238365.4114499995</v>
      </c>
      <c r="U9" s="6"/>
    </row>
    <row r="10" spans="1:23" x14ac:dyDescent="0.25">
      <c r="B10" s="102" t="s">
        <v>19</v>
      </c>
      <c r="C10" s="102"/>
      <c r="D10" s="102"/>
      <c r="E10" s="102"/>
      <c r="F10" s="102"/>
      <c r="G10" s="102"/>
      <c r="H10" s="102"/>
      <c r="I10" s="102"/>
      <c r="J10" s="102"/>
      <c r="K10" s="102"/>
      <c r="L10" s="102"/>
      <c r="M10" s="102"/>
      <c r="N10" s="102"/>
      <c r="O10" s="102"/>
      <c r="P10" s="102"/>
      <c r="Q10" s="102"/>
      <c r="R10" s="102"/>
      <c r="S10" s="102"/>
      <c r="T10" s="102"/>
      <c r="U10" s="6"/>
    </row>
    <row r="11" spans="1:23" x14ac:dyDescent="0.25">
      <c r="B11" s="94" t="s">
        <v>67</v>
      </c>
      <c r="C11" s="94"/>
      <c r="D11" s="94"/>
      <c r="E11" s="94"/>
      <c r="F11" s="94"/>
      <c r="G11" s="94"/>
      <c r="H11" s="94"/>
      <c r="I11" s="94"/>
      <c r="J11" s="94"/>
      <c r="K11" s="94"/>
      <c r="L11" s="94"/>
      <c r="M11" s="94"/>
      <c r="N11" s="94"/>
      <c r="O11" s="94"/>
      <c r="P11" s="94"/>
      <c r="Q11" s="94"/>
      <c r="R11" s="94"/>
      <c r="S11" s="94"/>
      <c r="T11" s="94"/>
      <c r="U11" s="6"/>
    </row>
    <row r="12" spans="1:23" x14ac:dyDescent="0.25">
      <c r="B12" s="103" t="s">
        <v>66</v>
      </c>
      <c r="C12" s="94"/>
      <c r="D12" s="94"/>
      <c r="E12" s="94"/>
      <c r="F12" s="94"/>
      <c r="G12" s="94"/>
      <c r="H12" s="94"/>
      <c r="I12" s="94"/>
      <c r="J12" s="94"/>
      <c r="K12" s="94"/>
      <c r="L12" s="94"/>
      <c r="M12" s="94"/>
      <c r="N12" s="94"/>
      <c r="O12" s="94"/>
      <c r="P12" s="94"/>
      <c r="Q12" s="94"/>
      <c r="R12" s="94"/>
      <c r="S12" s="94"/>
      <c r="T12" s="94"/>
      <c r="U12" s="6"/>
    </row>
    <row r="13" spans="1:23" x14ac:dyDescent="0.25">
      <c r="B13" s="94" t="s">
        <v>24</v>
      </c>
      <c r="C13" s="94"/>
      <c r="D13" s="94"/>
      <c r="E13" s="94"/>
      <c r="F13" s="94"/>
      <c r="G13" s="94"/>
      <c r="H13" s="94"/>
      <c r="I13" s="94"/>
      <c r="J13" s="94"/>
      <c r="K13" s="94"/>
      <c r="L13" s="94"/>
      <c r="M13" s="94"/>
      <c r="N13" s="94"/>
      <c r="O13" s="94"/>
      <c r="P13" s="94"/>
      <c r="Q13" s="94"/>
      <c r="R13" s="94"/>
      <c r="S13" s="94"/>
      <c r="T13" s="94"/>
      <c r="U13" s="6"/>
    </row>
    <row r="14" spans="1:23" x14ac:dyDescent="0.25">
      <c r="U14" s="6"/>
    </row>
    <row r="15" spans="1:23" x14ac:dyDescent="0.25">
      <c r="F15" s="9">
        <v>10.763999999999999</v>
      </c>
      <c r="U15" s="6"/>
    </row>
    <row r="16" spans="1:23" ht="15.75" hidden="1" x14ac:dyDescent="0.25">
      <c r="B16" s="95" t="s">
        <v>35</v>
      </c>
      <c r="C16" s="96"/>
      <c r="D16" s="96"/>
      <c r="E16" s="96"/>
      <c r="F16" s="96"/>
      <c r="G16" s="96"/>
      <c r="H16" s="96"/>
      <c r="I16" s="96"/>
      <c r="J16" s="96"/>
      <c r="K16" s="96"/>
      <c r="L16" s="96"/>
      <c r="M16" s="96"/>
      <c r="N16" s="96"/>
      <c r="P16" s="29"/>
      <c r="T16" s="23"/>
    </row>
    <row r="17" spans="2:23" ht="75" hidden="1" x14ac:dyDescent="0.25">
      <c r="B17" s="28" t="s">
        <v>38</v>
      </c>
      <c r="C17" s="28" t="s">
        <v>2</v>
      </c>
      <c r="D17" s="28" t="s">
        <v>3</v>
      </c>
      <c r="E17" s="28" t="s">
        <v>15</v>
      </c>
      <c r="F17" s="28" t="s">
        <v>16</v>
      </c>
      <c r="G17" s="28" t="s">
        <v>5</v>
      </c>
      <c r="H17" s="28" t="s">
        <v>7</v>
      </c>
      <c r="I17" s="28" t="s">
        <v>36</v>
      </c>
      <c r="J17" s="28" t="s">
        <v>12</v>
      </c>
      <c r="K17" s="28" t="s">
        <v>8</v>
      </c>
      <c r="L17" s="28" t="s">
        <v>9</v>
      </c>
      <c r="M17" s="28" t="s">
        <v>13</v>
      </c>
      <c r="N17" s="28" t="s">
        <v>10</v>
      </c>
      <c r="P17" s="31" t="s">
        <v>37</v>
      </c>
      <c r="T17" s="23"/>
    </row>
    <row r="18" spans="2:23" hidden="1" x14ac:dyDescent="0.25">
      <c r="B18" s="26">
        <v>0</v>
      </c>
      <c r="C18" s="34">
        <v>2005</v>
      </c>
      <c r="D18" s="34">
        <v>2022</v>
      </c>
      <c r="E18" s="34">
        <f>D18-C18</f>
        <v>17</v>
      </c>
      <c r="F18" s="34">
        <v>35</v>
      </c>
      <c r="G18" s="24">
        <v>0.1</v>
      </c>
      <c r="H18" s="25">
        <f>(1-G18)/F18</f>
        <v>2.5714285714285714E-2</v>
      </c>
      <c r="I18" s="3">
        <v>1500</v>
      </c>
      <c r="J18" s="22">
        <f>I18*B18</f>
        <v>0</v>
      </c>
      <c r="K18" s="3">
        <f>J18*H18*E18</f>
        <v>0</v>
      </c>
      <c r="L18" s="3">
        <f>MAX(J18-K18,0)</f>
        <v>0</v>
      </c>
      <c r="M18" s="27">
        <v>0</v>
      </c>
      <c r="N18" s="3">
        <f>IF(L18&gt;G18*J18,L18*(1-M18),J18*G18)</f>
        <v>0</v>
      </c>
      <c r="P18" s="30">
        <f>T9+N18</f>
        <v>3238365.4114499995</v>
      </c>
      <c r="T18" s="23"/>
    </row>
    <row r="19" spans="2:23" hidden="1" x14ac:dyDescent="0.25">
      <c r="D19" s="23"/>
      <c r="E19" s="23"/>
      <c r="F19" s="23"/>
      <c r="I19" s="23">
        <v>5000</v>
      </c>
      <c r="J19" s="23" t="s">
        <v>64</v>
      </c>
      <c r="P19" s="29"/>
      <c r="T19" s="23"/>
    </row>
    <row r="20" spans="2:23" hidden="1" x14ac:dyDescent="0.25">
      <c r="B20" s="23">
        <v>272</v>
      </c>
      <c r="D20" s="23"/>
      <c r="E20" s="23"/>
      <c r="F20" s="23"/>
      <c r="I20" s="23">
        <v>3.2808000000000002</v>
      </c>
      <c r="J20" s="23" t="s">
        <v>63</v>
      </c>
      <c r="P20" s="29">
        <v>9600000</v>
      </c>
      <c r="T20" s="23"/>
    </row>
    <row r="21" spans="2:23" hidden="1" x14ac:dyDescent="0.25">
      <c r="D21" s="23"/>
      <c r="E21" s="23"/>
      <c r="F21" s="23"/>
      <c r="I21" s="23">
        <f>I19/I20</f>
        <v>1524.0185320653497</v>
      </c>
      <c r="P21" s="32">
        <f>P18+P20</f>
        <v>12838365.411449999</v>
      </c>
      <c r="T21" s="23"/>
    </row>
    <row r="22" spans="2:23" hidden="1" x14ac:dyDescent="0.25">
      <c r="D22" s="23"/>
      <c r="E22" s="23"/>
      <c r="F22" s="23"/>
      <c r="P22" s="29"/>
      <c r="T22" s="23"/>
    </row>
    <row r="23" spans="2:23" x14ac:dyDescent="0.25">
      <c r="U23" s="5"/>
      <c r="V23" s="2"/>
      <c r="W23" s="2"/>
    </row>
  </sheetData>
  <mergeCells count="8">
    <mergeCell ref="B13:T13"/>
    <mergeCell ref="B16:N16"/>
    <mergeCell ref="B2:T2"/>
    <mergeCell ref="B9:F9"/>
    <mergeCell ref="H9:O9"/>
    <mergeCell ref="B10:T10"/>
    <mergeCell ref="B11:T11"/>
    <mergeCell ref="B12:T12"/>
  </mergeCells>
  <pageMargins left="0.31496062992125984" right="0.31496062992125984" top="0.31496062992125984" bottom="0.31496062992125984"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29"/>
  <sheetViews>
    <sheetView tabSelected="1" zoomScale="85" zoomScaleNormal="85" workbookViewId="0">
      <selection activeCell="F4" sqref="F4"/>
    </sheetView>
  </sheetViews>
  <sheetFormatPr defaultRowHeight="15" x14ac:dyDescent="0.25"/>
  <cols>
    <col min="1" max="1" width="9.140625" style="23"/>
    <col min="2" max="2" width="14.140625" style="23" bestFit="1" customWidth="1"/>
    <col min="3" max="3" width="19.5703125" style="23" bestFit="1" customWidth="1"/>
    <col min="4" max="4" width="21.140625" style="23" bestFit="1" customWidth="1"/>
    <col min="5" max="5" width="20.7109375" style="23" bestFit="1" customWidth="1"/>
    <col min="6" max="6" width="28" style="23" bestFit="1" customWidth="1"/>
    <col min="7" max="7" width="25.7109375" style="23" bestFit="1" customWidth="1"/>
    <col min="8" max="8" width="13.42578125" style="23" bestFit="1" customWidth="1"/>
    <col min="9" max="9" width="19.28515625" style="23" bestFit="1" customWidth="1"/>
    <col min="10" max="10" width="19.140625" style="23" bestFit="1" customWidth="1"/>
    <col min="11" max="11" width="23.140625" style="23" bestFit="1" customWidth="1"/>
    <col min="12" max="12" width="12.28515625" style="23" bestFit="1" customWidth="1"/>
    <col min="13" max="13" width="10.42578125" style="23" bestFit="1" customWidth="1"/>
    <col min="14" max="16384" width="9.140625" style="23"/>
  </cols>
  <sheetData>
    <row r="2" spans="2:10" ht="42" x14ac:dyDescent="0.25">
      <c r="C2" s="14" t="s">
        <v>127</v>
      </c>
      <c r="D2" s="15" t="s">
        <v>26</v>
      </c>
      <c r="E2" s="15" t="s">
        <v>27</v>
      </c>
      <c r="G2" s="131" t="s">
        <v>131</v>
      </c>
      <c r="H2" s="3">
        <f>(('Dealer 1 - Narendra Thakur'!R11+'Dealer 2 - Sagar Verma'!R11)/2)*0.95</f>
        <v>391875</v>
      </c>
      <c r="I2" s="36" t="s">
        <v>133</v>
      </c>
      <c r="J2" s="3">
        <f>390000*0.95</f>
        <v>370500</v>
      </c>
    </row>
    <row r="3" spans="2:10" ht="21" x14ac:dyDescent="0.25">
      <c r="C3" s="88">
        <f>B5</f>
        <v>129.63999999999999</v>
      </c>
      <c r="D3" s="11">
        <f>J2-500</f>
        <v>370000</v>
      </c>
      <c r="E3" s="11">
        <f>C3*D3</f>
        <v>47966799.999999993</v>
      </c>
      <c r="F3" s="129"/>
    </row>
    <row r="4" spans="2:10" ht="30" x14ac:dyDescent="0.25">
      <c r="B4" s="33" t="s">
        <v>32</v>
      </c>
      <c r="C4" s="132" t="s">
        <v>134</v>
      </c>
      <c r="D4" s="132"/>
      <c r="E4" s="132"/>
      <c r="G4" s="11">
        <v>435000</v>
      </c>
      <c r="H4" s="23" t="s">
        <v>132</v>
      </c>
    </row>
    <row r="5" spans="2:10" x14ac:dyDescent="0.25">
      <c r="B5" s="38">
        <v>129.63999999999999</v>
      </c>
    </row>
    <row r="7" spans="2:10" ht="21" x14ac:dyDescent="0.25">
      <c r="C7" s="14" t="s">
        <v>28</v>
      </c>
      <c r="D7" s="15" t="s">
        <v>29</v>
      </c>
      <c r="E7" s="15" t="s">
        <v>30</v>
      </c>
    </row>
    <row r="8" spans="2:10" ht="21" x14ac:dyDescent="0.35">
      <c r="C8" s="12">
        <f>E3</f>
        <v>47966799.999999993</v>
      </c>
      <c r="D8" s="16">
        <f>Building!T9</f>
        <v>3238365.4114499995</v>
      </c>
      <c r="E8" s="12">
        <f>C8+D8</f>
        <v>51205165.411449991</v>
      </c>
    </row>
    <row r="9" spans="2:10" ht="21" x14ac:dyDescent="0.25">
      <c r="C9" s="107" t="s">
        <v>128</v>
      </c>
      <c r="D9" s="10" t="s">
        <v>31</v>
      </c>
      <c r="E9" s="13">
        <v>51200000</v>
      </c>
      <c r="F9" s="17"/>
    </row>
    <row r="10" spans="2:10" ht="21" x14ac:dyDescent="0.25">
      <c r="C10" s="108"/>
      <c r="D10" s="10" t="s">
        <v>39</v>
      </c>
      <c r="E10" s="13">
        <f>E9*0.85</f>
        <v>43520000</v>
      </c>
      <c r="F10" s="17"/>
    </row>
    <row r="11" spans="2:10" ht="21" x14ac:dyDescent="0.25">
      <c r="C11" s="109"/>
      <c r="D11" s="10" t="s">
        <v>40</v>
      </c>
      <c r="E11" s="13">
        <f>E9*0.75</f>
        <v>38400000</v>
      </c>
      <c r="F11" s="17"/>
    </row>
    <row r="14" spans="2:10" x14ac:dyDescent="0.25">
      <c r="C14" s="106" t="s">
        <v>57</v>
      </c>
      <c r="D14" s="106"/>
      <c r="E14" s="106"/>
    </row>
    <row r="15" spans="2:10" x14ac:dyDescent="0.25">
      <c r="C15" s="106"/>
      <c r="D15" s="106"/>
      <c r="E15" s="106"/>
    </row>
    <row r="16" spans="2:10" x14ac:dyDescent="0.25">
      <c r="B16" s="18" t="s">
        <v>51</v>
      </c>
      <c r="C16" s="18" t="s">
        <v>46</v>
      </c>
      <c r="D16" s="18" t="s">
        <v>34</v>
      </c>
      <c r="E16" s="49" t="s">
        <v>44</v>
      </c>
      <c r="F16" s="49" t="s">
        <v>30</v>
      </c>
    </row>
    <row r="17" spans="2:7" x14ac:dyDescent="0.25">
      <c r="B17" s="39" t="s">
        <v>52</v>
      </c>
      <c r="C17" s="39" t="s">
        <v>52</v>
      </c>
      <c r="D17" s="39">
        <v>129.63999999999999</v>
      </c>
      <c r="E17" s="42">
        <v>59920</v>
      </c>
      <c r="F17" s="46">
        <f>D17*E17</f>
        <v>7768028.7999999989</v>
      </c>
    </row>
    <row r="18" spans="2:7" x14ac:dyDescent="0.25">
      <c r="B18" s="39" t="s">
        <v>42</v>
      </c>
      <c r="C18" s="43" t="s">
        <v>49</v>
      </c>
      <c r="D18" s="37" t="s">
        <v>33</v>
      </c>
      <c r="E18" s="37" t="s">
        <v>33</v>
      </c>
      <c r="F18" s="37" t="s">
        <v>33</v>
      </c>
    </row>
    <row r="19" spans="2:7" x14ac:dyDescent="0.25">
      <c r="B19" s="39" t="s">
        <v>43</v>
      </c>
      <c r="C19" s="43" t="s">
        <v>50</v>
      </c>
      <c r="D19" s="37">
        <v>70.540000000000006</v>
      </c>
      <c r="E19" s="21">
        <v>223540</v>
      </c>
      <c r="F19" s="21">
        <f>D19*E19</f>
        <v>15768511.600000001</v>
      </c>
    </row>
    <row r="20" spans="2:7" x14ac:dyDescent="0.25">
      <c r="B20" s="39">
        <v>1</v>
      </c>
      <c r="C20" s="43" t="s">
        <v>47</v>
      </c>
      <c r="D20" s="37">
        <v>69.540000000000006</v>
      </c>
      <c r="E20" s="21">
        <v>122630</v>
      </c>
      <c r="F20" s="21">
        <f>D20*E20</f>
        <v>8527690.2000000011</v>
      </c>
    </row>
    <row r="21" spans="2:7" x14ac:dyDescent="0.25">
      <c r="B21" s="39">
        <v>2</v>
      </c>
      <c r="C21" s="43" t="s">
        <v>48</v>
      </c>
      <c r="D21" s="37">
        <v>63.18</v>
      </c>
      <c r="E21" s="21">
        <v>77060</v>
      </c>
      <c r="F21" s="21">
        <f>D21*E21</f>
        <v>4868650.8</v>
      </c>
    </row>
    <row r="22" spans="2:7" x14ac:dyDescent="0.25">
      <c r="B22" s="39">
        <v>3</v>
      </c>
      <c r="C22" s="43" t="s">
        <v>48</v>
      </c>
      <c r="D22" s="37">
        <v>50.56</v>
      </c>
      <c r="E22" s="21">
        <v>77060</v>
      </c>
      <c r="F22" s="21">
        <f>D22*E22</f>
        <v>3896153.6</v>
      </c>
    </row>
    <row r="23" spans="2:7" x14ac:dyDescent="0.25">
      <c r="B23" s="39">
        <v>4</v>
      </c>
      <c r="C23" s="43" t="s">
        <v>48</v>
      </c>
      <c r="D23" s="37">
        <v>28.59</v>
      </c>
      <c r="E23" s="21">
        <v>77060</v>
      </c>
      <c r="F23" s="21">
        <f>D23*E23</f>
        <v>2203145.4</v>
      </c>
    </row>
    <row r="24" spans="2:7" x14ac:dyDescent="0.25">
      <c r="E24" s="104" t="s">
        <v>45</v>
      </c>
      <c r="F24" s="105">
        <f>SUM(F19:F23)</f>
        <v>35264151.600000009</v>
      </c>
    </row>
    <row r="25" spans="2:7" x14ac:dyDescent="0.25">
      <c r="E25" s="104"/>
      <c r="F25" s="104"/>
    </row>
    <row r="26" spans="2:7" x14ac:dyDescent="0.25">
      <c r="E26" s="44" t="s">
        <v>53</v>
      </c>
      <c r="F26" s="41">
        <v>1</v>
      </c>
      <c r="G26" s="23" t="s">
        <v>41</v>
      </c>
    </row>
    <row r="27" spans="2:7" x14ac:dyDescent="0.25">
      <c r="E27" s="44" t="s">
        <v>54</v>
      </c>
      <c r="F27" s="41">
        <v>1</v>
      </c>
      <c r="G27" s="23" t="s">
        <v>41</v>
      </c>
    </row>
    <row r="28" spans="2:7" x14ac:dyDescent="0.25">
      <c r="E28" s="48" t="s">
        <v>55</v>
      </c>
      <c r="F28" s="90">
        <f>F24*F26*F27</f>
        <v>35264151.600000009</v>
      </c>
    </row>
    <row r="29" spans="2:7" x14ac:dyDescent="0.25">
      <c r="E29" s="45" t="s">
        <v>56</v>
      </c>
      <c r="F29" s="47">
        <f>((E9-F28)/E9)</f>
        <v>0.31124703906249984</v>
      </c>
    </row>
  </sheetData>
  <mergeCells count="5">
    <mergeCell ref="E24:E25"/>
    <mergeCell ref="F24:F25"/>
    <mergeCell ref="C14:E15"/>
    <mergeCell ref="C9:C11"/>
    <mergeCell ref="C4:E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zoomScale="85" zoomScaleNormal="85" workbookViewId="0">
      <selection activeCell="R11" sqref="R11"/>
    </sheetView>
  </sheetViews>
  <sheetFormatPr defaultRowHeight="15" x14ac:dyDescent="0.25"/>
  <cols>
    <col min="1" max="1" width="9.140625" style="23"/>
    <col min="2" max="2" width="4.85546875" bestFit="1" customWidth="1"/>
    <col min="3" max="3" width="8.85546875" bestFit="1" customWidth="1"/>
    <col min="4" max="4" width="14.7109375" style="23" bestFit="1" customWidth="1"/>
    <col min="5" max="5" width="12.42578125" style="23" bestFit="1" customWidth="1"/>
    <col min="6" max="6" width="10.7109375" bestFit="1" customWidth="1"/>
    <col min="7" max="7" width="12.5703125" bestFit="1" customWidth="1"/>
    <col min="8" max="8" width="11.42578125" bestFit="1" customWidth="1"/>
    <col min="9" max="9" width="13.42578125" bestFit="1" customWidth="1"/>
    <col min="10" max="10" width="15" bestFit="1" customWidth="1"/>
    <col min="11" max="11" width="11.7109375" bestFit="1" customWidth="1"/>
    <col min="12" max="12" width="8.140625" bestFit="1" customWidth="1"/>
    <col min="13" max="13" width="13.42578125" style="23" bestFit="1" customWidth="1"/>
    <col min="14" max="14" width="16.7109375" style="23" bestFit="1" customWidth="1"/>
    <col min="15" max="15" width="16.140625" style="23" bestFit="1" customWidth="1"/>
    <col min="16" max="16" width="13.42578125" bestFit="1" customWidth="1"/>
    <col min="17" max="17" width="11.5703125" bestFit="1" customWidth="1"/>
    <col min="18" max="18" width="15" bestFit="1" customWidth="1"/>
    <col min="20" max="20" width="17" bestFit="1" customWidth="1"/>
    <col min="21" max="21" width="179.42578125" bestFit="1" customWidth="1"/>
  </cols>
  <sheetData>
    <row r="1" spans="2:21" s="23" customFormat="1" ht="15.75" thickBot="1" x14ac:dyDescent="0.3"/>
    <row r="2" spans="2:21" s="23" customFormat="1" x14ac:dyDescent="0.25">
      <c r="H2" s="112" t="s">
        <v>95</v>
      </c>
      <c r="I2" s="113"/>
      <c r="J2" s="113"/>
      <c r="K2" s="114"/>
    </row>
    <row r="3" spans="2:21" s="23" customFormat="1" ht="15.75" thickBot="1" x14ac:dyDescent="0.3">
      <c r="H3" s="115"/>
      <c r="I3" s="116"/>
      <c r="J3" s="116"/>
      <c r="K3" s="117"/>
    </row>
    <row r="4" spans="2:21" s="23" customFormat="1" ht="15.75" thickBot="1" x14ac:dyDescent="0.3"/>
    <row r="5" spans="2:21" ht="57" x14ac:dyDescent="0.25">
      <c r="B5" s="57" t="s">
        <v>84</v>
      </c>
      <c r="C5" s="58" t="s">
        <v>74</v>
      </c>
      <c r="D5" s="59" t="s">
        <v>75</v>
      </c>
      <c r="E5" s="59" t="s">
        <v>78</v>
      </c>
      <c r="F5" s="59" t="s">
        <v>80</v>
      </c>
      <c r="G5" s="59" t="s">
        <v>81</v>
      </c>
      <c r="H5" s="59" t="s">
        <v>2</v>
      </c>
      <c r="I5" s="60" t="s">
        <v>89</v>
      </c>
      <c r="J5" s="61" t="s">
        <v>92</v>
      </c>
      <c r="K5" s="62" t="s">
        <v>86</v>
      </c>
      <c r="L5" s="62" t="s">
        <v>83</v>
      </c>
      <c r="M5" s="62" t="s">
        <v>87</v>
      </c>
      <c r="N5" s="62" t="s">
        <v>82</v>
      </c>
      <c r="O5" s="62" t="s">
        <v>88</v>
      </c>
      <c r="P5" s="63" t="s">
        <v>85</v>
      </c>
      <c r="Q5" s="65" t="s">
        <v>93</v>
      </c>
      <c r="R5" s="66" t="s">
        <v>94</v>
      </c>
      <c r="T5" s="75" t="s">
        <v>96</v>
      </c>
      <c r="U5" s="75" t="s">
        <v>97</v>
      </c>
    </row>
    <row r="6" spans="2:21" x14ac:dyDescent="0.25">
      <c r="B6" s="52">
        <v>1</v>
      </c>
      <c r="C6" s="37" t="s">
        <v>71</v>
      </c>
      <c r="D6" s="37" t="s">
        <v>49</v>
      </c>
      <c r="E6" s="37" t="s">
        <v>73</v>
      </c>
      <c r="F6" s="50">
        <v>1300</v>
      </c>
      <c r="G6" s="3" t="s">
        <v>33</v>
      </c>
      <c r="H6" s="37">
        <v>2022</v>
      </c>
      <c r="I6" s="53" t="s">
        <v>33</v>
      </c>
      <c r="J6" s="70">
        <v>650</v>
      </c>
      <c r="K6" s="67">
        <f>F6*J6</f>
        <v>845000</v>
      </c>
      <c r="L6" s="119">
        <v>0.15</v>
      </c>
      <c r="M6" s="124">
        <v>65000000</v>
      </c>
      <c r="N6" s="119">
        <v>0.125</v>
      </c>
      <c r="O6" s="127">
        <f>I11*(1-N6)</f>
        <v>55969375</v>
      </c>
      <c r="P6" s="110">
        <f>(O6-K11)*(1-L6)</f>
        <v>41142868.75</v>
      </c>
      <c r="Q6" s="121">
        <f>F6/Q13</f>
        <v>120.77294685990339</v>
      </c>
      <c r="R6" s="110">
        <f>P6/Q6</f>
        <v>340662.95324999996</v>
      </c>
      <c r="T6" s="75" t="s">
        <v>98</v>
      </c>
      <c r="U6" s="91">
        <f>91- 9175063413</f>
        <v>-9175063322</v>
      </c>
    </row>
    <row r="7" spans="2:21" ht="28.5" x14ac:dyDescent="0.25">
      <c r="B7" s="52">
        <v>2</v>
      </c>
      <c r="C7" s="37" t="s">
        <v>72</v>
      </c>
      <c r="D7" s="37" t="s">
        <v>76</v>
      </c>
      <c r="E7" s="37" t="s">
        <v>76</v>
      </c>
      <c r="F7" s="50">
        <v>1300</v>
      </c>
      <c r="G7" s="72">
        <v>27500</v>
      </c>
      <c r="H7" s="37">
        <v>2022</v>
      </c>
      <c r="I7" s="67">
        <f>F7*G7</f>
        <v>35750000</v>
      </c>
      <c r="J7" s="70">
        <v>2200</v>
      </c>
      <c r="K7" s="67">
        <f>F7*J7</f>
        <v>2860000</v>
      </c>
      <c r="L7" s="119"/>
      <c r="M7" s="125"/>
      <c r="N7" s="119"/>
      <c r="O7" s="127"/>
      <c r="P7" s="110"/>
      <c r="Q7" s="122"/>
      <c r="R7" s="110"/>
      <c r="T7" s="75" t="s">
        <v>99</v>
      </c>
      <c r="U7" s="75" t="s">
        <v>100</v>
      </c>
    </row>
    <row r="8" spans="2:21" ht="28.5" x14ac:dyDescent="0.25">
      <c r="B8" s="52">
        <v>3</v>
      </c>
      <c r="C8" s="37" t="s">
        <v>68</v>
      </c>
      <c r="D8" s="37" t="s">
        <v>77</v>
      </c>
      <c r="E8" s="37" t="s">
        <v>79</v>
      </c>
      <c r="F8" s="50">
        <v>990</v>
      </c>
      <c r="G8" s="72">
        <v>9500</v>
      </c>
      <c r="H8" s="37">
        <v>2022</v>
      </c>
      <c r="I8" s="67">
        <f>F8*G8</f>
        <v>9405000</v>
      </c>
      <c r="J8" s="70">
        <v>1300</v>
      </c>
      <c r="K8" s="67">
        <f>F8*J8</f>
        <v>1287000</v>
      </c>
      <c r="L8" s="119"/>
      <c r="M8" s="125"/>
      <c r="N8" s="119"/>
      <c r="O8" s="127"/>
      <c r="P8" s="110"/>
      <c r="Q8" s="122"/>
      <c r="R8" s="110"/>
      <c r="T8" s="75" t="s">
        <v>101</v>
      </c>
      <c r="U8" s="75" t="s">
        <v>102</v>
      </c>
    </row>
    <row r="9" spans="2:21" x14ac:dyDescent="0.25">
      <c r="B9" s="52">
        <v>4</v>
      </c>
      <c r="C9" s="37" t="s">
        <v>69</v>
      </c>
      <c r="D9" s="37" t="s">
        <v>77</v>
      </c>
      <c r="E9" s="37" t="s">
        <v>79</v>
      </c>
      <c r="F9" s="50">
        <v>990</v>
      </c>
      <c r="G9" s="72">
        <v>9500</v>
      </c>
      <c r="H9" s="37">
        <v>2022</v>
      </c>
      <c r="I9" s="67">
        <f>F9*G9</f>
        <v>9405000</v>
      </c>
      <c r="J9" s="70">
        <v>1300</v>
      </c>
      <c r="K9" s="67">
        <f>F9*J9</f>
        <v>1287000</v>
      </c>
      <c r="L9" s="119"/>
      <c r="M9" s="125"/>
      <c r="N9" s="119"/>
      <c r="O9" s="127"/>
      <c r="P9" s="110"/>
      <c r="Q9" s="122"/>
      <c r="R9" s="110"/>
      <c r="T9" s="75" t="s">
        <v>103</v>
      </c>
      <c r="U9" s="75" t="s">
        <v>104</v>
      </c>
    </row>
    <row r="10" spans="2:21" ht="29.25" thickBot="1" x14ac:dyDescent="0.3">
      <c r="B10" s="54">
        <v>5</v>
      </c>
      <c r="C10" s="55" t="s">
        <v>70</v>
      </c>
      <c r="D10" s="55" t="s">
        <v>77</v>
      </c>
      <c r="E10" s="55" t="s">
        <v>79</v>
      </c>
      <c r="F10" s="56">
        <v>990</v>
      </c>
      <c r="G10" s="73">
        <v>9500</v>
      </c>
      <c r="H10" s="55">
        <v>2022</v>
      </c>
      <c r="I10" s="68">
        <f>F10*G10</f>
        <v>9405000</v>
      </c>
      <c r="J10" s="71">
        <v>1300</v>
      </c>
      <c r="K10" s="68">
        <f>F10*J10</f>
        <v>1287000</v>
      </c>
      <c r="L10" s="120"/>
      <c r="M10" s="126"/>
      <c r="N10" s="120"/>
      <c r="O10" s="128"/>
      <c r="P10" s="111"/>
      <c r="Q10" s="123"/>
      <c r="R10" s="111"/>
      <c r="T10" s="75" t="s">
        <v>105</v>
      </c>
      <c r="U10" s="75" t="s">
        <v>106</v>
      </c>
    </row>
    <row r="11" spans="2:21" ht="45" x14ac:dyDescent="0.25">
      <c r="F11" s="77"/>
      <c r="H11" s="23"/>
      <c r="I11" s="69">
        <f>SUM(I7:I10)</f>
        <v>63965000</v>
      </c>
      <c r="K11" s="69">
        <f>SUM(K6:K10)</f>
        <v>7566000</v>
      </c>
      <c r="R11" s="4">
        <v>350000</v>
      </c>
      <c r="T11" s="118" t="s">
        <v>107</v>
      </c>
      <c r="U11" s="76" t="s">
        <v>108</v>
      </c>
    </row>
    <row r="12" spans="2:21" ht="45" x14ac:dyDescent="0.25">
      <c r="I12" s="64" t="s">
        <v>91</v>
      </c>
      <c r="K12" s="40" t="s">
        <v>90</v>
      </c>
      <c r="R12" s="93" t="s">
        <v>130</v>
      </c>
      <c r="T12" s="118"/>
      <c r="U12" s="76" t="s">
        <v>109</v>
      </c>
    </row>
    <row r="13" spans="2:21" x14ac:dyDescent="0.25">
      <c r="I13" s="51"/>
      <c r="Q13" s="23">
        <v>10.763999999999999</v>
      </c>
      <c r="T13" s="118"/>
      <c r="U13" s="76" t="s">
        <v>110</v>
      </c>
    </row>
    <row r="14" spans="2:21" x14ac:dyDescent="0.25">
      <c r="G14" s="74"/>
      <c r="N14" s="74"/>
      <c r="T14" s="118"/>
      <c r="U14" s="76" t="s">
        <v>111</v>
      </c>
    </row>
    <row r="15" spans="2:21" x14ac:dyDescent="0.25">
      <c r="F15" s="74"/>
      <c r="G15" s="74"/>
      <c r="T15" s="118"/>
      <c r="U15" s="76" t="s">
        <v>112</v>
      </c>
    </row>
  </sheetData>
  <mergeCells count="9">
    <mergeCell ref="R6:R10"/>
    <mergeCell ref="H2:K3"/>
    <mergeCell ref="T11:T15"/>
    <mergeCell ref="N6:N10"/>
    <mergeCell ref="L6:L10"/>
    <mergeCell ref="Q6:Q10"/>
    <mergeCell ref="P6:P10"/>
    <mergeCell ref="M6:M10"/>
    <mergeCell ref="O6:O10"/>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2"/>
  <sheetViews>
    <sheetView topLeftCell="F1" zoomScaleNormal="100" workbookViewId="0">
      <selection activeCell="R11" sqref="R11"/>
    </sheetView>
  </sheetViews>
  <sheetFormatPr defaultRowHeight="15" x14ac:dyDescent="0.25"/>
  <cols>
    <col min="1" max="1" width="9.140625" style="23"/>
    <col min="2" max="2" width="4.85546875" style="23" bestFit="1" customWidth="1"/>
    <col min="3" max="3" width="8.85546875" style="23" bestFit="1" customWidth="1"/>
    <col min="4" max="5" width="14.7109375" style="23" bestFit="1" customWidth="1"/>
    <col min="6" max="6" width="10.7109375" style="23" bestFit="1" customWidth="1"/>
    <col min="7" max="7" width="12.5703125" style="23" bestFit="1" customWidth="1"/>
    <col min="8" max="8" width="15.5703125" style="23" bestFit="1" customWidth="1"/>
    <col min="9" max="9" width="14.42578125" style="23" bestFit="1" customWidth="1"/>
    <col min="10" max="10" width="15" style="23" bestFit="1" customWidth="1"/>
    <col min="11" max="11" width="11.7109375" style="23" bestFit="1" customWidth="1"/>
    <col min="12" max="12" width="7.42578125" style="23" bestFit="1" customWidth="1"/>
    <col min="13" max="13" width="17.5703125" style="23" bestFit="1" customWidth="1"/>
    <col min="14" max="14" width="16.7109375" style="23" bestFit="1" customWidth="1"/>
    <col min="15" max="15" width="16.140625" style="23" bestFit="1" customWidth="1"/>
    <col min="16" max="16" width="13.42578125" style="23" bestFit="1" customWidth="1"/>
    <col min="17" max="17" width="17.28515625" style="23" bestFit="1" customWidth="1"/>
    <col min="18" max="18" width="15.7109375" style="23" customWidth="1"/>
    <col min="19" max="20" width="9.140625" style="23"/>
    <col min="21" max="21" width="34.42578125" style="23" bestFit="1" customWidth="1"/>
    <col min="22" max="22" width="191" style="23" customWidth="1"/>
    <col min="23" max="16384" width="9.140625" style="23"/>
  </cols>
  <sheetData>
    <row r="1" spans="2:22" ht="15.75" thickBot="1" x14ac:dyDescent="0.3"/>
    <row r="2" spans="2:22" x14ac:dyDescent="0.25">
      <c r="H2" s="112" t="s">
        <v>95</v>
      </c>
      <c r="I2" s="113"/>
      <c r="J2" s="113"/>
      <c r="K2" s="114"/>
    </row>
    <row r="3" spans="2:22" ht="15.75" thickBot="1" x14ac:dyDescent="0.3">
      <c r="H3" s="115"/>
      <c r="I3" s="116"/>
      <c r="J3" s="116"/>
      <c r="K3" s="117"/>
    </row>
    <row r="4" spans="2:22" ht="15.75" thickBot="1" x14ac:dyDescent="0.3"/>
    <row r="5" spans="2:22" ht="57" x14ac:dyDescent="0.25">
      <c r="B5" s="57" t="s">
        <v>84</v>
      </c>
      <c r="C5" s="58" t="s">
        <v>74</v>
      </c>
      <c r="D5" s="59" t="s">
        <v>75</v>
      </c>
      <c r="E5" s="59" t="s">
        <v>78</v>
      </c>
      <c r="F5" s="59" t="s">
        <v>80</v>
      </c>
      <c r="G5" s="59" t="s">
        <v>81</v>
      </c>
      <c r="H5" s="59" t="s">
        <v>129</v>
      </c>
      <c r="I5" s="60" t="s">
        <v>89</v>
      </c>
      <c r="J5" s="61" t="s">
        <v>92</v>
      </c>
      <c r="K5" s="62" t="s">
        <v>86</v>
      </c>
      <c r="L5" s="62" t="s">
        <v>83</v>
      </c>
      <c r="M5" s="62" t="s">
        <v>87</v>
      </c>
      <c r="N5" s="62" t="s">
        <v>82</v>
      </c>
      <c r="O5" s="62" t="s">
        <v>88</v>
      </c>
      <c r="P5" s="63" t="s">
        <v>85</v>
      </c>
      <c r="Q5" s="65" t="s">
        <v>93</v>
      </c>
      <c r="R5" s="66" t="s">
        <v>94</v>
      </c>
      <c r="U5" s="85" t="s">
        <v>96</v>
      </c>
      <c r="V5" s="85" t="s">
        <v>113</v>
      </c>
    </row>
    <row r="6" spans="2:22" x14ac:dyDescent="0.25">
      <c r="B6" s="52">
        <v>1</v>
      </c>
      <c r="C6" s="37" t="s">
        <v>71</v>
      </c>
      <c r="D6" s="37" t="s">
        <v>76</v>
      </c>
      <c r="E6" s="37" t="s">
        <v>76</v>
      </c>
      <c r="F6" s="50">
        <v>1200</v>
      </c>
      <c r="G6" s="3">
        <v>27500</v>
      </c>
      <c r="H6" s="37">
        <v>20</v>
      </c>
      <c r="I6" s="79">
        <f>F6*G6</f>
        <v>33000000</v>
      </c>
      <c r="J6" s="78">
        <v>1500</v>
      </c>
      <c r="K6" s="79">
        <f>F6*J6</f>
        <v>1800000</v>
      </c>
      <c r="L6" s="119">
        <v>0.15</v>
      </c>
      <c r="M6" s="124">
        <f>I11</f>
        <v>81000000</v>
      </c>
      <c r="N6" s="119">
        <v>0.15</v>
      </c>
      <c r="O6" s="127">
        <f>I11*(1-N6)</f>
        <v>68850000</v>
      </c>
      <c r="P6" s="110">
        <f>(O6-N22)*(1-L6)</f>
        <v>54024300</v>
      </c>
      <c r="Q6" s="121">
        <f>F6/Q13</f>
        <v>111.48272017837236</v>
      </c>
      <c r="R6" s="110">
        <f>P6/Q6</f>
        <v>484597.97099999996</v>
      </c>
      <c r="U6" s="85" t="s">
        <v>98</v>
      </c>
      <c r="V6" s="92">
        <f>91- 7720972099</f>
        <v>-7720972008</v>
      </c>
    </row>
    <row r="7" spans="2:22" x14ac:dyDescent="0.25">
      <c r="B7" s="52">
        <v>2</v>
      </c>
      <c r="C7" s="37" t="s">
        <v>72</v>
      </c>
      <c r="D7" s="37" t="s">
        <v>77</v>
      </c>
      <c r="E7" s="37" t="s">
        <v>77</v>
      </c>
      <c r="F7" s="50">
        <v>1200</v>
      </c>
      <c r="G7" s="72">
        <v>10000</v>
      </c>
      <c r="H7" s="37">
        <v>20</v>
      </c>
      <c r="I7" s="79">
        <f>F7*G7</f>
        <v>12000000</v>
      </c>
      <c r="J7" s="78">
        <v>1200</v>
      </c>
      <c r="K7" s="79">
        <f>F7*J7</f>
        <v>1440000</v>
      </c>
      <c r="L7" s="119"/>
      <c r="M7" s="125"/>
      <c r="N7" s="119"/>
      <c r="O7" s="127"/>
      <c r="P7" s="110"/>
      <c r="Q7" s="122"/>
      <c r="R7" s="110"/>
      <c r="U7" s="85" t="s">
        <v>99</v>
      </c>
      <c r="V7" s="85" t="s">
        <v>100</v>
      </c>
    </row>
    <row r="8" spans="2:22" x14ac:dyDescent="0.25">
      <c r="B8" s="52">
        <v>3</v>
      </c>
      <c r="C8" s="37" t="s">
        <v>68</v>
      </c>
      <c r="D8" s="37" t="s">
        <v>77</v>
      </c>
      <c r="E8" s="37" t="s">
        <v>77</v>
      </c>
      <c r="F8" s="50">
        <v>1200</v>
      </c>
      <c r="G8" s="72">
        <v>10000</v>
      </c>
      <c r="H8" s="37">
        <v>20</v>
      </c>
      <c r="I8" s="79">
        <f>F8*G8</f>
        <v>12000000</v>
      </c>
      <c r="J8" s="78">
        <v>1200</v>
      </c>
      <c r="K8" s="79">
        <f>F8*J8</f>
        <v>1440000</v>
      </c>
      <c r="L8" s="119"/>
      <c r="M8" s="125"/>
      <c r="N8" s="119"/>
      <c r="O8" s="127"/>
      <c r="P8" s="110"/>
      <c r="Q8" s="122"/>
      <c r="R8" s="110"/>
      <c r="U8" s="85" t="s">
        <v>101</v>
      </c>
      <c r="V8" s="85" t="s">
        <v>114</v>
      </c>
    </row>
    <row r="9" spans="2:22" x14ac:dyDescent="0.25">
      <c r="B9" s="52">
        <v>4</v>
      </c>
      <c r="C9" s="37" t="s">
        <v>69</v>
      </c>
      <c r="D9" s="37" t="s">
        <v>77</v>
      </c>
      <c r="E9" s="37" t="s">
        <v>77</v>
      </c>
      <c r="F9" s="50">
        <v>1200</v>
      </c>
      <c r="G9" s="72">
        <v>10000</v>
      </c>
      <c r="H9" s="37">
        <v>20</v>
      </c>
      <c r="I9" s="79">
        <f>F9*G9</f>
        <v>12000000</v>
      </c>
      <c r="J9" s="78">
        <v>1200</v>
      </c>
      <c r="K9" s="79">
        <f>F9*J9</f>
        <v>1440000</v>
      </c>
      <c r="L9" s="119"/>
      <c r="M9" s="125"/>
      <c r="N9" s="119"/>
      <c r="O9" s="127"/>
      <c r="P9" s="110"/>
      <c r="Q9" s="122"/>
      <c r="R9" s="110"/>
      <c r="U9" s="85" t="s">
        <v>115</v>
      </c>
      <c r="V9" s="85" t="s">
        <v>116</v>
      </c>
    </row>
    <row r="10" spans="2:22" ht="15.75" thickBot="1" x14ac:dyDescent="0.3">
      <c r="B10" s="54">
        <v>5</v>
      </c>
      <c r="C10" s="55" t="s">
        <v>70</v>
      </c>
      <c r="D10" s="55" t="s">
        <v>77</v>
      </c>
      <c r="E10" s="55" t="s">
        <v>77</v>
      </c>
      <c r="F10" s="56">
        <v>1200</v>
      </c>
      <c r="G10" s="73">
        <v>10000</v>
      </c>
      <c r="H10" s="55">
        <v>20</v>
      </c>
      <c r="I10" s="80">
        <f>F10*G10</f>
        <v>12000000</v>
      </c>
      <c r="J10" s="81">
        <v>1200</v>
      </c>
      <c r="K10" s="80">
        <f>F10*J10</f>
        <v>1440000</v>
      </c>
      <c r="L10" s="120"/>
      <c r="M10" s="126"/>
      <c r="N10" s="120"/>
      <c r="O10" s="128"/>
      <c r="P10" s="111"/>
      <c r="Q10" s="123"/>
      <c r="R10" s="130"/>
      <c r="U10" s="85" t="s">
        <v>105</v>
      </c>
      <c r="V10" s="85" t="s">
        <v>117</v>
      </c>
    </row>
    <row r="11" spans="2:22" ht="30" x14ac:dyDescent="0.25">
      <c r="F11" s="77"/>
      <c r="H11" s="17"/>
      <c r="I11" s="82">
        <f>SUM(I6:I10)</f>
        <v>81000000</v>
      </c>
      <c r="J11" s="17"/>
      <c r="K11" s="82">
        <f>SUM(K6:K10)</f>
        <v>7560000</v>
      </c>
      <c r="L11" s="17"/>
      <c r="M11" s="17"/>
      <c r="N11" s="17"/>
      <c r="R11" s="4">
        <v>475000</v>
      </c>
      <c r="U11" s="85" t="s">
        <v>107</v>
      </c>
      <c r="V11" s="85" t="s">
        <v>118</v>
      </c>
    </row>
    <row r="12" spans="2:22" ht="45" x14ac:dyDescent="0.25">
      <c r="F12" s="84"/>
      <c r="H12" s="17"/>
      <c r="I12" s="64" t="s">
        <v>91</v>
      </c>
      <c r="J12" s="17"/>
      <c r="K12" s="40" t="s">
        <v>90</v>
      </c>
      <c r="L12" s="17"/>
      <c r="M12" s="17"/>
      <c r="N12" s="17"/>
      <c r="R12" s="93" t="s">
        <v>130</v>
      </c>
      <c r="U12" s="85"/>
      <c r="V12" s="85" t="s">
        <v>110</v>
      </c>
    </row>
    <row r="13" spans="2:22" x14ac:dyDescent="0.25">
      <c r="I13" s="51"/>
      <c r="Q13" s="23">
        <v>10.763999999999999</v>
      </c>
      <c r="U13" s="85"/>
      <c r="V13" s="85" t="s">
        <v>119</v>
      </c>
    </row>
    <row r="14" spans="2:22" x14ac:dyDescent="0.25">
      <c r="M14" s="41" t="s">
        <v>120</v>
      </c>
      <c r="N14" s="41">
        <v>60</v>
      </c>
      <c r="U14" s="85"/>
      <c r="V14" s="85" t="s">
        <v>112</v>
      </c>
    </row>
    <row r="15" spans="2:22" x14ac:dyDescent="0.25">
      <c r="J15" s="83">
        <f>I11*(1-15%)</f>
        <v>68850000</v>
      </c>
      <c r="M15" s="41" t="s">
        <v>121</v>
      </c>
      <c r="N15" s="86">
        <v>0.1</v>
      </c>
    </row>
    <row r="16" spans="2:22" x14ac:dyDescent="0.25">
      <c r="J16" s="1">
        <f>J15/(F6/Q13)</f>
        <v>617584.5</v>
      </c>
      <c r="M16" s="41" t="s">
        <v>122</v>
      </c>
      <c r="N16" s="41">
        <f>(1-N15)/N14</f>
        <v>1.5000000000000001E-2</v>
      </c>
    </row>
    <row r="17" spans="13:14" x14ac:dyDescent="0.25">
      <c r="M17" s="41" t="s">
        <v>123</v>
      </c>
      <c r="N17" s="87">
        <f>K11</f>
        <v>7560000</v>
      </c>
    </row>
    <row r="18" spans="13:14" x14ac:dyDescent="0.25">
      <c r="M18" s="41" t="s">
        <v>124</v>
      </c>
      <c r="N18" s="41">
        <f>H10</f>
        <v>20</v>
      </c>
    </row>
    <row r="19" spans="13:14" x14ac:dyDescent="0.25">
      <c r="M19" s="41"/>
      <c r="N19" s="41"/>
    </row>
    <row r="20" spans="13:14" x14ac:dyDescent="0.25">
      <c r="M20" s="41" t="s">
        <v>125</v>
      </c>
      <c r="N20" s="87">
        <f>N18*N17*N16</f>
        <v>2268000</v>
      </c>
    </row>
    <row r="21" spans="13:14" x14ac:dyDescent="0.25">
      <c r="M21" s="41"/>
      <c r="N21" s="41"/>
    </row>
    <row r="22" spans="13:14" x14ac:dyDescent="0.25">
      <c r="M22" s="41" t="s">
        <v>126</v>
      </c>
      <c r="N22" s="87">
        <f>MAX(N17-N20,0)</f>
        <v>5292000</v>
      </c>
    </row>
  </sheetData>
  <mergeCells count="8">
    <mergeCell ref="Q6:Q10"/>
    <mergeCell ref="R6:R10"/>
    <mergeCell ref="H2:K3"/>
    <mergeCell ref="L6:L10"/>
    <mergeCell ref="M6:M10"/>
    <mergeCell ref="N6:N10"/>
    <mergeCell ref="O6:O10"/>
    <mergeCell ref="P6:P1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Building</vt:lpstr>
      <vt:lpstr>Land+Building</vt:lpstr>
      <vt:lpstr>Dealer 1 - Narendra Thakur</vt:lpstr>
      <vt:lpstr>Dealer 2 - Sagar Verma</vt:lpstr>
      <vt:lpstr>Building!Print_Area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trainee4</dc:creator>
  <cp:lastModifiedBy>Arun Tomar</cp:lastModifiedBy>
  <cp:lastPrinted>2022-01-07T08:12:53Z</cp:lastPrinted>
  <dcterms:created xsi:type="dcterms:W3CDTF">2021-09-16T11:33:35Z</dcterms:created>
  <dcterms:modified xsi:type="dcterms:W3CDTF">2022-09-27T11:15:55Z</dcterms:modified>
</cp:coreProperties>
</file>