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Y:\Rahul Gupta\In progress\VIS(2022-23)-PL200-151-284 Airport Authority of India\Air port Authority of India For reviw of Ville Parle Property\"/>
    </mc:Choice>
  </mc:AlternateContent>
  <bookViews>
    <workbookView xWindow="0" yWindow="0" windowWidth="20490" windowHeight="7755" tabRatio="867"/>
  </bookViews>
  <sheets>
    <sheet name="ASSUMPTIONS" sheetId="18" r:id="rId1"/>
    <sheet name="Absorption Rate" sheetId="9" r:id="rId2"/>
    <sheet name="Residential Inflow" sheetId="3" r:id="rId3"/>
    <sheet name="Inflow" sheetId="11" r:id="rId4"/>
    <sheet name="Total Outflow" sheetId="16" r:id="rId5"/>
    <sheet name="DCF" sheetId="7" r:id="rId6"/>
    <sheet name="Consolidated Summary" sheetId="12" r:id="rId7"/>
  </sheets>
  <definedNames>
    <definedName name="_xlnm._FilterDatabase" localSheetId="2" hidden="1">'Residential Inflow'!$B$3:$F$5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1" i="7" l="1"/>
  <c r="E9" i="16" l="1"/>
  <c r="K17" i="7"/>
  <c r="G15" i="7" l="1"/>
  <c r="E13" i="11"/>
  <c r="G6" i="9"/>
  <c r="G31" i="18"/>
  <c r="C20" i="7" s="1"/>
  <c r="F13" i="16" l="1"/>
  <c r="K50" i="18"/>
  <c r="K47" i="18"/>
  <c r="K44" i="18"/>
  <c r="K37" i="18" l="1"/>
  <c r="G54" i="18" s="1"/>
  <c r="G58" i="18" s="1"/>
  <c r="H11" i="11" l="1"/>
  <c r="H7" i="12"/>
  <c r="F12" i="11" l="1"/>
  <c r="G12" i="11" l="1"/>
  <c r="F13" i="11"/>
  <c r="G8" i="18"/>
  <c r="G9" i="18" s="1"/>
  <c r="I13" i="18" l="1"/>
  <c r="F7" i="9"/>
  <c r="H10" i="11" s="1"/>
  <c r="D7" i="9"/>
  <c r="F10" i="11" s="1"/>
  <c r="F14" i="11" s="1"/>
  <c r="C7" i="9"/>
  <c r="E10" i="11" s="1"/>
  <c r="E7" i="9"/>
  <c r="E12" i="16"/>
  <c r="G12" i="16" s="1"/>
  <c r="D11" i="7" s="1"/>
  <c r="G13" i="11"/>
  <c r="H13" i="11" s="1"/>
  <c r="D4" i="3"/>
  <c r="K7" i="16"/>
  <c r="H14" i="11" l="1"/>
  <c r="H15" i="11" s="1"/>
  <c r="G6" i="7" s="1"/>
  <c r="G8" i="7" s="1"/>
  <c r="E11" i="7"/>
  <c r="F11" i="7"/>
  <c r="G7" i="9"/>
  <c r="E10" i="16"/>
  <c r="G10" i="16" s="1"/>
  <c r="D12" i="7" s="1"/>
  <c r="E11" i="16"/>
  <c r="H6" i="12" l="1"/>
  <c r="H9" i="12" s="1"/>
  <c r="G17" i="7"/>
  <c r="H11" i="7"/>
  <c r="E13" i="16"/>
  <c r="E12" i="7"/>
  <c r="F12" i="7"/>
  <c r="E14" i="11"/>
  <c r="E15" i="11" s="1"/>
  <c r="G10" i="11"/>
  <c r="G14" i="11" s="1"/>
  <c r="H12" i="7" l="1"/>
  <c r="G9" i="16" l="1"/>
  <c r="E11" i="11"/>
  <c r="D10" i="7" l="1"/>
  <c r="F10" i="7"/>
  <c r="E10" i="7"/>
  <c r="G11" i="11"/>
  <c r="F11" i="11"/>
  <c r="H10" i="7" l="1"/>
  <c r="D3" i="7"/>
  <c r="E9" i="11"/>
  <c r="D4" i="7" s="1"/>
  <c r="E5" i="12" s="1"/>
  <c r="F8" i="11"/>
  <c r="F9" i="11" s="1"/>
  <c r="E4" i="7" s="1"/>
  <c r="F5" i="12" s="1"/>
  <c r="C5" i="9"/>
  <c r="D4" i="9"/>
  <c r="D5" i="9" s="1"/>
  <c r="E3" i="7" l="1"/>
  <c r="D5" i="3"/>
  <c r="F4" i="3"/>
  <c r="K9" i="3" s="1"/>
  <c r="G8" i="11"/>
  <c r="H8" i="11" s="1"/>
  <c r="E4" i="9"/>
  <c r="F4" i="9" s="1"/>
  <c r="F5" i="9" s="1"/>
  <c r="H9" i="11" l="1"/>
  <c r="G4" i="7" s="1"/>
  <c r="H5" i="12" s="1"/>
  <c r="G3" i="7"/>
  <c r="G9" i="11"/>
  <c r="F4" i="7" s="1"/>
  <c r="G5" i="12" s="1"/>
  <c r="F3" i="7"/>
  <c r="E5" i="9"/>
  <c r="F5" i="3" l="1"/>
  <c r="F15" i="11" l="1"/>
  <c r="G15" i="11"/>
  <c r="D6" i="7" l="1"/>
  <c r="D8" i="7" s="1"/>
  <c r="E6" i="7"/>
  <c r="F6" i="7"/>
  <c r="F8" i="7" s="1"/>
  <c r="E8" i="7" l="1"/>
  <c r="H6" i="7"/>
  <c r="E6" i="12"/>
  <c r="G6" i="12"/>
  <c r="H8" i="7" l="1"/>
  <c r="F6" i="12"/>
  <c r="I6" i="12" s="1"/>
  <c r="G11" i="16" l="1"/>
  <c r="D13" i="7" l="1"/>
  <c r="F13" i="7"/>
  <c r="G13" i="16"/>
  <c r="I16" i="18" s="1"/>
  <c r="E13" i="7"/>
  <c r="E15" i="7" s="1"/>
  <c r="F15" i="7" l="1"/>
  <c r="F17" i="7" s="1"/>
  <c r="D15" i="7"/>
  <c r="E7" i="12" s="1"/>
  <c r="H13" i="7"/>
  <c r="I15" i="18"/>
  <c r="E17" i="7"/>
  <c r="D17" i="7" l="1"/>
  <c r="H17" i="7" s="1"/>
  <c r="G7" i="12"/>
  <c r="G9" i="12" s="1"/>
  <c r="C19" i="7"/>
  <c r="C21" i="7" s="1"/>
  <c r="K20" i="7" s="1"/>
  <c r="F7" i="12"/>
  <c r="F9" i="12" s="1"/>
  <c r="H15" i="7"/>
  <c r="E9" i="12"/>
  <c r="C22" i="7" l="1"/>
  <c r="K21" i="7" s="1"/>
  <c r="L21" i="7" s="1"/>
  <c r="E11" i="12"/>
  <c r="E12" i="12" s="1"/>
  <c r="E15" i="12" s="1"/>
  <c r="I7" i="12"/>
  <c r="I9" i="12" s="1"/>
  <c r="K23" i="7" l="1"/>
  <c r="E14" i="12"/>
</calcChain>
</file>

<file path=xl/sharedStrings.xml><?xml version="1.0" encoding="utf-8"?>
<sst xmlns="http://schemas.openxmlformats.org/spreadsheetml/2006/main" count="136" uniqueCount="120">
  <si>
    <t>S.No.</t>
  </si>
  <si>
    <t>Flat Type</t>
  </si>
  <si>
    <t>CASHFLOWS</t>
  </si>
  <si>
    <t>Year</t>
  </si>
  <si>
    <t>Discount Rate</t>
  </si>
  <si>
    <t>Total</t>
  </si>
  <si>
    <t>Important Notes:</t>
  </si>
  <si>
    <t>Project Details</t>
  </si>
  <si>
    <t>4. The total Value of inventory to be sold each year as shown above is in Millions Rupees.</t>
  </si>
  <si>
    <t xml:space="preserve">PROJECT INFLOW MODEL </t>
  </si>
  <si>
    <t>Market Value</t>
  </si>
  <si>
    <r>
      <t xml:space="preserve">Adopted Market Rates 
</t>
    </r>
    <r>
      <rPr>
        <i/>
        <sz val="11"/>
        <color theme="0"/>
        <rFont val="Calibri"/>
        <family val="2"/>
        <scheme val="minor"/>
      </rPr>
      <t>(per sq.ft.)</t>
    </r>
  </si>
  <si>
    <t xml:space="preserve"> </t>
  </si>
  <si>
    <t>`</t>
  </si>
  <si>
    <r>
      <t xml:space="preserve">CASH FLOW SUMMATION
</t>
    </r>
    <r>
      <rPr>
        <i/>
        <sz val="10"/>
        <color theme="0"/>
        <rFont val="Calibri"/>
        <family val="2"/>
        <scheme val="minor"/>
      </rPr>
      <t>(in Million Rupees)</t>
    </r>
  </si>
  <si>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</si>
  <si>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</si>
  <si>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</si>
  <si>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</si>
  <si>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</si>
  <si>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r>
      <t xml:space="preserve">EXPECTED REALIZABLE VALUE^ (@ ~15% less)
</t>
    </r>
    <r>
      <rPr>
        <i/>
        <sz val="10"/>
        <color theme="1"/>
        <rFont val="Calibri"/>
        <family val="2"/>
        <scheme val="minor"/>
      </rPr>
      <t>(In Million Rupees)</t>
    </r>
  </si>
  <si>
    <r>
      <t xml:space="preserve">EXPECTED DISTRESS VALUE* (@ ~25% less)
</t>
    </r>
    <r>
      <rPr>
        <i/>
        <sz val="10"/>
        <color theme="1"/>
        <rFont val="Calibri"/>
        <family val="2"/>
        <scheme val="minor"/>
      </rPr>
      <t>(In Million Rupees)</t>
    </r>
  </si>
  <si>
    <t>Total Market Value</t>
  </si>
  <si>
    <t>Tower</t>
  </si>
  <si>
    <r>
      <t xml:space="preserve">Total Super Area </t>
    </r>
    <r>
      <rPr>
        <i/>
        <sz val="11"/>
        <color theme="0"/>
        <rFont val="Calibri"/>
        <family val="2"/>
        <scheme val="minor"/>
      </rPr>
      <t>(sq.ft.)</t>
    </r>
  </si>
  <si>
    <t>No. of units</t>
  </si>
  <si>
    <t>Construction Cost</t>
  </si>
  <si>
    <t>Debt</t>
  </si>
  <si>
    <t>Equity</t>
  </si>
  <si>
    <t>WACC</t>
  </si>
  <si>
    <t>UNBOOKED INVENTORY VALUATION | RISHI PRANYA (PHASE-I) | JL NO. 40, MOUZA KALIKAPUR, P.O &amp; P.S. - RAJARHAT, KOLKATA-700135, DISTRICT-NORTH 24 PARGANAS, WEST BENGAL</t>
  </si>
  <si>
    <t>Administrative Cost</t>
  </si>
  <si>
    <t>Marketing Expenses</t>
  </si>
  <si>
    <t>Total Built-Up Area of Rishi Pranya (Phase-I)
(in sq.mtr.)</t>
  </si>
  <si>
    <t>Total Built-Up Area of Rishi Pranya (Phase-I)
(in sq.ft.)</t>
  </si>
  <si>
    <r>
      <t xml:space="preserve">Administrative Expenses </t>
    </r>
    <r>
      <rPr>
        <i/>
        <sz val="11"/>
        <color theme="1"/>
        <rFont val="Calibri"/>
        <family val="2"/>
        <scheme val="minor"/>
      </rPr>
      <t>(in Mn)</t>
    </r>
  </si>
  <si>
    <r>
      <t xml:space="preserve">Marketing Expenses </t>
    </r>
    <r>
      <rPr>
        <i/>
        <sz val="11"/>
        <color theme="1"/>
        <rFont val="Calibri"/>
        <family val="2"/>
        <scheme val="minor"/>
      </rPr>
      <t>(in Mn)</t>
    </r>
  </si>
  <si>
    <r>
      <t xml:space="preserve">Construction Cost </t>
    </r>
    <r>
      <rPr>
        <i/>
        <sz val="11"/>
        <color theme="1"/>
        <rFont val="Calibri"/>
        <family val="2"/>
        <scheme val="minor"/>
      </rPr>
      <t>(in Mn)</t>
    </r>
  </si>
  <si>
    <r>
      <t>Total Earnings Through Unbooked Residential Units</t>
    </r>
    <r>
      <rPr>
        <i/>
        <sz val="11"/>
        <color theme="1"/>
        <rFont val="Calibri"/>
        <family val="2"/>
        <scheme val="minor"/>
      </rPr>
      <t xml:space="preserve"> </t>
    </r>
    <r>
      <rPr>
        <b/>
        <i/>
        <sz val="11"/>
        <color theme="1"/>
        <rFont val="Calibri"/>
        <family val="2"/>
        <scheme val="minor"/>
      </rPr>
      <t xml:space="preserve">&amp; Parking </t>
    </r>
    <r>
      <rPr>
        <i/>
        <sz val="11"/>
        <color theme="1"/>
        <rFont val="Calibri"/>
        <family val="2"/>
        <scheme val="minor"/>
      </rPr>
      <t>(in Mn)</t>
    </r>
  </si>
  <si>
    <t>Total Proposed Cost</t>
  </si>
  <si>
    <t>Description</t>
  </si>
  <si>
    <r>
      <t xml:space="preserve">Total Cost Incurred as on date
</t>
    </r>
    <r>
      <rPr>
        <b/>
        <i/>
        <sz val="10"/>
        <color theme="0"/>
        <rFont val="Calibri"/>
        <family val="2"/>
        <scheme val="minor"/>
      </rPr>
      <t>(as information provided by the company)</t>
    </r>
  </si>
  <si>
    <t>Yet to be Incurred</t>
  </si>
  <si>
    <t>The above mentioned values are in Millions Rupees.
1 Million = Rs.10,00,000/-</t>
  </si>
  <si>
    <t>FAR</t>
  </si>
  <si>
    <t>Acre</t>
  </si>
  <si>
    <t xml:space="preserve">sq mtr </t>
  </si>
  <si>
    <t>Sq. ft.</t>
  </si>
  <si>
    <t>INR/sq.ft</t>
  </si>
  <si>
    <t>Cost of Construction Upper Storey Structure</t>
  </si>
  <si>
    <t>INR/sq.ft On SBUA</t>
  </si>
  <si>
    <t xml:space="preserve">Cost Escalation (YoY) </t>
  </si>
  <si>
    <t>%</t>
  </si>
  <si>
    <t>Admin Costs</t>
  </si>
  <si>
    <t>Sales &amp; Marketing Costs</t>
  </si>
  <si>
    <t xml:space="preserve">Escalation in residential </t>
  </si>
  <si>
    <t>YoY</t>
  </si>
  <si>
    <t>Unbooked Absorption</t>
  </si>
  <si>
    <t>Cost per sq. ft.</t>
  </si>
  <si>
    <t>% of Increment per year</t>
  </si>
  <si>
    <t>Percentage absorption</t>
  </si>
  <si>
    <t>Covered Area</t>
  </si>
  <si>
    <t>Statutory approvals &amp; NOCs</t>
  </si>
  <si>
    <t>inr/ sq. ft</t>
  </si>
  <si>
    <t xml:space="preserve">Approval Charges </t>
  </si>
  <si>
    <t xml:space="preserve"> Inventory Absorption</t>
  </si>
  <si>
    <t>3. As per the general real estate market scenario, the market rate for available inventory will increase @ 3% for selling of balance units in each year and in the fourth the developer will sold the remaining units with a premium of 8% since the project will be completed and ready to move.</t>
  </si>
  <si>
    <t>1. As per market/ industry practice and our market study, we are of the view that company will monetize the unsold units of residential society (to be developed) in the micro market within Four years @ 30% in first year, 35% in the second year, 30% in the third year &amp; rest 5% in the fourth year.</t>
  </si>
  <si>
    <t>2. The average market rate for residential flats in the subject project is varying in between Rs.4,000/-per sq.ft. to Rs.5,000/-per sq.ft.  including other charges like PLC, IFMS Charges, Utility Charges and developer will charge additional parking charges. These rates are also the current prevailing market rate of the other projects present nearby</t>
  </si>
  <si>
    <t>Cost of DEBT</t>
  </si>
  <si>
    <t xml:space="preserve">Corporate tax rate </t>
  </si>
  <si>
    <t>Ke</t>
  </si>
  <si>
    <t>=</t>
  </si>
  <si>
    <t>Rf+ Beta(Rm-Rf)</t>
  </si>
  <si>
    <t>Rf</t>
  </si>
  <si>
    <t>Beta</t>
  </si>
  <si>
    <t>Rm</t>
  </si>
  <si>
    <t xml:space="preserve">10 year Nifty 50 nreturn avergae </t>
  </si>
  <si>
    <t>10 year govt bond rate</t>
  </si>
  <si>
    <t>5 year beta of infra senstivity iof stock with respecyt to market</t>
  </si>
  <si>
    <t>Risk free rate</t>
  </si>
  <si>
    <t>Market return</t>
  </si>
  <si>
    <t>Weight of Equity</t>
  </si>
  <si>
    <t>Post tax Cost of debt</t>
  </si>
  <si>
    <t>Weight of debt</t>
  </si>
  <si>
    <t>Wd*Kd*(1-t) +We*Ke</t>
  </si>
  <si>
    <t>Company Risk premium</t>
  </si>
  <si>
    <t>Cost of Equity Ke</t>
  </si>
  <si>
    <t xml:space="preserve">Cost of Equity </t>
  </si>
  <si>
    <t xml:space="preserve"> % Sale of captioned Project</t>
  </si>
  <si>
    <r>
      <t xml:space="preserve"> Total Inflow </t>
    </r>
    <r>
      <rPr>
        <b/>
        <i/>
        <sz val="11"/>
        <color theme="1"/>
        <rFont val="Calibri"/>
        <family val="2"/>
        <scheme val="minor"/>
      </rPr>
      <t>(in Million Rupees)</t>
    </r>
  </si>
  <si>
    <t>Important Note:</t>
  </si>
  <si>
    <r>
      <rPr>
        <b/>
        <sz val="11"/>
        <color theme="1"/>
        <rFont val="Calibri"/>
        <family val="2"/>
        <scheme val="minor"/>
      </rPr>
      <t>Approval Charges</t>
    </r>
    <r>
      <rPr>
        <sz val="11"/>
        <color theme="1"/>
        <rFont val="Calibri"/>
        <family val="2"/>
        <scheme val="minor"/>
      </rPr>
      <t xml:space="preserve"> </t>
    </r>
    <r>
      <rPr>
        <i/>
        <sz val="11"/>
        <color theme="1"/>
        <rFont val="Calibri"/>
        <family val="2"/>
        <scheme val="minor"/>
      </rPr>
      <t>(In Mn)</t>
    </r>
  </si>
  <si>
    <t xml:space="preserve">PROJECTIONS </t>
  </si>
  <si>
    <t>PROJECTIONS SUMMATION</t>
  </si>
  <si>
    <r>
      <t xml:space="preserve">TOTAL OUTFLOW </t>
    </r>
    <r>
      <rPr>
        <b/>
        <i/>
        <sz val="11"/>
        <color theme="1"/>
        <rFont val="Calibri"/>
        <family val="2"/>
        <scheme val="minor"/>
      </rPr>
      <t xml:space="preserve">(in Mn) </t>
    </r>
    <r>
      <rPr>
        <b/>
        <sz val="11"/>
        <color theme="1"/>
        <rFont val="Calibri"/>
        <family val="2"/>
        <scheme val="minor"/>
      </rPr>
      <t>(B)</t>
    </r>
  </si>
  <si>
    <r>
      <t xml:space="preserve">TOTAL INFLOW </t>
    </r>
    <r>
      <rPr>
        <b/>
        <i/>
        <sz val="11"/>
        <color theme="1"/>
        <rFont val="Calibri"/>
        <family val="2"/>
        <scheme val="minor"/>
      </rPr>
      <t xml:space="preserve">(in Mn) </t>
    </r>
    <r>
      <rPr>
        <b/>
        <sz val="11"/>
        <color theme="1"/>
        <rFont val="Calibri"/>
        <family val="2"/>
        <scheme val="minor"/>
      </rPr>
      <t>(A)</t>
    </r>
  </si>
  <si>
    <t>1. The construction of the subject project is under initial stage and foundation work is in progres
2. The expense yet to be incurred is comprised of cost of construction for balance work and preoperative expenses (like Admin &amp; administrative cost for sale/ purchase of unsold units and also brokerage/ marketing charges).
3. The Capital Expenditure (CAPEX) of the project has been taken from the information provided by the company which is relied upon in good faith.
4. The above mentioned values are in Millions Rupees
1 Million = Rs.10,00,000/-</t>
  </si>
  <si>
    <t>RESIDUAL VALUE OF LAND</t>
  </si>
  <si>
    <t>BASIC RESIDUAL LAND VALUE METHOD</t>
  </si>
  <si>
    <t>ASSUMPTIONS FOR BASIC RESIDUAL LAND VALUE METHOD</t>
  </si>
  <si>
    <t>-</t>
  </si>
  <si>
    <t>Area</t>
  </si>
  <si>
    <t>Area Absorption Rate
 (sq. ft.)</t>
  </si>
  <si>
    <t>Residential Space Sale Rate</t>
  </si>
  <si>
    <t>Expected Profit</t>
  </si>
  <si>
    <t>DISCOUNT RATE</t>
  </si>
  <si>
    <t>NET CASH FLOW</t>
  </si>
  <si>
    <t>YEAR</t>
  </si>
  <si>
    <t>PROFIT @ 15% OF NPV</t>
  </si>
  <si>
    <t>Residual Value of Land=Net Present Value-Estimated Profit</t>
  </si>
  <si>
    <t>NET PRESENT VALUE (NPV)</t>
  </si>
  <si>
    <t>% of NPV</t>
  </si>
  <si>
    <t>Percentage of Construction Cost</t>
  </si>
  <si>
    <t>Inflow  (in Million Rupees)</t>
  </si>
  <si>
    <t>Area Absorbed per annum  (sq. ft.)</t>
  </si>
  <si>
    <t>ABSORPTION RATE | CITY SURVEY NO. 2085 VILLAGE VILLE PARLE (EAST), MUMBAI SUBURBAN AND CITY SURVEY NO. PART 623 VILLAGE CHAKALA, ANDHERI (EAST), MUMBAI SUBURBAN</t>
  </si>
  <si>
    <t>UNBOOKED INVENTORY VALUATION | CITY SURVEY NO. 2085 VILLAGE VILLE PARLE (EAST), MUMBAI SUBURBAN AND CITY SURVEY NO. PART 623 VILLAGE CHAKALA, ANDHERI (EAST), MUMBAI SUBURBAN</t>
  </si>
  <si>
    <t>TOTAL OUTFLOW | CITY SURVEY NO. 2085 VILLAGE VILLE PARLE (EAST), MUMBAI SUBURBAN AND CITY SURVEY NO. PART 623 VILLAGE CHAKALA, ANDHERI (EAST), MUMBAI SUBURBAN</t>
  </si>
  <si>
    <t>SUMMARY | NET PRESENT VALUE (NPV)| CITY SURVEY NO. 2085 VILLAGE VILLE PARLE (EAST), MUMBAI SUBURBAN AND CITY SURVEY NO. PART 623 VILLAGE CHAKALA, ANDHERI (EAST), MUMBAI SUBURBAN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</si>
</sst>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0.00_);_(* \(#,##0.00\);_(* &quot;-&quot;??_);_(@_)"/>
    <numFmt numFmtId="165" formatCode="_ [$₹-4009]\ * #,##0.00_ ;_ [$₹-4009]\ * \-#,##0.00_ ;_ [$₹-4009]\ * &quot;-&quot;??_ ;_ @_ "/>
    <numFmt numFmtId="166" formatCode="0.0%"/>
    <numFmt numFmtId="167" formatCode="_(* #,##0.0_);_(* \(#,##0.0\);_(* &quot;-&quot;??_);_(@_)"/>
    <numFmt numFmtId="168" formatCode="_(&quot;$&quot;* #,##0.000_);_(&quot;$&quot;* \(#,##0.000\);_(&quot;$&quot;* &quot;-&quot;??_);_(@_)"/>
  </numFmts>
  <fonts count="18"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sz val="11"/>
      <name val="Calibri"/>
      <family val="2"/>
      <scheme val="minor"/>
    </font>
    <font>
      <b/>
      <i/>
      <sz val="11"/>
      <color theme="1"/>
      <name val="Calibri"/>
      <family val="2"/>
      <scheme val="minor"/>
    </font>
    <font>
      <sz val="11"/>
      <name val="Calibri"/>
      <family val="2"/>
      <scheme val="minor"/>
    </font>
    <font>
      <i/>
      <sz val="11"/>
      <color theme="0"/>
      <name val="Calibri"/>
      <family val="2"/>
      <scheme val="minor"/>
    </font>
    <font>
      <i/>
      <sz val="10"/>
      <color theme="0"/>
      <name val="Calibri"/>
      <family val="2"/>
      <scheme val="minor"/>
    </font>
    <font>
      <i/>
      <sz val="10"/>
      <color theme="1"/>
      <name val="Calibri"/>
      <family val="2"/>
      <scheme val="minor"/>
    </font>
    <font>
      <sz val="8"/>
      <name val="Calibri"/>
      <family val="2"/>
      <scheme val="minor"/>
    </font>
    <font>
      <b/>
      <sz val="11"/>
      <color rgb="FF000000"/>
      <name val="Calibri"/>
      <family val="2"/>
      <scheme val="minor"/>
    </font>
    <font>
      <b/>
      <i/>
      <sz val="10"/>
      <color theme="0"/>
      <name val="Calibri"/>
      <family val="2"/>
      <scheme val="minor"/>
    </font>
    <font>
      <i/>
      <sz val="11"/>
      <color rgb="FF000000"/>
      <name val="Calibri"/>
      <family val="2"/>
      <scheme val="minor"/>
    </font>
    <font>
      <sz val="11"/>
      <color theme="0"/>
      <name val="Calibri"/>
      <family val="2"/>
      <scheme val="minor"/>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bgColor indexed="64"/>
      </patternFill>
    </fill>
    <fill>
      <patternFill patternType="solid">
        <fgColor theme="8" tint="-0.49998474074526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5"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4" tint="0.79998168889431442"/>
      </left>
      <right/>
      <top style="double">
        <color theme="4" tint="0.79998168889431442"/>
      </top>
      <bottom/>
      <diagonal/>
    </border>
    <border>
      <left/>
      <right/>
      <top style="double">
        <color theme="4" tint="0.79998168889431442"/>
      </top>
      <bottom/>
      <diagonal/>
    </border>
    <border>
      <left/>
      <right style="double">
        <color theme="4" tint="0.79998168889431442"/>
      </right>
      <top style="double">
        <color theme="4" tint="0.79998168889431442"/>
      </top>
      <bottom/>
      <diagonal/>
    </border>
    <border>
      <left style="double">
        <color theme="4" tint="0.79998168889431442"/>
      </left>
      <right/>
      <top/>
      <bottom/>
      <diagonal/>
    </border>
    <border>
      <left/>
      <right style="double">
        <color theme="4" tint="0.79998168889431442"/>
      </right>
      <top/>
      <bottom/>
      <diagonal/>
    </border>
    <border>
      <left style="double">
        <color theme="4" tint="0.79998168889431442"/>
      </left>
      <right/>
      <top/>
      <bottom style="double">
        <color theme="4" tint="0.79998168889431442"/>
      </bottom>
      <diagonal/>
    </border>
    <border>
      <left/>
      <right/>
      <top/>
      <bottom style="double">
        <color theme="4" tint="0.79998168889431442"/>
      </bottom>
      <diagonal/>
    </border>
    <border>
      <left/>
      <right style="double">
        <color theme="4" tint="0.79998168889431442"/>
      </right>
      <top/>
      <bottom style="double">
        <color theme="4" tint="0.79998168889431442"/>
      </bottom>
      <diagonal/>
    </border>
    <border>
      <left style="double">
        <color theme="4" tint="0.79998168889431442"/>
      </left>
      <right/>
      <top style="double">
        <color theme="4" tint="0.79998168889431442"/>
      </top>
      <bottom style="double">
        <color theme="4" tint="0.79998168889431442"/>
      </bottom>
      <diagonal/>
    </border>
    <border>
      <left/>
      <right/>
      <top style="double">
        <color theme="4" tint="0.79998168889431442"/>
      </top>
      <bottom style="double">
        <color theme="4" tint="0.79998168889431442"/>
      </bottom>
      <diagonal/>
    </border>
    <border>
      <left/>
      <right style="double">
        <color theme="4" tint="0.79998168889431442"/>
      </right>
      <top style="double">
        <color theme="4" tint="0.79998168889431442"/>
      </top>
      <bottom style="double">
        <color theme="4" tint="0.79998168889431442"/>
      </bottom>
      <diagonal/>
    </border>
    <border>
      <left style="double">
        <color theme="4" tint="0.79998168889431442"/>
      </left>
      <right style="thin">
        <color indexed="64"/>
      </right>
      <top style="double">
        <color theme="4" tint="0.79998168889431442"/>
      </top>
      <bottom style="double">
        <color theme="4" tint="0.79998168889431442"/>
      </bottom>
      <diagonal/>
    </border>
    <border>
      <left style="thin">
        <color indexed="64"/>
      </left>
      <right style="thin">
        <color indexed="64"/>
      </right>
      <top style="double">
        <color theme="4" tint="0.79998168889431442"/>
      </top>
      <bottom style="double">
        <color theme="4" tint="0.79998168889431442"/>
      </bottom>
      <diagonal/>
    </border>
    <border>
      <left style="thin">
        <color indexed="64"/>
      </left>
      <right style="double">
        <color theme="4" tint="0.79998168889431442"/>
      </right>
      <top style="double">
        <color theme="4" tint="0.79998168889431442"/>
      </top>
      <bottom style="double">
        <color theme="4" tint="0.79998168889431442"/>
      </bottom>
      <diagonal/>
    </border>
    <border>
      <left style="thin">
        <color indexed="64"/>
      </left>
      <right style="thin">
        <color indexed="64"/>
      </right>
      <top/>
      <bottom style="thin">
        <color indexed="64"/>
      </bottom>
      <diagonal/>
    </border>
    <border>
      <left style="double">
        <color theme="4" tint="0.79998168889431442"/>
      </left>
      <right style="double">
        <color theme="4" tint="0.79998168889431442"/>
      </right>
      <top style="double">
        <color theme="4" tint="0.79998168889431442"/>
      </top>
      <bottom/>
      <diagonal/>
    </border>
    <border>
      <left style="double">
        <color theme="4" tint="0.79998168889431442"/>
      </left>
      <right style="double">
        <color theme="4" tint="0.79998168889431442"/>
      </right>
      <top/>
      <bottom style="double">
        <color theme="4" tint="0.79998168889431442"/>
      </bottom>
      <diagonal/>
    </border>
    <border>
      <left style="double">
        <color theme="4" tint="0.79998168889431442"/>
      </left>
      <right style="double">
        <color theme="4" tint="0.79995117038483843"/>
      </right>
      <top style="double">
        <color theme="4" tint="0.79995117038483843"/>
      </top>
      <bottom style="double">
        <color theme="4" tint="0.79998168889431442"/>
      </bottom>
      <diagonal/>
    </border>
  </borders>
  <cellStyleXfs count="5">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83">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xf>
    <xf numFmtId="44" fontId="0" fillId="0" borderId="1" xfId="2" applyFont="1" applyBorder="1" applyAlignment="1">
      <alignment horizontal="center" vertical="center"/>
    </xf>
    <xf numFmtId="0" fontId="0" fillId="5" borderId="1" xfId="0" applyFill="1" applyBorder="1" applyAlignment="1">
      <alignment horizontal="center" vertical="center" wrapText="1"/>
    </xf>
    <xf numFmtId="10" fontId="0" fillId="0" borderId="0" xfId="0" applyNumberFormat="1"/>
    <xf numFmtId="10" fontId="0" fillId="0" borderId="0" xfId="3" applyNumberFormat="1" applyFont="1"/>
    <xf numFmtId="44" fontId="1" fillId="0" borderId="1" xfId="2" applyFont="1" applyBorder="1" applyAlignment="1">
      <alignment horizontal="center" vertical="center"/>
    </xf>
    <xf numFmtId="0" fontId="2" fillId="0" borderId="0" xfId="0" applyFont="1" applyFill="1" applyBorder="1" applyAlignment="1">
      <alignment horizontal="left" vertical="top"/>
    </xf>
    <xf numFmtId="0" fontId="4" fillId="8" borderId="1" xfId="0" applyFont="1" applyFill="1" applyBorder="1" applyAlignment="1">
      <alignment horizontal="center" vertical="center"/>
    </xf>
    <xf numFmtId="9" fontId="2" fillId="0" borderId="0" xfId="3" applyFont="1" applyFill="1" applyBorder="1" applyAlignment="1">
      <alignment horizontal="left" vertical="top"/>
    </xf>
    <xf numFmtId="0" fontId="2" fillId="0" borderId="0" xfId="0" applyFont="1" applyFill="1" applyBorder="1" applyAlignment="1">
      <alignment horizontal="center" vertical="center"/>
    </xf>
    <xf numFmtId="44" fontId="1" fillId="0" borderId="1" xfId="2" applyFont="1" applyBorder="1" applyAlignment="1">
      <alignment vertical="center"/>
    </xf>
    <xf numFmtId="0" fontId="2" fillId="0" borderId="0" xfId="0" applyFont="1"/>
    <xf numFmtId="44" fontId="2" fillId="0" borderId="0" xfId="2" applyFont="1"/>
    <xf numFmtId="44" fontId="4" fillId="0" borderId="0" xfId="2" applyFont="1" applyFill="1" applyBorder="1" applyAlignment="1">
      <alignment vertical="top"/>
    </xf>
    <xf numFmtId="0" fontId="2" fillId="0" borderId="0" xfId="0" applyFont="1" applyBorder="1" applyAlignment="1"/>
    <xf numFmtId="0" fontId="2" fillId="0" borderId="0" xfId="0" applyFont="1" applyBorder="1"/>
    <xf numFmtId="17" fontId="4" fillId="8" borderId="1" xfId="2" applyNumberFormat="1" applyFont="1" applyFill="1" applyBorder="1" applyAlignment="1">
      <alignment horizontal="center" vertical="center"/>
    </xf>
    <xf numFmtId="2" fontId="2" fillId="0" borderId="1" xfId="2" applyNumberFormat="1" applyFont="1" applyBorder="1" applyAlignment="1">
      <alignment horizontal="right" vertical="center"/>
    </xf>
    <xf numFmtId="167" fontId="9" fillId="3" borderId="1" xfId="1" applyNumberFormat="1" applyFont="1" applyFill="1" applyBorder="1" applyAlignment="1">
      <alignment vertical="center"/>
    </xf>
    <xf numFmtId="165" fontId="1" fillId="0" borderId="1" xfId="0" applyNumberFormat="1" applyFont="1" applyBorder="1" applyAlignment="1">
      <alignment horizontal="center" vertical="center"/>
    </xf>
    <xf numFmtId="0" fontId="0" fillId="0" borderId="0" xfId="0" applyAlignment="1">
      <alignment horizontal="center" vertical="center"/>
    </xf>
    <xf numFmtId="0" fontId="4" fillId="6" borderId="1" xfId="0" applyFont="1" applyFill="1" applyBorder="1" applyAlignment="1">
      <alignment horizontal="center" vertical="center" wrapText="1"/>
    </xf>
    <xf numFmtId="44" fontId="0" fillId="0" borderId="0" xfId="0" applyNumberFormat="1"/>
    <xf numFmtId="0" fontId="4" fillId="6"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44" fontId="0" fillId="0" borderId="1" xfId="0" applyNumberFormat="1" applyBorder="1" applyAlignment="1">
      <alignment horizontal="center" vertical="center"/>
    </xf>
    <xf numFmtId="17" fontId="4" fillId="8" borderId="1" xfId="2"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Border="1"/>
    <xf numFmtId="44" fontId="2" fillId="0" borderId="0" xfId="0" applyNumberFormat="1" applyFont="1"/>
    <xf numFmtId="0" fontId="2" fillId="2" borderId="1" xfId="0" applyFont="1" applyFill="1" applyBorder="1" applyAlignment="1">
      <alignment vertical="center"/>
    </xf>
    <xf numFmtId="10" fontId="0" fillId="0" borderId="1" xfId="0" applyNumberFormat="1" applyBorder="1"/>
    <xf numFmtId="9" fontId="0" fillId="0" borderId="1" xfId="0" applyNumberFormat="1" applyBorder="1"/>
    <xf numFmtId="10" fontId="0" fillId="0" borderId="1" xfId="3" applyNumberFormat="1" applyFont="1" applyBorder="1"/>
    <xf numFmtId="43" fontId="0" fillId="0" borderId="1" xfId="0" applyNumberFormat="1" applyBorder="1" applyAlignment="1">
      <alignment horizontal="center" vertical="center"/>
    </xf>
    <xf numFmtId="43" fontId="2" fillId="3" borderId="1" xfId="0" applyNumberFormat="1" applyFont="1" applyFill="1" applyBorder="1" applyAlignment="1">
      <alignment horizontal="center" vertical="center"/>
    </xf>
    <xf numFmtId="44" fontId="2" fillId="0" borderId="0" xfId="3" applyNumberFormat="1" applyFont="1" applyFill="1" applyBorder="1" applyAlignment="1">
      <alignment horizontal="left" vertical="top"/>
    </xf>
    <xf numFmtId="44" fontId="0" fillId="0" borderId="0" xfId="2" applyFont="1"/>
    <xf numFmtId="165" fontId="2" fillId="0" borderId="0" xfId="0" applyNumberFormat="1" applyFont="1"/>
    <xf numFmtId="9" fontId="0" fillId="0" borderId="0" xfId="3" applyFont="1"/>
    <xf numFmtId="0" fontId="0" fillId="0" borderId="0" xfId="0" quotePrefix="1"/>
    <xf numFmtId="10" fontId="0" fillId="10" borderId="0" xfId="3" applyNumberFormat="1" applyFont="1" applyFill="1"/>
    <xf numFmtId="0" fontId="1" fillId="0" borderId="0" xfId="0" applyFont="1"/>
    <xf numFmtId="0" fontId="0" fillId="0" borderId="1" xfId="0" applyFill="1" applyBorder="1"/>
    <xf numFmtId="9" fontId="0" fillId="0" borderId="1" xfId="3" applyFont="1" applyBorder="1"/>
    <xf numFmtId="2" fontId="0" fillId="0" borderId="0" xfId="0" applyNumberFormat="1"/>
    <xf numFmtId="9" fontId="0" fillId="10" borderId="0" xfId="0" applyNumberFormat="1" applyFill="1"/>
    <xf numFmtId="0" fontId="0" fillId="11" borderId="0" xfId="0" applyFill="1"/>
    <xf numFmtId="0" fontId="0" fillId="11" borderId="0" xfId="0" quotePrefix="1" applyFill="1"/>
    <xf numFmtId="10" fontId="1" fillId="0" borderId="0" xfId="0" applyNumberFormat="1" applyFont="1"/>
    <xf numFmtId="10" fontId="1" fillId="11" borderId="0" xfId="0" applyNumberFormat="1" applyFont="1" applyFill="1"/>
    <xf numFmtId="0" fontId="0" fillId="0" borderId="0" xfId="0" applyFill="1" applyBorder="1"/>
    <xf numFmtId="0" fontId="0" fillId="0" borderId="0" xfId="0" applyBorder="1"/>
    <xf numFmtId="9" fontId="0" fillId="0" borderId="0" xfId="3" applyFont="1" applyBorder="1"/>
    <xf numFmtId="0" fontId="0" fillId="0" borderId="1" xfId="0" applyFont="1" applyBorder="1"/>
    <xf numFmtId="10" fontId="0" fillId="0" borderId="1" xfId="0" applyNumberFormat="1" applyFont="1" applyBorder="1"/>
    <xf numFmtId="10" fontId="0" fillId="3" borderId="1" xfId="0" applyNumberFormat="1" applyFont="1" applyFill="1" applyBorder="1"/>
    <xf numFmtId="17" fontId="4" fillId="12" borderId="5" xfId="2" applyNumberFormat="1" applyFont="1" applyFill="1" applyBorder="1" applyAlignment="1">
      <alignment horizontal="center" vertical="center"/>
    </xf>
    <xf numFmtId="165" fontId="0" fillId="3" borderId="5" xfId="0" applyNumberFormat="1" applyFill="1" applyBorder="1" applyAlignment="1">
      <alignment vertical="center"/>
    </xf>
    <xf numFmtId="0" fontId="1" fillId="3" borderId="5" xfId="0" applyFont="1" applyFill="1" applyBorder="1" applyAlignment="1">
      <alignment vertical="center"/>
    </xf>
    <xf numFmtId="2" fontId="9" fillId="3" borderId="5" xfId="1" applyNumberFormat="1" applyFont="1" applyFill="1" applyBorder="1" applyAlignment="1">
      <alignment vertical="center"/>
    </xf>
    <xf numFmtId="2" fontId="7" fillId="14" borderId="5" xfId="1" applyNumberFormat="1" applyFont="1" applyFill="1" applyBorder="1" applyAlignment="1">
      <alignment vertical="center"/>
    </xf>
    <xf numFmtId="0" fontId="1" fillId="3" borderId="5" xfId="0" applyFont="1" applyFill="1" applyBorder="1" applyAlignment="1">
      <alignment horizontal="right" vertical="center"/>
    </xf>
    <xf numFmtId="167" fontId="9" fillId="3" borderId="5" xfId="1" applyNumberFormat="1" applyFont="1" applyFill="1" applyBorder="1" applyAlignment="1">
      <alignment horizontal="right" vertical="center"/>
    </xf>
    <xf numFmtId="0" fontId="4" fillId="13" borderId="5" xfId="0" applyFont="1" applyFill="1" applyBorder="1" applyAlignment="1">
      <alignment vertical="center"/>
    </xf>
    <xf numFmtId="165" fontId="17" fillId="13" borderId="5" xfId="0" applyNumberFormat="1" applyFont="1" applyFill="1" applyBorder="1" applyAlignment="1">
      <alignment vertical="center"/>
    </xf>
    <xf numFmtId="165" fontId="4" fillId="13" borderId="5" xfId="0" applyNumberFormat="1" applyFont="1" applyFill="1" applyBorder="1" applyAlignment="1">
      <alignment vertical="center"/>
    </xf>
    <xf numFmtId="164" fontId="9" fillId="3" borderId="5" xfId="1" applyNumberFormat="1" applyFont="1" applyFill="1" applyBorder="1" applyAlignment="1">
      <alignment vertical="center"/>
    </xf>
    <xf numFmtId="164" fontId="7" fillId="14" borderId="5" xfId="1" applyNumberFormat="1" applyFont="1" applyFill="1" applyBorder="1" applyAlignment="1">
      <alignment vertical="center"/>
    </xf>
    <xf numFmtId="0" fontId="0" fillId="0" borderId="20" xfId="0" applyBorder="1"/>
    <xf numFmtId="0" fontId="1" fillId="0" borderId="5" xfId="0" applyFont="1" applyBorder="1" applyAlignment="1">
      <alignment horizontal="left" vertical="center"/>
    </xf>
    <xf numFmtId="0" fontId="0" fillId="0" borderId="5" xfId="0" applyBorder="1" applyAlignment="1">
      <alignment horizontal="left"/>
    </xf>
    <xf numFmtId="2" fontId="0" fillId="0" borderId="5" xfId="0" applyNumberFormat="1" applyBorder="1" applyAlignment="1">
      <alignment horizontal="right" vertical="center"/>
    </xf>
    <xf numFmtId="0" fontId="0" fillId="0" borderId="5" xfId="0" applyBorder="1" applyAlignment="1">
      <alignment horizontal="left" vertical="center"/>
    </xf>
    <xf numFmtId="2" fontId="0" fillId="0" borderId="5" xfId="1" applyNumberFormat="1" applyFont="1" applyBorder="1" applyAlignment="1">
      <alignment horizontal="right" vertical="center"/>
    </xf>
    <xf numFmtId="0" fontId="1" fillId="3" borderId="5" xfId="0" applyFont="1" applyFill="1" applyBorder="1" applyAlignment="1">
      <alignment horizontal="left" vertical="center"/>
    </xf>
    <xf numFmtId="0" fontId="0" fillId="3" borderId="5" xfId="0" applyFill="1" applyBorder="1" applyAlignment="1">
      <alignment horizontal="left" vertical="center"/>
    </xf>
    <xf numFmtId="2" fontId="0" fillId="3" borderId="5" xfId="4" applyNumberFormat="1" applyFont="1" applyFill="1" applyBorder="1" applyAlignment="1">
      <alignment horizontal="right" vertical="center"/>
    </xf>
    <xf numFmtId="10" fontId="0" fillId="3" borderId="5" xfId="3" applyNumberFormat="1" applyFont="1" applyFill="1" applyBorder="1" applyAlignment="1">
      <alignment horizontal="right" vertical="center"/>
    </xf>
    <xf numFmtId="9" fontId="7" fillId="3" borderId="5" xfId="0" applyNumberFormat="1" applyFont="1" applyFill="1" applyBorder="1" applyAlignment="1">
      <alignment horizontal="left" vertical="center"/>
    </xf>
    <xf numFmtId="17" fontId="4" fillId="6" borderId="5" xfId="2" applyNumberFormat="1" applyFont="1" applyFill="1" applyBorder="1" applyAlignment="1">
      <alignment horizontal="center" vertical="center"/>
    </xf>
    <xf numFmtId="0" fontId="0" fillId="0" borderId="5" xfId="0" applyBorder="1" applyAlignment="1">
      <alignment horizontal="center" vertical="center"/>
    </xf>
    <xf numFmtId="9" fontId="2" fillId="0" borderId="5" xfId="3" applyFont="1" applyBorder="1" applyAlignment="1">
      <alignment horizontal="center" vertical="center"/>
    </xf>
    <xf numFmtId="9" fontId="0" fillId="0" borderId="5" xfId="0" applyNumberFormat="1" applyBorder="1" applyAlignment="1">
      <alignment horizontal="center" vertical="center"/>
    </xf>
    <xf numFmtId="0" fontId="2" fillId="0" borderId="5" xfId="0" applyFont="1" applyBorder="1" applyAlignment="1">
      <alignment horizontal="center" vertical="center" wrapText="1"/>
    </xf>
    <xf numFmtId="43" fontId="0" fillId="0" borderId="5" xfId="0" applyNumberFormat="1" applyBorder="1" applyAlignment="1">
      <alignment horizontal="center" vertical="center"/>
    </xf>
    <xf numFmtId="1" fontId="0" fillId="0" borderId="5" xfId="0" applyNumberFormat="1" applyBorder="1" applyAlignment="1">
      <alignment horizontal="center" vertical="center"/>
    </xf>
    <xf numFmtId="9" fontId="0" fillId="3" borderId="5" xfId="3" applyFont="1" applyFill="1" applyBorder="1" applyAlignment="1">
      <alignment horizontal="right" vertical="center"/>
    </xf>
    <xf numFmtId="17" fontId="4" fillId="6" borderId="5" xfId="2" applyNumberFormat="1" applyFont="1" applyFill="1" applyBorder="1" applyAlignment="1">
      <alignment horizontal="center" vertical="top"/>
    </xf>
    <xf numFmtId="0" fontId="2" fillId="0" borderId="5" xfId="0" applyFont="1" applyBorder="1" applyAlignment="1">
      <alignment vertical="center" wrapText="1"/>
    </xf>
    <xf numFmtId="166" fontId="2" fillId="0" borderId="5" xfId="3" applyNumberFormat="1" applyFont="1" applyBorder="1" applyAlignment="1">
      <alignment vertical="center"/>
    </xf>
    <xf numFmtId="44" fontId="2" fillId="0" borderId="5" xfId="2" applyFont="1" applyBorder="1" applyAlignment="1">
      <alignment vertical="center"/>
    </xf>
    <xf numFmtId="0" fontId="5" fillId="0" borderId="5" xfId="0" applyFont="1" applyBorder="1" applyAlignment="1">
      <alignment vertical="center" wrapText="1"/>
    </xf>
    <xf numFmtId="44" fontId="3" fillId="0" borderId="5" xfId="2" applyFont="1" applyBorder="1" applyAlignment="1">
      <alignment horizontal="center" vertical="center"/>
    </xf>
    <xf numFmtId="0" fontId="14" fillId="0" borderId="5" xfId="0" applyFont="1" applyBorder="1" applyAlignment="1">
      <alignment vertical="center" wrapText="1"/>
    </xf>
    <xf numFmtId="0" fontId="0" fillId="0" borderId="20" xfId="0" applyBorder="1" applyAlignment="1">
      <alignment horizontal="center" vertical="center"/>
    </xf>
    <xf numFmtId="0" fontId="4" fillId="8" borderId="5" xfId="0" applyFont="1" applyFill="1" applyBorder="1" applyAlignment="1">
      <alignment horizontal="center" vertical="center" wrapText="1"/>
    </xf>
    <xf numFmtId="0" fontId="0" fillId="0" borderId="5" xfId="0" applyBorder="1" applyAlignment="1">
      <alignment horizontal="left" vertical="center" wrapText="1"/>
    </xf>
    <xf numFmtId="44" fontId="0" fillId="0" borderId="5" xfId="0" applyNumberFormat="1" applyBorder="1" applyAlignment="1">
      <alignment horizontal="center" vertical="center"/>
    </xf>
    <xf numFmtId="0" fontId="4" fillId="13" borderId="5" xfId="0" applyFont="1" applyFill="1" applyBorder="1" applyAlignment="1">
      <alignment horizontal="center" vertical="center"/>
    </xf>
    <xf numFmtId="44" fontId="4" fillId="13" borderId="5" xfId="0" applyNumberFormat="1" applyFont="1" applyFill="1" applyBorder="1" applyAlignment="1">
      <alignment horizontal="center" vertical="center"/>
    </xf>
    <xf numFmtId="0" fontId="1" fillId="3" borderId="21" xfId="0" applyFont="1" applyFill="1" applyBorder="1" applyAlignment="1">
      <alignment horizontal="right" vertical="center"/>
    </xf>
    <xf numFmtId="165" fontId="0" fillId="3" borderId="21" xfId="0" applyNumberFormat="1" applyFill="1" applyBorder="1" applyAlignment="1">
      <alignment vertical="center"/>
    </xf>
    <xf numFmtId="43" fontId="4" fillId="15" borderId="23" xfId="0" applyNumberFormat="1" applyFont="1" applyFill="1" applyBorder="1" applyAlignment="1">
      <alignment horizontal="center" vertical="center"/>
    </xf>
    <xf numFmtId="2" fontId="4" fillId="15" borderId="5" xfId="1" applyNumberFormat="1" applyFont="1" applyFill="1" applyBorder="1" applyAlignment="1">
      <alignment vertical="center"/>
    </xf>
    <xf numFmtId="0" fontId="0" fillId="3" borderId="0" xfId="0" applyFill="1"/>
    <xf numFmtId="0" fontId="1" fillId="3" borderId="0" xfId="0" applyFont="1" applyFill="1"/>
    <xf numFmtId="10" fontId="17" fillId="13" borderId="5" xfId="3" applyNumberFormat="1" applyFont="1" applyFill="1" applyBorder="1" applyAlignment="1">
      <alignment vertical="center" wrapText="1"/>
    </xf>
    <xf numFmtId="165" fontId="0" fillId="3" borderId="0" xfId="0" applyNumberFormat="1" applyFill="1"/>
    <xf numFmtId="44" fontId="1" fillId="0" borderId="5" xfId="0" applyNumberFormat="1" applyFont="1" applyBorder="1" applyAlignment="1">
      <alignment horizontal="right" vertical="center"/>
    </xf>
    <xf numFmtId="164" fontId="2" fillId="0" borderId="5" xfId="1" applyFont="1" applyBorder="1" applyAlignment="1">
      <alignment vertical="center" wrapText="1"/>
    </xf>
    <xf numFmtId="164" fontId="0" fillId="3" borderId="0" xfId="1" applyFont="1" applyFill="1"/>
    <xf numFmtId="0" fontId="1" fillId="4" borderId="5" xfId="0" applyFont="1" applyFill="1" applyBorder="1" applyAlignment="1">
      <alignment horizontal="center" vertical="center"/>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7" borderId="5" xfId="0" applyFont="1" applyFill="1" applyBorder="1" applyAlignment="1">
      <alignment horizontal="center" vertical="center" wrapText="1"/>
    </xf>
    <xf numFmtId="17" fontId="4" fillId="6" borderId="5" xfId="2" applyNumberFormat="1" applyFont="1" applyFill="1" applyBorder="1" applyAlignment="1">
      <alignment horizontal="center" vertical="center"/>
    </xf>
    <xf numFmtId="0" fontId="4" fillId="6" borderId="5"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 fillId="0" borderId="5"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17" fontId="4" fillId="6" borderId="14" xfId="2" applyNumberFormat="1" applyFont="1" applyFill="1" applyBorder="1" applyAlignment="1">
      <alignment horizontal="center" vertical="top"/>
    </xf>
    <xf numFmtId="17" fontId="4" fillId="6" borderId="15" xfId="2" applyNumberFormat="1" applyFont="1" applyFill="1" applyBorder="1" applyAlignment="1">
      <alignment horizontal="center" vertical="top"/>
    </xf>
    <xf numFmtId="17" fontId="4" fillId="6" borderId="16" xfId="2" applyNumberFormat="1" applyFont="1" applyFill="1" applyBorder="1" applyAlignment="1">
      <alignment horizontal="center" vertical="top"/>
    </xf>
    <xf numFmtId="0" fontId="0" fillId="0" borderId="0" xfId="0" applyAlignment="1">
      <alignment horizontal="center"/>
    </xf>
    <xf numFmtId="0" fontId="1" fillId="3" borderId="5" xfId="0" applyFont="1" applyFill="1" applyBorder="1" applyAlignment="1">
      <alignment horizontal="center" vertical="center"/>
    </xf>
    <xf numFmtId="44" fontId="6" fillId="12" borderId="5" xfId="2" applyFont="1" applyFill="1" applyBorder="1" applyAlignment="1">
      <alignment horizontal="center" vertical="center" wrapText="1"/>
    </xf>
    <xf numFmtId="0" fontId="4" fillId="12" borderId="5" xfId="0" applyFont="1" applyFill="1" applyBorder="1" applyAlignment="1">
      <alignment horizontal="left" vertical="center"/>
    </xf>
    <xf numFmtId="0" fontId="4" fillId="12" borderId="5" xfId="0" applyFont="1" applyFill="1" applyBorder="1" applyAlignment="1">
      <alignment horizontal="center" vertical="center"/>
    </xf>
    <xf numFmtId="17" fontId="4" fillId="12" borderId="5" xfId="2" applyNumberFormat="1" applyFont="1" applyFill="1" applyBorder="1" applyAlignment="1">
      <alignment horizontal="center" vertical="center" wrapText="1"/>
    </xf>
    <xf numFmtId="0" fontId="1" fillId="3" borderId="5" xfId="0" applyFont="1" applyFill="1" applyBorder="1" applyAlignment="1">
      <alignment vertical="center" wrapText="1"/>
    </xf>
    <xf numFmtId="0" fontId="1" fillId="14" borderId="5" xfId="0" applyFont="1" applyFill="1" applyBorder="1" applyAlignment="1">
      <alignment vertical="center" wrapText="1"/>
    </xf>
    <xf numFmtId="0" fontId="1"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10" fontId="1" fillId="3" borderId="6" xfId="3" applyNumberFormat="1" applyFont="1" applyFill="1" applyBorder="1" applyAlignment="1">
      <alignment horizontal="left" vertical="center" wrapText="1"/>
    </xf>
    <xf numFmtId="10" fontId="1" fillId="3" borderId="7" xfId="3" applyNumberFormat="1" applyFont="1" applyFill="1" applyBorder="1" applyAlignment="1">
      <alignment horizontal="left" vertical="center" wrapText="1"/>
    </xf>
    <xf numFmtId="10" fontId="1" fillId="3" borderId="8" xfId="3" applyNumberFormat="1" applyFont="1" applyFill="1" applyBorder="1" applyAlignment="1">
      <alignment horizontal="left" vertical="center" wrapText="1"/>
    </xf>
    <xf numFmtId="10" fontId="1" fillId="3" borderId="9" xfId="3" applyNumberFormat="1" applyFont="1" applyFill="1" applyBorder="1" applyAlignment="1">
      <alignment horizontal="left" vertical="center" wrapText="1"/>
    </xf>
    <xf numFmtId="10" fontId="1" fillId="3" borderId="0" xfId="3" applyNumberFormat="1" applyFont="1" applyFill="1" applyBorder="1" applyAlignment="1">
      <alignment horizontal="left" vertical="center" wrapText="1"/>
    </xf>
    <xf numFmtId="10" fontId="1" fillId="3" borderId="10" xfId="3" applyNumberFormat="1" applyFont="1" applyFill="1" applyBorder="1" applyAlignment="1">
      <alignment horizontal="left" vertical="center" wrapText="1"/>
    </xf>
    <xf numFmtId="10" fontId="1" fillId="3" borderId="11" xfId="3" applyNumberFormat="1" applyFont="1" applyFill="1" applyBorder="1" applyAlignment="1">
      <alignment horizontal="left" vertical="center" wrapText="1"/>
    </xf>
    <xf numFmtId="10" fontId="1" fillId="3" borderId="12" xfId="3" applyNumberFormat="1" applyFont="1" applyFill="1" applyBorder="1" applyAlignment="1">
      <alignment horizontal="left" vertical="center" wrapText="1"/>
    </xf>
    <xf numFmtId="10" fontId="1" fillId="3" borderId="13" xfId="3" applyNumberFormat="1" applyFont="1" applyFill="1" applyBorder="1" applyAlignment="1">
      <alignment horizontal="left"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5" xfId="0" applyFont="1" applyFill="1" applyBorder="1" applyAlignment="1">
      <alignment vertical="center" wrapText="1"/>
    </xf>
    <xf numFmtId="0" fontId="8" fillId="3" borderId="17" xfId="0" applyFont="1" applyFill="1" applyBorder="1" applyAlignment="1">
      <alignment horizontal="left"/>
    </xf>
    <xf numFmtId="0" fontId="8" fillId="3" borderId="18" xfId="0" applyFont="1" applyFill="1" applyBorder="1" applyAlignment="1">
      <alignment horizontal="left"/>
    </xf>
    <xf numFmtId="0" fontId="8" fillId="3" borderId="19" xfId="0" applyFont="1" applyFill="1" applyBorder="1" applyAlignment="1">
      <alignment horizontal="left"/>
    </xf>
    <xf numFmtId="0" fontId="8" fillId="3" borderId="17" xfId="0" applyFont="1" applyFill="1" applyBorder="1" applyAlignment="1">
      <alignment horizontal="left" wrapText="1"/>
    </xf>
    <xf numFmtId="0" fontId="8" fillId="3" borderId="18" xfId="0" applyFont="1" applyFill="1" applyBorder="1" applyAlignment="1">
      <alignment horizontal="left" wrapText="1"/>
    </xf>
    <xf numFmtId="0" fontId="8" fillId="3" borderId="19" xfId="0" applyFont="1" applyFill="1" applyBorder="1" applyAlignment="1">
      <alignment horizontal="left" wrapText="1"/>
    </xf>
    <xf numFmtId="0" fontId="4" fillId="15" borderId="14" xfId="0" applyFont="1" applyFill="1" applyBorder="1" applyAlignment="1">
      <alignment horizontal="left" vertical="center"/>
    </xf>
    <xf numFmtId="0" fontId="4" fillId="15" borderId="16" xfId="0" applyFont="1" applyFill="1" applyBorder="1" applyAlignment="1">
      <alignment horizontal="left" vertical="center"/>
    </xf>
    <xf numFmtId="0" fontId="1" fillId="14" borderId="5" xfId="0" applyFont="1" applyFill="1" applyBorder="1" applyAlignment="1">
      <alignment vertical="center"/>
    </xf>
    <xf numFmtId="0" fontId="1" fillId="3" borderId="21" xfId="0" applyFont="1" applyFill="1" applyBorder="1" applyAlignment="1">
      <alignment horizontal="center" vertical="center"/>
    </xf>
    <xf numFmtId="0" fontId="16" fillId="0" borderId="1" xfId="0" applyFont="1" applyBorder="1" applyAlignment="1">
      <alignment horizontal="left" wrapText="1"/>
    </xf>
    <xf numFmtId="0" fontId="16" fillId="0" borderId="1" xfId="0" applyFont="1" applyBorder="1" applyAlignment="1">
      <alignment horizontal="left"/>
    </xf>
    <xf numFmtId="0" fontId="1" fillId="7" borderId="1" xfId="0" applyFont="1" applyFill="1" applyBorder="1" applyAlignment="1">
      <alignment horizontal="center" vertical="center" wrapText="1"/>
    </xf>
    <xf numFmtId="0" fontId="2" fillId="0" borderId="1" xfId="0" applyFont="1" applyBorder="1" applyAlignment="1">
      <alignment horizontal="center"/>
    </xf>
    <xf numFmtId="0" fontId="1" fillId="7" borderId="1" xfId="0" applyFont="1" applyFill="1" applyBorder="1" applyAlignment="1">
      <alignment horizontal="left" vertical="top" wrapText="1"/>
    </xf>
    <xf numFmtId="0" fontId="1" fillId="7" borderId="1" xfId="0" applyFont="1" applyFill="1" applyBorder="1" applyAlignment="1">
      <alignment horizontal="left" vertical="top"/>
    </xf>
    <xf numFmtId="0" fontId="7" fillId="3" borderId="1" xfId="0" applyFont="1" applyFill="1" applyBorder="1" applyAlignment="1">
      <alignment horizontal="center" vertical="top"/>
    </xf>
    <xf numFmtId="0" fontId="1" fillId="0" borderId="1" xfId="0" applyFont="1" applyBorder="1" applyAlignment="1">
      <alignment horizontal="left" vertical="center" wrapText="1"/>
    </xf>
    <xf numFmtId="44" fontId="2" fillId="0" borderId="1" xfId="2" applyFont="1" applyBorder="1" applyAlignment="1">
      <alignment horizontal="center"/>
    </xf>
    <xf numFmtId="168" fontId="2" fillId="0" borderId="1" xfId="2" applyNumberFormat="1" applyFont="1" applyBorder="1" applyAlignment="1">
      <alignment horizontal="center" vertical="top"/>
    </xf>
  </cellXfs>
  <cellStyles count="5">
    <cellStyle name="Comma" xfId="1" builtinId="3"/>
    <cellStyle name="Comma 2" xfId="4"/>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58"/>
  <sheetViews>
    <sheetView tabSelected="1" topLeftCell="B1" zoomScaleNormal="100" workbookViewId="0">
      <selection activeCell="E22" sqref="E22"/>
    </sheetView>
  </sheetViews>
  <sheetFormatPr defaultRowHeight="15" x14ac:dyDescent="0.25"/>
  <cols>
    <col min="5" max="5" width="38.7109375" bestFit="1" customWidth="1"/>
    <col min="6" max="6" width="30" bestFit="1" customWidth="1"/>
    <col min="7" max="7" width="15.28515625" bestFit="1" customWidth="1"/>
    <col min="8" max="8" width="44.140625" customWidth="1"/>
    <col min="9" max="9" width="15.85546875" bestFit="1" customWidth="1"/>
  </cols>
  <sheetData>
    <row r="4" spans="5:9" ht="15.75" thickBot="1" x14ac:dyDescent="0.3"/>
    <row r="5" spans="5:9" ht="16.5" thickTop="1" thickBot="1" x14ac:dyDescent="0.3">
      <c r="E5" s="115" t="s">
        <v>100</v>
      </c>
      <c r="F5" s="115"/>
      <c r="G5" s="115"/>
    </row>
    <row r="6" spans="5:9" ht="16.5" thickTop="1" thickBot="1" x14ac:dyDescent="0.3">
      <c r="E6" s="73" t="s">
        <v>44</v>
      </c>
      <c r="F6" s="74" t="s">
        <v>101</v>
      </c>
      <c r="G6" s="75">
        <v>0.6</v>
      </c>
    </row>
    <row r="7" spans="5:9" ht="16.5" thickTop="1" thickBot="1" x14ac:dyDescent="0.3">
      <c r="E7" s="116" t="s">
        <v>102</v>
      </c>
      <c r="F7" s="74" t="s">
        <v>45</v>
      </c>
      <c r="G7" s="75">
        <v>25.606999999999999</v>
      </c>
    </row>
    <row r="8" spans="5:9" ht="16.5" thickTop="1" thickBot="1" x14ac:dyDescent="0.3">
      <c r="E8" s="117"/>
      <c r="F8" s="74" t="s">
        <v>46</v>
      </c>
      <c r="G8" s="75">
        <f>G7*4046.86</f>
        <v>103627.94402</v>
      </c>
    </row>
    <row r="9" spans="5:9" ht="16.5" thickTop="1" thickBot="1" x14ac:dyDescent="0.3">
      <c r="E9" s="118" t="s">
        <v>61</v>
      </c>
      <c r="F9" s="74" t="s">
        <v>46</v>
      </c>
      <c r="G9" s="75">
        <f>G8*G6</f>
        <v>62176.766411999997</v>
      </c>
    </row>
    <row r="10" spans="5:9" ht="16.5" thickTop="1" thickBot="1" x14ac:dyDescent="0.3">
      <c r="E10" s="119"/>
      <c r="F10" s="76" t="s">
        <v>47</v>
      </c>
      <c r="G10" s="77">
        <v>669275</v>
      </c>
    </row>
    <row r="11" spans="5:9" ht="16.5" thickTop="1" thickBot="1" x14ac:dyDescent="0.3">
      <c r="E11" s="120"/>
      <c r="F11" s="121"/>
      <c r="G11" s="122"/>
    </row>
    <row r="12" spans="5:9" ht="16.5" thickTop="1" thickBot="1" x14ac:dyDescent="0.3">
      <c r="E12" s="78" t="s">
        <v>49</v>
      </c>
      <c r="F12" s="79" t="s">
        <v>50</v>
      </c>
      <c r="G12" s="80">
        <v>2000</v>
      </c>
    </row>
    <row r="13" spans="5:9" ht="16.5" thickTop="1" thickBot="1" x14ac:dyDescent="0.3">
      <c r="E13" s="78" t="s">
        <v>62</v>
      </c>
      <c r="F13" s="79" t="s">
        <v>63</v>
      </c>
      <c r="G13" s="80">
        <v>100</v>
      </c>
      <c r="I13" s="40">
        <f>G13*G10</f>
        <v>66927500</v>
      </c>
    </row>
    <row r="14" spans="5:9" ht="16.5" thickTop="1" thickBot="1" x14ac:dyDescent="0.3">
      <c r="E14" s="62" t="s">
        <v>51</v>
      </c>
      <c r="F14" s="79" t="s">
        <v>52</v>
      </c>
      <c r="G14" s="81">
        <v>0.03</v>
      </c>
    </row>
    <row r="15" spans="5:9" ht="16.5" thickTop="1" thickBot="1" x14ac:dyDescent="0.3">
      <c r="E15" s="62" t="s">
        <v>53</v>
      </c>
      <c r="F15" s="79" t="s">
        <v>113</v>
      </c>
      <c r="G15" s="81">
        <v>0.05</v>
      </c>
      <c r="I15" s="24" t="e">
        <f>ASSUMPTIONS!#REF!*'Total Outflow'!G13</f>
        <v>#REF!</v>
      </c>
    </row>
    <row r="16" spans="5:9" ht="16.5" thickTop="1" thickBot="1" x14ac:dyDescent="0.3">
      <c r="E16" s="62" t="s">
        <v>54</v>
      </c>
      <c r="F16" s="79" t="s">
        <v>113</v>
      </c>
      <c r="G16" s="81">
        <v>0.05</v>
      </c>
      <c r="I16" s="24" t="e">
        <f>#REF!*'Total Outflow'!G13</f>
        <v>#REF!</v>
      </c>
    </row>
    <row r="17" spans="5:9" ht="16.5" thickTop="1" thickBot="1" x14ac:dyDescent="0.3">
      <c r="E17" s="62"/>
      <c r="F17" s="79"/>
      <c r="G17" s="81"/>
      <c r="I17" s="24"/>
    </row>
    <row r="18" spans="5:9" ht="16.5" thickTop="1" thickBot="1" x14ac:dyDescent="0.3">
      <c r="E18" s="62" t="s">
        <v>105</v>
      </c>
      <c r="F18" s="79" t="s">
        <v>112</v>
      </c>
      <c r="G18" s="81">
        <v>0.15</v>
      </c>
    </row>
    <row r="19" spans="5:9" ht="16.5" thickTop="1" thickBot="1" x14ac:dyDescent="0.3">
      <c r="E19" s="123"/>
      <c r="F19" s="124"/>
      <c r="G19" s="125"/>
    </row>
    <row r="20" spans="5:9" ht="16.5" thickTop="1" thickBot="1" x14ac:dyDescent="0.3">
      <c r="E20" s="82" t="s">
        <v>104</v>
      </c>
      <c r="F20" s="79" t="s">
        <v>48</v>
      </c>
      <c r="G20" s="80">
        <v>32000</v>
      </c>
    </row>
    <row r="21" spans="5:9" ht="16.5" thickTop="1" thickBot="1" x14ac:dyDescent="0.3">
      <c r="E21" s="82" t="s">
        <v>55</v>
      </c>
      <c r="F21" s="79" t="s">
        <v>56</v>
      </c>
      <c r="G21" s="90">
        <v>0.03</v>
      </c>
    </row>
    <row r="22" spans="5:9" ht="15.75" thickTop="1" x14ac:dyDescent="0.25">
      <c r="E22" s="72"/>
      <c r="F22" s="72"/>
      <c r="G22" s="72"/>
    </row>
    <row r="23" spans="5:9" x14ac:dyDescent="0.25">
      <c r="E23" s="31" t="s">
        <v>27</v>
      </c>
      <c r="F23" s="34"/>
      <c r="G23" s="35">
        <v>0.75</v>
      </c>
    </row>
    <row r="24" spans="5:9" x14ac:dyDescent="0.25">
      <c r="E24" s="31" t="s">
        <v>28</v>
      </c>
      <c r="F24" s="34"/>
      <c r="G24" s="35">
        <v>0.25</v>
      </c>
    </row>
    <row r="25" spans="5:9" x14ac:dyDescent="0.25">
      <c r="E25" s="46" t="s">
        <v>69</v>
      </c>
      <c r="F25" s="31"/>
      <c r="G25" s="34">
        <v>9.5000000000000001E-2</v>
      </c>
    </row>
    <row r="26" spans="5:9" x14ac:dyDescent="0.25">
      <c r="E26" s="46" t="s">
        <v>70</v>
      </c>
      <c r="F26" s="31"/>
      <c r="G26" s="47">
        <v>0.25169999999999998</v>
      </c>
    </row>
    <row r="27" spans="5:9" x14ac:dyDescent="0.25">
      <c r="E27" s="31" t="s">
        <v>88</v>
      </c>
      <c r="F27" s="31"/>
      <c r="G27" s="36">
        <v>0.13150000000000001</v>
      </c>
    </row>
    <row r="28" spans="5:9" x14ac:dyDescent="0.25">
      <c r="E28" s="31" t="s">
        <v>83</v>
      </c>
      <c r="F28" s="31"/>
      <c r="G28" s="47">
        <v>7.1088499999999999E-2</v>
      </c>
    </row>
    <row r="29" spans="5:9" x14ac:dyDescent="0.25">
      <c r="E29" s="46" t="s">
        <v>29</v>
      </c>
      <c r="F29" s="31"/>
      <c r="G29" s="36">
        <v>8.6191375000000001E-2</v>
      </c>
    </row>
    <row r="30" spans="5:9" x14ac:dyDescent="0.25">
      <c r="E30" s="57" t="s">
        <v>86</v>
      </c>
      <c r="F30" s="57"/>
      <c r="G30" s="58"/>
    </row>
    <row r="31" spans="5:9" x14ac:dyDescent="0.25">
      <c r="E31" s="57" t="s">
        <v>4</v>
      </c>
      <c r="F31" s="31"/>
      <c r="G31" s="59">
        <f>G29+G30</f>
        <v>8.6191375000000001E-2</v>
      </c>
    </row>
    <row r="32" spans="5:9" x14ac:dyDescent="0.25">
      <c r="E32" s="54"/>
      <c r="F32" s="55"/>
      <c r="G32" s="56"/>
    </row>
    <row r="33" spans="3:11" x14ac:dyDescent="0.25">
      <c r="E33" s="54"/>
      <c r="F33" s="55"/>
      <c r="G33" s="56"/>
    </row>
    <row r="34" spans="3:11" x14ac:dyDescent="0.25">
      <c r="E34" s="54"/>
      <c r="F34" s="55"/>
      <c r="G34" s="56"/>
    </row>
    <row r="37" spans="3:11" x14ac:dyDescent="0.25">
      <c r="E37" t="s">
        <v>87</v>
      </c>
      <c r="F37" t="s">
        <v>71</v>
      </c>
      <c r="G37" s="43" t="s">
        <v>72</v>
      </c>
      <c r="H37" t="s">
        <v>73</v>
      </c>
      <c r="J37" s="43" t="s">
        <v>72</v>
      </c>
      <c r="K37" s="44">
        <f>G39+G40*(G41-G39)</f>
        <v>0.13150000000000001</v>
      </c>
    </row>
    <row r="39" spans="3:11" x14ac:dyDescent="0.25">
      <c r="C39" t="s">
        <v>80</v>
      </c>
      <c r="E39" t="s">
        <v>74</v>
      </c>
      <c r="F39" s="43" t="s">
        <v>72</v>
      </c>
      <c r="G39" s="6">
        <v>6.8500000000000005E-2</v>
      </c>
      <c r="H39" t="s">
        <v>78</v>
      </c>
    </row>
    <row r="40" spans="3:11" x14ac:dyDescent="0.25">
      <c r="E40" t="s">
        <v>75</v>
      </c>
      <c r="G40" s="48">
        <v>2</v>
      </c>
      <c r="H40" t="s">
        <v>79</v>
      </c>
    </row>
    <row r="41" spans="3:11" x14ac:dyDescent="0.25">
      <c r="C41" t="s">
        <v>81</v>
      </c>
      <c r="E41" t="s">
        <v>76</v>
      </c>
      <c r="G41" s="5">
        <v>0.1</v>
      </c>
      <c r="H41" t="s">
        <v>77</v>
      </c>
    </row>
    <row r="44" spans="3:11" x14ac:dyDescent="0.25">
      <c r="E44" t="s">
        <v>82</v>
      </c>
      <c r="K44" s="49">
        <f>G24</f>
        <v>0.25</v>
      </c>
    </row>
    <row r="47" spans="3:11" x14ac:dyDescent="0.25">
      <c r="E47" t="s">
        <v>83</v>
      </c>
      <c r="F47" s="43" t="s">
        <v>72</v>
      </c>
      <c r="K47" s="44">
        <f>G25*(1-G26)</f>
        <v>7.1088499999999999E-2</v>
      </c>
    </row>
    <row r="49" spans="5:11" x14ac:dyDescent="0.25">
      <c r="E49" t="s">
        <v>84</v>
      </c>
      <c r="F49" s="42"/>
    </row>
    <row r="50" spans="5:11" x14ac:dyDescent="0.25">
      <c r="K50" s="49">
        <f>G23</f>
        <v>0.75</v>
      </c>
    </row>
    <row r="52" spans="5:11" x14ac:dyDescent="0.25">
      <c r="E52" s="50" t="s">
        <v>29</v>
      </c>
      <c r="F52" s="51" t="s">
        <v>72</v>
      </c>
      <c r="G52" s="50" t="s">
        <v>85</v>
      </c>
      <c r="H52" s="50"/>
    </row>
    <row r="54" spans="5:11" x14ac:dyDescent="0.25">
      <c r="E54" s="45" t="s">
        <v>29</v>
      </c>
      <c r="F54" s="45"/>
      <c r="G54" s="52">
        <f>K50*K47+K44*K37</f>
        <v>8.6191375000000001E-2</v>
      </c>
      <c r="H54" s="45"/>
    </row>
    <row r="55" spans="5:11" x14ac:dyDescent="0.25">
      <c r="E55" s="45"/>
      <c r="F55" s="45"/>
      <c r="G55" s="45"/>
      <c r="H55" s="45"/>
    </row>
    <row r="56" spans="5:11" x14ac:dyDescent="0.25">
      <c r="E56" s="45" t="s">
        <v>86</v>
      </c>
      <c r="F56" s="45"/>
      <c r="G56" s="52">
        <v>2.5000000000000001E-2</v>
      </c>
      <c r="H56" s="45"/>
    </row>
    <row r="57" spans="5:11" x14ac:dyDescent="0.25">
      <c r="E57" s="45"/>
      <c r="F57" s="45"/>
      <c r="G57" s="45"/>
      <c r="H57" s="45"/>
    </row>
    <row r="58" spans="5:11" x14ac:dyDescent="0.25">
      <c r="E58" s="45" t="s">
        <v>4</v>
      </c>
      <c r="F58" s="45"/>
      <c r="G58" s="53">
        <f>G54+G56</f>
        <v>0.11119137500000001</v>
      </c>
      <c r="H58" s="45"/>
    </row>
  </sheetData>
  <mergeCells count="5">
    <mergeCell ref="E5:G5"/>
    <mergeCell ref="E7:E8"/>
    <mergeCell ref="E9:E10"/>
    <mergeCell ref="E11:G11"/>
    <mergeCell ref="E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workbookViewId="0">
      <selection activeCell="F12" sqref="F12"/>
    </sheetView>
  </sheetViews>
  <sheetFormatPr defaultRowHeight="15" x14ac:dyDescent="0.25"/>
  <cols>
    <col min="2" max="2" width="22" bestFit="1" customWidth="1"/>
    <col min="3" max="3" width="16.85546875" bestFit="1" customWidth="1"/>
    <col min="4" max="4" width="14" customWidth="1"/>
    <col min="5" max="6" width="13" customWidth="1"/>
    <col min="7" max="7" width="12" bestFit="1" customWidth="1"/>
  </cols>
  <sheetData>
    <row r="1" spans="2:7" ht="15" customHeight="1" thickBot="1" x14ac:dyDescent="0.3"/>
    <row r="2" spans="2:7" ht="30" customHeight="1" thickTop="1" thickBot="1" x14ac:dyDescent="0.3">
      <c r="B2" s="126" t="s">
        <v>116</v>
      </c>
      <c r="C2" s="126"/>
      <c r="D2" s="126"/>
      <c r="E2" s="126"/>
      <c r="F2" s="126"/>
      <c r="G2" s="126"/>
    </row>
    <row r="3" spans="2:7" ht="16.5" thickTop="1" thickBot="1" x14ac:dyDescent="0.3">
      <c r="B3" s="128" t="s">
        <v>7</v>
      </c>
      <c r="C3" s="127" t="s">
        <v>57</v>
      </c>
      <c r="D3" s="127"/>
      <c r="E3" s="127"/>
      <c r="F3" s="83"/>
      <c r="G3" s="127" t="s">
        <v>5</v>
      </c>
    </row>
    <row r="4" spans="2:7" ht="16.5" thickTop="1" thickBot="1" x14ac:dyDescent="0.3">
      <c r="B4" s="128"/>
      <c r="C4" s="83">
        <v>44652</v>
      </c>
      <c r="D4" s="83">
        <f>EDATE(C4,12)</f>
        <v>45017</v>
      </c>
      <c r="E4" s="83">
        <f>EDATE(D4,12)</f>
        <v>45383</v>
      </c>
      <c r="F4" s="83">
        <f>EDATE(E4,12)</f>
        <v>45748</v>
      </c>
      <c r="G4" s="127"/>
    </row>
    <row r="5" spans="2:7" ht="16.5" thickTop="1" thickBot="1" x14ac:dyDescent="0.3">
      <c r="B5" s="128"/>
      <c r="C5" s="83">
        <f>EDATE(C4,12)-1</f>
        <v>45016</v>
      </c>
      <c r="D5" s="83">
        <f>EDATE(D4,12)-1</f>
        <v>45382</v>
      </c>
      <c r="E5" s="83">
        <f>EDATE(E4,12)-1</f>
        <v>45747</v>
      </c>
      <c r="F5" s="83">
        <f>EDATE(F4,12)-1</f>
        <v>46112</v>
      </c>
      <c r="G5" s="127"/>
    </row>
    <row r="6" spans="2:7" ht="16.5" thickTop="1" thickBot="1" x14ac:dyDescent="0.3">
      <c r="B6" s="84" t="s">
        <v>60</v>
      </c>
      <c r="C6" s="85">
        <v>0.3</v>
      </c>
      <c r="D6" s="85">
        <v>0.35</v>
      </c>
      <c r="E6" s="85">
        <v>0.3</v>
      </c>
      <c r="F6" s="85">
        <v>0.05</v>
      </c>
      <c r="G6" s="86">
        <f>SUM(C6:F6)</f>
        <v>1</v>
      </c>
    </row>
    <row r="7" spans="2:7" ht="31.5" thickTop="1" thickBot="1" x14ac:dyDescent="0.3">
      <c r="B7" s="87" t="s">
        <v>103</v>
      </c>
      <c r="C7" s="88">
        <f>C6*ASSUMPTIONS!$G$10</f>
        <v>200782.5</v>
      </c>
      <c r="D7" s="88">
        <f>D6*ASSUMPTIONS!$G$10</f>
        <v>234246.24999999997</v>
      </c>
      <c r="E7" s="88">
        <f>E6*ASSUMPTIONS!$G$10</f>
        <v>200782.5</v>
      </c>
      <c r="F7" s="88">
        <f>F6*ASSUMPTIONS!$G$10</f>
        <v>33463.75</v>
      </c>
      <c r="G7" s="89">
        <f>SUM(C7,D7,E7,F7)</f>
        <v>669275</v>
      </c>
    </row>
    <row r="8" spans="2:7" ht="15.75" thickTop="1" x14ac:dyDescent="0.25"/>
  </sheetData>
  <mergeCells count="4">
    <mergeCell ref="B2:G2"/>
    <mergeCell ref="G3:G5"/>
    <mergeCell ref="B3:B5"/>
    <mergeCell ref="C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zoomScale="85" zoomScaleNormal="85" workbookViewId="0">
      <selection activeCell="E12" sqref="E12"/>
    </sheetView>
  </sheetViews>
  <sheetFormatPr defaultRowHeight="15" x14ac:dyDescent="0.25"/>
  <cols>
    <col min="2" max="2" width="5.7109375" bestFit="1" customWidth="1"/>
    <col min="3" max="3" width="27.42578125" customWidth="1"/>
    <col min="4" max="4" width="15.7109375" customWidth="1"/>
    <col min="5" max="5" width="21.140625" bestFit="1" customWidth="1"/>
    <col min="6" max="6" width="18.5703125" bestFit="1" customWidth="1"/>
    <col min="8" max="8" width="17.85546875" customWidth="1"/>
    <col min="9" max="10" width="18.28515625" customWidth="1"/>
    <col min="11" max="11" width="18.140625" bestFit="1" customWidth="1"/>
  </cols>
  <sheetData>
    <row r="2" spans="2:11" ht="40.5" customHeight="1" x14ac:dyDescent="0.25">
      <c r="B2" s="129" t="s">
        <v>117</v>
      </c>
      <c r="C2" s="129"/>
      <c r="D2" s="129"/>
      <c r="E2" s="129"/>
      <c r="F2" s="129"/>
    </row>
    <row r="3" spans="2:11" ht="30" x14ac:dyDescent="0.25">
      <c r="B3" s="25" t="s">
        <v>0</v>
      </c>
      <c r="C3" s="25" t="s">
        <v>23</v>
      </c>
      <c r="D3" s="25" t="s">
        <v>24</v>
      </c>
      <c r="E3" s="25" t="s">
        <v>11</v>
      </c>
      <c r="F3" s="25" t="s">
        <v>10</v>
      </c>
    </row>
    <row r="4" spans="2:11" x14ac:dyDescent="0.25">
      <c r="B4" s="27">
        <v>1</v>
      </c>
      <c r="C4" s="33" t="s">
        <v>61</v>
      </c>
      <c r="D4" s="38">
        <f>ASSUMPTIONS!G10</f>
        <v>669275</v>
      </c>
      <c r="E4" s="2">
        <v>4500</v>
      </c>
      <c r="F4" s="3">
        <f>E4*D4</f>
        <v>3011737500</v>
      </c>
      <c r="H4" s="22"/>
    </row>
    <row r="5" spans="2:11" x14ac:dyDescent="0.25">
      <c r="B5" s="130" t="s">
        <v>5</v>
      </c>
      <c r="C5" s="130"/>
      <c r="D5" s="26">
        <f>SUM(D4:D4)</f>
        <v>669275</v>
      </c>
      <c r="E5" s="26"/>
      <c r="F5" s="7">
        <f>SUM(F4:F4)</f>
        <v>3011737500</v>
      </c>
    </row>
    <row r="6" spans="2:11" x14ac:dyDescent="0.25">
      <c r="B6" s="131"/>
      <c r="C6" s="132"/>
      <c r="D6" s="132"/>
      <c r="E6" s="132"/>
      <c r="F6" s="133"/>
    </row>
    <row r="7" spans="2:11" ht="51.75" customHeight="1" x14ac:dyDescent="0.25">
      <c r="H7" s="129" t="s">
        <v>30</v>
      </c>
      <c r="I7" s="129"/>
      <c r="J7" s="129"/>
      <c r="K7" s="129"/>
    </row>
    <row r="8" spans="2:11" ht="21.75" customHeight="1" x14ac:dyDescent="0.25">
      <c r="F8" s="24"/>
      <c r="H8" s="23" t="s">
        <v>0</v>
      </c>
      <c r="I8" s="23" t="s">
        <v>1</v>
      </c>
      <c r="J8" s="23" t="s">
        <v>25</v>
      </c>
      <c r="K8" s="23" t="s">
        <v>22</v>
      </c>
    </row>
    <row r="9" spans="2:11" x14ac:dyDescent="0.25">
      <c r="F9" s="24"/>
      <c r="H9" s="1">
        <v>1</v>
      </c>
      <c r="I9" s="1"/>
      <c r="J9" s="1"/>
      <c r="K9" s="28">
        <f>$F$4</f>
        <v>3011737500</v>
      </c>
    </row>
  </sheetData>
  <mergeCells count="4">
    <mergeCell ref="H7:K7"/>
    <mergeCell ref="B5:C5"/>
    <mergeCell ref="B2:F2"/>
    <mergeCell ref="B6:F6"/>
  </mergeCells>
  <phoneticPr fontId="13"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28"/>
  <sheetViews>
    <sheetView topLeftCell="B1" zoomScale="120" zoomScaleNormal="120" workbookViewId="0">
      <selection activeCell="D19" sqref="D19:H19"/>
    </sheetView>
  </sheetViews>
  <sheetFormatPr defaultColWidth="9.140625" defaultRowHeight="15" x14ac:dyDescent="0.25"/>
  <cols>
    <col min="1" max="3" width="9.140625" style="8"/>
    <col min="4" max="4" width="31.42578125" style="8" customWidth="1"/>
    <col min="5" max="5" width="18.5703125" style="8" customWidth="1"/>
    <col min="6" max="6" width="17.28515625" style="8" customWidth="1"/>
    <col min="7" max="8" width="16" style="8" customWidth="1"/>
    <col min="9" max="16384" width="9.140625" style="8"/>
  </cols>
  <sheetData>
    <row r="5" spans="4:10" ht="15.75" thickBot="1" x14ac:dyDescent="0.3"/>
    <row r="6" spans="4:10" ht="16.5" thickTop="1" thickBot="1" x14ac:dyDescent="0.3">
      <c r="D6" s="135" t="s">
        <v>9</v>
      </c>
      <c r="E6" s="135"/>
      <c r="F6" s="135"/>
      <c r="G6" s="135"/>
      <c r="H6" s="135"/>
    </row>
    <row r="7" spans="4:10" ht="16.5" thickTop="1" thickBot="1" x14ac:dyDescent="0.3">
      <c r="D7" s="128" t="s">
        <v>7</v>
      </c>
      <c r="E7" s="137" t="s">
        <v>65</v>
      </c>
      <c r="F7" s="138"/>
      <c r="G7" s="138"/>
      <c r="H7" s="139"/>
    </row>
    <row r="8" spans="4:10" ht="16.5" thickTop="1" thickBot="1" x14ac:dyDescent="0.3">
      <c r="D8" s="128"/>
      <c r="E8" s="91">
        <v>44652</v>
      </c>
      <c r="F8" s="91">
        <f>EDATE(E8,12)</f>
        <v>45017</v>
      </c>
      <c r="G8" s="91">
        <f>EDATE(F8,12)</f>
        <v>45383</v>
      </c>
      <c r="H8" s="91">
        <f>EDATE(G8,12)</f>
        <v>45748</v>
      </c>
    </row>
    <row r="9" spans="4:10" ht="16.5" thickTop="1" thickBot="1" x14ac:dyDescent="0.3">
      <c r="D9" s="128"/>
      <c r="E9" s="91">
        <f>EDATE(E8,12)-1</f>
        <v>45016</v>
      </c>
      <c r="F9" s="91">
        <f>EDATE(F8,12)-1</f>
        <v>45382</v>
      </c>
      <c r="G9" s="91">
        <f>EDATE(G8,12)-1</f>
        <v>45747</v>
      </c>
      <c r="H9" s="91">
        <f>EDATE(H8,12)-1</f>
        <v>46112</v>
      </c>
    </row>
    <row r="10" spans="4:10" ht="18" customHeight="1" thickTop="1" thickBot="1" x14ac:dyDescent="0.3">
      <c r="D10" s="92" t="s">
        <v>115</v>
      </c>
      <c r="E10" s="113">
        <f>'Absorption Rate'!C7</f>
        <v>200782.5</v>
      </c>
      <c r="F10" s="113">
        <f>'Absorption Rate'!D7</f>
        <v>234246.24999999997</v>
      </c>
      <c r="G10" s="113">
        <f>'Absorption Rate'!E7</f>
        <v>200782.5</v>
      </c>
      <c r="H10" s="113">
        <f>'Absorption Rate'!F7</f>
        <v>33463.75</v>
      </c>
    </row>
    <row r="11" spans="4:10" ht="16.5" thickTop="1" thickBot="1" x14ac:dyDescent="0.3">
      <c r="D11" s="92" t="s">
        <v>89</v>
      </c>
      <c r="E11" s="93">
        <f>E10/'Absorption Rate'!$G7</f>
        <v>0.3</v>
      </c>
      <c r="F11" s="93">
        <f>F10/'Absorption Rate'!$G7</f>
        <v>0.35</v>
      </c>
      <c r="G11" s="93">
        <f>G10/'Absorption Rate'!$G7</f>
        <v>0.3</v>
      </c>
      <c r="H11" s="93">
        <f>'Absorption Rate'!F6</f>
        <v>0.05</v>
      </c>
    </row>
    <row r="12" spans="4:10" ht="16.5" thickTop="1" thickBot="1" x14ac:dyDescent="0.3">
      <c r="D12" s="92" t="s">
        <v>59</v>
      </c>
      <c r="E12" s="93">
        <v>0</v>
      </c>
      <c r="F12" s="93">
        <f>ASSUMPTIONS!G21</f>
        <v>0.03</v>
      </c>
      <c r="G12" s="93">
        <f>ASSUMPTIONS!G21</f>
        <v>0.03</v>
      </c>
      <c r="H12" s="93">
        <v>0.03</v>
      </c>
    </row>
    <row r="13" spans="4:10" ht="16.5" thickTop="1" thickBot="1" x14ac:dyDescent="0.3">
      <c r="D13" s="92" t="s">
        <v>58</v>
      </c>
      <c r="E13" s="94">
        <f>ASSUMPTIONS!G20</f>
        <v>32000</v>
      </c>
      <c r="F13" s="94">
        <f>E13*(1+F12)</f>
        <v>32960</v>
      </c>
      <c r="G13" s="94">
        <f>F13*(1+G12)</f>
        <v>33948.800000000003</v>
      </c>
      <c r="H13" s="94">
        <f>G13*(1+H12)</f>
        <v>34967.264000000003</v>
      </c>
    </row>
    <row r="14" spans="4:10" ht="16.5" thickTop="1" thickBot="1" x14ac:dyDescent="0.3">
      <c r="D14" s="95" t="s">
        <v>114</v>
      </c>
      <c r="E14" s="96">
        <f>E13*E10/10^6</f>
        <v>6425.04</v>
      </c>
      <c r="F14" s="96">
        <f>F13*F10/10^6</f>
        <v>7720.7563999999993</v>
      </c>
      <c r="G14" s="96">
        <f>G13*G10/10^6</f>
        <v>6816.3249360000009</v>
      </c>
      <c r="H14" s="96">
        <f>H13*H10/10^6</f>
        <v>1170.1357806800002</v>
      </c>
      <c r="J14" s="39"/>
    </row>
    <row r="15" spans="4:10" ht="16.5" thickTop="1" thickBot="1" x14ac:dyDescent="0.3">
      <c r="D15" s="97" t="s">
        <v>90</v>
      </c>
      <c r="E15" s="112">
        <f>E14</f>
        <v>6425.04</v>
      </c>
      <c r="F15" s="112">
        <f>F14</f>
        <v>7720.7563999999993</v>
      </c>
      <c r="G15" s="112">
        <f>G14</f>
        <v>6816.3249360000009</v>
      </c>
      <c r="H15" s="112">
        <f>H14</f>
        <v>1170.1357806800002</v>
      </c>
      <c r="J15" s="10"/>
    </row>
    <row r="16" spans="4:10" ht="16.5" thickTop="1" thickBot="1" x14ac:dyDescent="0.3">
      <c r="D16" s="136"/>
      <c r="E16" s="136"/>
      <c r="F16" s="136"/>
      <c r="G16" s="136"/>
      <c r="H16" s="136"/>
    </row>
    <row r="17" spans="4:8" ht="16.5" thickTop="1" thickBot="1" x14ac:dyDescent="0.3">
      <c r="D17" s="136" t="s">
        <v>6</v>
      </c>
      <c r="E17" s="136"/>
      <c r="F17" s="136"/>
      <c r="G17" s="136"/>
      <c r="H17" s="136"/>
    </row>
    <row r="18" spans="4:8" ht="51" customHeight="1" thickTop="1" thickBot="1" x14ac:dyDescent="0.3">
      <c r="D18" s="134" t="s">
        <v>67</v>
      </c>
      <c r="E18" s="134"/>
      <c r="F18" s="134"/>
      <c r="G18" s="134"/>
      <c r="H18" s="134"/>
    </row>
    <row r="19" spans="4:8" ht="61.5" customHeight="1" thickTop="1" thickBot="1" x14ac:dyDescent="0.3">
      <c r="D19" s="134" t="s">
        <v>68</v>
      </c>
      <c r="E19" s="134"/>
      <c r="F19" s="134"/>
      <c r="G19" s="134"/>
      <c r="H19" s="134"/>
    </row>
    <row r="20" spans="4:8" ht="48" customHeight="1" thickTop="1" thickBot="1" x14ac:dyDescent="0.3">
      <c r="D20" s="134" t="s">
        <v>66</v>
      </c>
      <c r="E20" s="134"/>
      <c r="F20" s="134"/>
      <c r="G20" s="134"/>
      <c r="H20" s="134"/>
    </row>
    <row r="21" spans="4:8" ht="16.5" customHeight="1" thickTop="1" thickBot="1" x14ac:dyDescent="0.3">
      <c r="D21" s="134" t="s">
        <v>8</v>
      </c>
      <c r="E21" s="134"/>
      <c r="F21" s="134"/>
      <c r="G21" s="134"/>
      <c r="H21" s="134"/>
    </row>
    <row r="22" spans="4:8" ht="15.75" thickTop="1" x14ac:dyDescent="0.25"/>
    <row r="28" spans="4:8" x14ac:dyDescent="0.25">
      <c r="F28" s="11"/>
    </row>
  </sheetData>
  <mergeCells count="9">
    <mergeCell ref="D19:H19"/>
    <mergeCell ref="D20:H20"/>
    <mergeCell ref="D21:H21"/>
    <mergeCell ref="D6:H6"/>
    <mergeCell ref="D7:D9"/>
    <mergeCell ref="D16:H16"/>
    <mergeCell ref="D17:H17"/>
    <mergeCell ref="D18:H18"/>
    <mergeCell ref="E7:H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K20"/>
  <sheetViews>
    <sheetView workbookViewId="0">
      <selection activeCell="F20" sqref="F20"/>
    </sheetView>
  </sheetViews>
  <sheetFormatPr defaultRowHeight="15" x14ac:dyDescent="0.25"/>
  <cols>
    <col min="4" max="4" width="19" bestFit="1" customWidth="1"/>
    <col min="5" max="5" width="23.140625" bestFit="1" customWidth="1"/>
    <col min="6" max="6" width="25.85546875" customWidth="1"/>
    <col min="7" max="7" width="18.5703125" bestFit="1" customWidth="1"/>
    <col min="10" max="10" width="25.140625" bestFit="1" customWidth="1"/>
    <col min="11" max="11" width="20.42578125" bestFit="1" customWidth="1"/>
  </cols>
  <sheetData>
    <row r="5" spans="4:11" ht="15" customHeight="1" thickBot="1" x14ac:dyDescent="0.3"/>
    <row r="6" spans="4:11" ht="33" customHeight="1" thickTop="1" thickBot="1" x14ac:dyDescent="0.3">
      <c r="D6" s="126" t="s">
        <v>118</v>
      </c>
      <c r="E6" s="126"/>
      <c r="F6" s="126"/>
      <c r="G6" s="126"/>
      <c r="J6" s="4" t="s">
        <v>33</v>
      </c>
      <c r="K6" s="4" t="s">
        <v>34</v>
      </c>
    </row>
    <row r="7" spans="4:11" ht="57" thickTop="1" thickBot="1" x14ac:dyDescent="0.3">
      <c r="D7" s="99" t="s">
        <v>40</v>
      </c>
      <c r="E7" s="99" t="s">
        <v>39</v>
      </c>
      <c r="F7" s="99" t="s">
        <v>41</v>
      </c>
      <c r="G7" s="99" t="s">
        <v>42</v>
      </c>
      <c r="J7" s="30"/>
      <c r="K7" s="37">
        <f>ASSUMPTIONS!G10</f>
        <v>669275</v>
      </c>
    </row>
    <row r="8" spans="4:11" ht="16.5" hidden="1" thickTop="1" thickBot="1" x14ac:dyDescent="0.3">
      <c r="D8" s="84"/>
      <c r="E8" s="84"/>
      <c r="F8" s="84"/>
      <c r="G8" s="84"/>
    </row>
    <row r="9" spans="4:11" ht="16.5" thickTop="1" thickBot="1" x14ac:dyDescent="0.3">
      <c r="D9" s="100" t="s">
        <v>26</v>
      </c>
      <c r="E9" s="101">
        <f>ASSUMPTIONS!G12*ASSUMPTIONS!G10-596636413</f>
        <v>741913587</v>
      </c>
      <c r="F9" s="101">
        <v>0</v>
      </c>
      <c r="G9" s="101">
        <f>E9-F9</f>
        <v>741913587</v>
      </c>
    </row>
    <row r="10" spans="4:11" ht="16.5" thickTop="1" thickBot="1" x14ac:dyDescent="0.3">
      <c r="D10" s="100" t="s">
        <v>31</v>
      </c>
      <c r="E10" s="101">
        <f>E9*ASSUMPTIONS!G15</f>
        <v>37095679.350000001</v>
      </c>
      <c r="F10" s="101">
        <v>0</v>
      </c>
      <c r="G10" s="101">
        <f>E10-F10</f>
        <v>37095679.350000001</v>
      </c>
    </row>
    <row r="11" spans="4:11" ht="16.5" thickTop="1" thickBot="1" x14ac:dyDescent="0.3">
      <c r="D11" s="100" t="s">
        <v>32</v>
      </c>
      <c r="E11" s="101">
        <f>E9*ASSUMPTIONS!G16</f>
        <v>37095679.350000001</v>
      </c>
      <c r="F11" s="101">
        <v>0</v>
      </c>
      <c r="G11" s="101">
        <f>E11-F11</f>
        <v>37095679.350000001</v>
      </c>
    </row>
    <row r="12" spans="4:11" ht="16.5" thickTop="1" thickBot="1" x14ac:dyDescent="0.3">
      <c r="D12" s="100" t="s">
        <v>64</v>
      </c>
      <c r="E12" s="101">
        <f>ASSUMPTIONS!G13*ASSUMPTIONS!G10</f>
        <v>66927500</v>
      </c>
      <c r="F12" s="101">
        <v>0</v>
      </c>
      <c r="G12" s="101">
        <f>E12-F12</f>
        <v>66927500</v>
      </c>
    </row>
    <row r="13" spans="4:11" s="45" customFormat="1" ht="16.5" thickTop="1" thickBot="1" x14ac:dyDescent="0.3">
      <c r="D13" s="102" t="s">
        <v>5</v>
      </c>
      <c r="E13" s="103">
        <f>SUM(E9:E12)</f>
        <v>883032445.70000005</v>
      </c>
      <c r="F13" s="103">
        <f>SUM(F9:F12)</f>
        <v>0</v>
      </c>
      <c r="G13" s="103">
        <f>SUM(G9:G12)</f>
        <v>883032445.70000005</v>
      </c>
    </row>
    <row r="14" spans="4:11" ht="15.75" thickTop="1" x14ac:dyDescent="0.25">
      <c r="D14" s="98"/>
      <c r="E14" s="98"/>
      <c r="F14" s="98"/>
      <c r="G14" s="98"/>
    </row>
    <row r="15" spans="4:11" x14ac:dyDescent="0.25">
      <c r="E15" s="24"/>
    </row>
    <row r="17" spans="4:7" x14ac:dyDescent="0.25">
      <c r="D17" s="140"/>
      <c r="E17" s="140"/>
      <c r="F17" s="140"/>
      <c r="G17" s="140"/>
    </row>
    <row r="18" spans="4:7" x14ac:dyDescent="0.25">
      <c r="G18" s="24"/>
    </row>
    <row r="20" spans="4:7" x14ac:dyDescent="0.25">
      <c r="F20" s="24"/>
    </row>
  </sheetData>
  <mergeCells count="2">
    <mergeCell ref="D17:G17"/>
    <mergeCell ref="D6:G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23"/>
  <sheetViews>
    <sheetView zoomScale="85" zoomScaleNormal="85" workbookViewId="0">
      <selection activeCell="N21" sqref="N21"/>
    </sheetView>
  </sheetViews>
  <sheetFormatPr defaultRowHeight="15" x14ac:dyDescent="0.25"/>
  <cols>
    <col min="1" max="1" width="2" style="108" customWidth="1"/>
    <col min="2" max="2" width="26.5703125" bestFit="1" customWidth="1"/>
    <col min="3" max="3" width="11.7109375" bestFit="1" customWidth="1"/>
    <col min="4" max="4" width="13.28515625" customWidth="1"/>
    <col min="5" max="5" width="14" customWidth="1"/>
    <col min="6" max="6" width="14.5703125" bestFit="1" customWidth="1"/>
    <col min="7" max="7" width="14.5703125" customWidth="1"/>
    <col min="8" max="8" width="14.85546875" customWidth="1"/>
    <col min="9" max="10" width="9.140625" style="108"/>
    <col min="11" max="12" width="19.5703125" style="108" bestFit="1" customWidth="1"/>
    <col min="13" max="14" width="17" style="108" bestFit="1" customWidth="1"/>
    <col min="15" max="143" width="9.140625" style="108"/>
  </cols>
  <sheetData>
    <row r="1" spans="1:143" s="108" customFormat="1" ht="15.75" thickBot="1" x14ac:dyDescent="0.3"/>
    <row r="2" spans="1:143" ht="17.25" thickTop="1" thickBot="1" x14ac:dyDescent="0.3">
      <c r="B2" s="142" t="s">
        <v>99</v>
      </c>
      <c r="C2" s="142"/>
      <c r="D2" s="142"/>
      <c r="E2" s="142"/>
      <c r="F2" s="142"/>
      <c r="G2" s="142"/>
      <c r="H2" s="142"/>
    </row>
    <row r="3" spans="1:143" ht="16.5" thickTop="1" thickBot="1" x14ac:dyDescent="0.3">
      <c r="B3" s="143" t="s">
        <v>93</v>
      </c>
      <c r="C3" s="144" t="s">
        <v>108</v>
      </c>
      <c r="D3" s="60">
        <f>Inflow!E8</f>
        <v>44652</v>
      </c>
      <c r="E3" s="60">
        <f>Inflow!F8</f>
        <v>45017</v>
      </c>
      <c r="F3" s="60">
        <f>Inflow!G8</f>
        <v>45383</v>
      </c>
      <c r="G3" s="60">
        <f>Inflow!H8</f>
        <v>45748</v>
      </c>
      <c r="H3" s="145" t="s">
        <v>94</v>
      </c>
    </row>
    <row r="4" spans="1:143" ht="16.5" thickTop="1" thickBot="1" x14ac:dyDescent="0.3">
      <c r="B4" s="143"/>
      <c r="C4" s="144"/>
      <c r="D4" s="60">
        <f>Inflow!E9</f>
        <v>45016</v>
      </c>
      <c r="E4" s="60">
        <f>Inflow!F9</f>
        <v>45382</v>
      </c>
      <c r="F4" s="60">
        <f>Inflow!G9</f>
        <v>45747</v>
      </c>
      <c r="G4" s="60">
        <f>Inflow!H9</f>
        <v>46112</v>
      </c>
      <c r="H4" s="145"/>
    </row>
    <row r="5" spans="1:143" ht="16.5" thickTop="1" thickBot="1" x14ac:dyDescent="0.3">
      <c r="B5" s="149"/>
      <c r="C5" s="149"/>
      <c r="D5" s="149"/>
      <c r="E5" s="149"/>
      <c r="F5" s="149"/>
      <c r="G5" s="149"/>
      <c r="H5" s="149"/>
    </row>
    <row r="6" spans="1:143" ht="29.25" customHeight="1" thickTop="1" thickBot="1" x14ac:dyDescent="0.3">
      <c r="B6" s="146" t="s">
        <v>38</v>
      </c>
      <c r="C6" s="146"/>
      <c r="D6" s="70">
        <f>Inflow!E15</f>
        <v>6425.04</v>
      </c>
      <c r="E6" s="70">
        <f>Inflow!F15</f>
        <v>7720.7563999999993</v>
      </c>
      <c r="F6" s="70">
        <f>Inflow!G15</f>
        <v>6816.3249360000009</v>
      </c>
      <c r="G6" s="70">
        <f>Inflow!H15</f>
        <v>1170.1357806800002</v>
      </c>
      <c r="H6" s="70">
        <f>SUM(G6,F6,E6,D6)</f>
        <v>22132.257116680001</v>
      </c>
    </row>
    <row r="7" spans="1:143" ht="16.5" thickTop="1" thickBot="1" x14ac:dyDescent="0.3">
      <c r="B7" s="148"/>
      <c r="C7" s="148"/>
      <c r="D7" s="148"/>
      <c r="E7" s="148"/>
      <c r="F7" s="148"/>
      <c r="G7" s="148"/>
      <c r="H7" s="148"/>
    </row>
    <row r="8" spans="1:143" s="45" customFormat="1" ht="16.5" thickTop="1" thickBot="1" x14ac:dyDescent="0.3">
      <c r="A8" s="109"/>
      <c r="B8" s="147" t="s">
        <v>96</v>
      </c>
      <c r="C8" s="147"/>
      <c r="D8" s="71">
        <f>SUM(D6:D6)</f>
        <v>6425.04</v>
      </c>
      <c r="E8" s="71">
        <f>SUM(E6:E6)</f>
        <v>7720.7563999999993</v>
      </c>
      <c r="F8" s="71">
        <f>SUM(F6:F6)</f>
        <v>6816.3249360000009</v>
      </c>
      <c r="G8" s="71">
        <f>SUM(G6:G6)</f>
        <v>1170.1357806800002</v>
      </c>
      <c r="H8" s="71">
        <f>SUM(D8:G8)</f>
        <v>22132.257116680001</v>
      </c>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row>
    <row r="9" spans="1:143" ht="16.5" thickTop="1" thickBot="1" x14ac:dyDescent="0.3">
      <c r="B9" s="141"/>
      <c r="C9" s="141"/>
      <c r="D9" s="141"/>
      <c r="E9" s="141"/>
      <c r="F9" s="141"/>
      <c r="G9" s="65"/>
      <c r="H9" s="62"/>
    </row>
    <row r="10" spans="1:143" ht="16.5" thickTop="1" thickBot="1" x14ac:dyDescent="0.3">
      <c r="B10" s="146" t="s">
        <v>37</v>
      </c>
      <c r="C10" s="146"/>
      <c r="D10" s="63">
        <f>-('Total Outflow'!$G$9*30%)/10^6</f>
        <v>-222.57407609999998</v>
      </c>
      <c r="E10" s="63">
        <f>-('Total Outflow'!$G$9*35%)/10^6</f>
        <v>-259.66975544999997</v>
      </c>
      <c r="F10" s="63">
        <f>-('Total Outflow'!$G$9*35%)/10^6</f>
        <v>-259.66975544999997</v>
      </c>
      <c r="G10" s="66">
        <v>0</v>
      </c>
      <c r="H10" s="63">
        <f>SUM(G10,F10,E10,D10)</f>
        <v>-741.91358699999989</v>
      </c>
    </row>
    <row r="11" spans="1:143" ht="15" customHeight="1" thickTop="1" thickBot="1" x14ac:dyDescent="0.3">
      <c r="B11" s="162" t="s">
        <v>92</v>
      </c>
      <c r="C11" s="162"/>
      <c r="D11" s="63">
        <f>-('Total Outflow'!$G$12*30%/10^6)</f>
        <v>-20.078250000000001</v>
      </c>
      <c r="E11" s="63">
        <f>-('Total Outflow'!$G$12*35%/10^6)</f>
        <v>-23.424624999999999</v>
      </c>
      <c r="F11" s="63">
        <f>-('Total Outflow'!$G$12*35%/10^6)</f>
        <v>-23.424624999999999</v>
      </c>
      <c r="G11" s="66">
        <v>0</v>
      </c>
      <c r="H11" s="63">
        <f>SUM(G11,F11,E11,D11)</f>
        <v>-66.927499999999995</v>
      </c>
    </row>
    <row r="12" spans="1:143" ht="14.45" customHeight="1" thickTop="1" thickBot="1" x14ac:dyDescent="0.3">
      <c r="B12" s="146" t="s">
        <v>35</v>
      </c>
      <c r="C12" s="146"/>
      <c r="D12" s="63">
        <f>-('Total Outflow'!$G$10*30%)/10^6</f>
        <v>-11.128703804999999</v>
      </c>
      <c r="E12" s="63">
        <f>-('Total Outflow'!$G$10*35%)/10^6</f>
        <v>-12.983487772499998</v>
      </c>
      <c r="F12" s="63">
        <f>-('Total Outflow'!$G$10*35%)/10^6</f>
        <v>-12.983487772499998</v>
      </c>
      <c r="G12" s="66">
        <v>0</v>
      </c>
      <c r="H12" s="63">
        <f>SUM(D12:G12)</f>
        <v>-37.095679349999997</v>
      </c>
    </row>
    <row r="13" spans="1:143" ht="16.5" thickTop="1" thickBot="1" x14ac:dyDescent="0.3">
      <c r="B13" s="146" t="s">
        <v>36</v>
      </c>
      <c r="C13" s="146"/>
      <c r="D13" s="63">
        <f>-('Total Outflow'!$G$11*30%)/10^6</f>
        <v>-11.128703804999999</v>
      </c>
      <c r="E13" s="63">
        <f>-('Total Outflow'!$G$11*35%)/10^6</f>
        <v>-12.983487772499998</v>
      </c>
      <c r="F13" s="63">
        <f>-('Total Outflow'!$G$11*35%)/10^6</f>
        <v>-12.983487772499998</v>
      </c>
      <c r="G13" s="66">
        <v>0</v>
      </c>
      <c r="H13" s="63">
        <f>SUM(D13:G13)</f>
        <v>-37.095679349999997</v>
      </c>
    </row>
    <row r="14" spans="1:143" ht="16.5" thickTop="1" thickBot="1" x14ac:dyDescent="0.3">
      <c r="B14" s="141"/>
      <c r="C14" s="141"/>
      <c r="D14" s="141"/>
      <c r="E14" s="141"/>
      <c r="F14" s="141"/>
      <c r="G14" s="65"/>
      <c r="H14" s="61"/>
    </row>
    <row r="15" spans="1:143" s="45" customFormat="1" ht="16.5" thickTop="1" thickBot="1" x14ac:dyDescent="0.3">
      <c r="A15" s="109"/>
      <c r="B15" s="171" t="s">
        <v>95</v>
      </c>
      <c r="C15" s="171"/>
      <c r="D15" s="64">
        <f>SUM(D10:D13)</f>
        <v>-264.90973370999995</v>
      </c>
      <c r="E15" s="64">
        <f t="shared" ref="E15:G15" si="0">SUM(E10:E13)</f>
        <v>-309.06135599499993</v>
      </c>
      <c r="F15" s="64">
        <f t="shared" si="0"/>
        <v>-309.06135599499993</v>
      </c>
      <c r="G15" s="64">
        <f t="shared" si="0"/>
        <v>0</v>
      </c>
      <c r="H15" s="64">
        <f>SUM(G15,F15,E15,D15)</f>
        <v>-883.03244569999981</v>
      </c>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row>
    <row r="16" spans="1:143" ht="16.5" thickTop="1" thickBot="1" x14ac:dyDescent="0.3">
      <c r="B16" s="141"/>
      <c r="C16" s="141"/>
      <c r="D16" s="172"/>
      <c r="E16" s="172"/>
      <c r="F16" s="172"/>
      <c r="G16" s="104"/>
      <c r="H16" s="105"/>
    </row>
    <row r="17" spans="2:14" ht="16.5" thickTop="1" thickBot="1" x14ac:dyDescent="0.3">
      <c r="B17" s="169" t="s">
        <v>107</v>
      </c>
      <c r="C17" s="170"/>
      <c r="D17" s="106">
        <f>D8+D15</f>
        <v>6160.1302662899998</v>
      </c>
      <c r="E17" s="106">
        <f>E8+E15</f>
        <v>7411.6950440049995</v>
      </c>
      <c r="F17" s="106">
        <f>F8+F15</f>
        <v>6507.2635800050011</v>
      </c>
      <c r="G17" s="106">
        <f>G8+G15</f>
        <v>1170.1357806800002</v>
      </c>
      <c r="H17" s="107">
        <f>SUM(G17,F17,E17,D17)</f>
        <v>21249.224670980002</v>
      </c>
      <c r="K17" s="114">
        <f>10^6</f>
        <v>1000000</v>
      </c>
    </row>
    <row r="18" spans="2:14" ht="16.5" thickTop="1" thickBot="1" x14ac:dyDescent="0.3">
      <c r="B18" s="123"/>
      <c r="C18" s="124"/>
      <c r="D18" s="124"/>
      <c r="E18" s="124"/>
      <c r="F18" s="124"/>
      <c r="G18" s="124"/>
      <c r="H18" s="125"/>
    </row>
    <row r="19" spans="2:14" ht="16.5" thickTop="1" thickBot="1" x14ac:dyDescent="0.3">
      <c r="B19" s="67" t="s">
        <v>111</v>
      </c>
      <c r="C19" s="68">
        <f>XNPV(C20,D17:G17,D4:G4)</f>
        <v>19409.299496219472</v>
      </c>
      <c r="D19" s="150" t="s">
        <v>110</v>
      </c>
      <c r="E19" s="151"/>
      <c r="F19" s="151"/>
      <c r="G19" s="151"/>
      <c r="H19" s="152"/>
      <c r="I19" s="111"/>
    </row>
    <row r="20" spans="2:14" ht="16.5" thickTop="1" thickBot="1" x14ac:dyDescent="0.3">
      <c r="B20" s="67" t="s">
        <v>106</v>
      </c>
      <c r="C20" s="110">
        <f>ASSUMPTIONS!G31</f>
        <v>8.6191375000000001E-2</v>
      </c>
      <c r="D20" s="153"/>
      <c r="E20" s="154"/>
      <c r="F20" s="154"/>
      <c r="G20" s="154"/>
      <c r="H20" s="155"/>
      <c r="K20" s="111">
        <f>C21*10^6</f>
        <v>2911394924.4329205</v>
      </c>
    </row>
    <row r="21" spans="2:14" ht="16.5" thickTop="1" thickBot="1" x14ac:dyDescent="0.3">
      <c r="B21" s="67" t="s">
        <v>109</v>
      </c>
      <c r="C21" s="68">
        <f>C19*15%</f>
        <v>2911.3949244329206</v>
      </c>
      <c r="D21" s="153"/>
      <c r="E21" s="154"/>
      <c r="F21" s="154"/>
      <c r="G21" s="154"/>
      <c r="H21" s="155"/>
      <c r="K21" s="111">
        <f>C22*10^6</f>
        <v>16497990763.161552</v>
      </c>
      <c r="L21" s="111">
        <f>K21*1.05</f>
        <v>17322890301.31963</v>
      </c>
      <c r="M21" s="111"/>
      <c r="N21" s="111">
        <f>L21-K21</f>
        <v>824899538.15807724</v>
      </c>
    </row>
    <row r="22" spans="2:14" ht="16.5" thickTop="1" thickBot="1" x14ac:dyDescent="0.3">
      <c r="B22" s="67" t="s">
        <v>98</v>
      </c>
      <c r="C22" s="69">
        <f>C19+C20-C21</f>
        <v>16497.990763161553</v>
      </c>
      <c r="D22" s="156"/>
      <c r="E22" s="157"/>
      <c r="F22" s="157"/>
      <c r="G22" s="157"/>
      <c r="H22" s="158"/>
      <c r="K22" s="108">
        <v>103629</v>
      </c>
    </row>
    <row r="23" spans="2:14" ht="16.5" thickTop="1" thickBot="1" x14ac:dyDescent="0.3">
      <c r="B23" s="159"/>
      <c r="C23" s="160"/>
      <c r="D23" s="160"/>
      <c r="E23" s="160"/>
      <c r="F23" s="160"/>
      <c r="G23" s="160"/>
      <c r="H23" s="161"/>
      <c r="K23" s="114">
        <f>L21/K22</f>
        <v>167162.57323065581</v>
      </c>
    </row>
    <row r="24" spans="2:14" ht="16.5" thickTop="1" thickBot="1" x14ac:dyDescent="0.3">
      <c r="B24" s="163" t="s">
        <v>91</v>
      </c>
      <c r="C24" s="164"/>
      <c r="D24" s="164"/>
      <c r="E24" s="164"/>
      <c r="F24" s="164"/>
      <c r="G24" s="164"/>
      <c r="H24" s="165"/>
    </row>
    <row r="25" spans="2:14" ht="103.9" customHeight="1" thickTop="1" thickBot="1" x14ac:dyDescent="0.3">
      <c r="B25" s="166" t="s">
        <v>97</v>
      </c>
      <c r="C25" s="167"/>
      <c r="D25" s="167"/>
      <c r="E25" s="167"/>
      <c r="F25" s="167"/>
      <c r="G25" s="167"/>
      <c r="H25" s="168"/>
    </row>
    <row r="26" spans="2:14" s="108" customFormat="1" ht="15.75" thickTop="1" x14ac:dyDescent="0.25"/>
    <row r="27" spans="2:14" s="108" customFormat="1" x14ac:dyDescent="0.25"/>
    <row r="28" spans="2:14" s="108" customFormat="1" x14ac:dyDescent="0.25"/>
    <row r="29" spans="2:14" s="108" customFormat="1" x14ac:dyDescent="0.25"/>
    <row r="30" spans="2:14" s="108" customFormat="1" x14ac:dyDescent="0.25"/>
    <row r="31" spans="2:14" s="108" customFormat="1" x14ac:dyDescent="0.25"/>
    <row r="32" spans="2:14"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sheetData>
  <mergeCells count="22">
    <mergeCell ref="B24:H24"/>
    <mergeCell ref="B25:H25"/>
    <mergeCell ref="B17:C17"/>
    <mergeCell ref="B18:H18"/>
    <mergeCell ref="B15:C15"/>
    <mergeCell ref="B16:F16"/>
    <mergeCell ref="B14:F14"/>
    <mergeCell ref="D19:H22"/>
    <mergeCell ref="B23:H23"/>
    <mergeCell ref="B10:C10"/>
    <mergeCell ref="B11:C11"/>
    <mergeCell ref="B12:C12"/>
    <mergeCell ref="B13:C13"/>
    <mergeCell ref="B9:F9"/>
    <mergeCell ref="B2:H2"/>
    <mergeCell ref="B3:B4"/>
    <mergeCell ref="C3:C4"/>
    <mergeCell ref="H3:H4"/>
    <mergeCell ref="B6:C6"/>
    <mergeCell ref="B8:C8"/>
    <mergeCell ref="B7:H7"/>
    <mergeCell ref="B5:H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6"/>
  <sheetViews>
    <sheetView showGridLines="0" workbookViewId="0">
      <selection activeCell="C3" sqref="C3:I3"/>
    </sheetView>
  </sheetViews>
  <sheetFormatPr defaultColWidth="9.140625" defaultRowHeight="15" x14ac:dyDescent="0.25"/>
  <cols>
    <col min="1" max="2" width="9.140625" style="13"/>
    <col min="3" max="3" width="17.7109375" style="13" customWidth="1"/>
    <col min="4" max="4" width="22.5703125" style="13" customWidth="1"/>
    <col min="5" max="5" width="12.5703125" style="14" customWidth="1"/>
    <col min="6" max="6" width="11.7109375" style="14" customWidth="1"/>
    <col min="7" max="8" width="11.28515625" style="14" customWidth="1"/>
    <col min="9" max="9" width="24.140625" style="13" bestFit="1" customWidth="1"/>
    <col min="10" max="10" width="9.140625" style="13"/>
    <col min="11" max="11" width="16.85546875" style="13" bestFit="1" customWidth="1"/>
    <col min="12" max="16384" width="9.140625" style="13"/>
  </cols>
  <sheetData>
    <row r="3" spans="1:11" ht="30.75" customHeight="1" x14ac:dyDescent="0.25">
      <c r="A3" s="15" t="s">
        <v>12</v>
      </c>
      <c r="B3" s="15" t="s">
        <v>13</v>
      </c>
      <c r="C3" s="175" t="s">
        <v>119</v>
      </c>
      <c r="D3" s="175"/>
      <c r="E3" s="175"/>
      <c r="F3" s="175"/>
      <c r="G3" s="175"/>
      <c r="H3" s="175"/>
      <c r="I3" s="175"/>
    </row>
    <row r="4" spans="1:11" x14ac:dyDescent="0.25">
      <c r="A4" s="16"/>
      <c r="B4" s="16"/>
      <c r="C4" s="176"/>
      <c r="D4" s="176"/>
      <c r="E4" s="176"/>
      <c r="F4" s="176"/>
      <c r="G4" s="176"/>
      <c r="H4" s="176"/>
      <c r="I4" s="176"/>
    </row>
    <row r="5" spans="1:11" ht="27.75" x14ac:dyDescent="0.25">
      <c r="A5" s="17"/>
      <c r="B5" s="17"/>
      <c r="C5" s="9" t="s">
        <v>2</v>
      </c>
      <c r="D5" s="9" t="s">
        <v>3</v>
      </c>
      <c r="E5" s="18">
        <f>DCF!D4</f>
        <v>45016</v>
      </c>
      <c r="F5" s="18">
        <f>DCF!E4</f>
        <v>45382</v>
      </c>
      <c r="G5" s="18">
        <f>DCF!F4</f>
        <v>45747</v>
      </c>
      <c r="H5" s="18">
        <f>DCF!G4</f>
        <v>46112</v>
      </c>
      <c r="I5" s="29" t="s">
        <v>14</v>
      </c>
    </row>
    <row r="6" spans="1:11" x14ac:dyDescent="0.25">
      <c r="A6" s="17"/>
      <c r="B6" s="17"/>
      <c r="C6" s="177" t="s">
        <v>15</v>
      </c>
      <c r="D6" s="177"/>
      <c r="E6" s="19">
        <f>DCF!D8</f>
        <v>6425.04</v>
      </c>
      <c r="F6" s="19">
        <f>DCF!E8</f>
        <v>7720.7563999999993</v>
      </c>
      <c r="G6" s="19">
        <f>DCF!F8</f>
        <v>6816.3249360000009</v>
      </c>
      <c r="H6" s="19">
        <f>DCF!G8</f>
        <v>1170.1357806800002</v>
      </c>
      <c r="I6" s="19">
        <f>SUM(E6,F6,G6,H6)</f>
        <v>22132.257116680001</v>
      </c>
    </row>
    <row r="7" spans="1:11" x14ac:dyDescent="0.25">
      <c r="A7" s="17"/>
      <c r="B7" s="17"/>
      <c r="C7" s="178" t="s">
        <v>16</v>
      </c>
      <c r="D7" s="178"/>
      <c r="E7" s="20">
        <f>DCF!D15</f>
        <v>-264.90973370999995</v>
      </c>
      <c r="F7" s="20">
        <f>DCF!E15</f>
        <v>-309.06135599499993</v>
      </c>
      <c r="G7" s="20">
        <f>DCF!F15</f>
        <v>-309.06135599499993</v>
      </c>
      <c r="H7" s="20">
        <f>DCF!G15</f>
        <v>0</v>
      </c>
      <c r="I7" s="20">
        <f>SUM(E7:G7)</f>
        <v>-883.03244569999993</v>
      </c>
    </row>
    <row r="8" spans="1:11" x14ac:dyDescent="0.25">
      <c r="A8" s="17"/>
      <c r="B8" s="17"/>
      <c r="C8" s="179"/>
      <c r="D8" s="179"/>
      <c r="E8" s="179"/>
      <c r="F8" s="179"/>
      <c r="G8" s="179"/>
      <c r="H8" s="179"/>
      <c r="I8" s="179"/>
    </row>
    <row r="9" spans="1:11" x14ac:dyDescent="0.25">
      <c r="A9" s="17"/>
      <c r="B9" s="17"/>
      <c r="C9" s="177" t="s">
        <v>17</v>
      </c>
      <c r="D9" s="177"/>
      <c r="E9" s="19">
        <f>SUM(E6,E7)</f>
        <v>6160.1302662899998</v>
      </c>
      <c r="F9" s="19">
        <f>SUM(F6,F7)</f>
        <v>7411.6950440049995</v>
      </c>
      <c r="G9" s="19">
        <f>SUM(G6,G7)</f>
        <v>6507.2635800050011</v>
      </c>
      <c r="H9" s="19">
        <f>SUM(H6,H7)</f>
        <v>1170.1357806800002</v>
      </c>
      <c r="I9" s="19">
        <f>SUM(I6,I7)</f>
        <v>21249.224670980002</v>
      </c>
    </row>
    <row r="10" spans="1:11" x14ac:dyDescent="0.25">
      <c r="A10" s="17"/>
      <c r="B10" s="17"/>
      <c r="C10" s="179"/>
      <c r="D10" s="179"/>
      <c r="E10" s="179"/>
      <c r="F10" s="179"/>
      <c r="G10" s="179"/>
      <c r="H10" s="179"/>
      <c r="I10" s="179"/>
    </row>
    <row r="11" spans="1:11" x14ac:dyDescent="0.25">
      <c r="A11" s="17"/>
      <c r="B11" s="17"/>
      <c r="C11" s="177" t="s">
        <v>18</v>
      </c>
      <c r="D11" s="177"/>
      <c r="E11" s="21" t="e">
        <f>DCF!#REF!</f>
        <v>#REF!</v>
      </c>
      <c r="F11" s="182"/>
      <c r="G11" s="182"/>
      <c r="H11" s="182"/>
      <c r="I11" s="182"/>
    </row>
    <row r="12" spans="1:11" x14ac:dyDescent="0.25">
      <c r="A12" s="17"/>
      <c r="B12" s="17"/>
      <c r="C12" s="177" t="s">
        <v>19</v>
      </c>
      <c r="D12" s="177"/>
      <c r="E12" s="21" t="e">
        <f>ROUND(E11,-1)</f>
        <v>#REF!</v>
      </c>
      <c r="F12" s="182"/>
      <c r="G12" s="182"/>
      <c r="H12" s="182"/>
      <c r="I12" s="182"/>
    </row>
    <row r="13" spans="1:11" x14ac:dyDescent="0.25">
      <c r="C13" s="176"/>
      <c r="D13" s="176"/>
      <c r="E13" s="176"/>
      <c r="F13" s="176"/>
      <c r="G13" s="176"/>
      <c r="H13" s="176"/>
      <c r="I13" s="176"/>
      <c r="K13" s="41"/>
    </row>
    <row r="14" spans="1:11" ht="30" customHeight="1" x14ac:dyDescent="0.25">
      <c r="C14" s="180" t="s">
        <v>20</v>
      </c>
      <c r="D14" s="180"/>
      <c r="E14" s="12" t="e">
        <f>E12*(1-15%)</f>
        <v>#REF!</v>
      </c>
      <c r="F14" s="181"/>
      <c r="G14" s="181"/>
      <c r="H14" s="181"/>
      <c r="I14" s="181"/>
      <c r="J14" s="32"/>
      <c r="K14" s="32"/>
    </row>
    <row r="15" spans="1:11" ht="30" customHeight="1" x14ac:dyDescent="0.25">
      <c r="C15" s="180" t="s">
        <v>21</v>
      </c>
      <c r="D15" s="180"/>
      <c r="E15" s="12" t="e">
        <f>E12*(1-25%)</f>
        <v>#REF!</v>
      </c>
      <c r="F15" s="181"/>
      <c r="G15" s="181"/>
      <c r="H15" s="181"/>
      <c r="I15" s="181"/>
    </row>
    <row r="16" spans="1:11" ht="28.5" customHeight="1" x14ac:dyDescent="0.25">
      <c r="C16" s="173" t="s">
        <v>43</v>
      </c>
      <c r="D16" s="174"/>
      <c r="E16" s="174"/>
      <c r="F16" s="174"/>
      <c r="G16" s="174"/>
      <c r="H16" s="174"/>
      <c r="I16" s="174"/>
      <c r="K16" s="41"/>
    </row>
  </sheetData>
  <mergeCells count="15">
    <mergeCell ref="C16:I16"/>
    <mergeCell ref="C3:I3"/>
    <mergeCell ref="C4:I4"/>
    <mergeCell ref="C6:D6"/>
    <mergeCell ref="C7:D7"/>
    <mergeCell ref="C9:D9"/>
    <mergeCell ref="C8:I8"/>
    <mergeCell ref="C13:I13"/>
    <mergeCell ref="C14:D14"/>
    <mergeCell ref="F14:I15"/>
    <mergeCell ref="C15:D15"/>
    <mergeCell ref="C10:I10"/>
    <mergeCell ref="F11:I12"/>
    <mergeCell ref="C11:D11"/>
    <mergeCell ref="C12:D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ASSUMPTIONS</vt:lpstr>
      <vt:lpstr>Absorption Rate</vt:lpstr>
      <vt:lpstr>Residential Inflow</vt:lpstr>
      <vt:lpstr>Inflow</vt:lpstr>
      <vt:lpstr>Total Outflow</vt:lpstr>
      <vt:lpstr>DCF</vt:lpstr>
      <vt:lpstr>Consolidated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Garg - Corporate Finance</dc:creator>
  <cp:lastModifiedBy>Rahul Gupta</cp:lastModifiedBy>
  <dcterms:created xsi:type="dcterms:W3CDTF">2020-02-03T05:38:58Z</dcterms:created>
  <dcterms:modified xsi:type="dcterms:W3CDTF">2022-09-13T06:05:20Z</dcterms:modified>
</cp:coreProperties>
</file>