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engineer3\Desktop\Ville Parle Final\Updated After DCF CHANGE\"/>
    </mc:Choice>
  </mc:AlternateContent>
  <bookViews>
    <workbookView xWindow="0" yWindow="0" windowWidth="20490" windowHeight="7755" tabRatio="867" activeTab="5"/>
  </bookViews>
  <sheets>
    <sheet name="ASSUMPTIONS" sheetId="18" r:id="rId1"/>
    <sheet name="Absorption Rate" sheetId="9" r:id="rId2"/>
    <sheet name="Residential Inflow" sheetId="3" r:id="rId3"/>
    <sheet name="Inflow" sheetId="11" r:id="rId4"/>
    <sheet name="Total Outflow" sheetId="16" r:id="rId5"/>
    <sheet name="DCF" sheetId="7" r:id="rId6"/>
    <sheet name="Consolidated Summary" sheetId="12" r:id="rId7"/>
  </sheets>
  <definedNames>
    <definedName name="_xlnm._FilterDatabase" localSheetId="2" hidden="1">'Residential Inflow'!$B$3:$F$5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3" i="16" l="1"/>
  <c r="E12" i="16"/>
  <c r="E11" i="16"/>
  <c r="E10" i="16"/>
  <c r="E9" i="16"/>
  <c r="G18" i="7"/>
  <c r="K22" i="18" l="1"/>
  <c r="Q22" i="7" l="1"/>
  <c r="K19" i="18"/>
  <c r="M17" i="18"/>
  <c r="I30" i="18" l="1"/>
  <c r="G29" i="18" s="1"/>
  <c r="G31" i="18" s="1"/>
  <c r="G33" i="18" s="1"/>
  <c r="G16" i="7" l="1"/>
  <c r="E13" i="11"/>
  <c r="G6" i="9"/>
  <c r="C21" i="7"/>
  <c r="F14" i="16" l="1"/>
  <c r="K51" i="18"/>
  <c r="K48" i="18"/>
  <c r="K45" i="18"/>
  <c r="K38" i="18" l="1"/>
  <c r="H7" i="12" l="1"/>
  <c r="F12" i="11" l="1"/>
  <c r="G12" i="11" l="1"/>
  <c r="F13" i="11"/>
  <c r="G8" i="18"/>
  <c r="G9" i="18" s="1"/>
  <c r="G10" i="18" s="1"/>
  <c r="I14" i="18" l="1"/>
  <c r="F7" i="9"/>
  <c r="H10" i="11" s="1"/>
  <c r="D7" i="9"/>
  <c r="F10" i="11" s="1"/>
  <c r="F14" i="11" s="1"/>
  <c r="C7" i="9"/>
  <c r="E10" i="11" s="1"/>
  <c r="E14" i="11" s="1"/>
  <c r="E7" i="9"/>
  <c r="G13" i="16"/>
  <c r="D12" i="7" s="1"/>
  <c r="G13" i="11"/>
  <c r="D4" i="3"/>
  <c r="K7" i="16"/>
  <c r="G11" i="16" l="1"/>
  <c r="H13" i="11"/>
  <c r="H14" i="11" s="1"/>
  <c r="H15" i="11" s="1"/>
  <c r="G6" i="7" s="1"/>
  <c r="G8" i="7" s="1"/>
  <c r="G7" i="9"/>
  <c r="H11" i="11" s="1"/>
  <c r="F13" i="7" l="1"/>
  <c r="E13" i="7"/>
  <c r="D13" i="7"/>
  <c r="D11" i="7"/>
  <c r="F11" i="7"/>
  <c r="E11" i="7"/>
  <c r="G10" i="16"/>
  <c r="E14" i="16"/>
  <c r="E11" i="11"/>
  <c r="H6" i="12"/>
  <c r="H9" i="12" s="1"/>
  <c r="H12" i="7"/>
  <c r="E15" i="11"/>
  <c r="G10" i="11"/>
  <c r="G14" i="11" s="1"/>
  <c r="H13" i="7" l="1"/>
  <c r="G9" i="16" l="1"/>
  <c r="F10" i="7" l="1"/>
  <c r="E10" i="7"/>
  <c r="D10" i="7"/>
  <c r="G11" i="11"/>
  <c r="F11" i="11"/>
  <c r="H10" i="7" l="1"/>
  <c r="D3" i="7"/>
  <c r="E9" i="11"/>
  <c r="D4" i="7" s="1"/>
  <c r="E5" i="12" s="1"/>
  <c r="F8" i="11"/>
  <c r="F9" i="11" s="1"/>
  <c r="E4" i="7" s="1"/>
  <c r="F5" i="12" s="1"/>
  <c r="C5" i="9"/>
  <c r="D4" i="9"/>
  <c r="D5" i="9" s="1"/>
  <c r="E3" i="7" l="1"/>
  <c r="D5" i="3"/>
  <c r="F4" i="3"/>
  <c r="G8" i="11"/>
  <c r="H8" i="11" s="1"/>
  <c r="E4" i="9"/>
  <c r="F4" i="9" s="1"/>
  <c r="F5" i="9" s="1"/>
  <c r="H9" i="11" l="1"/>
  <c r="G4" i="7" s="1"/>
  <c r="H5" i="12" s="1"/>
  <c r="G3" i="7"/>
  <c r="G9" i="11"/>
  <c r="F4" i="7" s="1"/>
  <c r="G5" i="12" s="1"/>
  <c r="F3" i="7"/>
  <c r="E5" i="9"/>
  <c r="F5" i="3" l="1"/>
  <c r="F15" i="11" l="1"/>
  <c r="G15" i="11"/>
  <c r="D6" i="7" l="1"/>
  <c r="D8" i="7" s="1"/>
  <c r="E6" i="7"/>
  <c r="F6" i="7"/>
  <c r="F8" i="7" s="1"/>
  <c r="E8" i="7" l="1"/>
  <c r="H6" i="7"/>
  <c r="E6" i="12"/>
  <c r="G6" i="12"/>
  <c r="H8" i="7" l="1"/>
  <c r="F6" i="12"/>
  <c r="I6" i="12" s="1"/>
  <c r="G12" i="16" l="1"/>
  <c r="F14" i="7" l="1"/>
  <c r="E14" i="7"/>
  <c r="D14" i="7"/>
  <c r="G14" i="16"/>
  <c r="I16" i="18" s="1"/>
  <c r="E16" i="7"/>
  <c r="E18" i="7" s="1"/>
  <c r="F16" i="7" l="1"/>
  <c r="F18" i="7" s="1"/>
  <c r="D16" i="7"/>
  <c r="D18" i="7" s="1"/>
  <c r="H14" i="7"/>
  <c r="I15" i="18"/>
  <c r="E7" i="12" l="1"/>
  <c r="E9" i="12" s="1"/>
  <c r="H18" i="7"/>
  <c r="G7" i="12"/>
  <c r="G9" i="12" s="1"/>
  <c r="C20" i="7"/>
  <c r="C22" i="7" s="1"/>
  <c r="F7" i="12"/>
  <c r="F9" i="12" s="1"/>
  <c r="H16" i="7"/>
  <c r="C23" i="7" l="1"/>
  <c r="J23" i="7" s="1"/>
  <c r="E11" i="12"/>
  <c r="E12" i="12" s="1"/>
  <c r="E15" i="12" s="1"/>
  <c r="I7" i="12"/>
  <c r="I9" i="12" s="1"/>
  <c r="M23" i="7" l="1"/>
  <c r="N23" i="7" s="1"/>
  <c r="O23" i="7" s="1"/>
  <c r="O24" i="7" s="1"/>
  <c r="R22" i="7"/>
  <c r="R23" i="7"/>
  <c r="E14" i="12"/>
  <c r="P25" i="7" l="1"/>
  <c r="O25" i="7"/>
</calcChain>
</file>

<file path=xl/sharedStrings.xml><?xml version="1.0" encoding="utf-8"?>
<sst xmlns="http://schemas.openxmlformats.org/spreadsheetml/2006/main" count="131" uniqueCount="121">
  <si>
    <t>S.No.</t>
  </si>
  <si>
    <t>CASHFLOWS</t>
  </si>
  <si>
    <t>Year</t>
  </si>
  <si>
    <t>Discount Rate</t>
  </si>
  <si>
    <t>Total</t>
  </si>
  <si>
    <t>Important Notes:</t>
  </si>
  <si>
    <t>Project Details</t>
  </si>
  <si>
    <t xml:space="preserve">PROJECT INFLOW MODEL </t>
  </si>
  <si>
    <t>Market Value</t>
  </si>
  <si>
    <t xml:space="preserve"> </t>
  </si>
  <si>
    <t>`</t>
  </si>
  <si>
    <r>
      <t xml:space="preserve">CASH FLOW SUMMATION
</t>
    </r>
    <r>
      <rPr>
        <i/>
        <sz val="10"/>
        <color theme="0"/>
        <rFont val="Calibri"/>
        <family val="2"/>
        <scheme val="minor"/>
      </rPr>
      <t>(in Million Rupees)</t>
    </r>
  </si>
  <si>
    <r>
      <t xml:space="preserve">INFLOW </t>
    </r>
    <r>
      <rPr>
        <i/>
        <sz val="10"/>
        <color theme="1"/>
        <rFont val="Calibri"/>
        <family val="2"/>
        <scheme val="minor"/>
      </rPr>
      <t>(In Million Rupees)</t>
    </r>
  </si>
  <si>
    <r>
      <t xml:space="preserve">OUTFLOW </t>
    </r>
    <r>
      <rPr>
        <i/>
        <sz val="10"/>
        <color theme="1"/>
        <rFont val="Calibri"/>
        <family val="2"/>
        <scheme val="minor"/>
      </rPr>
      <t>(In Million Rupees)</t>
    </r>
  </si>
  <si>
    <r>
      <t xml:space="preserve">NET PROJECT CASH INFLOW </t>
    </r>
    <r>
      <rPr>
        <i/>
        <sz val="10"/>
        <color theme="1"/>
        <rFont val="Calibri"/>
        <family val="2"/>
        <scheme val="minor"/>
      </rPr>
      <t>(In Million Rupees)</t>
    </r>
  </si>
  <si>
    <r>
      <t xml:space="preserve">Net Present Value (NPV)-A </t>
    </r>
    <r>
      <rPr>
        <i/>
        <sz val="10"/>
        <color theme="1"/>
        <rFont val="Calibri"/>
        <family val="2"/>
        <scheme val="minor"/>
      </rPr>
      <t>(In Million Rupees)</t>
    </r>
  </si>
  <si>
    <r>
      <t xml:space="preserve">Round Off Value-A
</t>
    </r>
    <r>
      <rPr>
        <i/>
        <sz val="10"/>
        <color theme="1"/>
        <rFont val="Calibri"/>
        <family val="2"/>
        <scheme val="minor"/>
      </rPr>
      <t>(In Million Rupees)</t>
    </r>
  </si>
  <si>
    <r>
      <t xml:space="preserve">EXPECTED REALIZABLE VALUE^ (@ ~15% less)
</t>
    </r>
    <r>
      <rPr>
        <i/>
        <sz val="10"/>
        <color theme="1"/>
        <rFont val="Calibri"/>
        <family val="2"/>
        <scheme val="minor"/>
      </rPr>
      <t>(In Million Rupees)</t>
    </r>
  </si>
  <si>
    <r>
      <t xml:space="preserve">EXPECTED DISTRESS VALUE* (@ ~25% less)
</t>
    </r>
    <r>
      <rPr>
        <i/>
        <sz val="10"/>
        <color theme="1"/>
        <rFont val="Calibri"/>
        <family val="2"/>
        <scheme val="minor"/>
      </rPr>
      <t>(In Million Rupees)</t>
    </r>
  </si>
  <si>
    <t>Tower</t>
  </si>
  <si>
    <t>Construction Cost</t>
  </si>
  <si>
    <t>Debt</t>
  </si>
  <si>
    <t>Equity</t>
  </si>
  <si>
    <t>WACC</t>
  </si>
  <si>
    <t>Administrative Cost</t>
  </si>
  <si>
    <t>Marketing Expenses</t>
  </si>
  <si>
    <t>Total Built-Up Area of Rishi Pranya (Phase-I)
(in sq.mtr.)</t>
  </si>
  <si>
    <t>Total Built-Up Area of Rishi Pranya (Phase-I)
(in sq.ft.)</t>
  </si>
  <si>
    <t>Total Proposed Cost</t>
  </si>
  <si>
    <t>Description</t>
  </si>
  <si>
    <r>
      <t xml:space="preserve">Total Cost Incurred as on date
</t>
    </r>
    <r>
      <rPr>
        <b/>
        <i/>
        <sz val="10"/>
        <color theme="0"/>
        <rFont val="Calibri"/>
        <family val="2"/>
        <scheme val="minor"/>
      </rPr>
      <t>(as information provided by the company)</t>
    </r>
  </si>
  <si>
    <t>Yet to be Incurred</t>
  </si>
  <si>
    <t>The above mentioned values are in Millions Rupees.
1 Million = Rs.10,00,000/-</t>
  </si>
  <si>
    <t>Acre</t>
  </si>
  <si>
    <t xml:space="preserve">sq mtr </t>
  </si>
  <si>
    <t>INR/sq.ft</t>
  </si>
  <si>
    <t>INR/sq.ft On SBUA</t>
  </si>
  <si>
    <t xml:space="preserve">Cost Escalation (YoY) </t>
  </si>
  <si>
    <t>%</t>
  </si>
  <si>
    <t>Admin Costs</t>
  </si>
  <si>
    <t>Sales &amp; Marketing Costs</t>
  </si>
  <si>
    <t xml:space="preserve">Escalation in residential </t>
  </si>
  <si>
    <t>YoY</t>
  </si>
  <si>
    <t>Unbooked Absorption</t>
  </si>
  <si>
    <t>Cost per sq. ft.</t>
  </si>
  <si>
    <t>% of Increment per year</t>
  </si>
  <si>
    <t>Percentage absorption</t>
  </si>
  <si>
    <t>Covered Area</t>
  </si>
  <si>
    <t>Statutory approvals &amp; NOCs</t>
  </si>
  <si>
    <t>inr/ sq. ft</t>
  </si>
  <si>
    <t xml:space="preserve">Approval Charges </t>
  </si>
  <si>
    <t>1. As per market/ industry practice and our market study, we are of the view that company will monetize the unsold units of residential society (to be developed) in the micro market within Four years @ 30% in first year, 35% in the second year, 30% in the third year &amp; rest 5% in the fourth year.</t>
  </si>
  <si>
    <t>Cost of DEBT</t>
  </si>
  <si>
    <t xml:space="preserve">Corporate tax rate </t>
  </si>
  <si>
    <t>=</t>
  </si>
  <si>
    <t>Rf+ Beta(Rm-Rf)</t>
  </si>
  <si>
    <t>Rf</t>
  </si>
  <si>
    <t>Rm</t>
  </si>
  <si>
    <t xml:space="preserve">10 year Nifty 50 nreturn avergae </t>
  </si>
  <si>
    <t>10 year govt bond rate</t>
  </si>
  <si>
    <t>5 year beta of infra senstivity iof stock with respecyt to market</t>
  </si>
  <si>
    <t>Risk free rate</t>
  </si>
  <si>
    <t>Market return</t>
  </si>
  <si>
    <t>Post tax Cost of debt</t>
  </si>
  <si>
    <t>Company Risk premium</t>
  </si>
  <si>
    <t xml:space="preserve">Cost of Equity </t>
  </si>
  <si>
    <t xml:space="preserve"> % Sale of captioned Project</t>
  </si>
  <si>
    <t>Important Note:</t>
  </si>
  <si>
    <t xml:space="preserve">PROJECTIONS </t>
  </si>
  <si>
    <t>PROJECTIONS SUMMATION</t>
  </si>
  <si>
    <t>RESIDUAL VALUE OF LAND</t>
  </si>
  <si>
    <t>BASIC RESIDUAL LAND VALUE METHOD</t>
  </si>
  <si>
    <t>ASSUMPTIONS FOR BASIC RESIDUAL LAND VALUE METHOD</t>
  </si>
  <si>
    <t>-</t>
  </si>
  <si>
    <t>Area Absorption Rate
 (sq. ft.)</t>
  </si>
  <si>
    <t>Residential Space Sale Rate</t>
  </si>
  <si>
    <t>DISCOUNT RATE</t>
  </si>
  <si>
    <t>NET CASH FLOW</t>
  </si>
  <si>
    <t>YEAR</t>
  </si>
  <si>
    <t>Residual Value of Land=Net Present Value-Estimated Profit</t>
  </si>
  <si>
    <t>NET PRESENT VALUE (NPV)</t>
  </si>
  <si>
    <t>% of NPV</t>
  </si>
  <si>
    <t>Percentage of Construction Cost</t>
  </si>
  <si>
    <t>Area Absorbed per annum  (sq. ft.)</t>
  </si>
  <si>
    <t>UNBOOKED INVENTORY VALUATION | CITY SURVEY NO. 2085 VILLAGE VILLE PARLE (EAST), MUMBAI SUBURBAN AND CITY SURVEY NO. PART 623 VILLAGE CHAKALA, ANDHERI (EAST), MUMBAI SUBURBAN</t>
  </si>
  <si>
    <t>SUMMARY | NET PRESENT VALUE (NPV)| CITY SURVEY NO. 2085 VILLAGE VILLE PARLE (EAST), MUMBAI SUBURBAN AND CITY SURVEY NO. PART 623 VILLAGE CHAKALA, ANDHERI (EAST), MUMBAI SUBURBAN</t>
  </si>
  <si>
    <t>ABSORPTION RATE | M/s AIRPORT AUTHORITY OF INDIA | CITY SURVEY NO. 2085 VILLAGE VILLE PARLE (EAST), MUMBAI SUBURBAN AND CITY SURVEY NO. PART 623 VILLAGE CHAKALA, ANDHERI (EAST), MUMBAI SUBURBAN</t>
  </si>
  <si>
    <t>3. As per the general real estate market scenario, the market rate for available inventory will increase @ 3% for selling of balance units in each year.</t>
  </si>
  <si>
    <t>Inflow  (in Crore)</t>
  </si>
  <si>
    <r>
      <t xml:space="preserve"> Total Inflow </t>
    </r>
    <r>
      <rPr>
        <b/>
        <i/>
        <sz val="11"/>
        <color theme="1"/>
        <rFont val="Calibri"/>
        <family val="2"/>
        <scheme val="minor"/>
      </rPr>
      <t>(in Crore)</t>
    </r>
  </si>
  <si>
    <t>4. The total Value of inventory to be sold each year as shown above is in Rs. Crore.</t>
  </si>
  <si>
    <t>PROJECT DETAILS</t>
  </si>
  <si>
    <t>INVENTORY ABSORBTION</t>
  </si>
  <si>
    <t>PROJECT OUTFLOW MODEL</t>
  </si>
  <si>
    <r>
      <t xml:space="preserve">TOTAL INFLOW </t>
    </r>
    <r>
      <rPr>
        <b/>
        <i/>
        <sz val="11"/>
        <color theme="1"/>
        <rFont val="Calibri"/>
        <family val="2"/>
        <scheme val="minor"/>
      </rPr>
      <t xml:space="preserve">(in  Crore) </t>
    </r>
    <r>
      <rPr>
        <b/>
        <sz val="11"/>
        <color theme="1"/>
        <rFont val="Calibri"/>
        <family val="2"/>
        <scheme val="minor"/>
      </rPr>
      <t>(A)</t>
    </r>
  </si>
  <si>
    <r>
      <t xml:space="preserve">TOTAL OUTFLOW </t>
    </r>
    <r>
      <rPr>
        <b/>
        <i/>
        <sz val="11"/>
        <color theme="1"/>
        <rFont val="Calibri"/>
        <family val="2"/>
        <scheme val="minor"/>
      </rPr>
      <t xml:space="preserve">(in Crore) </t>
    </r>
    <r>
      <rPr>
        <b/>
        <sz val="11"/>
        <color theme="1"/>
        <rFont val="Calibri"/>
        <family val="2"/>
        <scheme val="minor"/>
      </rPr>
      <t>(B)</t>
    </r>
  </si>
  <si>
    <r>
      <rPr>
        <b/>
        <sz val="11"/>
        <color theme="1"/>
        <rFont val="Calibri"/>
        <family val="2"/>
        <scheme val="minor"/>
      </rPr>
      <t>Approval Charges</t>
    </r>
    <r>
      <rPr>
        <sz val="11"/>
        <color theme="1"/>
        <rFont val="Calibri"/>
        <family val="2"/>
        <scheme val="minor"/>
      </rPr>
      <t/>
    </r>
  </si>
  <si>
    <t>Administrative Expenses</t>
  </si>
  <si>
    <t>B</t>
  </si>
  <si>
    <t>Ce</t>
  </si>
  <si>
    <t>Basic Cost of Construction for high rise building in Mumbai</t>
  </si>
  <si>
    <t xml:space="preserve">Consultancy cost </t>
  </si>
  <si>
    <t>% of COC</t>
  </si>
  <si>
    <t>Expected Developers Profit</t>
  </si>
  <si>
    <t xml:space="preserve">Consultancy Cost </t>
  </si>
  <si>
    <t>Consultancy Cost</t>
  </si>
  <si>
    <t xml:space="preserve">1. The construction of the subject project is under initial stage and foundation work is in progres
</t>
  </si>
  <si>
    <r>
      <t xml:space="preserve">Total Super Area </t>
    </r>
    <r>
      <rPr>
        <i/>
        <sz val="11"/>
        <rFont val="Calibri"/>
        <family val="2"/>
        <scheme val="minor"/>
      </rPr>
      <t>(sq.ft.)</t>
    </r>
  </si>
  <si>
    <r>
      <t xml:space="preserve">Adopted Market Rates 
</t>
    </r>
    <r>
      <rPr>
        <i/>
        <sz val="11"/>
        <rFont val="Calibri"/>
        <family val="2"/>
        <scheme val="minor"/>
      </rPr>
      <t>(per sq.ft.)</t>
    </r>
  </si>
  <si>
    <t>Total Earnings Through Unbooked Residential Units &amp; parking</t>
  </si>
  <si>
    <t>FAR/FSI</t>
  </si>
  <si>
    <t>Land Area</t>
  </si>
  <si>
    <t>Expected Built-up area as per maximum FAR</t>
  </si>
  <si>
    <t>Sq.ft</t>
  </si>
  <si>
    <t>Note:</t>
  </si>
  <si>
    <t>DEVELOPER'S PROFIT @ 15% OF NPV</t>
  </si>
  <si>
    <t>Expected Saleable Area (Super Built-up area as per maximum FAR)</t>
  </si>
  <si>
    <t>1.As per industry practice we have considered  15% loading factor from builtup area to super area  in the total land area.</t>
  </si>
  <si>
    <t>2.We have considered Rs 38,000/- per sq.ft on carpet area as per market information and accordingly coverted lumpsum Rs.29,000/- per sq.ft on super area basis adjusting the loading factor apprximately 25% on carpet to super area.</t>
  </si>
  <si>
    <t xml:space="preserve">1. In the construction cost existing building cost has been deducted to avoid duplicacy of cost. </t>
  </si>
  <si>
    <t>2. The average market rate for residential flats in the subject project is varying in between Rs.36,000/-per sq.ft. to Rs.42,000/-per sq.ft. on carpet area.  We have considered Rs.38,000 per Sq. ft. on Carpet area. After considering 25% Loading factor on Carpet area to Super area we get Rs.29,000/- per Sq. ft. on super area including other charges like PLC, IFMS Charges, Utility Charges and developer will charge additional parking charges. These rates are also the current prevailing market rate of the other projects present nearb.</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</si>
</sst>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quot;₹&quot;\ * #,##0.00_ ;_ &quot;₹&quot;\ * \-#,##0.00_ ;_ &quot;₹&quot;\ * &quot;-&quot;??_ ;_ @_ "/>
    <numFmt numFmtId="43" formatCode="_ * #,##0.00_ ;_ * \-#,##0.00_ ;_ * &quot;-&quot;??_ ;_ @_ "/>
    <numFmt numFmtId="164" formatCode="_(* #,##0.00_);_(* \(#,##0.00\);_(* &quot;-&quot;??_);_(@_)"/>
    <numFmt numFmtId="165" formatCode="_ [$₹-4009]\ * #,##0.00_ ;_ [$₹-4009]\ * \-#,##0.00_ ;_ [$₹-4009]\ * &quot;-&quot;??_ ;_ @_ "/>
    <numFmt numFmtId="166" formatCode="0.0%"/>
    <numFmt numFmtId="167" formatCode="_(* #,##0.0_);_(* \(#,##0.0\);_(* &quot;-&quot;??_);_(@_)"/>
    <numFmt numFmtId="168" formatCode="_(&quot;$&quot;* #,##0.000_);_(&quot;$&quot;* \(#,##0.000\);_(&quot;$&quot;* &quot;-&quot;??_);_(@_)"/>
    <numFmt numFmtId="169" formatCode="_(* #,##0_);_(* \(#,##0\);_(* &quot;-&quot;??_);_(@_)"/>
    <numFmt numFmtId="171" formatCode="&quot;₹&quot;\ #,##0.00"/>
  </numFmts>
  <fonts count="18"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b/>
      <sz val="11"/>
      <color theme="0"/>
      <name val="Calibri"/>
      <family val="2"/>
      <scheme val="minor"/>
    </font>
    <font>
      <i/>
      <sz val="11"/>
      <color theme="1"/>
      <name val="Calibri"/>
      <family val="2"/>
      <scheme val="minor"/>
    </font>
    <font>
      <b/>
      <sz val="12"/>
      <color theme="0"/>
      <name val="Calibri"/>
      <family val="2"/>
      <scheme val="minor"/>
    </font>
    <font>
      <b/>
      <sz val="11"/>
      <name val="Calibri"/>
      <family val="2"/>
      <scheme val="minor"/>
    </font>
    <font>
      <b/>
      <i/>
      <sz val="11"/>
      <color theme="1"/>
      <name val="Calibri"/>
      <family val="2"/>
      <scheme val="minor"/>
    </font>
    <font>
      <sz val="11"/>
      <name val="Calibri"/>
      <family val="2"/>
      <scheme val="minor"/>
    </font>
    <font>
      <i/>
      <sz val="10"/>
      <color theme="0"/>
      <name val="Calibri"/>
      <family val="2"/>
      <scheme val="minor"/>
    </font>
    <font>
      <i/>
      <sz val="10"/>
      <color theme="1"/>
      <name val="Calibri"/>
      <family val="2"/>
      <scheme val="minor"/>
    </font>
    <font>
      <sz val="8"/>
      <name val="Calibri"/>
      <family val="2"/>
      <scheme val="minor"/>
    </font>
    <font>
      <b/>
      <sz val="11"/>
      <color rgb="FF000000"/>
      <name val="Calibri"/>
      <family val="2"/>
      <scheme val="minor"/>
    </font>
    <font>
      <b/>
      <i/>
      <sz val="10"/>
      <color theme="0"/>
      <name val="Calibri"/>
      <family val="2"/>
      <scheme val="minor"/>
    </font>
    <font>
      <i/>
      <sz val="11"/>
      <color rgb="FF000000"/>
      <name val="Calibri"/>
      <family val="2"/>
      <scheme val="minor"/>
    </font>
    <font>
      <sz val="11"/>
      <color theme="0"/>
      <name val="Calibri"/>
      <family val="2"/>
      <scheme val="minor"/>
    </font>
    <font>
      <i/>
      <sz val="11"/>
      <name val="Calibri"/>
      <family val="2"/>
      <scheme val="minor"/>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3"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theme="4" tint="0.79998168889431442"/>
      </left>
      <right style="double">
        <color theme="4" tint="0.79998168889431442"/>
      </right>
      <top style="double">
        <color theme="4" tint="0.79998168889431442"/>
      </top>
      <bottom style="double">
        <color theme="4" tint="0.79998168889431442"/>
      </bottom>
      <diagonal/>
    </border>
    <border>
      <left style="double">
        <color theme="4" tint="0.79998168889431442"/>
      </left>
      <right/>
      <top style="double">
        <color theme="4" tint="0.79998168889431442"/>
      </top>
      <bottom/>
      <diagonal/>
    </border>
    <border>
      <left/>
      <right/>
      <top style="double">
        <color theme="4" tint="0.79998168889431442"/>
      </top>
      <bottom/>
      <diagonal/>
    </border>
    <border>
      <left/>
      <right style="double">
        <color theme="4" tint="0.79998168889431442"/>
      </right>
      <top style="double">
        <color theme="4" tint="0.79998168889431442"/>
      </top>
      <bottom/>
      <diagonal/>
    </border>
    <border>
      <left style="double">
        <color theme="4" tint="0.79998168889431442"/>
      </left>
      <right/>
      <top/>
      <bottom/>
      <diagonal/>
    </border>
    <border>
      <left/>
      <right style="double">
        <color theme="4" tint="0.79998168889431442"/>
      </right>
      <top/>
      <bottom/>
      <diagonal/>
    </border>
    <border>
      <left style="double">
        <color theme="4" tint="0.79998168889431442"/>
      </left>
      <right/>
      <top/>
      <bottom style="double">
        <color theme="4" tint="0.79998168889431442"/>
      </bottom>
      <diagonal/>
    </border>
    <border>
      <left/>
      <right/>
      <top/>
      <bottom style="double">
        <color theme="4" tint="0.79998168889431442"/>
      </bottom>
      <diagonal/>
    </border>
    <border>
      <left/>
      <right style="double">
        <color theme="4" tint="0.79998168889431442"/>
      </right>
      <top/>
      <bottom style="double">
        <color theme="4" tint="0.79998168889431442"/>
      </bottom>
      <diagonal/>
    </border>
    <border>
      <left style="double">
        <color theme="4" tint="0.79998168889431442"/>
      </left>
      <right/>
      <top style="double">
        <color theme="4" tint="0.79998168889431442"/>
      </top>
      <bottom style="double">
        <color theme="4" tint="0.79998168889431442"/>
      </bottom>
      <diagonal/>
    </border>
    <border>
      <left/>
      <right/>
      <top style="double">
        <color theme="4" tint="0.79998168889431442"/>
      </top>
      <bottom style="double">
        <color theme="4" tint="0.79998168889431442"/>
      </bottom>
      <diagonal/>
    </border>
    <border>
      <left/>
      <right style="double">
        <color theme="4" tint="0.79998168889431442"/>
      </right>
      <top style="double">
        <color theme="4" tint="0.79998168889431442"/>
      </top>
      <bottom style="double">
        <color theme="4" tint="0.79998168889431442"/>
      </bottom>
      <diagonal/>
    </border>
    <border>
      <left style="double">
        <color theme="4" tint="0.79998168889431442"/>
      </left>
      <right style="thin">
        <color indexed="64"/>
      </right>
      <top style="double">
        <color theme="4" tint="0.79998168889431442"/>
      </top>
      <bottom style="double">
        <color theme="4" tint="0.79998168889431442"/>
      </bottom>
      <diagonal/>
    </border>
    <border>
      <left style="thin">
        <color indexed="64"/>
      </left>
      <right style="thin">
        <color indexed="64"/>
      </right>
      <top style="double">
        <color theme="4" tint="0.79998168889431442"/>
      </top>
      <bottom style="double">
        <color theme="4" tint="0.79998168889431442"/>
      </bottom>
      <diagonal/>
    </border>
    <border>
      <left style="thin">
        <color indexed="64"/>
      </left>
      <right style="double">
        <color theme="4" tint="0.79998168889431442"/>
      </right>
      <top style="double">
        <color theme="4" tint="0.79998168889431442"/>
      </top>
      <bottom style="double">
        <color theme="4" tint="0.79998168889431442"/>
      </bottom>
      <diagonal/>
    </border>
    <border>
      <left style="thin">
        <color indexed="64"/>
      </left>
      <right style="thin">
        <color indexed="64"/>
      </right>
      <top/>
      <bottom style="thin">
        <color indexed="64"/>
      </bottom>
      <diagonal/>
    </border>
    <border>
      <left style="double">
        <color theme="4" tint="0.79998168889431442"/>
      </left>
      <right style="double">
        <color theme="4" tint="0.79998168889431442"/>
      </right>
      <top style="double">
        <color theme="4" tint="0.79998168889431442"/>
      </top>
      <bottom/>
      <diagonal/>
    </border>
    <border>
      <left style="double">
        <color theme="4" tint="0.79998168889431442"/>
      </left>
      <right style="double">
        <color theme="4" tint="0.79998168889431442"/>
      </right>
      <top/>
      <bottom style="double">
        <color theme="4" tint="0.79998168889431442"/>
      </bottom>
      <diagonal/>
    </border>
    <border>
      <left style="double">
        <color theme="4" tint="0.79998168889431442"/>
      </left>
      <right style="double">
        <color theme="4" tint="0.79995117038483843"/>
      </right>
      <top style="double">
        <color theme="4" tint="0.79995117038483843"/>
      </top>
      <bottom style="double">
        <color theme="4" tint="0.79998168889431442"/>
      </bottom>
      <diagonal/>
    </border>
  </borders>
  <cellStyleXfs count="5">
    <xf numFmtId="0" fontId="0" fillId="0" borderId="0"/>
    <xf numFmtId="16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190">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xf>
    <xf numFmtId="44" fontId="0" fillId="0" borderId="1" xfId="2" applyFont="1" applyBorder="1" applyAlignment="1">
      <alignment horizontal="center" vertical="center"/>
    </xf>
    <xf numFmtId="0" fontId="0" fillId="5" borderId="1" xfId="0" applyFill="1" applyBorder="1" applyAlignment="1">
      <alignment horizontal="center" vertical="center" wrapText="1"/>
    </xf>
    <xf numFmtId="44" fontId="1" fillId="0" borderId="1" xfId="2" applyFont="1" applyBorder="1" applyAlignment="1">
      <alignment horizontal="center" vertical="center"/>
    </xf>
    <xf numFmtId="0" fontId="2" fillId="0" borderId="0" xfId="0" applyFont="1" applyAlignment="1">
      <alignment horizontal="left" vertical="top"/>
    </xf>
    <xf numFmtId="0" fontId="4" fillId="7" borderId="1" xfId="0" applyFont="1" applyFill="1" applyBorder="1" applyAlignment="1">
      <alignment horizontal="center" vertical="center"/>
    </xf>
    <xf numFmtId="9" fontId="2" fillId="0" borderId="0" xfId="3" applyFont="1" applyFill="1" applyBorder="1" applyAlignment="1">
      <alignment horizontal="left" vertical="top"/>
    </xf>
    <xf numFmtId="0" fontId="2" fillId="0" borderId="0" xfId="0" applyFont="1" applyAlignment="1">
      <alignment horizontal="center" vertical="center"/>
    </xf>
    <xf numFmtId="44" fontId="1" fillId="0" borderId="1" xfId="2" applyFont="1" applyBorder="1" applyAlignment="1">
      <alignment vertical="center"/>
    </xf>
    <xf numFmtId="0" fontId="2" fillId="0" borderId="0" xfId="0" applyFont="1"/>
    <xf numFmtId="44" fontId="2" fillId="0" borderId="0" xfId="2" applyFont="1"/>
    <xf numFmtId="44" fontId="4" fillId="0" borderId="0" xfId="2" applyFont="1" applyFill="1" applyBorder="1" applyAlignment="1">
      <alignment vertical="top"/>
    </xf>
    <xf numFmtId="17" fontId="4" fillId="7" borderId="1" xfId="2" applyNumberFormat="1" applyFont="1" applyFill="1" applyBorder="1" applyAlignment="1">
      <alignment horizontal="center" vertical="center"/>
    </xf>
    <xf numFmtId="2" fontId="2" fillId="0" borderId="1" xfId="2" applyNumberFormat="1" applyFont="1" applyBorder="1" applyAlignment="1">
      <alignment horizontal="right" vertical="center"/>
    </xf>
    <xf numFmtId="167" fontId="9" fillId="3" borderId="1" xfId="1" applyNumberFormat="1" applyFont="1" applyFill="1" applyBorder="1" applyAlignment="1">
      <alignment vertical="center"/>
    </xf>
    <xf numFmtId="165" fontId="1" fillId="0" borderId="1" xfId="0" applyNumberFormat="1" applyFont="1" applyBorder="1" applyAlignment="1">
      <alignment horizontal="center" vertical="center"/>
    </xf>
    <xf numFmtId="44" fontId="0" fillId="0" borderId="0" xfId="0" applyNumberFormat="1"/>
    <xf numFmtId="0" fontId="1" fillId="0" borderId="1" xfId="0" applyFont="1" applyBorder="1" applyAlignment="1">
      <alignment horizontal="center" vertical="center"/>
    </xf>
    <xf numFmtId="17" fontId="4" fillId="7" borderId="1" xfId="2" applyNumberFormat="1" applyFont="1" applyFill="1" applyBorder="1" applyAlignment="1">
      <alignment horizontal="center" vertical="center" wrapText="1"/>
    </xf>
    <xf numFmtId="0" fontId="0" fillId="0" borderId="1" xfId="0" applyBorder="1"/>
    <xf numFmtId="44" fontId="2" fillId="0" borderId="0" xfId="0" applyNumberFormat="1" applyFont="1"/>
    <xf numFmtId="0" fontId="2" fillId="2" borderId="1" xfId="0" applyFont="1" applyFill="1" applyBorder="1" applyAlignment="1">
      <alignment vertical="center"/>
    </xf>
    <xf numFmtId="10" fontId="0" fillId="0" borderId="1" xfId="0" applyNumberFormat="1" applyBorder="1"/>
    <xf numFmtId="9" fontId="0" fillId="0" borderId="1" xfId="0" applyNumberFormat="1" applyBorder="1"/>
    <xf numFmtId="10" fontId="0" fillId="0" borderId="1" xfId="3" applyNumberFormat="1" applyFont="1" applyBorder="1"/>
    <xf numFmtId="43" fontId="0" fillId="0" borderId="1" xfId="0" applyNumberFormat="1" applyBorder="1" applyAlignment="1">
      <alignment horizontal="center" vertical="center"/>
    </xf>
    <xf numFmtId="43" fontId="2" fillId="3" borderId="1" xfId="0" applyNumberFormat="1" applyFont="1" applyFill="1" applyBorder="1" applyAlignment="1">
      <alignment horizontal="center" vertical="center"/>
    </xf>
    <xf numFmtId="44" fontId="2" fillId="0" borderId="0" xfId="3" applyNumberFormat="1" applyFont="1" applyFill="1" applyBorder="1" applyAlignment="1">
      <alignment horizontal="left" vertical="top"/>
    </xf>
    <xf numFmtId="44" fontId="0" fillId="0" borderId="0" xfId="2" applyFont="1"/>
    <xf numFmtId="165" fontId="2" fillId="0" borderId="0" xfId="0" applyNumberFormat="1" applyFont="1"/>
    <xf numFmtId="0" fontId="0" fillId="0" borderId="0" xfId="0" quotePrefix="1"/>
    <xf numFmtId="10" fontId="0" fillId="8" borderId="0" xfId="3" applyNumberFormat="1" applyFont="1" applyFill="1"/>
    <xf numFmtId="0" fontId="1" fillId="0" borderId="0" xfId="0" applyFont="1"/>
    <xf numFmtId="9" fontId="0" fillId="0" borderId="1" xfId="3" applyFont="1" applyBorder="1"/>
    <xf numFmtId="9" fontId="0" fillId="8" borderId="0" xfId="0" applyNumberFormat="1" applyFill="1"/>
    <xf numFmtId="0" fontId="0" fillId="9" borderId="0" xfId="0" applyFill="1"/>
    <xf numFmtId="10" fontId="0" fillId="3" borderId="1" xfId="0" applyNumberFormat="1" applyFill="1" applyBorder="1"/>
    <xf numFmtId="165" fontId="0" fillId="3" borderId="5" xfId="0" applyNumberFormat="1" applyFill="1" applyBorder="1" applyAlignment="1">
      <alignment vertical="center"/>
    </xf>
    <xf numFmtId="0" fontId="1" fillId="3" borderId="5" xfId="0" applyFont="1" applyFill="1" applyBorder="1" applyAlignment="1">
      <alignment vertical="center"/>
    </xf>
    <xf numFmtId="2" fontId="9" fillId="3" borderId="5" xfId="1" applyNumberFormat="1" applyFont="1" applyFill="1" applyBorder="1" applyAlignment="1">
      <alignment vertical="center"/>
    </xf>
    <xf numFmtId="2" fontId="7" fillId="10" borderId="5" xfId="1" applyNumberFormat="1" applyFont="1" applyFill="1" applyBorder="1" applyAlignment="1">
      <alignment vertical="center"/>
    </xf>
    <xf numFmtId="0" fontId="1" fillId="3" borderId="5" xfId="0" applyFont="1" applyFill="1" applyBorder="1" applyAlignment="1">
      <alignment horizontal="right" vertical="center"/>
    </xf>
    <xf numFmtId="167" fontId="9" fillId="3" borderId="5" xfId="1" applyNumberFormat="1" applyFont="1" applyFill="1" applyBorder="1" applyAlignment="1">
      <alignment horizontal="right" vertical="center"/>
    </xf>
    <xf numFmtId="164" fontId="9" fillId="3" borderId="5" xfId="1" applyFont="1" applyFill="1" applyBorder="1" applyAlignment="1">
      <alignment vertical="center"/>
    </xf>
    <xf numFmtId="164" fontId="7" fillId="10" borderId="5" xfId="1" applyFont="1" applyFill="1" applyBorder="1" applyAlignment="1">
      <alignment vertical="center"/>
    </xf>
    <xf numFmtId="0" fontId="0" fillId="0" borderId="20" xfId="0" applyBorder="1"/>
    <xf numFmtId="0" fontId="1" fillId="0" borderId="5" xfId="0" applyFont="1" applyBorder="1" applyAlignment="1">
      <alignment horizontal="left" vertical="center"/>
    </xf>
    <xf numFmtId="0" fontId="0" fillId="0" borderId="5" xfId="0" applyBorder="1" applyAlignment="1">
      <alignment horizontal="left"/>
    </xf>
    <xf numFmtId="2" fontId="0" fillId="0" borderId="5" xfId="0" applyNumberFormat="1" applyBorder="1" applyAlignment="1">
      <alignment horizontal="right" vertical="center"/>
    </xf>
    <xf numFmtId="0" fontId="0" fillId="0" borderId="5" xfId="0" applyBorder="1" applyAlignment="1">
      <alignment horizontal="left" vertical="center"/>
    </xf>
    <xf numFmtId="0" fontId="1" fillId="3" borderId="5" xfId="0" applyFont="1" applyFill="1" applyBorder="1" applyAlignment="1">
      <alignment horizontal="left" vertical="center"/>
    </xf>
    <xf numFmtId="0" fontId="0" fillId="3" borderId="5" xfId="0" applyFill="1" applyBorder="1" applyAlignment="1">
      <alignment horizontal="left" vertical="center"/>
    </xf>
    <xf numFmtId="2" fontId="0" fillId="3" borderId="5" xfId="4" applyNumberFormat="1" applyFont="1" applyFill="1" applyBorder="1" applyAlignment="1">
      <alignment horizontal="right" vertical="center"/>
    </xf>
    <xf numFmtId="10" fontId="0" fillId="3" borderId="5" xfId="3" applyNumberFormat="1" applyFont="1" applyFill="1" applyBorder="1" applyAlignment="1">
      <alignment horizontal="right" vertical="center"/>
    </xf>
    <xf numFmtId="9" fontId="7" fillId="3" borderId="5" xfId="0" applyNumberFormat="1" applyFont="1" applyFill="1" applyBorder="1" applyAlignment="1">
      <alignment horizontal="left" vertical="center"/>
    </xf>
    <xf numFmtId="0" fontId="0" fillId="0" borderId="5" xfId="0" applyBorder="1" applyAlignment="1">
      <alignment horizontal="center" vertical="center"/>
    </xf>
    <xf numFmtId="9" fontId="2" fillId="0" borderId="5" xfId="3" applyFont="1" applyBorder="1" applyAlignment="1">
      <alignment horizontal="center" vertical="center"/>
    </xf>
    <xf numFmtId="9" fontId="0" fillId="0" borderId="5" xfId="0" applyNumberFormat="1" applyBorder="1" applyAlignment="1">
      <alignment horizontal="center" vertical="center"/>
    </xf>
    <xf numFmtId="0" fontId="2" fillId="0" borderId="5" xfId="0" applyFont="1" applyBorder="1" applyAlignment="1">
      <alignment horizontal="center" vertical="center" wrapText="1"/>
    </xf>
    <xf numFmtId="43" fontId="0" fillId="0" borderId="5" xfId="0" applyNumberFormat="1" applyBorder="1" applyAlignment="1">
      <alignment horizontal="center" vertical="center"/>
    </xf>
    <xf numFmtId="1" fontId="0" fillId="0" borderId="5" xfId="0" applyNumberFormat="1" applyBorder="1" applyAlignment="1">
      <alignment horizontal="center" vertical="center"/>
    </xf>
    <xf numFmtId="9" fontId="0" fillId="3" borderId="5" xfId="3" applyFont="1" applyFill="1" applyBorder="1" applyAlignment="1">
      <alignment horizontal="right" vertical="center"/>
    </xf>
    <xf numFmtId="0" fontId="2" fillId="0" borderId="5" xfId="0" applyFont="1" applyBorder="1" applyAlignment="1">
      <alignment vertical="center" wrapText="1"/>
    </xf>
    <xf numFmtId="166" fontId="2" fillId="0" borderId="5" xfId="3" applyNumberFormat="1" applyFont="1" applyBorder="1" applyAlignment="1">
      <alignment vertical="center"/>
    </xf>
    <xf numFmtId="44" fontId="2" fillId="0" borderId="5" xfId="2" applyFont="1" applyBorder="1" applyAlignment="1">
      <alignment vertical="center"/>
    </xf>
    <xf numFmtId="0" fontId="5" fillId="0" borderId="5" xfId="0" applyFont="1" applyBorder="1" applyAlignment="1">
      <alignment vertical="center" wrapText="1"/>
    </xf>
    <xf numFmtId="44" fontId="3" fillId="0" borderId="5" xfId="2" applyFont="1" applyBorder="1" applyAlignment="1">
      <alignment horizontal="center" vertical="center"/>
    </xf>
    <xf numFmtId="0" fontId="13" fillId="0" borderId="5" xfId="0" applyFont="1" applyBorder="1" applyAlignment="1">
      <alignment vertical="center" wrapText="1"/>
    </xf>
    <xf numFmtId="0" fontId="4" fillId="7" borderId="5" xfId="0" applyFont="1" applyFill="1" applyBorder="1" applyAlignment="1">
      <alignment horizontal="center" vertical="center" wrapText="1"/>
    </xf>
    <xf numFmtId="0" fontId="0" fillId="0" borderId="5" xfId="0" applyBorder="1" applyAlignment="1">
      <alignment horizontal="left" vertical="center" wrapText="1"/>
    </xf>
    <xf numFmtId="44" fontId="0" fillId="0" borderId="5" xfId="0" applyNumberFormat="1" applyBorder="1" applyAlignment="1">
      <alignment horizontal="center" vertical="center"/>
    </xf>
    <xf numFmtId="0" fontId="1" fillId="3" borderId="21" xfId="0" applyFont="1" applyFill="1" applyBorder="1" applyAlignment="1">
      <alignment horizontal="right" vertical="center"/>
    </xf>
    <xf numFmtId="165" fontId="0" fillId="3" borderId="21" xfId="0" applyNumberFormat="1" applyFill="1" applyBorder="1" applyAlignment="1">
      <alignment vertical="center"/>
    </xf>
    <xf numFmtId="2" fontId="4" fillId="11" borderId="5" xfId="1" applyNumberFormat="1" applyFont="1" applyFill="1" applyBorder="1" applyAlignment="1">
      <alignment vertical="center"/>
    </xf>
    <xf numFmtId="0" fontId="0" fillId="3" borderId="0" xfId="0" applyFill="1"/>
    <xf numFmtId="0" fontId="1" fillId="3" borderId="0" xfId="0" applyFont="1" applyFill="1"/>
    <xf numFmtId="165" fontId="0" fillId="3" borderId="0" xfId="0" applyNumberFormat="1" applyFill="1"/>
    <xf numFmtId="44" fontId="1" fillId="0" borderId="5" xfId="0" applyNumberFormat="1" applyFont="1" applyBorder="1" applyAlignment="1">
      <alignment horizontal="right" vertical="center"/>
    </xf>
    <xf numFmtId="164" fontId="2" fillId="0" borderId="5" xfId="1" applyFont="1" applyBorder="1" applyAlignment="1">
      <alignment vertical="center" wrapText="1"/>
    </xf>
    <xf numFmtId="164" fontId="0" fillId="3" borderId="0" xfId="1" applyFont="1" applyFill="1"/>
    <xf numFmtId="0" fontId="1" fillId="0" borderId="5" xfId="0" applyFont="1" applyBorder="1" applyAlignment="1">
      <alignment vertical="center" wrapText="1"/>
    </xf>
    <xf numFmtId="0" fontId="7" fillId="6" borderId="5" xfId="0" applyFont="1" applyFill="1" applyBorder="1" applyAlignment="1">
      <alignment vertical="center" wrapText="1"/>
    </xf>
    <xf numFmtId="9" fontId="0" fillId="0" borderId="0" xfId="0" applyNumberFormat="1"/>
    <xf numFmtId="165" fontId="1" fillId="3" borderId="0" xfId="0" applyNumberFormat="1" applyFont="1" applyFill="1"/>
    <xf numFmtId="0" fontId="1" fillId="3" borderId="5" xfId="0" applyFont="1" applyFill="1" applyBorder="1" applyAlignment="1">
      <alignment horizontal="left" vertical="center" wrapText="1"/>
    </xf>
    <xf numFmtId="17" fontId="4" fillId="12" borderId="5" xfId="2" applyNumberFormat="1" applyFont="1" applyFill="1" applyBorder="1" applyAlignment="1">
      <alignment horizontal="center" vertical="center"/>
    </xf>
    <xf numFmtId="164" fontId="7" fillId="4" borderId="5" xfId="1" applyFont="1" applyFill="1" applyBorder="1" applyAlignment="1">
      <alignment vertical="center"/>
    </xf>
    <xf numFmtId="2" fontId="7" fillId="4" borderId="5" xfId="1" applyNumberFormat="1" applyFont="1" applyFill="1" applyBorder="1" applyAlignment="1">
      <alignment vertical="center"/>
    </xf>
    <xf numFmtId="43" fontId="4" fillId="12" borderId="23" xfId="0" applyNumberFormat="1" applyFont="1" applyFill="1" applyBorder="1" applyAlignment="1">
      <alignment horizontal="center" vertical="center"/>
    </xf>
    <xf numFmtId="0" fontId="4" fillId="12" borderId="5" xfId="0" applyFont="1" applyFill="1" applyBorder="1" applyAlignment="1">
      <alignment vertical="center"/>
    </xf>
    <xf numFmtId="165" fontId="16" fillId="12" borderId="5" xfId="0" applyNumberFormat="1" applyFont="1" applyFill="1" applyBorder="1" applyAlignment="1">
      <alignment vertical="center"/>
    </xf>
    <xf numFmtId="10" fontId="16" fillId="12" borderId="5" xfId="3" applyNumberFormat="1" applyFont="1" applyFill="1" applyBorder="1" applyAlignment="1">
      <alignment vertical="center" wrapText="1"/>
    </xf>
    <xf numFmtId="165" fontId="4" fillId="12" borderId="5" xfId="0" applyNumberFormat="1" applyFont="1" applyFill="1" applyBorder="1" applyAlignment="1">
      <alignment vertical="center"/>
    </xf>
    <xf numFmtId="17" fontId="7" fillId="6" borderId="5" xfId="2" applyNumberFormat="1" applyFont="1" applyFill="1" applyBorder="1" applyAlignment="1">
      <alignment horizontal="center" vertical="center"/>
    </xf>
    <xf numFmtId="0" fontId="7" fillId="6" borderId="1" xfId="0" applyFont="1" applyFill="1" applyBorder="1" applyAlignment="1">
      <alignment horizontal="center" vertical="center" wrapText="1"/>
    </xf>
    <xf numFmtId="17" fontId="7" fillId="6" borderId="5" xfId="2" applyNumberFormat="1" applyFont="1" applyFill="1" applyBorder="1" applyAlignment="1">
      <alignment horizontal="center" vertical="top"/>
    </xf>
    <xf numFmtId="9" fontId="7" fillId="3" borderId="0" xfId="0" applyNumberFormat="1" applyFont="1" applyFill="1" applyBorder="1" applyAlignment="1">
      <alignment horizontal="left" vertical="center"/>
    </xf>
    <xf numFmtId="0" fontId="0" fillId="3" borderId="0" xfId="0" applyFill="1" applyBorder="1" applyAlignment="1">
      <alignment horizontal="left" vertical="center"/>
    </xf>
    <xf numFmtId="9" fontId="0" fillId="3" borderId="0" xfId="3" applyFont="1" applyFill="1" applyBorder="1" applyAlignment="1">
      <alignment horizontal="right" vertical="center"/>
    </xf>
    <xf numFmtId="0" fontId="1" fillId="0" borderId="21" xfId="0" applyFont="1" applyBorder="1" applyAlignment="1">
      <alignment vertical="center"/>
    </xf>
    <xf numFmtId="169" fontId="0" fillId="0" borderId="5" xfId="1" applyNumberFormat="1" applyFont="1" applyBorder="1" applyAlignment="1">
      <alignment horizontal="right" vertical="center"/>
    </xf>
    <xf numFmtId="0" fontId="4" fillId="12" borderId="5" xfId="0" applyFont="1" applyFill="1" applyBorder="1" applyAlignment="1">
      <alignment vertical="center" wrapText="1"/>
    </xf>
    <xf numFmtId="0" fontId="1" fillId="0" borderId="22" xfId="0" applyFont="1" applyBorder="1" applyAlignment="1">
      <alignment vertical="center" wrapText="1"/>
    </xf>
    <xf numFmtId="0" fontId="0" fillId="0" borderId="1" xfId="0" applyFill="1" applyBorder="1" applyAlignment="1">
      <alignment vertical="top" wrapText="1"/>
    </xf>
    <xf numFmtId="0" fontId="0" fillId="0" borderId="1" xfId="0" applyFill="1" applyBorder="1" applyAlignment="1">
      <alignment horizontal="left"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Fill="1" applyBorder="1" applyAlignment="1">
      <alignment horizontal="left" vertical="top" wrapText="1"/>
    </xf>
    <xf numFmtId="0" fontId="1" fillId="4" borderId="5" xfId="0" applyFont="1" applyFill="1" applyBorder="1" applyAlignment="1">
      <alignment horizontal="center" vertical="center"/>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6" xfId="0" applyFont="1" applyFill="1" applyBorder="1" applyAlignment="1">
      <alignment horizontal="center" vertical="center"/>
    </xf>
    <xf numFmtId="0" fontId="1" fillId="0" borderId="1" xfId="0" applyFont="1" applyBorder="1" applyAlignment="1">
      <alignment horizontal="left"/>
    </xf>
    <xf numFmtId="0" fontId="4" fillId="12" borderId="5" xfId="0" applyFont="1" applyFill="1" applyBorder="1" applyAlignment="1">
      <alignment horizontal="center" vertical="center" wrapText="1"/>
    </xf>
    <xf numFmtId="17" fontId="7" fillId="6" borderId="5" xfId="2" applyNumberFormat="1" applyFont="1" applyFill="1" applyBorder="1" applyAlignment="1">
      <alignment horizontal="center" vertical="center"/>
    </xf>
    <xf numFmtId="0" fontId="7" fillId="6" borderId="5" xfId="0" applyFont="1" applyFill="1" applyBorder="1" applyAlignment="1">
      <alignment horizontal="center" vertical="center"/>
    </xf>
    <xf numFmtId="17" fontId="7" fillId="6" borderId="14" xfId="2" applyNumberFormat="1" applyFont="1" applyFill="1" applyBorder="1" applyAlignment="1">
      <alignment horizontal="center" vertical="center"/>
    </xf>
    <xf numFmtId="17" fontId="7" fillId="6" borderId="15" xfId="2" applyNumberFormat="1" applyFont="1" applyFill="1" applyBorder="1" applyAlignment="1">
      <alignment horizontal="center" vertical="center"/>
    </xf>
    <xf numFmtId="17" fontId="7" fillId="6" borderId="16" xfId="2" applyNumberFormat="1" applyFont="1" applyFill="1" applyBorder="1" applyAlignment="1">
      <alignment horizontal="center" vertical="center"/>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5" fillId="0" borderId="5" xfId="0" applyFont="1" applyBorder="1" applyAlignment="1">
      <alignment horizontal="left" vertical="center" wrapText="1"/>
    </xf>
    <xf numFmtId="0" fontId="2" fillId="0" borderId="5" xfId="0" applyFont="1" applyBorder="1" applyAlignment="1">
      <alignment horizontal="left" vertical="center" wrapText="1"/>
    </xf>
    <xf numFmtId="0" fontId="13" fillId="0" borderId="5" xfId="0" applyFont="1" applyBorder="1" applyAlignment="1">
      <alignment horizontal="left" vertical="center" wrapText="1"/>
    </xf>
    <xf numFmtId="17" fontId="7" fillId="6" borderId="14" xfId="2" applyNumberFormat="1" applyFont="1" applyFill="1" applyBorder="1" applyAlignment="1">
      <alignment horizontal="center" vertical="top"/>
    </xf>
    <xf numFmtId="17" fontId="7" fillId="6" borderId="15" xfId="2" applyNumberFormat="1" applyFont="1" applyFill="1" applyBorder="1" applyAlignment="1">
      <alignment horizontal="center" vertical="top"/>
    </xf>
    <xf numFmtId="17" fontId="7" fillId="6" borderId="16" xfId="2" applyNumberFormat="1" applyFont="1" applyFill="1" applyBorder="1" applyAlignment="1">
      <alignment horizontal="center" vertical="top"/>
    </xf>
    <xf numFmtId="0" fontId="0" fillId="0" borderId="1" xfId="0" applyBorder="1" applyAlignment="1">
      <alignment horizontal="left" vertical="top"/>
    </xf>
    <xf numFmtId="0" fontId="7" fillId="6" borderId="14"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3" borderId="5" xfId="0" applyFont="1" applyFill="1" applyBorder="1" applyAlignment="1">
      <alignment horizontal="center" vertical="center"/>
    </xf>
    <xf numFmtId="44" fontId="6" fillId="12" borderId="5" xfId="2" applyFont="1" applyFill="1" applyBorder="1" applyAlignment="1">
      <alignment horizontal="center" vertical="center" wrapText="1"/>
    </xf>
    <xf numFmtId="0" fontId="4" fillId="12" borderId="5" xfId="0" applyFont="1" applyFill="1" applyBorder="1" applyAlignment="1">
      <alignment horizontal="left" vertical="center"/>
    </xf>
    <xf numFmtId="0" fontId="4" fillId="12" borderId="5" xfId="0" applyFont="1" applyFill="1" applyBorder="1" applyAlignment="1">
      <alignment horizontal="center" vertical="center"/>
    </xf>
    <xf numFmtId="17" fontId="4" fillId="12" borderId="5" xfId="2" applyNumberFormat="1" applyFont="1" applyFill="1" applyBorder="1" applyAlignment="1">
      <alignment horizontal="center" vertical="center" wrapText="1"/>
    </xf>
    <xf numFmtId="0" fontId="1" fillId="3" borderId="5" xfId="0" applyFont="1" applyFill="1" applyBorder="1" applyAlignment="1">
      <alignment vertical="center" wrapText="1"/>
    </xf>
    <xf numFmtId="0" fontId="1" fillId="4" borderId="5" xfId="0" applyFont="1" applyFill="1" applyBorder="1" applyAlignment="1">
      <alignment vertical="center" wrapText="1"/>
    </xf>
    <xf numFmtId="0" fontId="1"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10" fontId="1" fillId="3" borderId="6" xfId="3" applyNumberFormat="1" applyFont="1" applyFill="1" applyBorder="1" applyAlignment="1">
      <alignment horizontal="left" vertical="center" wrapText="1"/>
    </xf>
    <xf numFmtId="10" fontId="1" fillId="3" borderId="7" xfId="3" applyNumberFormat="1" applyFont="1" applyFill="1" applyBorder="1" applyAlignment="1">
      <alignment horizontal="left" vertical="center" wrapText="1"/>
    </xf>
    <xf numFmtId="10" fontId="1" fillId="3" borderId="8" xfId="3" applyNumberFormat="1" applyFont="1" applyFill="1" applyBorder="1" applyAlignment="1">
      <alignment horizontal="left" vertical="center" wrapText="1"/>
    </xf>
    <xf numFmtId="10" fontId="1" fillId="3" borderId="9" xfId="3" applyNumberFormat="1" applyFont="1" applyFill="1" applyBorder="1" applyAlignment="1">
      <alignment horizontal="left" vertical="center" wrapText="1"/>
    </xf>
    <xf numFmtId="10" fontId="1" fillId="3" borderId="0" xfId="3" applyNumberFormat="1" applyFont="1" applyFill="1" applyBorder="1" applyAlignment="1">
      <alignment horizontal="left" vertical="center" wrapText="1"/>
    </xf>
    <xf numFmtId="10" fontId="1" fillId="3" borderId="10" xfId="3" applyNumberFormat="1" applyFont="1" applyFill="1" applyBorder="1" applyAlignment="1">
      <alignment horizontal="left" vertical="center" wrapText="1"/>
    </xf>
    <xf numFmtId="10" fontId="1" fillId="3" borderId="11" xfId="3" applyNumberFormat="1" applyFont="1" applyFill="1" applyBorder="1" applyAlignment="1">
      <alignment horizontal="left" vertical="center" wrapText="1"/>
    </xf>
    <xf numFmtId="10" fontId="1" fillId="3" borderId="12" xfId="3" applyNumberFormat="1" applyFont="1" applyFill="1" applyBorder="1" applyAlignment="1">
      <alignment horizontal="left" vertical="center" wrapText="1"/>
    </xf>
    <xf numFmtId="10" fontId="1" fillId="3" borderId="13" xfId="3" applyNumberFormat="1" applyFont="1" applyFill="1" applyBorder="1" applyAlignment="1">
      <alignment horizontal="left"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5" xfId="0" applyFill="1" applyBorder="1" applyAlignment="1">
      <alignment vertical="center" wrapText="1"/>
    </xf>
    <xf numFmtId="0" fontId="1" fillId="3" borderId="14"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8" fillId="3" borderId="17" xfId="0" applyFont="1" applyFill="1" applyBorder="1" applyAlignment="1">
      <alignment horizontal="left"/>
    </xf>
    <xf numFmtId="0" fontId="8" fillId="3" borderId="18" xfId="0" applyFont="1" applyFill="1" applyBorder="1" applyAlignment="1">
      <alignment horizontal="left"/>
    </xf>
    <xf numFmtId="0" fontId="8" fillId="3" borderId="19" xfId="0" applyFont="1" applyFill="1" applyBorder="1" applyAlignment="1">
      <alignment horizontal="left"/>
    </xf>
    <xf numFmtId="0" fontId="8" fillId="3" borderId="17" xfId="0" applyFont="1" applyFill="1" applyBorder="1" applyAlignment="1">
      <alignment horizontal="lef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wrapText="1"/>
    </xf>
    <xf numFmtId="0" fontId="4" fillId="12" borderId="14" xfId="0" applyFont="1" applyFill="1" applyBorder="1" applyAlignment="1">
      <alignment horizontal="left" vertical="center"/>
    </xf>
    <xf numFmtId="0" fontId="4" fillId="12" borderId="16" xfId="0" applyFont="1" applyFill="1" applyBorder="1" applyAlignment="1">
      <alignment horizontal="left" vertical="center"/>
    </xf>
    <xf numFmtId="0" fontId="1" fillId="4" borderId="5" xfId="0" applyFont="1" applyFill="1" applyBorder="1" applyAlignment="1">
      <alignment vertical="center"/>
    </xf>
    <xf numFmtId="0" fontId="1" fillId="3" borderId="21" xfId="0" applyFont="1" applyFill="1" applyBorder="1" applyAlignment="1">
      <alignment horizontal="center" vertical="center"/>
    </xf>
    <xf numFmtId="0" fontId="15" fillId="0" borderId="1" xfId="0" applyFont="1" applyBorder="1" applyAlignment="1">
      <alignment horizontal="left" wrapText="1"/>
    </xf>
    <xf numFmtId="0" fontId="15" fillId="0" borderId="1" xfId="0" applyFont="1" applyBorder="1" applyAlignment="1">
      <alignment horizontal="left"/>
    </xf>
    <xf numFmtId="0" fontId="1" fillId="6" borderId="1" xfId="0" applyFont="1" applyFill="1" applyBorder="1" applyAlignment="1">
      <alignment horizontal="center" vertical="center" wrapText="1"/>
    </xf>
    <xf numFmtId="0" fontId="2" fillId="0" borderId="1" xfId="0" applyFont="1" applyBorder="1" applyAlignment="1">
      <alignment horizontal="center"/>
    </xf>
    <xf numFmtId="0" fontId="1" fillId="6" borderId="1" xfId="0" applyFont="1" applyFill="1" applyBorder="1" applyAlignment="1">
      <alignment horizontal="left" vertical="top" wrapText="1"/>
    </xf>
    <xf numFmtId="0" fontId="1" fillId="6" borderId="1" xfId="0" applyFont="1" applyFill="1" applyBorder="1" applyAlignment="1">
      <alignment horizontal="left" vertical="top"/>
    </xf>
    <xf numFmtId="0" fontId="7" fillId="3" borderId="1" xfId="0" applyFont="1" applyFill="1" applyBorder="1" applyAlignment="1">
      <alignment horizontal="center" vertical="top"/>
    </xf>
    <xf numFmtId="0" fontId="1" fillId="0" borderId="1" xfId="0" applyFont="1" applyBorder="1" applyAlignment="1">
      <alignment horizontal="left" vertical="center" wrapText="1"/>
    </xf>
    <xf numFmtId="44" fontId="2" fillId="0" borderId="1" xfId="2" applyFont="1" applyBorder="1" applyAlignment="1">
      <alignment horizontal="center"/>
    </xf>
    <xf numFmtId="168" fontId="2" fillId="0" borderId="1" xfId="2" applyNumberFormat="1" applyFont="1" applyBorder="1" applyAlignment="1">
      <alignment horizontal="center" vertical="top"/>
    </xf>
    <xf numFmtId="171" fontId="4" fillId="7" borderId="5" xfId="0" applyNumberFormat="1" applyFont="1" applyFill="1" applyBorder="1" applyAlignment="1">
      <alignment horizontal="center" vertical="center" wrapText="1"/>
    </xf>
    <xf numFmtId="171" fontId="4" fillId="7" borderId="5" xfId="0" applyNumberFormat="1" applyFont="1" applyFill="1" applyBorder="1" applyAlignment="1">
      <alignment horizontal="right" vertical="center" wrapText="1"/>
    </xf>
    <xf numFmtId="0" fontId="5" fillId="0" borderId="5" xfId="0" applyFont="1" applyFill="1" applyBorder="1" applyAlignment="1">
      <alignment horizontal="left" vertical="center" wrapText="1"/>
    </xf>
    <xf numFmtId="2" fontId="9" fillId="3" borderId="5" xfId="1" applyNumberFormat="1" applyFont="1" applyFill="1" applyBorder="1" applyAlignment="1">
      <alignment horizontal="center" vertical="center"/>
    </xf>
  </cellXfs>
  <cellStyles count="5">
    <cellStyle name="Comma" xfId="1" builtinId="3"/>
    <cellStyle name="Comma 2" xfId="4"/>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M62"/>
  <sheetViews>
    <sheetView topLeftCell="D4" zoomScale="80" zoomScaleNormal="80" workbookViewId="0">
      <selection activeCell="G21" sqref="G21"/>
    </sheetView>
  </sheetViews>
  <sheetFormatPr defaultRowHeight="15" x14ac:dyDescent="0.25"/>
  <cols>
    <col min="1" max="3" width="0" hidden="1" customWidth="1"/>
    <col min="5" max="5" width="47.85546875" bestFit="1" customWidth="1"/>
    <col min="6" max="6" width="32.7109375" bestFit="1" customWidth="1"/>
    <col min="7" max="7" width="15.28515625" bestFit="1" customWidth="1"/>
    <col min="8" max="8" width="44.140625" customWidth="1"/>
    <col min="9" max="9" width="15.85546875" bestFit="1" customWidth="1"/>
  </cols>
  <sheetData>
    <row r="4" spans="5:13" ht="15.75" thickBot="1" x14ac:dyDescent="0.3"/>
    <row r="5" spans="5:13" ht="16.5" thickTop="1" thickBot="1" x14ac:dyDescent="0.3">
      <c r="E5" s="110" t="s">
        <v>72</v>
      </c>
      <c r="F5" s="110"/>
      <c r="G5" s="110"/>
    </row>
    <row r="6" spans="5:13" ht="16.5" thickTop="1" thickBot="1" x14ac:dyDescent="0.3">
      <c r="E6" s="48" t="s">
        <v>110</v>
      </c>
      <c r="F6" s="49" t="s">
        <v>73</v>
      </c>
      <c r="G6" s="50">
        <v>0.6</v>
      </c>
    </row>
    <row r="7" spans="5:13" ht="16.5" thickTop="1" thickBot="1" x14ac:dyDescent="0.3">
      <c r="E7" s="111" t="s">
        <v>111</v>
      </c>
      <c r="F7" s="49" t="s">
        <v>33</v>
      </c>
      <c r="G7" s="50">
        <v>25.606999999999999</v>
      </c>
    </row>
    <row r="8" spans="5:13" ht="16.5" thickTop="1" thickBot="1" x14ac:dyDescent="0.3">
      <c r="E8" s="112"/>
      <c r="F8" s="49" t="s">
        <v>34</v>
      </c>
      <c r="G8" s="50">
        <f>G7*4046.86</f>
        <v>103627.94402</v>
      </c>
    </row>
    <row r="9" spans="5:13" ht="16.5" thickTop="1" thickBot="1" x14ac:dyDescent="0.3">
      <c r="E9" s="101" t="s">
        <v>112</v>
      </c>
      <c r="F9" s="49" t="s">
        <v>34</v>
      </c>
      <c r="G9" s="102">
        <f>G8*G6</f>
        <v>62176.766411999997</v>
      </c>
    </row>
    <row r="10" spans="5:13" ht="31.5" thickTop="1" thickBot="1" x14ac:dyDescent="0.3">
      <c r="E10" s="104" t="s">
        <v>116</v>
      </c>
      <c r="F10" s="51" t="s">
        <v>113</v>
      </c>
      <c r="G10" s="102">
        <f>G9*1.15*10.7639</f>
        <v>769654.17037944577</v>
      </c>
    </row>
    <row r="11" spans="5:13" ht="16.5" thickTop="1" thickBot="1" x14ac:dyDescent="0.3">
      <c r="E11" s="113"/>
      <c r="F11" s="114"/>
      <c r="G11" s="115"/>
    </row>
    <row r="12" spans="5:13" ht="31.5" thickTop="1" thickBot="1" x14ac:dyDescent="0.3">
      <c r="E12" s="86" t="s">
        <v>100</v>
      </c>
      <c r="F12" s="53" t="s">
        <v>36</v>
      </c>
      <c r="G12" s="54">
        <v>2000</v>
      </c>
    </row>
    <row r="13" spans="5:13" ht="16.5" thickTop="1" thickBot="1" x14ac:dyDescent="0.3">
      <c r="E13" s="86" t="s">
        <v>101</v>
      </c>
      <c r="F13" s="53" t="s">
        <v>102</v>
      </c>
      <c r="G13" s="63">
        <v>0.05</v>
      </c>
    </row>
    <row r="14" spans="5:13" ht="16.5" thickTop="1" thickBot="1" x14ac:dyDescent="0.3">
      <c r="E14" s="52" t="s">
        <v>48</v>
      </c>
      <c r="F14" s="53" t="s">
        <v>49</v>
      </c>
      <c r="G14" s="54">
        <v>100</v>
      </c>
      <c r="I14" s="30">
        <f>G14*G10</f>
        <v>76965417.03794457</v>
      </c>
    </row>
    <row r="15" spans="5:13" ht="16.5" thickTop="1" thickBot="1" x14ac:dyDescent="0.3">
      <c r="E15" s="40" t="s">
        <v>39</v>
      </c>
      <c r="F15" s="53" t="s">
        <v>82</v>
      </c>
      <c r="G15" s="55">
        <v>0.05</v>
      </c>
      <c r="I15" s="18" t="e">
        <f>ASSUMPTIONS!#REF!*'Total Outflow'!G14</f>
        <v>#REF!</v>
      </c>
    </row>
    <row r="16" spans="5:13" ht="16.5" thickTop="1" thickBot="1" x14ac:dyDescent="0.3">
      <c r="E16" s="40" t="s">
        <v>40</v>
      </c>
      <c r="F16" s="53" t="s">
        <v>82</v>
      </c>
      <c r="G16" s="55">
        <v>0.05</v>
      </c>
      <c r="I16" s="18" t="e">
        <f>#REF!*'Total Outflow'!G14</f>
        <v>#REF!</v>
      </c>
      <c r="M16">
        <v>27000</v>
      </c>
    </row>
    <row r="17" spans="5:13" ht="16.5" thickTop="1" thickBot="1" x14ac:dyDescent="0.3">
      <c r="E17" s="40"/>
      <c r="F17" s="53"/>
      <c r="G17" s="55"/>
      <c r="I17" s="18"/>
      <c r="M17">
        <f>M16*0.75</f>
        <v>20250</v>
      </c>
    </row>
    <row r="18" spans="5:13" ht="16.5" thickTop="1" thickBot="1" x14ac:dyDescent="0.3">
      <c r="E18" s="40" t="s">
        <v>37</v>
      </c>
      <c r="F18" s="53" t="s">
        <v>38</v>
      </c>
      <c r="G18" s="55">
        <v>0.03</v>
      </c>
      <c r="I18" s="18"/>
      <c r="K18">
        <v>35000</v>
      </c>
    </row>
    <row r="19" spans="5:13" ht="16.5" thickTop="1" thickBot="1" x14ac:dyDescent="0.3">
      <c r="E19" s="40" t="s">
        <v>103</v>
      </c>
      <c r="F19" s="53" t="s">
        <v>81</v>
      </c>
      <c r="G19" s="55">
        <v>0.15</v>
      </c>
      <c r="K19">
        <f>K18*0.75</f>
        <v>26250</v>
      </c>
    </row>
    <row r="20" spans="5:13" ht="16.5" thickTop="1" thickBot="1" x14ac:dyDescent="0.3">
      <c r="E20" s="116"/>
      <c r="F20" s="117"/>
      <c r="G20" s="118"/>
    </row>
    <row r="21" spans="5:13" ht="16.5" thickTop="1" thickBot="1" x14ac:dyDescent="0.3">
      <c r="E21" s="56" t="s">
        <v>75</v>
      </c>
      <c r="F21" s="53" t="s">
        <v>35</v>
      </c>
      <c r="G21" s="54">
        <v>29000</v>
      </c>
      <c r="K21">
        <v>38000</v>
      </c>
    </row>
    <row r="22" spans="5:13" ht="16.5" thickTop="1" thickBot="1" x14ac:dyDescent="0.3">
      <c r="E22" s="56" t="s">
        <v>41</v>
      </c>
      <c r="F22" s="53" t="s">
        <v>42</v>
      </c>
      <c r="G22" s="63">
        <v>0.03</v>
      </c>
      <c r="K22">
        <f>K21*0.76</f>
        <v>28880</v>
      </c>
    </row>
    <row r="23" spans="5:13" ht="15.75" thickTop="1" x14ac:dyDescent="0.25">
      <c r="E23" s="98"/>
      <c r="F23" s="99"/>
      <c r="G23" s="100"/>
    </row>
    <row r="24" spans="5:13" hidden="1" x14ac:dyDescent="0.25">
      <c r="E24" s="47"/>
      <c r="F24" s="47"/>
      <c r="G24" s="47"/>
    </row>
    <row r="25" spans="5:13" hidden="1" x14ac:dyDescent="0.25">
      <c r="E25" s="21" t="s">
        <v>21</v>
      </c>
      <c r="F25" s="24"/>
      <c r="G25" s="25">
        <v>0.75</v>
      </c>
    </row>
    <row r="26" spans="5:13" hidden="1" x14ac:dyDescent="0.25">
      <c r="E26" s="21" t="s">
        <v>22</v>
      </c>
      <c r="F26" s="24"/>
      <c r="G26" s="25">
        <v>0.25</v>
      </c>
    </row>
    <row r="27" spans="5:13" hidden="1" x14ac:dyDescent="0.25">
      <c r="E27" s="21" t="s">
        <v>52</v>
      </c>
      <c r="F27" s="21"/>
      <c r="G27" s="24">
        <v>0.09</v>
      </c>
      <c r="H27" t="s">
        <v>56</v>
      </c>
      <c r="I27" s="84">
        <v>7.0000000000000007E-2</v>
      </c>
    </row>
    <row r="28" spans="5:13" hidden="1" x14ac:dyDescent="0.25">
      <c r="E28" s="21" t="s">
        <v>53</v>
      </c>
      <c r="F28" s="21"/>
      <c r="G28" s="35">
        <v>0.25169999999999998</v>
      </c>
      <c r="H28" t="s">
        <v>57</v>
      </c>
      <c r="I28" s="84">
        <v>0.14000000000000001</v>
      </c>
    </row>
    <row r="29" spans="5:13" hidden="1" x14ac:dyDescent="0.25">
      <c r="E29" s="21" t="s">
        <v>65</v>
      </c>
      <c r="F29" s="21"/>
      <c r="G29" s="26">
        <f>I30</f>
        <v>0.17500000000000002</v>
      </c>
      <c r="H29" t="s">
        <v>98</v>
      </c>
      <c r="I29">
        <v>1.5</v>
      </c>
    </row>
    <row r="30" spans="5:13" hidden="1" x14ac:dyDescent="0.25">
      <c r="E30" s="21" t="s">
        <v>63</v>
      </c>
      <c r="F30" s="21"/>
      <c r="G30" s="35">
        <v>0.25</v>
      </c>
      <c r="H30" t="s">
        <v>99</v>
      </c>
      <c r="I30" s="84">
        <f>I27+(I29*(I28-I27))</f>
        <v>0.17500000000000002</v>
      </c>
    </row>
    <row r="31" spans="5:13" hidden="1" x14ac:dyDescent="0.25">
      <c r="E31" s="21" t="s">
        <v>23</v>
      </c>
      <c r="F31" s="21"/>
      <c r="G31" s="26">
        <f>(G26*G29)+((G25*G27)*(1-G28))</f>
        <v>9.4260250000000004E-2</v>
      </c>
    </row>
    <row r="32" spans="5:13" hidden="1" x14ac:dyDescent="0.25">
      <c r="E32" s="21" t="s">
        <v>64</v>
      </c>
      <c r="F32" s="21"/>
      <c r="G32" s="24"/>
    </row>
    <row r="33" spans="3:11" hidden="1" x14ac:dyDescent="0.25">
      <c r="E33" s="21" t="s">
        <v>3</v>
      </c>
      <c r="F33" s="21"/>
      <c r="G33" s="38">
        <f>G31+G32</f>
        <v>9.4260250000000004E-2</v>
      </c>
    </row>
    <row r="34" spans="3:11" x14ac:dyDescent="0.25">
      <c r="E34" s="119" t="s">
        <v>114</v>
      </c>
      <c r="F34" s="119"/>
      <c r="G34" s="119"/>
    </row>
    <row r="35" spans="3:11" ht="30" customHeight="1" x14ac:dyDescent="0.25">
      <c r="E35" s="106" t="s">
        <v>117</v>
      </c>
      <c r="F35" s="106"/>
      <c r="G35" s="106"/>
    </row>
    <row r="36" spans="3:11" ht="50.1" customHeight="1" x14ac:dyDescent="0.25">
      <c r="E36" s="107" t="s">
        <v>118</v>
      </c>
      <c r="F36" s="108"/>
      <c r="G36" s="109"/>
    </row>
    <row r="37" spans="3:11" ht="39.950000000000003" hidden="1" customHeight="1" x14ac:dyDescent="0.25">
      <c r="E37" s="105"/>
      <c r="F37" s="105"/>
      <c r="G37" s="105"/>
    </row>
    <row r="38" spans="3:11" ht="39.950000000000003" hidden="1" customHeight="1" x14ac:dyDescent="0.25">
      <c r="E38" s="105"/>
      <c r="F38" s="105"/>
      <c r="G38" s="105"/>
      <c r="H38" t="s">
        <v>55</v>
      </c>
      <c r="J38" s="32" t="s">
        <v>54</v>
      </c>
      <c r="K38" s="33">
        <f>G40+G41*(G42-G40)</f>
        <v>0</v>
      </c>
    </row>
    <row r="39" spans="3:11" ht="39.950000000000003" hidden="1" customHeight="1" x14ac:dyDescent="0.25">
      <c r="E39" s="105"/>
      <c r="F39" s="105"/>
      <c r="G39" s="105"/>
    </row>
    <row r="40" spans="3:11" ht="39.950000000000003" hidden="1" customHeight="1" x14ac:dyDescent="0.25">
      <c r="C40" t="s">
        <v>61</v>
      </c>
      <c r="E40" s="105"/>
      <c r="F40" s="105"/>
      <c r="G40" s="105"/>
      <c r="H40" t="s">
        <v>59</v>
      </c>
    </row>
    <row r="41" spans="3:11" ht="39.950000000000003" hidden="1" customHeight="1" x14ac:dyDescent="0.25">
      <c r="E41" s="105"/>
      <c r="F41" s="105"/>
      <c r="G41" s="105"/>
      <c r="H41" t="s">
        <v>60</v>
      </c>
    </row>
    <row r="42" spans="3:11" ht="39.950000000000003" hidden="1" customHeight="1" x14ac:dyDescent="0.25">
      <c r="C42" t="s">
        <v>62</v>
      </c>
      <c r="E42" s="105"/>
      <c r="F42" s="105"/>
      <c r="G42" s="105"/>
      <c r="H42" t="s">
        <v>58</v>
      </c>
    </row>
    <row r="43" spans="3:11" ht="39.950000000000003" hidden="1" customHeight="1" x14ac:dyDescent="0.25">
      <c r="E43" s="105"/>
      <c r="F43" s="105"/>
      <c r="G43" s="105"/>
    </row>
    <row r="44" spans="3:11" ht="39.950000000000003" hidden="1" customHeight="1" x14ac:dyDescent="0.25">
      <c r="E44" s="105"/>
      <c r="F44" s="105"/>
      <c r="G44" s="105"/>
    </row>
    <row r="45" spans="3:11" ht="39.950000000000003" hidden="1" customHeight="1" x14ac:dyDescent="0.25">
      <c r="E45" s="105"/>
      <c r="F45" s="105"/>
      <c r="G45" s="105"/>
      <c r="K45" s="36">
        <f>G26</f>
        <v>0.25</v>
      </c>
    </row>
    <row r="46" spans="3:11" ht="39.950000000000003" hidden="1" customHeight="1" x14ac:dyDescent="0.25">
      <c r="E46" s="105"/>
      <c r="F46" s="105"/>
      <c r="G46" s="105"/>
    </row>
    <row r="47" spans="3:11" ht="39.950000000000003" hidden="1" customHeight="1" x14ac:dyDescent="0.25">
      <c r="E47" s="105"/>
      <c r="F47" s="105"/>
      <c r="G47" s="105"/>
    </row>
    <row r="48" spans="3:11" ht="39.950000000000003" hidden="1" customHeight="1" x14ac:dyDescent="0.25">
      <c r="E48" s="105"/>
      <c r="F48" s="105"/>
      <c r="G48" s="105"/>
      <c r="K48" s="33">
        <f>G27*(1-G28)</f>
        <v>6.734699999999999E-2</v>
      </c>
    </row>
    <row r="49" spans="5:11" ht="39.950000000000003" hidden="1" customHeight="1" x14ac:dyDescent="0.25">
      <c r="E49" s="105"/>
      <c r="F49" s="105"/>
      <c r="G49" s="105"/>
    </row>
    <row r="50" spans="5:11" ht="39.950000000000003" hidden="1" customHeight="1" x14ac:dyDescent="0.25">
      <c r="E50" s="105"/>
      <c r="F50" s="105"/>
      <c r="G50" s="105"/>
    </row>
    <row r="51" spans="5:11" ht="39.950000000000003" hidden="1" customHeight="1" x14ac:dyDescent="0.25">
      <c r="E51" s="105"/>
      <c r="F51" s="105"/>
      <c r="G51" s="105"/>
      <c r="K51" s="36">
        <f>G25</f>
        <v>0.75</v>
      </c>
    </row>
    <row r="52" spans="5:11" ht="39.950000000000003" hidden="1" customHeight="1" x14ac:dyDescent="0.25">
      <c r="E52" s="105"/>
      <c r="F52" s="105"/>
      <c r="G52" s="105"/>
    </row>
    <row r="53" spans="5:11" ht="39.950000000000003" hidden="1" customHeight="1" x14ac:dyDescent="0.25">
      <c r="E53" s="105"/>
      <c r="F53" s="105"/>
      <c r="G53" s="105"/>
      <c r="H53" s="37"/>
    </row>
    <row r="54" spans="5:11" ht="39.950000000000003" hidden="1" customHeight="1" x14ac:dyDescent="0.25">
      <c r="E54" s="105"/>
      <c r="F54" s="105"/>
      <c r="G54" s="105"/>
    </row>
    <row r="55" spans="5:11" ht="39.950000000000003" hidden="1" customHeight="1" x14ac:dyDescent="0.25">
      <c r="E55" s="105"/>
      <c r="F55" s="105"/>
      <c r="G55" s="105"/>
      <c r="H55" s="34"/>
    </row>
    <row r="56" spans="5:11" ht="39.950000000000003" hidden="1" customHeight="1" x14ac:dyDescent="0.25">
      <c r="E56" s="105"/>
      <c r="F56" s="105"/>
      <c r="G56" s="105"/>
      <c r="H56" s="34"/>
    </row>
    <row r="57" spans="5:11" ht="39.950000000000003" hidden="1" customHeight="1" x14ac:dyDescent="0.25">
      <c r="E57" s="105"/>
      <c r="F57" s="105"/>
      <c r="G57" s="105"/>
      <c r="H57" s="34"/>
    </row>
    <row r="58" spans="5:11" ht="39.950000000000003" hidden="1" customHeight="1" x14ac:dyDescent="0.25">
      <c r="E58" s="105"/>
      <c r="F58" s="105"/>
      <c r="G58" s="105"/>
      <c r="H58" s="34"/>
    </row>
    <row r="59" spans="5:11" ht="39.950000000000003" hidden="1" customHeight="1" x14ac:dyDescent="0.25">
      <c r="E59" s="105"/>
      <c r="F59" s="105"/>
      <c r="G59" s="105"/>
      <c r="H59" s="34"/>
    </row>
    <row r="60" spans="5:11" ht="39.950000000000003" hidden="1" customHeight="1" x14ac:dyDescent="0.25">
      <c r="E60" s="105"/>
      <c r="F60" s="105"/>
      <c r="G60" s="105"/>
    </row>
    <row r="61" spans="5:11" ht="39.950000000000003" hidden="1" customHeight="1" x14ac:dyDescent="0.25">
      <c r="E61" s="105"/>
      <c r="F61" s="105"/>
      <c r="G61" s="105"/>
    </row>
    <row r="62" spans="5:11" x14ac:dyDescent="0.25">
      <c r="E62" s="105"/>
      <c r="F62" s="105"/>
      <c r="G62" s="105"/>
    </row>
  </sheetData>
  <mergeCells count="7">
    <mergeCell ref="E35:G35"/>
    <mergeCell ref="E36:G36"/>
    <mergeCell ref="E5:G5"/>
    <mergeCell ref="E7:E8"/>
    <mergeCell ref="E11:G11"/>
    <mergeCell ref="E20:G20"/>
    <mergeCell ref="E34:G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
  <sheetViews>
    <sheetView workbookViewId="0">
      <selection activeCell="E9" sqref="E9"/>
    </sheetView>
  </sheetViews>
  <sheetFormatPr defaultRowHeight="15" x14ac:dyDescent="0.25"/>
  <cols>
    <col min="2" max="2" width="22" bestFit="1" customWidth="1"/>
    <col min="3" max="3" width="16.85546875" bestFit="1" customWidth="1"/>
    <col min="4" max="4" width="14" customWidth="1"/>
    <col min="5" max="6" width="13" customWidth="1"/>
    <col min="7" max="7" width="12" bestFit="1" customWidth="1"/>
  </cols>
  <sheetData>
    <row r="1" spans="2:7" ht="15" customHeight="1" thickBot="1" x14ac:dyDescent="0.3"/>
    <row r="2" spans="2:7" ht="49.5" customHeight="1" thickTop="1" thickBot="1" x14ac:dyDescent="0.3">
      <c r="B2" s="120" t="s">
        <v>86</v>
      </c>
      <c r="C2" s="120"/>
      <c r="D2" s="120"/>
      <c r="E2" s="120"/>
      <c r="F2" s="120"/>
      <c r="G2" s="120"/>
    </row>
    <row r="3" spans="2:7" ht="16.5" thickTop="1" thickBot="1" x14ac:dyDescent="0.3">
      <c r="B3" s="122" t="s">
        <v>6</v>
      </c>
      <c r="C3" s="123" t="s">
        <v>43</v>
      </c>
      <c r="D3" s="124"/>
      <c r="E3" s="124"/>
      <c r="F3" s="125"/>
      <c r="G3" s="121" t="s">
        <v>4</v>
      </c>
    </row>
    <row r="4" spans="2:7" ht="16.5" thickTop="1" thickBot="1" x14ac:dyDescent="0.3">
      <c r="B4" s="122"/>
      <c r="C4" s="95">
        <v>44652</v>
      </c>
      <c r="D4" s="95">
        <f>EDATE(C4,12)</f>
        <v>45017</v>
      </c>
      <c r="E4" s="95">
        <f>EDATE(D4,12)</f>
        <v>45383</v>
      </c>
      <c r="F4" s="95">
        <f>EDATE(E4,12)</f>
        <v>45748</v>
      </c>
      <c r="G4" s="121"/>
    </row>
    <row r="5" spans="2:7" ht="16.5" thickTop="1" thickBot="1" x14ac:dyDescent="0.3">
      <c r="B5" s="122"/>
      <c r="C5" s="95">
        <f>EDATE(C4,12)-1</f>
        <v>45016</v>
      </c>
      <c r="D5" s="95">
        <f>EDATE(D4,12)-1</f>
        <v>45382</v>
      </c>
      <c r="E5" s="95">
        <f>EDATE(E4,12)-1</f>
        <v>45747</v>
      </c>
      <c r="F5" s="95">
        <f>EDATE(F4,12)-1</f>
        <v>46112</v>
      </c>
      <c r="G5" s="121"/>
    </row>
    <row r="6" spans="2:7" ht="16.5" thickTop="1" thickBot="1" x14ac:dyDescent="0.3">
      <c r="B6" s="57" t="s">
        <v>46</v>
      </c>
      <c r="C6" s="58">
        <v>0.3</v>
      </c>
      <c r="D6" s="58">
        <v>0.35</v>
      </c>
      <c r="E6" s="58">
        <v>0.3</v>
      </c>
      <c r="F6" s="58">
        <v>0.05</v>
      </c>
      <c r="G6" s="59">
        <f>SUM(C6:F6)</f>
        <v>1</v>
      </c>
    </row>
    <row r="7" spans="2:7" ht="31.5" thickTop="1" thickBot="1" x14ac:dyDescent="0.3">
      <c r="B7" s="60" t="s">
        <v>74</v>
      </c>
      <c r="C7" s="61">
        <f>C6*ASSUMPTIONS!$G$10</f>
        <v>230896.25111383371</v>
      </c>
      <c r="D7" s="61">
        <f>D6*ASSUMPTIONS!$G$10</f>
        <v>269378.95963280601</v>
      </c>
      <c r="E7" s="61">
        <f>E6*ASSUMPTIONS!$G$10</f>
        <v>230896.25111383371</v>
      </c>
      <c r="F7" s="61">
        <f>F6*ASSUMPTIONS!$G$10</f>
        <v>38482.708518972293</v>
      </c>
      <c r="G7" s="62">
        <f>SUM(C7,D7,E7,F7)</f>
        <v>769654.17037944577</v>
      </c>
    </row>
    <row r="8" spans="2:7" ht="15.75" thickTop="1" x14ac:dyDescent="0.25"/>
  </sheetData>
  <mergeCells count="4">
    <mergeCell ref="B2:G2"/>
    <mergeCell ref="G3:G5"/>
    <mergeCell ref="B3:B5"/>
    <mergeCell ref="C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zoomScale="85" zoomScaleNormal="85" workbookViewId="0">
      <selection activeCell="D4" sqref="D4"/>
    </sheetView>
  </sheetViews>
  <sheetFormatPr defaultRowHeight="15" x14ac:dyDescent="0.25"/>
  <cols>
    <col min="2" max="2" width="5.7109375" bestFit="1" customWidth="1"/>
    <col min="3" max="3" width="27.42578125" customWidth="1"/>
    <col min="4" max="4" width="15.7109375" customWidth="1"/>
    <col min="5" max="5" width="21.140625" bestFit="1" customWidth="1"/>
    <col min="6" max="6" width="19.5703125" bestFit="1" customWidth="1"/>
  </cols>
  <sheetData>
    <row r="2" spans="2:6" ht="40.5" customHeight="1" x14ac:dyDescent="0.25">
      <c r="B2" s="127" t="s">
        <v>84</v>
      </c>
      <c r="C2" s="127"/>
      <c r="D2" s="127"/>
      <c r="E2" s="127"/>
      <c r="F2" s="127"/>
    </row>
    <row r="3" spans="2:6" ht="45" x14ac:dyDescent="0.25">
      <c r="B3" s="96" t="s">
        <v>0</v>
      </c>
      <c r="C3" s="96" t="s">
        <v>19</v>
      </c>
      <c r="D3" s="96" t="s">
        <v>107</v>
      </c>
      <c r="E3" s="96" t="s">
        <v>108</v>
      </c>
      <c r="F3" s="96" t="s">
        <v>8</v>
      </c>
    </row>
    <row r="4" spans="2:6" x14ac:dyDescent="0.25">
      <c r="B4" s="1">
        <v>1</v>
      </c>
      <c r="C4" s="23" t="s">
        <v>47</v>
      </c>
      <c r="D4" s="28">
        <f>ASSUMPTIONS!G10</f>
        <v>769654.17037944577</v>
      </c>
      <c r="E4" s="2">
        <v>29000</v>
      </c>
      <c r="F4" s="3">
        <f>E4*D4</f>
        <v>22319970941.003929</v>
      </c>
    </row>
    <row r="5" spans="2:6" x14ac:dyDescent="0.25">
      <c r="B5" s="126" t="s">
        <v>4</v>
      </c>
      <c r="C5" s="126"/>
      <c r="D5" s="19">
        <f>SUM(D4:D4)</f>
        <v>769654.17037944577</v>
      </c>
      <c r="E5" s="19"/>
      <c r="F5" s="5">
        <f>SUM(F4:F4)</f>
        <v>22319970941.003929</v>
      </c>
    </row>
    <row r="6" spans="2:6" x14ac:dyDescent="0.25">
      <c r="B6" s="128"/>
      <c r="C6" s="129"/>
      <c r="D6" s="129"/>
      <c r="E6" s="129"/>
      <c r="F6" s="130"/>
    </row>
    <row r="7" spans="2:6" ht="51.75" customHeight="1" x14ac:dyDescent="0.25"/>
    <row r="8" spans="2:6" ht="21.75" customHeight="1" x14ac:dyDescent="0.25">
      <c r="F8" s="18"/>
    </row>
    <row r="9" spans="2:6" x14ac:dyDescent="0.25">
      <c r="F9" s="18"/>
    </row>
  </sheetData>
  <mergeCells count="3">
    <mergeCell ref="B5:C5"/>
    <mergeCell ref="B2:F2"/>
    <mergeCell ref="B6:F6"/>
  </mergeCells>
  <phoneticPr fontId="12"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J28"/>
  <sheetViews>
    <sheetView topLeftCell="A10" zoomScaleNormal="100" workbookViewId="0">
      <selection activeCell="D6" sqref="D6:H21"/>
    </sheetView>
  </sheetViews>
  <sheetFormatPr defaultColWidth="9.140625" defaultRowHeight="15" x14ac:dyDescent="0.25"/>
  <cols>
    <col min="1" max="3" width="9.140625" style="6"/>
    <col min="4" max="4" width="31.42578125" style="6" customWidth="1"/>
    <col min="5" max="5" width="18.5703125" style="6" customWidth="1"/>
    <col min="6" max="6" width="17.28515625" style="6" customWidth="1"/>
    <col min="7" max="8" width="16" style="6" customWidth="1"/>
    <col min="9" max="16384" width="9.140625" style="6"/>
  </cols>
  <sheetData>
    <row r="5" spans="4:10" ht="15.75" thickBot="1" x14ac:dyDescent="0.3"/>
    <row r="6" spans="4:10" ht="16.5" thickTop="1" thickBot="1" x14ac:dyDescent="0.3">
      <c r="D6" s="120" t="s">
        <v>7</v>
      </c>
      <c r="E6" s="120"/>
      <c r="F6" s="120"/>
      <c r="G6" s="120"/>
      <c r="H6" s="120"/>
    </row>
    <row r="7" spans="4:10" ht="16.5" thickTop="1" thickBot="1" x14ac:dyDescent="0.3">
      <c r="D7" s="122" t="s">
        <v>91</v>
      </c>
      <c r="E7" s="134" t="s">
        <v>92</v>
      </c>
      <c r="F7" s="135"/>
      <c r="G7" s="135"/>
      <c r="H7" s="136"/>
    </row>
    <row r="8" spans="4:10" ht="16.5" thickTop="1" thickBot="1" x14ac:dyDescent="0.3">
      <c r="D8" s="122"/>
      <c r="E8" s="97">
        <v>44652</v>
      </c>
      <c r="F8" s="97">
        <f>EDATE(E8,12)</f>
        <v>45017</v>
      </c>
      <c r="G8" s="97">
        <f>EDATE(F8,12)</f>
        <v>45383</v>
      </c>
      <c r="H8" s="97">
        <f>EDATE(G8,12)</f>
        <v>45748</v>
      </c>
    </row>
    <row r="9" spans="4:10" ht="16.5" thickTop="1" thickBot="1" x14ac:dyDescent="0.3">
      <c r="D9" s="122"/>
      <c r="E9" s="97">
        <f>EDATE(E8,12)-1</f>
        <v>45016</v>
      </c>
      <c r="F9" s="97">
        <f>EDATE(F8,12)-1</f>
        <v>45382</v>
      </c>
      <c r="G9" s="97">
        <f>EDATE(G8,12)-1</f>
        <v>45747</v>
      </c>
      <c r="H9" s="97">
        <f>EDATE(H8,12)-1</f>
        <v>46112</v>
      </c>
    </row>
    <row r="10" spans="4:10" ht="18" customHeight="1" thickTop="1" thickBot="1" x14ac:dyDescent="0.3">
      <c r="D10" s="64" t="s">
        <v>83</v>
      </c>
      <c r="E10" s="80">
        <f>'Absorption Rate'!C7</f>
        <v>230896.25111383371</v>
      </c>
      <c r="F10" s="80">
        <f>'Absorption Rate'!D7</f>
        <v>269378.95963280601</v>
      </c>
      <c r="G10" s="80">
        <f>'Absorption Rate'!E7</f>
        <v>230896.25111383371</v>
      </c>
      <c r="H10" s="80">
        <f>'Absorption Rate'!F7</f>
        <v>38482.708518972293</v>
      </c>
    </row>
    <row r="11" spans="4:10" ht="16.5" thickTop="1" thickBot="1" x14ac:dyDescent="0.3">
      <c r="D11" s="64" t="s">
        <v>66</v>
      </c>
      <c r="E11" s="65">
        <f>E10/'Absorption Rate'!$G7</f>
        <v>0.3</v>
      </c>
      <c r="F11" s="65">
        <f>F10/'Absorption Rate'!$G7</f>
        <v>0.35</v>
      </c>
      <c r="G11" s="65">
        <f>G10/'Absorption Rate'!$G7</f>
        <v>0.3</v>
      </c>
      <c r="H11" s="65">
        <f>H10/'Absorption Rate'!$G7</f>
        <v>0.05</v>
      </c>
    </row>
    <row r="12" spans="4:10" ht="16.5" thickTop="1" thickBot="1" x14ac:dyDescent="0.3">
      <c r="D12" s="64" t="s">
        <v>45</v>
      </c>
      <c r="E12" s="65">
        <v>0</v>
      </c>
      <c r="F12" s="65">
        <f>ASSUMPTIONS!G22</f>
        <v>0.03</v>
      </c>
      <c r="G12" s="65">
        <f>ASSUMPTIONS!G22</f>
        <v>0.03</v>
      </c>
      <c r="H12" s="65">
        <v>0.03</v>
      </c>
    </row>
    <row r="13" spans="4:10" ht="16.5" thickTop="1" thickBot="1" x14ac:dyDescent="0.3">
      <c r="D13" s="64" t="s">
        <v>44</v>
      </c>
      <c r="E13" s="66">
        <f>ASSUMPTIONS!G21</f>
        <v>29000</v>
      </c>
      <c r="F13" s="66">
        <f>E13*(1+F12)</f>
        <v>29870</v>
      </c>
      <c r="G13" s="66">
        <f>F13*(1+G12)</f>
        <v>30766.100000000002</v>
      </c>
      <c r="H13" s="66">
        <f>G13*(1+H12)</f>
        <v>31689.083000000002</v>
      </c>
    </row>
    <row r="14" spans="4:10" ht="16.5" thickTop="1" thickBot="1" x14ac:dyDescent="0.3">
      <c r="D14" s="67" t="s">
        <v>88</v>
      </c>
      <c r="E14" s="68">
        <f>E13*E10/10^7</f>
        <v>669.5991282301178</v>
      </c>
      <c r="F14" s="68">
        <f>F13*F10/10^7</f>
        <v>804.63495242319152</v>
      </c>
      <c r="G14" s="68">
        <f>G13*G10/10^7</f>
        <v>710.37771513933205</v>
      </c>
      <c r="H14" s="68">
        <f>H13*H10/10^7</f>
        <v>121.94817443225203</v>
      </c>
      <c r="J14" s="29"/>
    </row>
    <row r="15" spans="4:10" ht="16.5" thickTop="1" thickBot="1" x14ac:dyDescent="0.3">
      <c r="D15" s="69" t="s">
        <v>89</v>
      </c>
      <c r="E15" s="79">
        <f>E14</f>
        <v>669.5991282301178</v>
      </c>
      <c r="F15" s="79">
        <f>F14</f>
        <v>804.63495242319152</v>
      </c>
      <c r="G15" s="79">
        <f>G14</f>
        <v>710.37771513933205</v>
      </c>
      <c r="H15" s="79">
        <f>H14</f>
        <v>121.94817443225203</v>
      </c>
      <c r="J15" s="8"/>
    </row>
    <row r="16" spans="4:10" ht="16.5" thickTop="1" thickBot="1" x14ac:dyDescent="0.3">
      <c r="D16" s="132"/>
      <c r="E16" s="132"/>
      <c r="F16" s="132"/>
      <c r="G16" s="132"/>
      <c r="H16" s="132"/>
    </row>
    <row r="17" spans="4:8" ht="16.5" thickTop="1" thickBot="1" x14ac:dyDescent="0.3">
      <c r="D17" s="133" t="s">
        <v>5</v>
      </c>
      <c r="E17" s="133"/>
      <c r="F17" s="133"/>
      <c r="G17" s="133"/>
      <c r="H17" s="133"/>
    </row>
    <row r="18" spans="4:8" ht="51" customHeight="1" thickTop="1" thickBot="1" x14ac:dyDescent="0.3">
      <c r="D18" s="131" t="s">
        <v>51</v>
      </c>
      <c r="E18" s="131"/>
      <c r="F18" s="131"/>
      <c r="G18" s="131"/>
      <c r="H18" s="131"/>
    </row>
    <row r="19" spans="4:8" ht="77.25" customHeight="1" thickTop="1" thickBot="1" x14ac:dyDescent="0.3">
      <c r="D19" s="188" t="s">
        <v>120</v>
      </c>
      <c r="E19" s="188"/>
      <c r="F19" s="188"/>
      <c r="G19" s="188"/>
      <c r="H19" s="188"/>
    </row>
    <row r="20" spans="4:8" ht="36" customHeight="1" thickTop="1" thickBot="1" x14ac:dyDescent="0.3">
      <c r="D20" s="131" t="s">
        <v>87</v>
      </c>
      <c r="E20" s="131"/>
      <c r="F20" s="131"/>
      <c r="G20" s="131"/>
      <c r="H20" s="131"/>
    </row>
    <row r="21" spans="4:8" ht="16.5" customHeight="1" thickTop="1" thickBot="1" x14ac:dyDescent="0.3">
      <c r="D21" s="131" t="s">
        <v>90</v>
      </c>
      <c r="E21" s="131"/>
      <c r="F21" s="131"/>
      <c r="G21" s="131"/>
      <c r="H21" s="131"/>
    </row>
    <row r="22" spans="4:8" ht="15.75" thickTop="1" x14ac:dyDescent="0.25"/>
    <row r="28" spans="4:8" x14ac:dyDescent="0.25">
      <c r="F28" s="9"/>
    </row>
  </sheetData>
  <mergeCells count="9">
    <mergeCell ref="D19:H19"/>
    <mergeCell ref="D20:H20"/>
    <mergeCell ref="D21:H21"/>
    <mergeCell ref="D6:H6"/>
    <mergeCell ref="D7:D9"/>
    <mergeCell ref="D16:H16"/>
    <mergeCell ref="D17:H17"/>
    <mergeCell ref="D18:H18"/>
    <mergeCell ref="E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5:K20"/>
  <sheetViews>
    <sheetView topLeftCell="A4" workbookViewId="0">
      <selection activeCell="D6" sqref="D6:G17"/>
    </sheetView>
  </sheetViews>
  <sheetFormatPr defaultRowHeight="15" x14ac:dyDescent="0.25"/>
  <cols>
    <col min="4" max="4" width="19" bestFit="1" customWidth="1"/>
    <col min="5" max="5" width="23.140625" bestFit="1" customWidth="1"/>
    <col min="6" max="6" width="25.85546875" customWidth="1"/>
    <col min="7" max="7" width="18.5703125" bestFit="1" customWidth="1"/>
    <col min="10" max="10" width="25.140625" bestFit="1" customWidth="1"/>
    <col min="11" max="11" width="20.42578125" bestFit="1" customWidth="1"/>
  </cols>
  <sheetData>
    <row r="5" spans="4:11" ht="15" customHeight="1" thickBot="1" x14ac:dyDescent="0.3"/>
    <row r="6" spans="4:11" ht="26.25" customHeight="1" thickTop="1" thickBot="1" x14ac:dyDescent="0.3">
      <c r="D6" s="138" t="s">
        <v>93</v>
      </c>
      <c r="E6" s="139"/>
      <c r="F6" s="139"/>
      <c r="G6" s="140"/>
      <c r="H6" s="83"/>
      <c r="I6" s="82"/>
      <c r="J6" s="4" t="s">
        <v>26</v>
      </c>
      <c r="K6" s="4" t="s">
        <v>27</v>
      </c>
    </row>
    <row r="7" spans="4:11" ht="57" thickTop="1" thickBot="1" x14ac:dyDescent="0.3">
      <c r="D7" s="70" t="s">
        <v>29</v>
      </c>
      <c r="E7" s="70" t="s">
        <v>28</v>
      </c>
      <c r="F7" s="70" t="s">
        <v>30</v>
      </c>
      <c r="G7" s="70" t="s">
        <v>31</v>
      </c>
      <c r="J7" s="1"/>
      <c r="K7" s="27">
        <f>ASSUMPTIONS!G10</f>
        <v>769654.17037944577</v>
      </c>
    </row>
    <row r="8" spans="4:11" ht="16.5" hidden="1" thickTop="1" thickBot="1" x14ac:dyDescent="0.3">
      <c r="D8" s="57"/>
      <c r="E8" s="57"/>
      <c r="F8" s="57"/>
      <c r="G8" s="57"/>
    </row>
    <row r="9" spans="4:11" ht="16.5" thickTop="1" thickBot="1" x14ac:dyDescent="0.3">
      <c r="D9" s="71" t="s">
        <v>20</v>
      </c>
      <c r="E9" s="72">
        <f>ASSUMPTIONS!G12*ASSUMPTIONS!G10</f>
        <v>1539308340.7588916</v>
      </c>
      <c r="F9" s="72">
        <v>596636413</v>
      </c>
      <c r="G9" s="72">
        <f>E9-F9</f>
        <v>942671927.75889158</v>
      </c>
    </row>
    <row r="10" spans="4:11" ht="16.5" thickTop="1" thickBot="1" x14ac:dyDescent="0.3">
      <c r="D10" s="71" t="s">
        <v>104</v>
      </c>
      <c r="E10" s="72">
        <f>G9*ASSUMPTIONS!G13</f>
        <v>47133596.387944579</v>
      </c>
      <c r="F10" s="72"/>
      <c r="G10" s="72">
        <f>E10-F10</f>
        <v>47133596.387944579</v>
      </c>
    </row>
    <row r="11" spans="4:11" ht="16.5" thickTop="1" thickBot="1" x14ac:dyDescent="0.3">
      <c r="D11" s="71" t="s">
        <v>24</v>
      </c>
      <c r="E11" s="72">
        <f>G9*ASSUMPTIONS!G15</f>
        <v>47133596.387944579</v>
      </c>
      <c r="F11" s="72">
        <v>0</v>
      </c>
      <c r="G11" s="72">
        <f>E11-F11</f>
        <v>47133596.387944579</v>
      </c>
    </row>
    <row r="12" spans="4:11" ht="16.5" thickTop="1" thickBot="1" x14ac:dyDescent="0.3">
      <c r="D12" s="71" t="s">
        <v>25</v>
      </c>
      <c r="E12" s="72">
        <f>G9*ASSUMPTIONS!G16</f>
        <v>47133596.387944579</v>
      </c>
      <c r="F12" s="72">
        <v>0</v>
      </c>
      <c r="G12" s="72">
        <f>E12-F12</f>
        <v>47133596.387944579</v>
      </c>
    </row>
    <row r="13" spans="4:11" ht="16.5" thickTop="1" thickBot="1" x14ac:dyDescent="0.3">
      <c r="D13" s="71" t="s">
        <v>50</v>
      </c>
      <c r="E13" s="72">
        <f>ASSUMPTIONS!G14*ASSUMPTIONS!G10</f>
        <v>76965417.03794457</v>
      </c>
      <c r="F13" s="72">
        <v>0</v>
      </c>
      <c r="G13" s="72">
        <f>E13-F13</f>
        <v>76965417.03794457</v>
      </c>
    </row>
    <row r="14" spans="4:11" s="34" customFormat="1" ht="16.5" thickTop="1" thickBot="1" x14ac:dyDescent="0.3">
      <c r="D14" s="70" t="s">
        <v>4</v>
      </c>
      <c r="E14" s="187">
        <f>SUM(E9:E13)</f>
        <v>1757674546.9606702</v>
      </c>
      <c r="F14" s="187">
        <f>SUM(F9:F13)</f>
        <v>596636413</v>
      </c>
      <c r="G14" s="186">
        <f>SUM(G9:G13)</f>
        <v>1161038133.9606698</v>
      </c>
    </row>
    <row r="15" spans="4:11" ht="15.75" thickTop="1" x14ac:dyDescent="0.25">
      <c r="E15" s="18"/>
    </row>
    <row r="16" spans="4:11" x14ac:dyDescent="0.25">
      <c r="D16" s="141" t="s">
        <v>114</v>
      </c>
      <c r="E16" s="141"/>
      <c r="F16" s="141"/>
      <c r="G16" s="141"/>
    </row>
    <row r="17" spans="4:7" x14ac:dyDescent="0.25">
      <c r="D17" s="137" t="s">
        <v>119</v>
      </c>
      <c r="E17" s="137"/>
      <c r="F17" s="137"/>
      <c r="G17" s="137"/>
    </row>
    <row r="18" spans="4:7" x14ac:dyDescent="0.25">
      <c r="G18" s="18"/>
    </row>
    <row r="20" spans="4:7" x14ac:dyDescent="0.25">
      <c r="F20" s="18"/>
    </row>
  </sheetData>
  <mergeCells count="3">
    <mergeCell ref="D17:G17"/>
    <mergeCell ref="D6:G6"/>
    <mergeCell ref="D16:G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224"/>
  <sheetViews>
    <sheetView tabSelected="1" topLeftCell="F12" zoomScale="91" zoomScaleNormal="91" workbookViewId="0">
      <selection activeCell="O24" sqref="O24"/>
    </sheetView>
  </sheetViews>
  <sheetFormatPr defaultRowHeight="15" x14ac:dyDescent="0.25"/>
  <cols>
    <col min="1" max="1" width="2" style="76" customWidth="1"/>
    <col min="2" max="2" width="26.5703125" bestFit="1" customWidth="1"/>
    <col min="3" max="3" width="19.42578125" bestFit="1" customWidth="1"/>
    <col min="4" max="4" width="18" bestFit="1" customWidth="1"/>
    <col min="5" max="5" width="14" customWidth="1"/>
    <col min="6" max="6" width="14.5703125" bestFit="1" customWidth="1"/>
    <col min="7" max="7" width="14.5703125" customWidth="1"/>
    <col min="8" max="8" width="14.85546875" hidden="1" customWidth="1"/>
    <col min="9" max="9" width="9.140625" style="76"/>
    <col min="10" max="10" width="20.5703125" style="76" bestFit="1" customWidth="1"/>
    <col min="11" max="12" width="11" style="76" customWidth="1"/>
    <col min="13" max="13" width="20.5703125" style="76" bestFit="1" customWidth="1"/>
    <col min="14" max="14" width="17.7109375" style="76" bestFit="1" customWidth="1"/>
    <col min="15" max="15" width="20.5703125" style="76" bestFit="1" customWidth="1"/>
    <col min="16" max="16" width="13.140625" style="76" bestFit="1" customWidth="1"/>
    <col min="17" max="17" width="9.140625" style="76"/>
    <col min="18" max="18" width="17.7109375" style="76" bestFit="1" customWidth="1"/>
    <col min="19" max="143" width="9.140625" style="76"/>
  </cols>
  <sheetData>
    <row r="1" spans="1:143" s="76" customFormat="1" ht="15.75" thickBot="1" x14ac:dyDescent="0.3"/>
    <row r="2" spans="1:143" ht="17.25" thickTop="1" thickBot="1" x14ac:dyDescent="0.3">
      <c r="B2" s="143" t="s">
        <v>71</v>
      </c>
      <c r="C2" s="143"/>
      <c r="D2" s="143"/>
      <c r="E2" s="143"/>
      <c r="F2" s="143"/>
      <c r="G2" s="143"/>
      <c r="H2" s="143"/>
    </row>
    <row r="3" spans="1:143" ht="16.5" thickTop="1" thickBot="1" x14ac:dyDescent="0.3">
      <c r="B3" s="144" t="s">
        <v>68</v>
      </c>
      <c r="C3" s="145" t="s">
        <v>78</v>
      </c>
      <c r="D3" s="87">
        <f>Inflow!E8</f>
        <v>44652</v>
      </c>
      <c r="E3" s="87">
        <f>Inflow!F8</f>
        <v>45017</v>
      </c>
      <c r="F3" s="87">
        <f>Inflow!G8</f>
        <v>45383</v>
      </c>
      <c r="G3" s="87">
        <f>Inflow!H8</f>
        <v>45748</v>
      </c>
      <c r="H3" s="146" t="s">
        <v>69</v>
      </c>
    </row>
    <row r="4" spans="1:143" ht="16.5" thickTop="1" thickBot="1" x14ac:dyDescent="0.3">
      <c r="B4" s="144"/>
      <c r="C4" s="145"/>
      <c r="D4" s="87">
        <f>Inflow!E9</f>
        <v>45016</v>
      </c>
      <c r="E4" s="87">
        <f>Inflow!F9</f>
        <v>45382</v>
      </c>
      <c r="F4" s="87">
        <f>Inflow!G9</f>
        <v>45747</v>
      </c>
      <c r="G4" s="87">
        <f>Inflow!H9</f>
        <v>46112</v>
      </c>
      <c r="H4" s="146"/>
    </row>
    <row r="5" spans="1:143" ht="16.5" thickTop="1" thickBot="1" x14ac:dyDescent="0.3">
      <c r="B5" s="150"/>
      <c r="C5" s="150"/>
      <c r="D5" s="150"/>
      <c r="E5" s="150"/>
      <c r="F5" s="150"/>
      <c r="G5" s="150"/>
      <c r="H5" s="150"/>
    </row>
    <row r="6" spans="1:143" ht="29.25" customHeight="1" thickTop="1" thickBot="1" x14ac:dyDescent="0.3">
      <c r="B6" s="147" t="s">
        <v>109</v>
      </c>
      <c r="C6" s="147"/>
      <c r="D6" s="45">
        <f>Inflow!E15</f>
        <v>669.5991282301178</v>
      </c>
      <c r="E6" s="45">
        <f>Inflow!F15</f>
        <v>804.63495242319152</v>
      </c>
      <c r="F6" s="45">
        <f>Inflow!G15</f>
        <v>710.37771513933205</v>
      </c>
      <c r="G6" s="45">
        <f>Inflow!H15</f>
        <v>121.94817443225203</v>
      </c>
      <c r="H6" s="45">
        <f>SUM(G6,F6,E6,D6)</f>
        <v>2306.5599702248933</v>
      </c>
    </row>
    <row r="7" spans="1:143" ht="16.5" thickTop="1" thickBot="1" x14ac:dyDescent="0.3">
      <c r="B7" s="149"/>
      <c r="C7" s="149"/>
      <c r="D7" s="149"/>
      <c r="E7" s="149"/>
      <c r="F7" s="149"/>
      <c r="G7" s="149"/>
      <c r="H7" s="149"/>
    </row>
    <row r="8" spans="1:143" s="34" customFormat="1" ht="16.5" thickTop="1" thickBot="1" x14ac:dyDescent="0.3">
      <c r="A8" s="77"/>
      <c r="B8" s="148" t="s">
        <v>94</v>
      </c>
      <c r="C8" s="148"/>
      <c r="D8" s="88">
        <f>SUM(D6:D6)</f>
        <v>669.5991282301178</v>
      </c>
      <c r="E8" s="88">
        <f>SUM(E6:E6)</f>
        <v>804.63495242319152</v>
      </c>
      <c r="F8" s="88">
        <f>SUM(F6:F6)</f>
        <v>710.37771513933205</v>
      </c>
      <c r="G8" s="88">
        <f>SUM(G6:G6)</f>
        <v>121.94817443225203</v>
      </c>
      <c r="H8" s="46">
        <f>SUM(D8:G8)</f>
        <v>2306.5599702248933</v>
      </c>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row>
    <row r="9" spans="1:143" ht="16.5" thickTop="1" thickBot="1" x14ac:dyDescent="0.3">
      <c r="B9" s="142"/>
      <c r="C9" s="142"/>
      <c r="D9" s="142"/>
      <c r="E9" s="142"/>
      <c r="F9" s="142"/>
      <c r="G9" s="43"/>
      <c r="H9" s="40"/>
    </row>
    <row r="10" spans="1:143" ht="16.5" thickTop="1" thickBot="1" x14ac:dyDescent="0.3">
      <c r="B10" s="147" t="s">
        <v>20</v>
      </c>
      <c r="C10" s="147"/>
      <c r="D10" s="41">
        <f>('Total Outflow'!$G$9*30%)/10^7</f>
        <v>28.280157832766747</v>
      </c>
      <c r="E10" s="41">
        <f>('Total Outflow'!$G$9*35%)/10^7</f>
        <v>32.993517471561205</v>
      </c>
      <c r="F10" s="41">
        <f>('Total Outflow'!$G$9*35%)/10^7</f>
        <v>32.993517471561205</v>
      </c>
      <c r="G10" s="44">
        <v>0</v>
      </c>
      <c r="H10" s="41">
        <f>SUM(G10,F10,E10,D10)</f>
        <v>94.267192775889157</v>
      </c>
    </row>
    <row r="11" spans="1:143" ht="16.5" thickTop="1" thickBot="1" x14ac:dyDescent="0.3">
      <c r="B11" s="164" t="s">
        <v>105</v>
      </c>
      <c r="C11" s="165"/>
      <c r="D11" s="41">
        <f>'Total Outflow'!$E$10*30%/10^7</f>
        <v>1.4140078916383372</v>
      </c>
      <c r="E11" s="41">
        <f>'Total Outflow'!$E$10*35%/10^7</f>
        <v>1.6496758735780603</v>
      </c>
      <c r="F11" s="41">
        <f>'Total Outflow'!$E$10*35%/10^7</f>
        <v>1.6496758735780603</v>
      </c>
      <c r="G11" s="44" t="s">
        <v>73</v>
      </c>
      <c r="H11" s="41"/>
    </row>
    <row r="12" spans="1:143" ht="15" customHeight="1" thickTop="1" thickBot="1" x14ac:dyDescent="0.3">
      <c r="B12" s="163" t="s">
        <v>96</v>
      </c>
      <c r="C12" s="163"/>
      <c r="D12" s="41">
        <f>'Total Outflow'!G13/10^7</f>
        <v>7.6965417037944572</v>
      </c>
      <c r="E12" s="189" t="s">
        <v>73</v>
      </c>
      <c r="F12" s="189" t="s">
        <v>73</v>
      </c>
      <c r="G12" s="44">
        <v>0</v>
      </c>
      <c r="H12" s="41">
        <f>SUM(G12,F12,E12,D12)</f>
        <v>7.6965417037944572</v>
      </c>
    </row>
    <row r="13" spans="1:143" ht="14.45" customHeight="1" thickTop="1" thickBot="1" x14ac:dyDescent="0.3">
      <c r="B13" s="147" t="s">
        <v>97</v>
      </c>
      <c r="C13" s="147"/>
      <c r="D13" s="41">
        <f>('Total Outflow'!$G$11*30%)/10^7</f>
        <v>1.4140078916383372</v>
      </c>
      <c r="E13" s="41">
        <f>('Total Outflow'!$G$11*35%)/10^7</f>
        <v>1.6496758735780603</v>
      </c>
      <c r="F13" s="41">
        <f>('Total Outflow'!$G$11*35%)/10^7</f>
        <v>1.6496758735780603</v>
      </c>
      <c r="G13" s="44">
        <v>0</v>
      </c>
      <c r="H13" s="41">
        <f>SUM(D13:G13)</f>
        <v>4.7133596387944579</v>
      </c>
    </row>
    <row r="14" spans="1:143" ht="16.5" thickTop="1" thickBot="1" x14ac:dyDescent="0.3">
      <c r="B14" s="147" t="s">
        <v>25</v>
      </c>
      <c r="C14" s="147"/>
      <c r="D14" s="41">
        <f>('Total Outflow'!$G$12*30%)/10^7</f>
        <v>1.4140078916383372</v>
      </c>
      <c r="E14" s="41">
        <f>('Total Outflow'!$G$12*35%)/10^7</f>
        <v>1.6496758735780603</v>
      </c>
      <c r="F14" s="41">
        <f>('Total Outflow'!$G$12*35%)/10^7</f>
        <v>1.6496758735780603</v>
      </c>
      <c r="G14" s="44">
        <v>0</v>
      </c>
      <c r="H14" s="41">
        <f>SUM(D14:G14)</f>
        <v>4.7133596387944579</v>
      </c>
    </row>
    <row r="15" spans="1:143" ht="16.5" thickTop="1" thickBot="1" x14ac:dyDescent="0.3">
      <c r="B15" s="142"/>
      <c r="C15" s="142"/>
      <c r="D15" s="142"/>
      <c r="E15" s="142"/>
      <c r="F15" s="142"/>
      <c r="G15" s="43"/>
      <c r="H15" s="39"/>
    </row>
    <row r="16" spans="1:143" s="34" customFormat="1" ht="16.5" thickTop="1" thickBot="1" x14ac:dyDescent="0.3">
      <c r="A16" s="77"/>
      <c r="B16" s="174" t="s">
        <v>95</v>
      </c>
      <c r="C16" s="174"/>
      <c r="D16" s="89">
        <f>SUM(D10:D14)</f>
        <v>40.21872321147621</v>
      </c>
      <c r="E16" s="89">
        <f t="shared" ref="E16:G16" si="0">SUM(E10:E14)</f>
        <v>37.94254509229539</v>
      </c>
      <c r="F16" s="89">
        <f t="shared" si="0"/>
        <v>37.94254509229539</v>
      </c>
      <c r="G16" s="89">
        <f t="shared" si="0"/>
        <v>0</v>
      </c>
      <c r="H16" s="42">
        <f>SUM(G16,F16,E16,D16)</f>
        <v>116.10381339606698</v>
      </c>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row>
    <row r="17" spans="2:18" ht="16.5" thickTop="1" thickBot="1" x14ac:dyDescent="0.3">
      <c r="B17" s="142"/>
      <c r="C17" s="142"/>
      <c r="D17" s="175"/>
      <c r="E17" s="175"/>
      <c r="F17" s="175"/>
      <c r="G17" s="73"/>
      <c r="H17" s="74"/>
    </row>
    <row r="18" spans="2:18" ht="16.5" thickTop="1" thickBot="1" x14ac:dyDescent="0.3">
      <c r="B18" s="172" t="s">
        <v>77</v>
      </c>
      <c r="C18" s="173"/>
      <c r="D18" s="90">
        <f>D8-D16</f>
        <v>629.38040501864157</v>
      </c>
      <c r="E18" s="90">
        <f t="shared" ref="E18:G18" si="1">E8-E16</f>
        <v>766.69240733089612</v>
      </c>
      <c r="F18" s="90">
        <f t="shared" si="1"/>
        <v>672.43517004703665</v>
      </c>
      <c r="G18" s="90">
        <f t="shared" si="1"/>
        <v>121.94817443225203</v>
      </c>
      <c r="H18" s="75">
        <f>SUM(G18,F18,E18,D18)</f>
        <v>2190.4561568288264</v>
      </c>
      <c r="K18" s="81"/>
    </row>
    <row r="19" spans="2:18" ht="16.5" thickTop="1" thickBot="1" x14ac:dyDescent="0.3">
      <c r="B19" s="116"/>
      <c r="C19" s="117"/>
      <c r="D19" s="117"/>
      <c r="E19" s="117"/>
      <c r="F19" s="117"/>
      <c r="G19" s="117"/>
      <c r="H19" s="118"/>
    </row>
    <row r="20" spans="2:18" ht="16.5" thickTop="1" thickBot="1" x14ac:dyDescent="0.3">
      <c r="B20" s="91" t="s">
        <v>80</v>
      </c>
      <c r="C20" s="92">
        <f>XNPV(C21,D18:G18,D4:G4)</f>
        <v>1984.3426414165892</v>
      </c>
      <c r="D20" s="151" t="s">
        <v>79</v>
      </c>
      <c r="E20" s="152"/>
      <c r="F20" s="152"/>
      <c r="G20" s="152"/>
      <c r="H20" s="153"/>
      <c r="I20" s="78"/>
      <c r="O20" s="78"/>
    </row>
    <row r="21" spans="2:18" ht="16.5" thickTop="1" thickBot="1" x14ac:dyDescent="0.3">
      <c r="B21" s="91" t="s">
        <v>76</v>
      </c>
      <c r="C21" s="93">
        <f>ASSUMPTIONS!G33</f>
        <v>9.4260250000000004E-2</v>
      </c>
      <c r="D21" s="154"/>
      <c r="E21" s="155"/>
      <c r="F21" s="155"/>
      <c r="G21" s="155"/>
      <c r="H21" s="156"/>
      <c r="K21" s="78"/>
    </row>
    <row r="22" spans="2:18" ht="31.5" thickTop="1" thickBot="1" x14ac:dyDescent="0.3">
      <c r="B22" s="103" t="s">
        <v>115</v>
      </c>
      <c r="C22" s="92">
        <f>C20*15%</f>
        <v>297.65139621248835</v>
      </c>
      <c r="D22" s="154"/>
      <c r="E22" s="155"/>
      <c r="F22" s="155"/>
      <c r="G22" s="155"/>
      <c r="H22" s="156"/>
      <c r="K22" s="78"/>
      <c r="L22" s="78"/>
      <c r="M22" s="78"/>
      <c r="N22" s="78"/>
      <c r="Q22" s="76">
        <f>Q23*4046.86</f>
        <v>103627.94402</v>
      </c>
      <c r="R22" s="78">
        <f>J23/Q22</f>
        <v>162773.22892062343</v>
      </c>
    </row>
    <row r="23" spans="2:18" ht="16.5" thickTop="1" thickBot="1" x14ac:dyDescent="0.3">
      <c r="B23" s="91" t="s">
        <v>70</v>
      </c>
      <c r="C23" s="94">
        <f>C20+C21-C22</f>
        <v>1686.7855054541008</v>
      </c>
      <c r="D23" s="157"/>
      <c r="E23" s="158"/>
      <c r="F23" s="158"/>
      <c r="G23" s="158"/>
      <c r="H23" s="159"/>
      <c r="J23" s="78">
        <f>C23*10^7</f>
        <v>16867855054.541008</v>
      </c>
      <c r="K23" s="76">
        <v>441192319</v>
      </c>
      <c r="L23" s="76">
        <v>155443500</v>
      </c>
      <c r="M23" s="85">
        <f>J23+K23+L23</f>
        <v>17464490873.541008</v>
      </c>
      <c r="N23" s="78">
        <f>M23*2%</f>
        <v>349289817.47082019</v>
      </c>
      <c r="O23" s="78">
        <f>M23+N23</f>
        <v>17813780691.011829</v>
      </c>
      <c r="Q23" s="76">
        <v>25.606999999999999</v>
      </c>
      <c r="R23" s="78">
        <f>J23/Q23</f>
        <v>658720469.18971407</v>
      </c>
    </row>
    <row r="24" spans="2:18" ht="16.5" thickTop="1" thickBot="1" x14ac:dyDescent="0.3">
      <c r="B24" s="160"/>
      <c r="C24" s="161"/>
      <c r="D24" s="161"/>
      <c r="E24" s="161"/>
      <c r="F24" s="161"/>
      <c r="G24" s="161"/>
      <c r="H24" s="162"/>
      <c r="J24" s="78"/>
      <c r="K24" s="81"/>
      <c r="O24" s="78">
        <f>ROUND(O23,-7)</f>
        <v>17810000000</v>
      </c>
    </row>
    <row r="25" spans="2:18" ht="16.5" thickTop="1" thickBot="1" x14ac:dyDescent="0.3">
      <c r="B25" s="166" t="s">
        <v>67</v>
      </c>
      <c r="C25" s="167"/>
      <c r="D25" s="167"/>
      <c r="E25" s="167"/>
      <c r="F25" s="167"/>
      <c r="G25" s="167"/>
      <c r="H25" s="168"/>
      <c r="O25" s="76">
        <f>O24*85%</f>
        <v>15138500000</v>
      </c>
      <c r="P25" s="76">
        <f>O24*75%</f>
        <v>13357500000</v>
      </c>
    </row>
    <row r="26" spans="2:18" ht="16.5" thickTop="1" thickBot="1" x14ac:dyDescent="0.3">
      <c r="B26" s="169" t="s">
        <v>106</v>
      </c>
      <c r="C26" s="170"/>
      <c r="D26" s="170"/>
      <c r="E26" s="170"/>
      <c r="F26" s="170"/>
      <c r="G26" s="170"/>
      <c r="H26" s="171"/>
    </row>
    <row r="27" spans="2:18" s="76" customFormat="1" ht="15.75" thickTop="1" x14ac:dyDescent="0.25"/>
    <row r="28" spans="2:18" s="76" customFormat="1" x14ac:dyDescent="0.25"/>
    <row r="29" spans="2:18" s="76" customFormat="1" x14ac:dyDescent="0.25"/>
    <row r="30" spans="2:18" s="76" customFormat="1" x14ac:dyDescent="0.25"/>
    <row r="31" spans="2:18" s="76" customFormat="1" x14ac:dyDescent="0.25"/>
    <row r="32" spans="2:18" s="76" customFormat="1" x14ac:dyDescent="0.25"/>
    <row r="33" s="76" customFormat="1" x14ac:dyDescent="0.25"/>
    <row r="34" s="76" customFormat="1" x14ac:dyDescent="0.25"/>
    <row r="35" s="76" customFormat="1" x14ac:dyDescent="0.25"/>
    <row r="36" s="76" customFormat="1" x14ac:dyDescent="0.25"/>
    <row r="37" s="76" customFormat="1" x14ac:dyDescent="0.25"/>
    <row r="38" s="76" customFormat="1" x14ac:dyDescent="0.25"/>
    <row r="39" s="76" customFormat="1" x14ac:dyDescent="0.25"/>
    <row r="40" s="76" customFormat="1" x14ac:dyDescent="0.25"/>
    <row r="41" s="76" customFormat="1" x14ac:dyDescent="0.25"/>
    <row r="42" s="76" customFormat="1" x14ac:dyDescent="0.25"/>
    <row r="43" s="76" customFormat="1" x14ac:dyDescent="0.25"/>
    <row r="44" s="76" customFormat="1" x14ac:dyDescent="0.25"/>
    <row r="45" s="76" customFormat="1" x14ac:dyDescent="0.25"/>
    <row r="46" s="76" customFormat="1" x14ac:dyDescent="0.25"/>
    <row r="47" s="76" customFormat="1" x14ac:dyDescent="0.25"/>
    <row r="48" s="76" customFormat="1" x14ac:dyDescent="0.25"/>
    <row r="49" s="76" customFormat="1" x14ac:dyDescent="0.25"/>
    <row r="50" s="76" customFormat="1" x14ac:dyDescent="0.25"/>
    <row r="51" s="76" customFormat="1" x14ac:dyDescent="0.25"/>
    <row r="52" s="76" customFormat="1" x14ac:dyDescent="0.25"/>
    <row r="53" s="76" customFormat="1" x14ac:dyDescent="0.25"/>
    <row r="54" s="76" customFormat="1" x14ac:dyDescent="0.25"/>
    <row r="55" s="76" customFormat="1" x14ac:dyDescent="0.25"/>
    <row r="56" s="76" customFormat="1" x14ac:dyDescent="0.25"/>
    <row r="57" s="76" customFormat="1" x14ac:dyDescent="0.25"/>
    <row r="58" s="76" customFormat="1" x14ac:dyDescent="0.25"/>
    <row r="59" s="76" customFormat="1" x14ac:dyDescent="0.25"/>
    <row r="60" s="76" customFormat="1" x14ac:dyDescent="0.25"/>
    <row r="61" s="76" customFormat="1" x14ac:dyDescent="0.25"/>
    <row r="62" s="76" customFormat="1" x14ac:dyDescent="0.25"/>
    <row r="63" s="76" customFormat="1" x14ac:dyDescent="0.25"/>
    <row r="64" s="76" customFormat="1" x14ac:dyDescent="0.25"/>
    <row r="65" s="76" customFormat="1" x14ac:dyDescent="0.25"/>
    <row r="66" s="76" customFormat="1" x14ac:dyDescent="0.25"/>
    <row r="67" s="76" customFormat="1" x14ac:dyDescent="0.25"/>
    <row r="68" s="76" customFormat="1" x14ac:dyDescent="0.25"/>
    <row r="69" s="76" customFormat="1" x14ac:dyDescent="0.25"/>
    <row r="70" s="76" customFormat="1" x14ac:dyDescent="0.25"/>
    <row r="71" s="76" customFormat="1" x14ac:dyDescent="0.25"/>
    <row r="72" s="76" customFormat="1" x14ac:dyDescent="0.25"/>
    <row r="73" s="76" customFormat="1" x14ac:dyDescent="0.25"/>
    <row r="74" s="76" customFormat="1" x14ac:dyDescent="0.25"/>
    <row r="75" s="76" customFormat="1" x14ac:dyDescent="0.25"/>
    <row r="76" s="76" customFormat="1" x14ac:dyDescent="0.25"/>
    <row r="77" s="76" customFormat="1" x14ac:dyDescent="0.25"/>
    <row r="78" s="76" customFormat="1" x14ac:dyDescent="0.25"/>
    <row r="79" s="76" customFormat="1" x14ac:dyDescent="0.25"/>
    <row r="80"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sheetData>
  <mergeCells count="23">
    <mergeCell ref="B25:H25"/>
    <mergeCell ref="B26:H26"/>
    <mergeCell ref="B18:C18"/>
    <mergeCell ref="B19:H19"/>
    <mergeCell ref="B16:C16"/>
    <mergeCell ref="B17:F17"/>
    <mergeCell ref="B15:F15"/>
    <mergeCell ref="D20:H23"/>
    <mergeCell ref="B24:H24"/>
    <mergeCell ref="B10:C10"/>
    <mergeCell ref="B12:C12"/>
    <mergeCell ref="B13:C13"/>
    <mergeCell ref="B14:C14"/>
    <mergeCell ref="B11:C11"/>
    <mergeCell ref="B9:F9"/>
    <mergeCell ref="B2:H2"/>
    <mergeCell ref="B3:B4"/>
    <mergeCell ref="C3:C4"/>
    <mergeCell ref="H3:H4"/>
    <mergeCell ref="B6:C6"/>
    <mergeCell ref="B8:C8"/>
    <mergeCell ref="B7:H7"/>
    <mergeCell ref="B5:H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6"/>
  <sheetViews>
    <sheetView showGridLines="0" workbookViewId="0">
      <selection activeCell="C3" sqref="C3:I3"/>
    </sheetView>
  </sheetViews>
  <sheetFormatPr defaultColWidth="9.140625" defaultRowHeight="15" x14ac:dyDescent="0.25"/>
  <cols>
    <col min="1" max="2" width="9.140625" style="11"/>
    <col min="3" max="3" width="17.7109375" style="11" customWidth="1"/>
    <col min="4" max="4" width="22.5703125" style="11" customWidth="1"/>
    <col min="5" max="5" width="12.5703125" style="12" customWidth="1"/>
    <col min="6" max="6" width="11.7109375" style="12" customWidth="1"/>
    <col min="7" max="8" width="11.28515625" style="12" customWidth="1"/>
    <col min="9" max="9" width="24.140625" style="11" bestFit="1" customWidth="1"/>
    <col min="10" max="10" width="9.140625" style="11"/>
    <col min="11" max="11" width="16.85546875" style="11" bestFit="1" customWidth="1"/>
    <col min="12" max="16384" width="9.140625" style="11"/>
  </cols>
  <sheetData>
    <row r="3" spans="1:11" ht="30.75" customHeight="1" x14ac:dyDescent="0.25">
      <c r="A3" s="13" t="s">
        <v>9</v>
      </c>
      <c r="B3" s="13" t="s">
        <v>10</v>
      </c>
      <c r="C3" s="178" t="s">
        <v>85</v>
      </c>
      <c r="D3" s="178"/>
      <c r="E3" s="178"/>
      <c r="F3" s="178"/>
      <c r="G3" s="178"/>
      <c r="H3" s="178"/>
      <c r="I3" s="178"/>
    </row>
    <row r="4" spans="1:11" x14ac:dyDescent="0.25">
      <c r="C4" s="179"/>
      <c r="D4" s="179"/>
      <c r="E4" s="179"/>
      <c r="F4" s="179"/>
      <c r="G4" s="179"/>
      <c r="H4" s="179"/>
      <c r="I4" s="179"/>
    </row>
    <row r="5" spans="1:11" ht="27.75" x14ac:dyDescent="0.25">
      <c r="C5" s="7" t="s">
        <v>1</v>
      </c>
      <c r="D5" s="7" t="s">
        <v>2</v>
      </c>
      <c r="E5" s="14">
        <f>DCF!D4</f>
        <v>45016</v>
      </c>
      <c r="F5" s="14">
        <f>DCF!E4</f>
        <v>45382</v>
      </c>
      <c r="G5" s="14">
        <f>DCF!F4</f>
        <v>45747</v>
      </c>
      <c r="H5" s="14">
        <f>DCF!G4</f>
        <v>46112</v>
      </c>
      <c r="I5" s="20" t="s">
        <v>11</v>
      </c>
    </row>
    <row r="6" spans="1:11" x14ac:dyDescent="0.25">
      <c r="C6" s="180" t="s">
        <v>12</v>
      </c>
      <c r="D6" s="180"/>
      <c r="E6" s="15">
        <f>DCF!D8</f>
        <v>669.5991282301178</v>
      </c>
      <c r="F6" s="15">
        <f>DCF!E8</f>
        <v>804.63495242319152</v>
      </c>
      <c r="G6" s="15">
        <f>DCF!F8</f>
        <v>710.37771513933205</v>
      </c>
      <c r="H6" s="15">
        <f>DCF!G8</f>
        <v>121.94817443225203</v>
      </c>
      <c r="I6" s="15">
        <f>SUM(E6,F6,G6,H6)</f>
        <v>2306.5599702248933</v>
      </c>
    </row>
    <row r="7" spans="1:11" x14ac:dyDescent="0.25">
      <c r="C7" s="181" t="s">
        <v>13</v>
      </c>
      <c r="D7" s="181"/>
      <c r="E7" s="16">
        <f>DCF!D16</f>
        <v>40.21872321147621</v>
      </c>
      <c r="F7" s="16">
        <f>DCF!E16</f>
        <v>37.94254509229539</v>
      </c>
      <c r="G7" s="16">
        <f>DCF!F16</f>
        <v>37.94254509229539</v>
      </c>
      <c r="H7" s="16">
        <f>DCF!G16</f>
        <v>0</v>
      </c>
      <c r="I7" s="16">
        <f>SUM(E7:G7)</f>
        <v>116.103813396067</v>
      </c>
    </row>
    <row r="8" spans="1:11" x14ac:dyDescent="0.25">
      <c r="C8" s="182"/>
      <c r="D8" s="182"/>
      <c r="E8" s="182"/>
      <c r="F8" s="182"/>
      <c r="G8" s="182"/>
      <c r="H8" s="182"/>
      <c r="I8" s="182"/>
    </row>
    <row r="9" spans="1:11" x14ac:dyDescent="0.25">
      <c r="C9" s="180" t="s">
        <v>14</v>
      </c>
      <c r="D9" s="180"/>
      <c r="E9" s="15">
        <f>SUM(E6,E7)</f>
        <v>709.81785144159403</v>
      </c>
      <c r="F9" s="15">
        <f>SUM(F6,F7)</f>
        <v>842.57749751548693</v>
      </c>
      <c r="G9" s="15">
        <f>SUM(G6,G7)</f>
        <v>748.32026023162746</v>
      </c>
      <c r="H9" s="15">
        <f>SUM(H6,H7)</f>
        <v>121.94817443225203</v>
      </c>
      <c r="I9" s="15">
        <f>SUM(I6,I7)</f>
        <v>2422.6637836209602</v>
      </c>
    </row>
    <row r="10" spans="1:11" x14ac:dyDescent="0.25">
      <c r="C10" s="182"/>
      <c r="D10" s="182"/>
      <c r="E10" s="182"/>
      <c r="F10" s="182"/>
      <c r="G10" s="182"/>
      <c r="H10" s="182"/>
      <c r="I10" s="182"/>
    </row>
    <row r="11" spans="1:11" x14ac:dyDescent="0.25">
      <c r="C11" s="180" t="s">
        <v>15</v>
      </c>
      <c r="D11" s="180"/>
      <c r="E11" s="17" t="e">
        <f>DCF!#REF!</f>
        <v>#REF!</v>
      </c>
      <c r="F11" s="185"/>
      <c r="G11" s="185"/>
      <c r="H11" s="185"/>
      <c r="I11" s="185"/>
    </row>
    <row r="12" spans="1:11" x14ac:dyDescent="0.25">
      <c r="C12" s="180" t="s">
        <v>16</v>
      </c>
      <c r="D12" s="180"/>
      <c r="E12" s="17" t="e">
        <f>ROUND(E11,-1)</f>
        <v>#REF!</v>
      </c>
      <c r="F12" s="185"/>
      <c r="G12" s="185"/>
      <c r="H12" s="185"/>
      <c r="I12" s="185"/>
    </row>
    <row r="13" spans="1:11" x14ac:dyDescent="0.25">
      <c r="C13" s="179"/>
      <c r="D13" s="179"/>
      <c r="E13" s="179"/>
      <c r="F13" s="179"/>
      <c r="G13" s="179"/>
      <c r="H13" s="179"/>
      <c r="I13" s="179"/>
      <c r="K13" s="31"/>
    </row>
    <row r="14" spans="1:11" ht="30" customHeight="1" x14ac:dyDescent="0.25">
      <c r="C14" s="183" t="s">
        <v>17</v>
      </c>
      <c r="D14" s="183"/>
      <c r="E14" s="10" t="e">
        <f>E12*(1-15%)</f>
        <v>#REF!</v>
      </c>
      <c r="F14" s="184"/>
      <c r="G14" s="184"/>
      <c r="H14" s="184"/>
      <c r="I14" s="184"/>
      <c r="J14" s="22"/>
      <c r="K14" s="22"/>
    </row>
    <row r="15" spans="1:11" ht="30" customHeight="1" x14ac:dyDescent="0.25">
      <c r="C15" s="183" t="s">
        <v>18</v>
      </c>
      <c r="D15" s="183"/>
      <c r="E15" s="10" t="e">
        <f>E12*(1-25%)</f>
        <v>#REF!</v>
      </c>
      <c r="F15" s="184"/>
      <c r="G15" s="184"/>
      <c r="H15" s="184"/>
      <c r="I15" s="184"/>
    </row>
    <row r="16" spans="1:11" ht="28.5" customHeight="1" x14ac:dyDescent="0.25">
      <c r="C16" s="176" t="s">
        <v>32</v>
      </c>
      <c r="D16" s="177"/>
      <c r="E16" s="177"/>
      <c r="F16" s="177"/>
      <c r="G16" s="177"/>
      <c r="H16" s="177"/>
      <c r="I16" s="177"/>
      <c r="K16" s="31"/>
    </row>
  </sheetData>
  <mergeCells count="15">
    <mergeCell ref="C16:I16"/>
    <mergeCell ref="C3:I3"/>
    <mergeCell ref="C4:I4"/>
    <mergeCell ref="C6:D6"/>
    <mergeCell ref="C7:D7"/>
    <mergeCell ref="C9:D9"/>
    <mergeCell ref="C8:I8"/>
    <mergeCell ref="C13:I13"/>
    <mergeCell ref="C14:D14"/>
    <mergeCell ref="F14:I15"/>
    <mergeCell ref="C15:D15"/>
    <mergeCell ref="C10:I10"/>
    <mergeCell ref="F11:I12"/>
    <mergeCell ref="C11:D11"/>
    <mergeCell ref="C12:D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ASSUMPTIONS</vt:lpstr>
      <vt:lpstr>Absorption Rate</vt:lpstr>
      <vt:lpstr>Residential Inflow</vt:lpstr>
      <vt:lpstr>Inflow</vt:lpstr>
      <vt:lpstr>Total Outflow</vt:lpstr>
      <vt:lpstr>DCF</vt:lpstr>
      <vt:lpstr>Consolidated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Abhishek Garg - Corporate Finance</dc:creator>
  <cp:lastModifiedBy>Rahul Gupta</cp:lastModifiedBy>
  <dcterms:created xsi:type="dcterms:W3CDTF">2020-02-03T05:38:58Z</dcterms:created>
  <dcterms:modified xsi:type="dcterms:W3CDTF">2022-09-21T13:39:56Z</dcterms:modified>
</cp:coreProperties>
</file>