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engineer3\Desktop\Ville Parle Final\Updated After DCF CHANGE\"/>
    </mc:Choice>
  </mc:AlternateContent>
  <bookViews>
    <workbookView xWindow="0" yWindow="0" windowWidth="20490" windowHeight="7755" tabRatio="867" activeTab="5"/>
  </bookViews>
  <sheets>
    <sheet name="ASSUMPTIONS" sheetId="18" r:id="rId1"/>
    <sheet name="Absorption Rate" sheetId="9" r:id="rId2"/>
    <sheet name="Residential Inflow" sheetId="3" r:id="rId3"/>
    <sheet name="Inflow" sheetId="11" r:id="rId4"/>
    <sheet name="Total Outflow" sheetId="16" r:id="rId5"/>
    <sheet name="DCF" sheetId="7" r:id="rId6"/>
    <sheet name="Consolidated Summary" sheetId="12" r:id="rId7"/>
  </sheets>
  <definedNames>
    <definedName name="_xlnm._FilterDatabase" localSheetId="2" hidden="1">'Residential Inflow'!$B$3:$F$5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3" i="16" l="1"/>
  <c r="E12" i="16"/>
  <c r="E11" i="16"/>
  <c r="E10" i="16"/>
  <c r="E9" i="16"/>
  <c r="G18" i="7"/>
  <c r="K22" i="18" l="1"/>
  <c r="Q22" i="7" l="1"/>
  <c r="K19" i="18"/>
  <c r="M17" i="18"/>
  <c r="I30" i="18" l="1"/>
  <c r="G29" i="18" s="1"/>
  <c r="G31" i="18" s="1"/>
  <c r="G33" i="18" s="1"/>
  <c r="G16" i="7" l="1"/>
  <c r="E13" i="11"/>
  <c r="G6" i="9"/>
  <c r="C21" i="7"/>
  <c r="F14" i="16" l="1"/>
  <c r="K51" i="18"/>
  <c r="K48" i="18"/>
  <c r="K45" i="18"/>
  <c r="K38" i="18" l="1"/>
  <c r="H7" i="12" l="1"/>
  <c r="F12" i="11" l="1"/>
  <c r="G12" i="11" l="1"/>
  <c r="F13" i="11"/>
  <c r="G8" i="18"/>
  <c r="G9" i="18" s="1"/>
  <c r="G10" i="18" s="1"/>
  <c r="I14" i="18" l="1"/>
  <c r="F7" i="9"/>
  <c r="H10" i="11" s="1"/>
  <c r="D7" i="9"/>
  <c r="F10" i="11" s="1"/>
  <c r="F14" i="11" s="1"/>
  <c r="C7" i="9"/>
  <c r="E10" i="11" s="1"/>
  <c r="E14" i="11" s="1"/>
  <c r="E7" i="9"/>
  <c r="G13" i="16"/>
  <c r="D12" i="7" s="1"/>
  <c r="G13" i="11"/>
  <c r="D4" i="3"/>
  <c r="K7" i="16"/>
  <c r="G11" i="16" l="1"/>
  <c r="H13" i="11"/>
  <c r="H14" i="11" s="1"/>
  <c r="H15" i="11" s="1"/>
  <c r="G6" i="7" s="1"/>
  <c r="G8" i="7" s="1"/>
  <c r="G7" i="9"/>
  <c r="H11" i="11" s="1"/>
  <c r="F13" i="7" l="1"/>
  <c r="E13" i="7"/>
  <c r="D13" i="7"/>
  <c r="D11" i="7"/>
  <c r="F11" i="7"/>
  <c r="E11" i="7"/>
  <c r="G10" i="16"/>
  <c r="E14" i="16"/>
  <c r="E11" i="11"/>
  <c r="H6" i="12"/>
  <c r="H9" i="12" s="1"/>
  <c r="H12" i="7"/>
  <c r="E15" i="11"/>
  <c r="G10" i="11"/>
  <c r="G14" i="11" s="1"/>
  <c r="H13" i="7" l="1"/>
  <c r="G9" i="16" l="1"/>
  <c r="F10" i="7" l="1"/>
  <c r="E10" i="7"/>
  <c r="D10" i="7"/>
  <c r="G11" i="11"/>
  <c r="F11" i="11"/>
  <c r="H10" i="7" l="1"/>
  <c r="D3" i="7"/>
  <c r="E9" i="11"/>
  <c r="D4" i="7" s="1"/>
  <c r="E5" i="12" s="1"/>
  <c r="F8" i="11"/>
  <c r="F9" i="11" s="1"/>
  <c r="E4" i="7" s="1"/>
  <c r="F5" i="12" s="1"/>
  <c r="C5" i="9"/>
  <c r="D4" i="9"/>
  <c r="D5" i="9" s="1"/>
  <c r="E3" i="7" l="1"/>
  <c r="D5" i="3"/>
  <c r="F4" i="3"/>
  <c r="G8" i="11"/>
  <c r="H8" i="11" s="1"/>
  <c r="E4" i="9"/>
  <c r="F4" i="9" s="1"/>
  <c r="F5" i="9" s="1"/>
  <c r="H9" i="11" l="1"/>
  <c r="G4" i="7" s="1"/>
  <c r="H5" i="12" s="1"/>
  <c r="G3" i="7"/>
  <c r="G9" i="11"/>
  <c r="F4" i="7" s="1"/>
  <c r="G5" i="12" s="1"/>
  <c r="F3" i="7"/>
  <c r="E5" i="9"/>
  <c r="F5" i="3" l="1"/>
  <c r="F15" i="11" l="1"/>
  <c r="G15" i="11"/>
  <c r="D6" i="7" l="1"/>
  <c r="D8" i="7" s="1"/>
  <c r="E6" i="7"/>
  <c r="F6" i="7"/>
  <c r="F8" i="7" s="1"/>
  <c r="E8" i="7" l="1"/>
  <c r="H6" i="7"/>
  <c r="E6" i="12"/>
  <c r="G6" i="12"/>
  <c r="H8" i="7" l="1"/>
  <c r="F6" i="12"/>
  <c r="I6" i="12" s="1"/>
  <c r="G12" i="16" l="1"/>
  <c r="F14" i="7" l="1"/>
  <c r="E14" i="7"/>
  <c r="D14" i="7"/>
  <c r="G14" i="16"/>
  <c r="I16" i="18" s="1"/>
  <c r="E16" i="7"/>
  <c r="E18" i="7" s="1"/>
  <c r="F16" i="7" l="1"/>
  <c r="F18" i="7" s="1"/>
  <c r="D16" i="7"/>
  <c r="D18" i="7" s="1"/>
  <c r="H14" i="7"/>
  <c r="I15" i="18"/>
  <c r="E7" i="12" l="1"/>
  <c r="E9" i="12" s="1"/>
  <c r="H18" i="7"/>
  <c r="G7" i="12"/>
  <c r="G9" i="12" s="1"/>
  <c r="C20" i="7"/>
  <c r="C22" i="7" s="1"/>
  <c r="F7" i="12"/>
  <c r="F9" i="12" s="1"/>
  <c r="H16" i="7"/>
  <c r="C23" i="7" l="1"/>
  <c r="J23" i="7" s="1"/>
  <c r="E11" i="12"/>
  <c r="E12" i="12" s="1"/>
  <c r="E15" i="12" s="1"/>
  <c r="I7" i="12"/>
  <c r="I9" i="12" s="1"/>
  <c r="M23" i="7" l="1"/>
  <c r="N23" i="7" s="1"/>
  <c r="O23" i="7" s="1"/>
  <c r="O24" i="7" s="1"/>
  <c r="R22" i="7"/>
  <c r="R23" i="7"/>
  <c r="E14" i="12"/>
  <c r="P25" i="7" l="1"/>
  <c r="O25" i="7"/>
</calcChain>
</file>

<file path=xl/sharedStrings.xml><?xml version="1.0" encoding="utf-8"?>
<sst xmlns="http://schemas.openxmlformats.org/spreadsheetml/2006/main" count="131" uniqueCount="121">
  <si>
    <t>S.No.</t>
  </si>
  <si>
    <t>CASHFLOWS</t>
  </si>
  <si>
    <t>Year</t>
  </si>
  <si>
    <t>Discount Rate</t>
  </si>
  <si>
    <t>Total</t>
  </si>
  <si>
    <t>Important Notes:</t>
  </si>
  <si>
    <t>Project Details</t>
  </si>
  <si>
    <t xml:space="preserve">PROJECT INFLOW MODEL </t>
  </si>
  <si>
    <t>Market Value</t>
  </si>
  <si>
    <t xml:space="preserve"> </t>
  </si>
  <si>
    <t>`</t>
  </si>
  <si>
    <r>
      <t xml:space="preserve">CASH FLOW SUMMATION
</t>
    </r>
    <r>
      <rPr>
        <i/>
        <sz val="10"/>
        <color theme="0"/>
        <rFont val="Calibri"/>
        <family val="2"/>
        <scheme val="minor"/>
      </rPr>
      <t>(in Million Rupees)</t>
    </r>
  </si>
  <si>
    <r>
      <t xml:space="preserve">INFLOW </t>
    </r>
    <r>
      <rPr>
        <i/>
        <sz val="10"/>
        <color theme="1"/>
        <rFont val="Calibri"/>
        <family val="2"/>
        <scheme val="minor"/>
      </rPr>
      <t>(In Million Rupees)</t>
    </r>
  </si>
  <si>
    <r>
      <t xml:space="preserve">OUTFLOW </t>
    </r>
    <r>
      <rPr>
        <i/>
        <sz val="10"/>
        <color theme="1"/>
        <rFont val="Calibri"/>
        <family val="2"/>
        <scheme val="minor"/>
      </rPr>
      <t>(In Million Rupees)</t>
    </r>
  </si>
  <si>
    <r>
      <t xml:space="preserve">NET PROJECT CASH INFLOW </t>
    </r>
    <r>
      <rPr>
        <i/>
        <sz val="10"/>
        <color theme="1"/>
        <rFont val="Calibri"/>
        <family val="2"/>
        <scheme val="minor"/>
      </rPr>
      <t>(In Million Rupees)</t>
    </r>
  </si>
  <si>
    <r>
      <t xml:space="preserve">Net Present Value (NPV)-A </t>
    </r>
    <r>
      <rPr>
        <i/>
        <sz val="10"/>
        <color theme="1"/>
        <rFont val="Calibri"/>
        <family val="2"/>
        <scheme val="minor"/>
      </rPr>
      <t>(In Million Rupees)</t>
    </r>
  </si>
  <si>
    <r>
      <t xml:space="preserve">Round Off Value-A
</t>
    </r>
    <r>
      <rPr>
        <i/>
        <sz val="10"/>
        <color theme="1"/>
        <rFont val="Calibri"/>
        <family val="2"/>
        <scheme val="minor"/>
      </rPr>
      <t>(In Million Rupees)</t>
    </r>
  </si>
  <si>
    <r>
      <t xml:space="preserve">EXPECTED REALIZABLE VALUE^ (@ ~15% less)
</t>
    </r>
    <r>
      <rPr>
        <i/>
        <sz val="10"/>
        <color theme="1"/>
        <rFont val="Calibri"/>
        <family val="2"/>
        <scheme val="minor"/>
      </rPr>
      <t>(In Million Rupees)</t>
    </r>
  </si>
  <si>
    <r>
      <t xml:space="preserve">EXPECTED DISTRESS VALUE* (@ ~25% less)
</t>
    </r>
    <r>
      <rPr>
        <i/>
        <sz val="10"/>
        <color theme="1"/>
        <rFont val="Calibri"/>
        <family val="2"/>
        <scheme val="minor"/>
      </rPr>
      <t>(In Million Rupees)</t>
    </r>
  </si>
  <si>
    <t>Tower</t>
  </si>
  <si>
    <t>Construction Cost</t>
  </si>
  <si>
    <t>Debt</t>
  </si>
  <si>
    <t>Equity</t>
  </si>
  <si>
    <t>WACC</t>
  </si>
  <si>
    <t>Administrative Cost</t>
  </si>
  <si>
    <t>Marketing Expenses</t>
  </si>
  <si>
    <t>Total Built-Up Area of Rishi Pranya (Phase-I)
(in sq.mtr.)</t>
  </si>
  <si>
    <t>Total Built-Up Area of Rishi Pranya (Phase-I)
(in sq.ft.)</t>
  </si>
  <si>
    <t>Total Proposed Cost</t>
  </si>
  <si>
    <t>Description</t>
  </si>
  <si>
    <r>
      <t xml:space="preserve">Total Cost Incurred as on date
</t>
    </r>
    <r>
      <rPr>
        <b/>
        <i/>
        <sz val="10"/>
        <color theme="0"/>
        <rFont val="Calibri"/>
        <family val="2"/>
        <scheme val="minor"/>
      </rPr>
      <t>(as information provided by the company)</t>
    </r>
  </si>
  <si>
    <t>Yet to be Incurred</t>
  </si>
  <si>
    <t>The above mentioned values are in Millions Rupees.
1 Million = Rs.10,00,000/-</t>
  </si>
  <si>
    <t>Acre</t>
  </si>
  <si>
    <t xml:space="preserve">sq mtr </t>
  </si>
  <si>
    <t>INR/sq.ft</t>
  </si>
  <si>
    <t>INR/sq.ft On SBUA</t>
  </si>
  <si>
    <t xml:space="preserve">Cost Escalation (YoY) </t>
  </si>
  <si>
    <t>%</t>
  </si>
  <si>
    <t>Admin Costs</t>
  </si>
  <si>
    <t>Sales &amp; Marketing Costs</t>
  </si>
  <si>
    <t xml:space="preserve">Escalation in residential </t>
  </si>
  <si>
    <t>YoY</t>
  </si>
  <si>
    <t>Unbooked Absorption</t>
  </si>
  <si>
    <t>Cost per sq. ft.</t>
  </si>
  <si>
    <t>% of Increment per year</t>
  </si>
  <si>
    <t>Percentage absorption</t>
  </si>
  <si>
    <t>Covered Area</t>
  </si>
  <si>
    <t>Statutory approvals &amp; NOCs</t>
  </si>
  <si>
    <t>inr/ sq. ft</t>
  </si>
  <si>
    <t xml:space="preserve">Approval Charges </t>
  </si>
  <si>
    <t>1. As per market/ industry practice and our market study, we are of the view that company will monetize the unsold units of residential society (to be developed) in the micro market within Four years @ 30% in first year, 35% in the second year, 30% in the third year &amp; rest 5% in the fourth year.</t>
  </si>
  <si>
    <t>Cost of DEBT</t>
  </si>
  <si>
    <t xml:space="preserve">Corporate tax rate </t>
  </si>
  <si>
    <t>=</t>
  </si>
  <si>
    <t>Rf+ Beta(Rm-Rf)</t>
  </si>
  <si>
    <t>Rf</t>
  </si>
  <si>
    <t>Rm</t>
  </si>
  <si>
    <t xml:space="preserve">10 year Nifty 50 nreturn avergae </t>
  </si>
  <si>
    <t>10 year govt bond rate</t>
  </si>
  <si>
    <t>5 year beta of infra senstivity iof stock with respecyt to market</t>
  </si>
  <si>
    <t>Risk free rate</t>
  </si>
  <si>
    <t>Market return</t>
  </si>
  <si>
    <t>Post tax Cost of debt</t>
  </si>
  <si>
    <t>Company Risk premium</t>
  </si>
  <si>
    <t xml:space="preserve">Cost of Equity </t>
  </si>
  <si>
    <t xml:space="preserve"> % Sale of captioned Project</t>
  </si>
  <si>
    <t>Important Note:</t>
  </si>
  <si>
    <t xml:space="preserve">PROJECTIONS </t>
  </si>
  <si>
    <t>PROJECTIONS SUMMATION</t>
  </si>
  <si>
    <t>RESIDUAL VALUE OF LAND</t>
  </si>
  <si>
    <t>BASIC RESIDUAL LAND VALUE METHOD</t>
  </si>
  <si>
    <t>ASSUMPTIONS FOR BASIC RESIDUAL LAND VALUE METHOD</t>
  </si>
  <si>
    <t>-</t>
  </si>
  <si>
    <t>Area Absorption Rate
 (sq. ft.)</t>
  </si>
  <si>
    <t>Residential Space Sale Rate</t>
  </si>
  <si>
    <t>DISCOUNT RATE</t>
  </si>
  <si>
    <t>NET CASH FLOW</t>
  </si>
  <si>
    <t>YEAR</t>
  </si>
  <si>
    <t>Residual Value of Land=Net Present Value-Estimated Profit</t>
  </si>
  <si>
    <t>NET PRESENT VALUE (NPV)</t>
  </si>
  <si>
    <t>% of NPV</t>
  </si>
  <si>
    <t>Percentage of Construction Cost</t>
  </si>
  <si>
    <t>Area Absorbed per annum  (sq. ft.)</t>
  </si>
  <si>
    <t>UNBOOKED INVENTORY VALUATION | CITY SURVEY NO. 2085 VILLAGE VILLE PARLE (EAST), MUMBAI SUBURBAN AND CITY SURVEY NO. PART 623 VILLAGE CHAKALA, ANDHERI (EAST), MUMBAI SUBURBAN</t>
  </si>
  <si>
    <t>SUMMARY | NET PRESENT VALUE (NPV)| CITY SURVEY NO. 2085 VILLAGE VILLE PARLE (EAST), MUMBAI SUBURBAN AND CITY SURVEY NO. PART 623 VILLAGE CHAKALA, ANDHERI (EAST), MUMBAI SUBURBAN</t>
  </si>
  <si>
    <t>ABSORPTION RATE | M/s AIRPORT AUTHORITY OF INDIA | CITY SURVEY NO. 2085 VILLAGE VILLE PARLE (EAST), MUMBAI SUBURBAN AND CITY SURVEY NO. PART 623 VILLAGE CHAKALA, ANDHERI (EAST), MUMBAI SUBURBAN</t>
  </si>
  <si>
    <t>3. As per the general real estate market scenario, the market rate for available inventory will increase @ 3% for selling of balance units in each year.</t>
  </si>
  <si>
    <t>Inflow  (in Crore)</t>
  </si>
  <si>
    <r>
      <t xml:space="preserve"> Total Inflow </t>
    </r>
    <r>
      <rPr>
        <b/>
        <i/>
        <sz val="11"/>
        <color theme="1"/>
        <rFont val="Calibri"/>
        <family val="2"/>
        <scheme val="minor"/>
      </rPr>
      <t>(in Crore)</t>
    </r>
  </si>
  <si>
    <t>4. The total Value of inventory to be sold each year as shown above is in Rs. Crore.</t>
  </si>
  <si>
    <t>PROJECT DETAILS</t>
  </si>
  <si>
    <t>INVENTORY ABSORBTION</t>
  </si>
  <si>
    <t>PROJECT OUTFLOW MODEL</t>
  </si>
  <si>
    <r>
      <t xml:space="preserve">TOTAL INFLOW </t>
    </r>
    <r>
      <rPr>
        <b/>
        <i/>
        <sz val="11"/>
        <color theme="1"/>
        <rFont val="Calibri"/>
        <family val="2"/>
        <scheme val="minor"/>
      </rPr>
      <t xml:space="preserve">(in  Crore) </t>
    </r>
    <r>
      <rPr>
        <b/>
        <sz val="11"/>
        <color theme="1"/>
        <rFont val="Calibri"/>
        <family val="2"/>
        <scheme val="minor"/>
      </rPr>
      <t>(A)</t>
    </r>
  </si>
  <si>
    <r>
      <t xml:space="preserve">TOTAL OUTFLOW </t>
    </r>
    <r>
      <rPr>
        <b/>
        <i/>
        <sz val="11"/>
        <color theme="1"/>
        <rFont val="Calibri"/>
        <family val="2"/>
        <scheme val="minor"/>
      </rPr>
      <t xml:space="preserve">(in Crore) </t>
    </r>
    <r>
      <rPr>
        <b/>
        <sz val="11"/>
        <color theme="1"/>
        <rFont val="Calibri"/>
        <family val="2"/>
        <scheme val="minor"/>
      </rPr>
      <t>(B)</t>
    </r>
  </si>
  <si>
    <r>
      <rPr>
        <b/>
        <sz val="11"/>
        <color theme="1"/>
        <rFont val="Calibri"/>
        <family val="2"/>
        <scheme val="minor"/>
      </rPr>
      <t>Approval Charges</t>
    </r>
    <r>
      <rPr>
        <sz val="11"/>
        <color theme="1"/>
        <rFont val="Calibri"/>
        <family val="2"/>
        <scheme val="minor"/>
      </rPr>
      <t/>
    </r>
  </si>
  <si>
    <t>Administrative Expenses</t>
  </si>
  <si>
    <t>B</t>
  </si>
  <si>
    <t>Ce</t>
  </si>
  <si>
    <t>Basic Cost of Construction for high rise building in Mumbai</t>
  </si>
  <si>
    <t xml:space="preserve">Consultancy cost </t>
  </si>
  <si>
    <t>% of COC</t>
  </si>
  <si>
    <t>Expected Developers Profit</t>
  </si>
  <si>
    <t xml:space="preserve">Consultancy Cost </t>
  </si>
  <si>
    <t>Consultancy Cost</t>
  </si>
  <si>
    <t xml:space="preserve">1. The construction of the subject project is under initial stage and foundation work is in progres
</t>
  </si>
  <si>
    <r>
      <t xml:space="preserve">Total Super Area </t>
    </r>
    <r>
      <rPr>
        <i/>
        <sz val="11"/>
        <rFont val="Calibri"/>
        <family val="2"/>
        <scheme val="minor"/>
      </rPr>
      <t>(sq.ft.)</t>
    </r>
  </si>
  <si>
    <r>
      <t xml:space="preserve">Adopted Market Rates 
</t>
    </r>
    <r>
      <rPr>
        <i/>
        <sz val="11"/>
        <rFont val="Calibri"/>
        <family val="2"/>
        <scheme val="minor"/>
      </rPr>
      <t>(per sq.ft.)</t>
    </r>
  </si>
  <si>
    <t>Total Earnings Through Unbooked Residential Units &amp; parking</t>
  </si>
  <si>
    <t>FAR/FSI</t>
  </si>
  <si>
    <t>Land Area</t>
  </si>
  <si>
    <t>Expected Built-up area as per maximum FAR</t>
  </si>
  <si>
    <t>Sq.ft</t>
  </si>
  <si>
    <t>Note:</t>
  </si>
  <si>
    <t>DEVELOPER'S PROFIT @ 15% OF NPV</t>
  </si>
  <si>
    <t>Expected Saleable Area (Super Built-up area as per maximum FAR)</t>
  </si>
  <si>
    <t>1.As per industry practice we have considered  15% loading factor from builtup area to super area  in the total land area.</t>
  </si>
  <si>
    <t>2.We have considered Rs 38,000/- per sq.ft on carpet area as per market information and accordingly coverted lumpsum Rs.29,000/- per sq.ft on super area basis adjusting the loading factor apprximately 25% on carpet to super area.</t>
  </si>
  <si>
    <t xml:space="preserve">1. In the construction cost existing building cost has been deducted to avoid duplicacy of cost. </t>
  </si>
  <si>
    <t>2. The average market rate for residential flats in the subject project is varying in between Rs.36,000/-per sq.ft. to Rs.42,000/-per sq.ft. on carpet area.  We have considered Rs.38,000 per Sq. ft. on Carpet area. After considering 25% Loading factor on Carpet area to Super area we get Rs.29,000/- per Sq. ft. on super area including other charges like PLC, IFMS Charges, Utility Charges and developer will charge additional parking charges. These rates are also the current prevailing market rate of the other projects present nearb.</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</si>
</sst>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quot;₹&quot;\ * #,##0.00_ ;_ &quot;₹&quot;\ * \-#,##0.00_ ;_ &quot;₹&quot;\ * &quot;-&quot;??_ ;_ @_ "/>
    <numFmt numFmtId="43" formatCode="_ * #,##0.00_ ;_ * \-#,##0.00_ ;_ * &quot;-&quot;??_ ;_ @_ "/>
    <numFmt numFmtId="164" formatCode="_(* #,##0.00_);_(* \(#,##0.00\);_(* &quot;-&quot;??_);_(@_)"/>
    <numFmt numFmtId="165" formatCode="_ [$₹-4009]\ * #,##0.00_ ;_ [$₹-4009]\ * \-#,##0.00_ ;_ [$₹-4009]\ * &quot;-&quot;??_ ;_ @_ "/>
    <numFmt numFmtId="166" formatCode="0.0%"/>
    <numFmt numFmtId="167" formatCode="_(* #,##0.0_);_(* \(#,##0.0\);_(* &quot;-&quot;??_);_(@_)"/>
    <numFmt numFmtId="168" formatCode="_(&quot;$&quot;* #,##0.000_);_(&quot;$&quot;* \(#,##0.000\);_(&quot;$&quot;* &quot;-&quot;??_);_(@_)"/>
    <numFmt numFmtId="169" formatCode="_(* #,##0_);_(* \(#,##0\);_(* &quot;-&quot;??_);_(@_)"/>
    <numFmt numFmtId="171" formatCode="&quot;₹&quot;\ #,##0.00"/>
  </numFmts>
  <fonts count="18" x14ac:knownFonts="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b/>
      <sz val="12"/>
      <color theme="0"/>
      <name val="Calibri"/>
      <family val="2"/>
      <scheme val="minor"/>
    </font>
    <font>
      <b/>
      <sz val="11"/>
      <name val="Calibri"/>
      <family val="2"/>
      <scheme val="minor"/>
    </font>
    <font>
      <b/>
      <i/>
      <sz val="11"/>
      <color theme="1"/>
      <name val="Calibri"/>
      <family val="2"/>
      <scheme val="minor"/>
    </font>
    <font>
      <sz val="11"/>
      <name val="Calibri"/>
      <family val="2"/>
      <scheme val="minor"/>
    </font>
    <font>
      <i/>
      <sz val="10"/>
      <color theme="0"/>
      <name val="Calibri"/>
      <family val="2"/>
      <scheme val="minor"/>
    </font>
    <font>
      <i/>
      <sz val="10"/>
      <color theme="1"/>
      <name val="Calibri"/>
      <family val="2"/>
      <scheme val="minor"/>
    </font>
    <font>
      <sz val="8"/>
      <name val="Calibri"/>
      <family val="2"/>
      <scheme val="minor"/>
    </font>
    <font>
      <b/>
      <sz val="11"/>
      <color rgb="FF000000"/>
      <name val="Calibri"/>
      <family val="2"/>
      <scheme val="minor"/>
    </font>
    <font>
      <b/>
      <i/>
      <sz val="10"/>
      <color theme="0"/>
      <name val="Calibri"/>
      <family val="2"/>
      <scheme val="minor"/>
    </font>
    <font>
      <i/>
      <sz val="11"/>
      <color rgb="FF000000"/>
      <name val="Calibri"/>
      <family val="2"/>
      <scheme val="minor"/>
    </font>
    <font>
      <sz val="11"/>
      <color theme="0"/>
      <name val="Calibri"/>
      <family val="2"/>
      <scheme val="minor"/>
    </font>
    <font>
      <i/>
      <sz val="11"/>
      <name val="Calibri"/>
      <family val="2"/>
      <scheme val="minor"/>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3"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theme="4" tint="0.79998168889431442"/>
      </left>
      <right style="double">
        <color theme="4" tint="0.79998168889431442"/>
      </right>
      <top style="double">
        <color theme="4" tint="0.79998168889431442"/>
      </top>
      <bottom style="double">
        <color theme="4" tint="0.79998168889431442"/>
      </bottom>
      <diagonal/>
    </border>
    <border>
      <left style="double">
        <color theme="4" tint="0.79998168889431442"/>
      </left>
      <right/>
      <top style="double">
        <color theme="4" tint="0.79998168889431442"/>
      </top>
      <bottom/>
      <diagonal/>
    </border>
    <border>
      <left/>
      <right/>
      <top style="double">
        <color theme="4" tint="0.79998168889431442"/>
      </top>
      <bottom/>
      <diagonal/>
    </border>
    <border>
      <left/>
      <right style="double">
        <color theme="4" tint="0.79998168889431442"/>
      </right>
      <top style="double">
        <color theme="4" tint="0.79998168889431442"/>
      </top>
      <bottom/>
      <diagonal/>
    </border>
    <border>
      <left style="double">
        <color theme="4" tint="0.79998168889431442"/>
      </left>
      <right/>
      <top/>
      <bottom/>
      <diagonal/>
    </border>
    <border>
      <left/>
      <right style="double">
        <color theme="4" tint="0.79998168889431442"/>
      </right>
      <top/>
      <bottom/>
      <diagonal/>
    </border>
    <border>
      <left style="double">
        <color theme="4" tint="0.79998168889431442"/>
      </left>
      <right/>
      <top/>
      <bottom style="double">
        <color theme="4" tint="0.79998168889431442"/>
      </bottom>
      <diagonal/>
    </border>
    <border>
      <left/>
      <right/>
      <top/>
      <bottom style="double">
        <color theme="4" tint="0.79998168889431442"/>
      </bottom>
      <diagonal/>
    </border>
    <border>
      <left/>
      <right style="double">
        <color theme="4" tint="0.79998168889431442"/>
      </right>
      <top/>
      <bottom style="double">
        <color theme="4" tint="0.79998168889431442"/>
      </bottom>
      <diagonal/>
    </border>
    <border>
      <left style="double">
        <color theme="4" tint="0.79998168889431442"/>
      </left>
      <right/>
      <top style="double">
        <color theme="4" tint="0.79998168889431442"/>
      </top>
      <bottom style="double">
        <color theme="4" tint="0.79998168889431442"/>
      </bottom>
      <diagonal/>
    </border>
    <border>
      <left/>
      <right/>
      <top style="double">
        <color theme="4" tint="0.79998168889431442"/>
      </top>
      <bottom style="double">
        <color theme="4" tint="0.79998168889431442"/>
      </bottom>
      <diagonal/>
    </border>
    <border>
      <left/>
      <right style="double">
        <color theme="4" tint="0.79998168889431442"/>
      </right>
      <top style="double">
        <color theme="4" tint="0.79998168889431442"/>
      </top>
      <bottom style="double">
        <color theme="4" tint="0.79998168889431442"/>
      </bottom>
      <diagonal/>
    </border>
    <border>
      <left style="double">
        <color theme="4" tint="0.79998168889431442"/>
      </left>
      <right style="thin">
        <color indexed="64"/>
      </right>
      <top style="double">
        <color theme="4" tint="0.79998168889431442"/>
      </top>
      <bottom style="double">
        <color theme="4" tint="0.79998168889431442"/>
      </bottom>
      <diagonal/>
    </border>
    <border>
      <left style="thin">
        <color indexed="64"/>
      </left>
      <right style="thin">
        <color indexed="64"/>
      </right>
      <top style="double">
        <color theme="4" tint="0.79998168889431442"/>
      </top>
      <bottom style="double">
        <color theme="4" tint="0.79998168889431442"/>
      </bottom>
      <diagonal/>
    </border>
    <border>
      <left style="thin">
        <color indexed="64"/>
      </left>
      <right style="double">
        <color theme="4" tint="0.79998168889431442"/>
      </right>
      <top style="double">
        <color theme="4" tint="0.79998168889431442"/>
      </top>
      <bottom style="double">
        <color theme="4" tint="0.79998168889431442"/>
      </bottom>
      <diagonal/>
    </border>
    <border>
      <left style="thin">
        <color indexed="64"/>
      </left>
      <right style="thin">
        <color indexed="64"/>
      </right>
      <top/>
      <bottom style="thin">
        <color indexed="64"/>
      </bottom>
      <diagonal/>
    </border>
    <border>
      <left style="double">
        <color theme="4" tint="0.79998168889431442"/>
      </left>
      <right style="double">
        <color theme="4" tint="0.79998168889431442"/>
      </right>
      <top style="double">
        <color theme="4" tint="0.79998168889431442"/>
      </top>
      <bottom/>
      <diagonal/>
    </border>
    <border>
      <left style="double">
        <color theme="4" tint="0.79998168889431442"/>
      </left>
      <right style="double">
        <color theme="4" tint="0.79998168889431442"/>
      </right>
      <top/>
      <bottom style="double">
        <color theme="4" tint="0.79998168889431442"/>
      </bottom>
      <diagonal/>
    </border>
    <border>
      <left style="double">
        <color theme="4" tint="0.79998168889431442"/>
      </left>
      <right style="double">
        <color theme="4" tint="0.79995117038483843"/>
      </right>
      <top style="double">
        <color theme="4" tint="0.79995117038483843"/>
      </top>
      <bottom style="double">
        <color theme="4" tint="0.79998168889431442"/>
      </bottom>
      <diagonal/>
    </border>
  </borders>
  <cellStyleXfs count="5">
    <xf numFmtId="0" fontId="0"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190">
    <xf numFmtId="0" fontId="0" fillId="0" borderId="0" xfId="0"/>
    <xf numFmtId="0" fontId="0" fillId="0" borderId="1" xfId="0" applyBorder="1" applyAlignment="1">
      <alignment horizontal="center" vertical="center"/>
    </xf>
    <xf numFmtId="0" fontId="2" fillId="3" borderId="1" xfId="0" applyFont="1" applyFill="1" applyBorder="1" applyAlignment="1">
      <alignment horizontal="center" vertical="center"/>
    </xf>
    <xf numFmtId="44" fontId="0" fillId="0" borderId="1" xfId="2" applyFont="1" applyBorder="1" applyAlignment="1">
      <alignment horizontal="center" vertical="center"/>
    </xf>
    <xf numFmtId="0" fontId="0" fillId="5" borderId="1" xfId="0" applyFill="1" applyBorder="1" applyAlignment="1">
      <alignment horizontal="center" vertical="center" wrapText="1"/>
    </xf>
    <xf numFmtId="44" fontId="1" fillId="0" borderId="1" xfId="2" applyFont="1" applyBorder="1" applyAlignment="1">
      <alignment horizontal="center" vertical="center"/>
    </xf>
    <xf numFmtId="0" fontId="2" fillId="0" borderId="0" xfId="0" applyFont="1" applyAlignment="1">
      <alignment horizontal="left" vertical="top"/>
    </xf>
    <xf numFmtId="0" fontId="4" fillId="7" borderId="1" xfId="0" applyFont="1" applyFill="1" applyBorder="1" applyAlignment="1">
      <alignment horizontal="center" vertical="center"/>
    </xf>
    <xf numFmtId="9" fontId="2" fillId="0" borderId="0" xfId="3" applyFont="1" applyFill="1" applyBorder="1" applyAlignment="1">
      <alignment horizontal="left" vertical="top"/>
    </xf>
    <xf numFmtId="0" fontId="2" fillId="0" borderId="0" xfId="0" applyFont="1" applyAlignment="1">
      <alignment horizontal="center" vertical="center"/>
    </xf>
    <xf numFmtId="44" fontId="1" fillId="0" borderId="1" xfId="2" applyFont="1" applyBorder="1" applyAlignment="1">
      <alignment vertical="center"/>
    </xf>
    <xf numFmtId="0" fontId="2" fillId="0" borderId="0" xfId="0" applyFont="1"/>
    <xf numFmtId="44" fontId="2" fillId="0" borderId="0" xfId="2" applyFont="1"/>
    <xf numFmtId="44" fontId="4" fillId="0" borderId="0" xfId="2" applyFont="1" applyFill="1" applyBorder="1" applyAlignment="1">
      <alignment vertical="top"/>
    </xf>
    <xf numFmtId="17" fontId="4" fillId="7" borderId="1" xfId="2" applyNumberFormat="1" applyFont="1" applyFill="1" applyBorder="1" applyAlignment="1">
      <alignment horizontal="center" vertical="center"/>
    </xf>
    <xf numFmtId="2" fontId="2" fillId="0" borderId="1" xfId="2" applyNumberFormat="1" applyFont="1" applyBorder="1" applyAlignment="1">
      <alignment horizontal="right" vertical="center"/>
    </xf>
    <xf numFmtId="167" fontId="9" fillId="3" borderId="1" xfId="1" applyNumberFormat="1" applyFont="1" applyFill="1" applyBorder="1" applyAlignment="1">
      <alignment vertical="center"/>
    </xf>
    <xf numFmtId="165" fontId="1" fillId="0" borderId="1" xfId="0" applyNumberFormat="1" applyFont="1" applyBorder="1" applyAlignment="1">
      <alignment horizontal="center" vertical="center"/>
    </xf>
    <xf numFmtId="44" fontId="0" fillId="0" borderId="0" xfId="0" applyNumberFormat="1"/>
    <xf numFmtId="0" fontId="1" fillId="0" borderId="1" xfId="0" applyFont="1" applyBorder="1" applyAlignment="1">
      <alignment horizontal="center" vertical="center"/>
    </xf>
    <xf numFmtId="17" fontId="4" fillId="7" borderId="1" xfId="2" applyNumberFormat="1" applyFont="1" applyFill="1" applyBorder="1" applyAlignment="1">
      <alignment horizontal="center" vertical="center" wrapText="1"/>
    </xf>
    <xf numFmtId="0" fontId="0" fillId="0" borderId="1" xfId="0" applyBorder="1"/>
    <xf numFmtId="44" fontId="2" fillId="0" borderId="0" xfId="0" applyNumberFormat="1" applyFont="1"/>
    <xf numFmtId="0" fontId="2" fillId="2" borderId="1" xfId="0" applyFont="1" applyFill="1" applyBorder="1" applyAlignment="1">
      <alignment vertical="center"/>
    </xf>
    <xf numFmtId="10" fontId="0" fillId="0" borderId="1" xfId="0" applyNumberFormat="1" applyBorder="1"/>
    <xf numFmtId="9" fontId="0" fillId="0" borderId="1" xfId="0" applyNumberFormat="1" applyBorder="1"/>
    <xf numFmtId="10" fontId="0" fillId="0" borderId="1" xfId="3" applyNumberFormat="1" applyFont="1" applyBorder="1"/>
    <xf numFmtId="43" fontId="0" fillId="0" borderId="1" xfId="0" applyNumberFormat="1" applyBorder="1" applyAlignment="1">
      <alignment horizontal="center" vertical="center"/>
    </xf>
    <xf numFmtId="43" fontId="2" fillId="3" borderId="1" xfId="0" applyNumberFormat="1" applyFont="1" applyFill="1" applyBorder="1" applyAlignment="1">
      <alignment horizontal="center" vertical="center"/>
    </xf>
    <xf numFmtId="44" fontId="2" fillId="0" borderId="0" xfId="3" applyNumberFormat="1" applyFont="1" applyFill="1" applyBorder="1" applyAlignment="1">
      <alignment horizontal="left" vertical="top"/>
    </xf>
    <xf numFmtId="44" fontId="0" fillId="0" borderId="0" xfId="2" applyFont="1"/>
    <xf numFmtId="165" fontId="2" fillId="0" borderId="0" xfId="0" applyNumberFormat="1" applyFont="1"/>
    <xf numFmtId="0" fontId="0" fillId="0" borderId="0" xfId="0" quotePrefix="1"/>
    <xf numFmtId="10" fontId="0" fillId="8" borderId="0" xfId="3" applyNumberFormat="1" applyFont="1" applyFill="1"/>
    <xf numFmtId="0" fontId="1" fillId="0" borderId="0" xfId="0" applyFont="1"/>
    <xf numFmtId="9" fontId="0" fillId="0" borderId="1" xfId="3" applyFont="1" applyBorder="1"/>
    <xf numFmtId="9" fontId="0" fillId="8" borderId="0" xfId="0" applyNumberFormat="1" applyFill="1"/>
    <xf numFmtId="0" fontId="0" fillId="9" borderId="0" xfId="0" applyFill="1"/>
    <xf numFmtId="10" fontId="0" fillId="3" borderId="1" xfId="0" applyNumberFormat="1" applyFill="1" applyBorder="1"/>
    <xf numFmtId="165" fontId="0" fillId="3" borderId="5" xfId="0" applyNumberFormat="1" applyFill="1" applyBorder="1" applyAlignment="1">
      <alignment vertical="center"/>
    </xf>
    <xf numFmtId="0" fontId="1" fillId="3" borderId="5" xfId="0" applyFont="1" applyFill="1" applyBorder="1" applyAlignment="1">
      <alignment vertical="center"/>
    </xf>
    <xf numFmtId="2" fontId="9" fillId="3" borderId="5" xfId="1" applyNumberFormat="1" applyFont="1" applyFill="1" applyBorder="1" applyAlignment="1">
      <alignment vertical="center"/>
    </xf>
    <xf numFmtId="2" fontId="7" fillId="10" borderId="5" xfId="1" applyNumberFormat="1" applyFont="1" applyFill="1" applyBorder="1" applyAlignment="1">
      <alignment vertical="center"/>
    </xf>
    <xf numFmtId="0" fontId="1" fillId="3" borderId="5" xfId="0" applyFont="1" applyFill="1" applyBorder="1" applyAlignment="1">
      <alignment horizontal="right" vertical="center"/>
    </xf>
    <xf numFmtId="167" fontId="9" fillId="3" borderId="5" xfId="1" applyNumberFormat="1" applyFont="1" applyFill="1" applyBorder="1" applyAlignment="1">
      <alignment horizontal="right" vertical="center"/>
    </xf>
    <xf numFmtId="164" fontId="9" fillId="3" borderId="5" xfId="1" applyFont="1" applyFill="1" applyBorder="1" applyAlignment="1">
      <alignment vertical="center"/>
    </xf>
    <xf numFmtId="164" fontId="7" fillId="10" borderId="5" xfId="1" applyFont="1" applyFill="1" applyBorder="1" applyAlignment="1">
      <alignment vertical="center"/>
    </xf>
    <xf numFmtId="0" fontId="0" fillId="0" borderId="20" xfId="0" applyBorder="1"/>
    <xf numFmtId="0" fontId="1" fillId="0" borderId="5" xfId="0" applyFont="1" applyBorder="1" applyAlignment="1">
      <alignment horizontal="left" vertical="center"/>
    </xf>
    <xf numFmtId="0" fontId="0" fillId="0" borderId="5" xfId="0" applyBorder="1" applyAlignment="1">
      <alignment horizontal="left"/>
    </xf>
    <xf numFmtId="2" fontId="0" fillId="0" borderId="5" xfId="0" applyNumberFormat="1" applyBorder="1" applyAlignment="1">
      <alignment horizontal="right" vertical="center"/>
    </xf>
    <xf numFmtId="0" fontId="0" fillId="0" borderId="5" xfId="0" applyBorder="1" applyAlignment="1">
      <alignment horizontal="left" vertical="center"/>
    </xf>
    <xf numFmtId="0" fontId="1" fillId="3" borderId="5" xfId="0" applyFont="1" applyFill="1" applyBorder="1" applyAlignment="1">
      <alignment horizontal="left" vertical="center"/>
    </xf>
    <xf numFmtId="0" fontId="0" fillId="3" borderId="5" xfId="0" applyFill="1" applyBorder="1" applyAlignment="1">
      <alignment horizontal="left" vertical="center"/>
    </xf>
    <xf numFmtId="2" fontId="0" fillId="3" borderId="5" xfId="4" applyNumberFormat="1" applyFont="1" applyFill="1" applyBorder="1" applyAlignment="1">
      <alignment horizontal="right" vertical="center"/>
    </xf>
    <xf numFmtId="10" fontId="0" fillId="3" borderId="5" xfId="3" applyNumberFormat="1" applyFont="1" applyFill="1" applyBorder="1" applyAlignment="1">
      <alignment horizontal="right" vertical="center"/>
    </xf>
    <xf numFmtId="9" fontId="7" fillId="3" borderId="5" xfId="0" applyNumberFormat="1" applyFont="1" applyFill="1" applyBorder="1" applyAlignment="1">
      <alignment horizontal="left" vertical="center"/>
    </xf>
    <xf numFmtId="0" fontId="0" fillId="0" borderId="5" xfId="0" applyBorder="1" applyAlignment="1">
      <alignment horizontal="center" vertical="center"/>
    </xf>
    <xf numFmtId="9" fontId="2" fillId="0" borderId="5" xfId="3" applyFont="1" applyBorder="1" applyAlignment="1">
      <alignment horizontal="center" vertical="center"/>
    </xf>
    <xf numFmtId="9" fontId="0" fillId="0" borderId="5" xfId="0" applyNumberFormat="1" applyBorder="1" applyAlignment="1">
      <alignment horizontal="center" vertical="center"/>
    </xf>
    <xf numFmtId="0" fontId="2" fillId="0" borderId="5" xfId="0" applyFont="1" applyBorder="1" applyAlignment="1">
      <alignment horizontal="center" vertical="center" wrapText="1"/>
    </xf>
    <xf numFmtId="43" fontId="0" fillId="0" borderId="5" xfId="0" applyNumberFormat="1" applyBorder="1" applyAlignment="1">
      <alignment horizontal="center" vertical="center"/>
    </xf>
    <xf numFmtId="1" fontId="0" fillId="0" borderId="5" xfId="0" applyNumberFormat="1" applyBorder="1" applyAlignment="1">
      <alignment horizontal="center" vertical="center"/>
    </xf>
    <xf numFmtId="9" fontId="0" fillId="3" borderId="5" xfId="3" applyFont="1" applyFill="1" applyBorder="1" applyAlignment="1">
      <alignment horizontal="right" vertical="center"/>
    </xf>
    <xf numFmtId="0" fontId="2" fillId="0" borderId="5" xfId="0" applyFont="1" applyBorder="1" applyAlignment="1">
      <alignment vertical="center" wrapText="1"/>
    </xf>
    <xf numFmtId="166" fontId="2" fillId="0" borderId="5" xfId="3" applyNumberFormat="1" applyFont="1" applyBorder="1" applyAlignment="1">
      <alignment vertical="center"/>
    </xf>
    <xf numFmtId="44" fontId="2" fillId="0" borderId="5" xfId="2" applyFont="1" applyBorder="1" applyAlignment="1">
      <alignment vertical="center"/>
    </xf>
    <xf numFmtId="0" fontId="5" fillId="0" borderId="5" xfId="0" applyFont="1" applyBorder="1" applyAlignment="1">
      <alignment vertical="center" wrapText="1"/>
    </xf>
    <xf numFmtId="44" fontId="3" fillId="0" borderId="5" xfId="2" applyFont="1" applyBorder="1" applyAlignment="1">
      <alignment horizontal="center" vertical="center"/>
    </xf>
    <xf numFmtId="0" fontId="13" fillId="0" borderId="5" xfId="0" applyFont="1" applyBorder="1" applyAlignment="1">
      <alignment vertical="center" wrapText="1"/>
    </xf>
    <xf numFmtId="0" fontId="4" fillId="7" borderId="5" xfId="0" applyFont="1" applyFill="1" applyBorder="1" applyAlignment="1">
      <alignment horizontal="center" vertical="center" wrapText="1"/>
    </xf>
    <xf numFmtId="0" fontId="0" fillId="0" borderId="5" xfId="0" applyBorder="1" applyAlignment="1">
      <alignment horizontal="left" vertical="center" wrapText="1"/>
    </xf>
    <xf numFmtId="44" fontId="0" fillId="0" borderId="5" xfId="0" applyNumberFormat="1" applyBorder="1" applyAlignment="1">
      <alignment horizontal="center" vertical="center"/>
    </xf>
    <xf numFmtId="0" fontId="1" fillId="3" borderId="21" xfId="0" applyFont="1" applyFill="1" applyBorder="1" applyAlignment="1">
      <alignment horizontal="right" vertical="center"/>
    </xf>
    <xf numFmtId="165" fontId="0" fillId="3" borderId="21" xfId="0" applyNumberFormat="1" applyFill="1" applyBorder="1" applyAlignment="1">
      <alignment vertical="center"/>
    </xf>
    <xf numFmtId="2" fontId="4" fillId="11" borderId="5" xfId="1" applyNumberFormat="1" applyFont="1" applyFill="1" applyBorder="1" applyAlignment="1">
      <alignment vertical="center"/>
    </xf>
    <xf numFmtId="0" fontId="0" fillId="3" borderId="0" xfId="0" applyFill="1"/>
    <xf numFmtId="0" fontId="1" fillId="3" borderId="0" xfId="0" applyFont="1" applyFill="1"/>
    <xf numFmtId="165" fontId="0" fillId="3" borderId="0" xfId="0" applyNumberFormat="1" applyFill="1"/>
    <xf numFmtId="44" fontId="1" fillId="0" borderId="5" xfId="0" applyNumberFormat="1" applyFont="1" applyBorder="1" applyAlignment="1">
      <alignment horizontal="right" vertical="center"/>
    </xf>
    <xf numFmtId="164" fontId="2" fillId="0" borderId="5" xfId="1" applyFont="1" applyBorder="1" applyAlignment="1">
      <alignment vertical="center" wrapText="1"/>
    </xf>
    <xf numFmtId="164" fontId="0" fillId="3" borderId="0" xfId="1" applyFont="1" applyFill="1"/>
    <xf numFmtId="0" fontId="1" fillId="0" borderId="5" xfId="0" applyFont="1" applyBorder="1" applyAlignment="1">
      <alignment vertical="center" wrapText="1"/>
    </xf>
    <xf numFmtId="0" fontId="7" fillId="6" borderId="5" xfId="0" applyFont="1" applyFill="1" applyBorder="1" applyAlignment="1">
      <alignment vertical="center" wrapText="1"/>
    </xf>
    <xf numFmtId="9" fontId="0" fillId="0" borderId="0" xfId="0" applyNumberFormat="1"/>
    <xf numFmtId="165" fontId="1" fillId="3" borderId="0" xfId="0" applyNumberFormat="1" applyFont="1" applyFill="1"/>
    <xf numFmtId="0" fontId="1" fillId="3" borderId="5" xfId="0" applyFont="1" applyFill="1" applyBorder="1" applyAlignment="1">
      <alignment horizontal="left" vertical="center" wrapText="1"/>
    </xf>
    <xf numFmtId="17" fontId="4" fillId="12" borderId="5" xfId="2" applyNumberFormat="1" applyFont="1" applyFill="1" applyBorder="1" applyAlignment="1">
      <alignment horizontal="center" vertical="center"/>
    </xf>
    <xf numFmtId="164" fontId="7" fillId="4" borderId="5" xfId="1" applyFont="1" applyFill="1" applyBorder="1" applyAlignment="1">
      <alignment vertical="center"/>
    </xf>
    <xf numFmtId="2" fontId="7" fillId="4" borderId="5" xfId="1" applyNumberFormat="1" applyFont="1" applyFill="1" applyBorder="1" applyAlignment="1">
      <alignment vertical="center"/>
    </xf>
    <xf numFmtId="43" fontId="4" fillId="12" borderId="23" xfId="0" applyNumberFormat="1" applyFont="1" applyFill="1" applyBorder="1" applyAlignment="1">
      <alignment horizontal="center" vertical="center"/>
    </xf>
    <xf numFmtId="0" fontId="4" fillId="12" borderId="5" xfId="0" applyFont="1" applyFill="1" applyBorder="1" applyAlignment="1">
      <alignment vertical="center"/>
    </xf>
    <xf numFmtId="165" fontId="16" fillId="12" borderId="5" xfId="0" applyNumberFormat="1" applyFont="1" applyFill="1" applyBorder="1" applyAlignment="1">
      <alignment vertical="center"/>
    </xf>
    <xf numFmtId="10" fontId="16" fillId="12" borderId="5" xfId="3" applyNumberFormat="1" applyFont="1" applyFill="1" applyBorder="1" applyAlignment="1">
      <alignment vertical="center" wrapText="1"/>
    </xf>
    <xf numFmtId="165" fontId="4" fillId="12" borderId="5" xfId="0" applyNumberFormat="1" applyFont="1" applyFill="1" applyBorder="1" applyAlignment="1">
      <alignment vertical="center"/>
    </xf>
    <xf numFmtId="17" fontId="7" fillId="6" borderId="5" xfId="2" applyNumberFormat="1" applyFont="1" applyFill="1" applyBorder="1" applyAlignment="1">
      <alignment horizontal="center" vertical="center"/>
    </xf>
    <xf numFmtId="0" fontId="7" fillId="6" borderId="1" xfId="0" applyFont="1" applyFill="1" applyBorder="1" applyAlignment="1">
      <alignment horizontal="center" vertical="center" wrapText="1"/>
    </xf>
    <xf numFmtId="17" fontId="7" fillId="6" borderId="5" xfId="2" applyNumberFormat="1" applyFont="1" applyFill="1" applyBorder="1" applyAlignment="1">
      <alignment horizontal="center" vertical="top"/>
    </xf>
    <xf numFmtId="9" fontId="7" fillId="3" borderId="0" xfId="0" applyNumberFormat="1" applyFont="1" applyFill="1" applyBorder="1" applyAlignment="1">
      <alignment horizontal="left" vertical="center"/>
    </xf>
    <xf numFmtId="0" fontId="0" fillId="3" borderId="0" xfId="0" applyFill="1" applyBorder="1" applyAlignment="1">
      <alignment horizontal="left" vertical="center"/>
    </xf>
    <xf numFmtId="9" fontId="0" fillId="3" borderId="0" xfId="3" applyFont="1" applyFill="1" applyBorder="1" applyAlignment="1">
      <alignment horizontal="right" vertical="center"/>
    </xf>
    <xf numFmtId="0" fontId="1" fillId="0" borderId="21" xfId="0" applyFont="1" applyBorder="1" applyAlignment="1">
      <alignment vertical="center"/>
    </xf>
    <xf numFmtId="169" fontId="0" fillId="0" borderId="5" xfId="1" applyNumberFormat="1" applyFont="1" applyBorder="1" applyAlignment="1">
      <alignment horizontal="right" vertical="center"/>
    </xf>
    <xf numFmtId="0" fontId="4" fillId="12" borderId="5" xfId="0" applyFont="1" applyFill="1" applyBorder="1" applyAlignment="1">
      <alignment vertical="center" wrapText="1"/>
    </xf>
    <xf numFmtId="0" fontId="1" fillId="0" borderId="22" xfId="0" applyFont="1" applyBorder="1" applyAlignment="1">
      <alignment vertical="center" wrapText="1"/>
    </xf>
    <xf numFmtId="0" fontId="0" fillId="0" borderId="1" xfId="0" applyFill="1" applyBorder="1" applyAlignment="1">
      <alignment vertical="top" wrapText="1"/>
    </xf>
    <xf numFmtId="0" fontId="0" fillId="0" borderId="1" xfId="0" applyFill="1" applyBorder="1" applyAlignment="1">
      <alignment horizontal="left"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2" xfId="0" applyFill="1" applyBorder="1" applyAlignment="1">
      <alignment horizontal="left" vertical="top" wrapText="1"/>
    </xf>
    <xf numFmtId="0" fontId="1" fillId="4" borderId="5" xfId="0" applyFont="1" applyFill="1" applyBorder="1" applyAlignment="1">
      <alignment horizontal="center" vertical="center"/>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0" borderId="1" xfId="0" applyFont="1" applyBorder="1" applyAlignment="1">
      <alignment horizontal="left"/>
    </xf>
    <xf numFmtId="0" fontId="4" fillId="12" borderId="5" xfId="0" applyFont="1" applyFill="1" applyBorder="1" applyAlignment="1">
      <alignment horizontal="center" vertical="center" wrapText="1"/>
    </xf>
    <xf numFmtId="17" fontId="7" fillId="6" borderId="5" xfId="2" applyNumberFormat="1" applyFont="1" applyFill="1" applyBorder="1" applyAlignment="1">
      <alignment horizontal="center" vertical="center"/>
    </xf>
    <xf numFmtId="0" fontId="7" fillId="6" borderId="5" xfId="0" applyFont="1" applyFill="1" applyBorder="1" applyAlignment="1">
      <alignment horizontal="center" vertical="center"/>
    </xf>
    <xf numFmtId="17" fontId="7" fillId="6" borderId="14" xfId="2" applyNumberFormat="1" applyFont="1" applyFill="1" applyBorder="1" applyAlignment="1">
      <alignment horizontal="center" vertical="center"/>
    </xf>
    <xf numFmtId="17" fontId="7" fillId="6" borderId="15" xfId="2" applyNumberFormat="1" applyFont="1" applyFill="1" applyBorder="1" applyAlignment="1">
      <alignment horizontal="center" vertical="center"/>
    </xf>
    <xf numFmtId="17" fontId="7" fillId="6" borderId="16" xfId="2" applyNumberFormat="1" applyFont="1" applyFill="1" applyBorder="1" applyAlignment="1">
      <alignment horizontal="center" vertical="center"/>
    </xf>
    <xf numFmtId="0" fontId="1" fillId="0" borderId="1" xfId="0" applyFont="1" applyBorder="1" applyAlignment="1">
      <alignment horizontal="center" vertical="center"/>
    </xf>
    <xf numFmtId="0" fontId="4" fillId="12" borderId="1"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5" fillId="0" borderId="5" xfId="0" applyFont="1" applyBorder="1" applyAlignment="1">
      <alignment horizontal="left" vertical="center" wrapText="1"/>
    </xf>
    <xf numFmtId="0" fontId="2" fillId="0" borderId="5" xfId="0" applyFont="1" applyBorder="1" applyAlignment="1">
      <alignment horizontal="left" vertical="center" wrapText="1"/>
    </xf>
    <xf numFmtId="0" fontId="13" fillId="0" borderId="5" xfId="0" applyFont="1" applyBorder="1" applyAlignment="1">
      <alignment horizontal="left" vertical="center" wrapText="1"/>
    </xf>
    <xf numFmtId="17" fontId="7" fillId="6" borderId="14" xfId="2" applyNumberFormat="1" applyFont="1" applyFill="1" applyBorder="1" applyAlignment="1">
      <alignment horizontal="center" vertical="top"/>
    </xf>
    <xf numFmtId="17" fontId="7" fillId="6" borderId="15" xfId="2" applyNumberFormat="1" applyFont="1" applyFill="1" applyBorder="1" applyAlignment="1">
      <alignment horizontal="center" vertical="top"/>
    </xf>
    <xf numFmtId="17" fontId="7" fillId="6" borderId="16" xfId="2" applyNumberFormat="1" applyFont="1" applyFill="1" applyBorder="1" applyAlignment="1">
      <alignment horizontal="center" vertical="top"/>
    </xf>
    <xf numFmtId="0" fontId="0" fillId="0" borderId="1" xfId="0" applyBorder="1" applyAlignment="1">
      <alignment horizontal="left" vertical="top"/>
    </xf>
    <xf numFmtId="0" fontId="7" fillId="6" borderId="14"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3" borderId="5" xfId="0" applyFont="1" applyFill="1" applyBorder="1" applyAlignment="1">
      <alignment horizontal="center" vertical="center"/>
    </xf>
    <xf numFmtId="44" fontId="6" fillId="12" borderId="5" xfId="2" applyFont="1" applyFill="1" applyBorder="1" applyAlignment="1">
      <alignment horizontal="center" vertical="center" wrapText="1"/>
    </xf>
    <xf numFmtId="0" fontId="4" fillId="12" borderId="5" xfId="0" applyFont="1" applyFill="1" applyBorder="1" applyAlignment="1">
      <alignment horizontal="left" vertical="center"/>
    </xf>
    <xf numFmtId="0" fontId="4" fillId="12" borderId="5" xfId="0" applyFont="1" applyFill="1" applyBorder="1" applyAlignment="1">
      <alignment horizontal="center" vertical="center"/>
    </xf>
    <xf numFmtId="17" fontId="4" fillId="12" borderId="5" xfId="2" applyNumberFormat="1" applyFont="1" applyFill="1" applyBorder="1" applyAlignment="1">
      <alignment horizontal="center" vertical="center" wrapText="1"/>
    </xf>
    <xf numFmtId="0" fontId="1" fillId="3" borderId="5" xfId="0" applyFont="1" applyFill="1" applyBorder="1" applyAlignment="1">
      <alignment vertical="center" wrapText="1"/>
    </xf>
    <xf numFmtId="0" fontId="1" fillId="4" borderId="5" xfId="0" applyFont="1" applyFill="1" applyBorder="1" applyAlignment="1">
      <alignment vertical="center" wrapText="1"/>
    </xf>
    <xf numFmtId="0" fontId="1" fillId="3" borderId="5" xfId="0" applyFont="1" applyFill="1" applyBorder="1" applyAlignment="1">
      <alignment horizontal="center" vertical="center" wrapText="1"/>
    </xf>
    <xf numFmtId="0" fontId="7" fillId="3" borderId="5" xfId="0" applyFont="1" applyFill="1" applyBorder="1" applyAlignment="1">
      <alignment horizontal="center" vertical="center"/>
    </xf>
    <xf numFmtId="10" fontId="1" fillId="3" borderId="6" xfId="3" applyNumberFormat="1" applyFont="1" applyFill="1" applyBorder="1" applyAlignment="1">
      <alignment horizontal="left" vertical="center" wrapText="1"/>
    </xf>
    <xf numFmtId="10" fontId="1" fillId="3" borderId="7" xfId="3" applyNumberFormat="1" applyFont="1" applyFill="1" applyBorder="1" applyAlignment="1">
      <alignment horizontal="left" vertical="center" wrapText="1"/>
    </xf>
    <xf numFmtId="10" fontId="1" fillId="3" borderId="8" xfId="3" applyNumberFormat="1" applyFont="1" applyFill="1" applyBorder="1" applyAlignment="1">
      <alignment horizontal="left" vertical="center" wrapText="1"/>
    </xf>
    <xf numFmtId="10" fontId="1" fillId="3" borderId="9" xfId="3" applyNumberFormat="1" applyFont="1" applyFill="1" applyBorder="1" applyAlignment="1">
      <alignment horizontal="left" vertical="center" wrapText="1"/>
    </xf>
    <xf numFmtId="10" fontId="1" fillId="3" borderId="0" xfId="3" applyNumberFormat="1" applyFont="1" applyFill="1" applyBorder="1" applyAlignment="1">
      <alignment horizontal="left" vertical="center" wrapText="1"/>
    </xf>
    <xf numFmtId="10" fontId="1" fillId="3" borderId="10" xfId="3" applyNumberFormat="1" applyFont="1" applyFill="1" applyBorder="1" applyAlignment="1">
      <alignment horizontal="left" vertical="center" wrapText="1"/>
    </xf>
    <xf numFmtId="10" fontId="1" fillId="3" borderId="11" xfId="3" applyNumberFormat="1" applyFont="1" applyFill="1" applyBorder="1" applyAlignment="1">
      <alignment horizontal="left" vertical="center" wrapText="1"/>
    </xf>
    <xf numFmtId="10" fontId="1" fillId="3" borderId="12" xfId="3" applyNumberFormat="1" applyFont="1" applyFill="1" applyBorder="1" applyAlignment="1">
      <alignment horizontal="left" vertical="center" wrapText="1"/>
    </xf>
    <xf numFmtId="10" fontId="1" fillId="3" borderId="13" xfId="3" applyNumberFormat="1" applyFont="1" applyFill="1" applyBorder="1" applyAlignment="1">
      <alignment horizontal="left"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5" xfId="0" applyFill="1" applyBorder="1" applyAlignment="1">
      <alignment vertical="center" wrapText="1"/>
    </xf>
    <xf numFmtId="0" fontId="1" fillId="3" borderId="14"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8" fillId="3" borderId="17" xfId="0" applyFont="1" applyFill="1" applyBorder="1" applyAlignment="1">
      <alignment horizontal="left"/>
    </xf>
    <xf numFmtId="0" fontId="8" fillId="3" borderId="18" xfId="0" applyFont="1" applyFill="1" applyBorder="1" applyAlignment="1">
      <alignment horizontal="left"/>
    </xf>
    <xf numFmtId="0" fontId="8" fillId="3" borderId="19" xfId="0" applyFont="1" applyFill="1" applyBorder="1" applyAlignment="1">
      <alignment horizontal="left"/>
    </xf>
    <xf numFmtId="0" fontId="8" fillId="3" borderId="17" xfId="0" applyFont="1" applyFill="1" applyBorder="1" applyAlignment="1">
      <alignment horizontal="left" vertical="top" wrapText="1"/>
    </xf>
    <xf numFmtId="0" fontId="8" fillId="3" borderId="18" xfId="0" applyFont="1" applyFill="1" applyBorder="1" applyAlignment="1">
      <alignment horizontal="left" vertical="top" wrapText="1"/>
    </xf>
    <xf numFmtId="0" fontId="8" fillId="3" borderId="19" xfId="0" applyFont="1" applyFill="1" applyBorder="1" applyAlignment="1">
      <alignment horizontal="left" vertical="top" wrapText="1"/>
    </xf>
    <xf numFmtId="0" fontId="4" fillId="12" borderId="14" xfId="0" applyFont="1" applyFill="1" applyBorder="1" applyAlignment="1">
      <alignment horizontal="left" vertical="center"/>
    </xf>
    <xf numFmtId="0" fontId="4" fillId="12" borderId="16" xfId="0" applyFont="1" applyFill="1" applyBorder="1" applyAlignment="1">
      <alignment horizontal="left" vertical="center"/>
    </xf>
    <xf numFmtId="0" fontId="1" fillId="4" borderId="5" xfId="0" applyFont="1" applyFill="1" applyBorder="1" applyAlignment="1">
      <alignment vertical="center"/>
    </xf>
    <xf numFmtId="0" fontId="1" fillId="3" borderId="21" xfId="0" applyFont="1" applyFill="1" applyBorder="1" applyAlignment="1">
      <alignment horizontal="center" vertical="center"/>
    </xf>
    <xf numFmtId="0" fontId="15" fillId="0" borderId="1" xfId="0" applyFont="1" applyBorder="1" applyAlignment="1">
      <alignment horizontal="left" wrapText="1"/>
    </xf>
    <xf numFmtId="0" fontId="15" fillId="0" borderId="1" xfId="0" applyFont="1" applyBorder="1" applyAlignment="1">
      <alignment horizontal="left"/>
    </xf>
    <xf numFmtId="0" fontId="1" fillId="6" borderId="1" xfId="0" applyFont="1" applyFill="1" applyBorder="1" applyAlignment="1">
      <alignment horizontal="center" vertical="center" wrapText="1"/>
    </xf>
    <xf numFmtId="0" fontId="2" fillId="0" borderId="1" xfId="0" applyFont="1" applyBorder="1" applyAlignment="1">
      <alignment horizontal="center"/>
    </xf>
    <xf numFmtId="0" fontId="1" fillId="6" borderId="1" xfId="0" applyFont="1" applyFill="1" applyBorder="1" applyAlignment="1">
      <alignment horizontal="left" vertical="top" wrapText="1"/>
    </xf>
    <xf numFmtId="0" fontId="1" fillId="6" borderId="1" xfId="0" applyFont="1" applyFill="1" applyBorder="1" applyAlignment="1">
      <alignment horizontal="left" vertical="top"/>
    </xf>
    <xf numFmtId="0" fontId="7" fillId="3" borderId="1" xfId="0" applyFont="1" applyFill="1" applyBorder="1" applyAlignment="1">
      <alignment horizontal="center" vertical="top"/>
    </xf>
    <xf numFmtId="0" fontId="1" fillId="0" borderId="1" xfId="0" applyFont="1" applyBorder="1" applyAlignment="1">
      <alignment horizontal="left" vertical="center" wrapText="1"/>
    </xf>
    <xf numFmtId="44" fontId="2" fillId="0" borderId="1" xfId="2" applyFont="1" applyBorder="1" applyAlignment="1">
      <alignment horizontal="center"/>
    </xf>
    <xf numFmtId="168" fontId="2" fillId="0" borderId="1" xfId="2" applyNumberFormat="1" applyFont="1" applyBorder="1" applyAlignment="1">
      <alignment horizontal="center" vertical="top"/>
    </xf>
    <xf numFmtId="171" fontId="4" fillId="7" borderId="5" xfId="0" applyNumberFormat="1" applyFont="1" applyFill="1" applyBorder="1" applyAlignment="1">
      <alignment horizontal="center" vertical="center" wrapText="1"/>
    </xf>
    <xf numFmtId="171" fontId="4" fillId="7" borderId="5" xfId="0" applyNumberFormat="1" applyFont="1" applyFill="1" applyBorder="1" applyAlignment="1">
      <alignment horizontal="right" vertical="center" wrapText="1"/>
    </xf>
    <xf numFmtId="0" fontId="5" fillId="0" borderId="5" xfId="0" applyFont="1" applyFill="1" applyBorder="1" applyAlignment="1">
      <alignment horizontal="left" vertical="center" wrapText="1"/>
    </xf>
    <xf numFmtId="2" fontId="9" fillId="3" borderId="5" xfId="1" applyNumberFormat="1" applyFont="1" applyFill="1" applyBorder="1" applyAlignment="1">
      <alignment horizontal="center" vertical="center"/>
    </xf>
  </cellXfs>
  <cellStyles count="5">
    <cellStyle name="Comma" xfId="1" builtinId="3"/>
    <cellStyle name="Comma 2" xfId="4"/>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M62"/>
  <sheetViews>
    <sheetView topLeftCell="D4" zoomScale="80" zoomScaleNormal="80" workbookViewId="0">
      <selection activeCell="G21" sqref="G21"/>
    </sheetView>
  </sheetViews>
  <sheetFormatPr defaultRowHeight="15" x14ac:dyDescent="0.25"/>
  <cols>
    <col min="1" max="3" width="0" hidden="1" customWidth="1"/>
    <col min="5" max="5" width="47.85546875" bestFit="1" customWidth="1"/>
    <col min="6" max="6" width="32.7109375" bestFit="1" customWidth="1"/>
    <col min="7" max="7" width="15.28515625" bestFit="1" customWidth="1"/>
    <col min="8" max="8" width="44.140625" customWidth="1"/>
    <col min="9" max="9" width="15.85546875" bestFit="1" customWidth="1"/>
  </cols>
  <sheetData>
    <row r="4" spans="5:13" ht="15.75" thickBot="1" x14ac:dyDescent="0.3"/>
    <row r="5" spans="5:13" ht="16.5" thickTop="1" thickBot="1" x14ac:dyDescent="0.3">
      <c r="E5" s="110" t="s">
        <v>72</v>
      </c>
      <c r="F5" s="110"/>
      <c r="G5" s="110"/>
    </row>
    <row r="6" spans="5:13" ht="16.5" thickTop="1" thickBot="1" x14ac:dyDescent="0.3">
      <c r="E6" s="48" t="s">
        <v>110</v>
      </c>
      <c r="F6" s="49" t="s">
        <v>73</v>
      </c>
      <c r="G6" s="50">
        <v>0.6</v>
      </c>
    </row>
    <row r="7" spans="5:13" ht="16.5" thickTop="1" thickBot="1" x14ac:dyDescent="0.3">
      <c r="E7" s="111" t="s">
        <v>111</v>
      </c>
      <c r="F7" s="49" t="s">
        <v>33</v>
      </c>
      <c r="G7" s="50">
        <v>25.606999999999999</v>
      </c>
    </row>
    <row r="8" spans="5:13" ht="16.5" thickTop="1" thickBot="1" x14ac:dyDescent="0.3">
      <c r="E8" s="112"/>
      <c r="F8" s="49" t="s">
        <v>34</v>
      </c>
      <c r="G8" s="50">
        <f>G7*4046.86</f>
        <v>103627.94402</v>
      </c>
    </row>
    <row r="9" spans="5:13" ht="16.5" thickTop="1" thickBot="1" x14ac:dyDescent="0.3">
      <c r="E9" s="101" t="s">
        <v>112</v>
      </c>
      <c r="F9" s="49" t="s">
        <v>34</v>
      </c>
      <c r="G9" s="102">
        <f>G8*G6</f>
        <v>62176.766411999997</v>
      </c>
    </row>
    <row r="10" spans="5:13" ht="31.5" thickTop="1" thickBot="1" x14ac:dyDescent="0.3">
      <c r="E10" s="104" t="s">
        <v>116</v>
      </c>
      <c r="F10" s="51" t="s">
        <v>113</v>
      </c>
      <c r="G10" s="102">
        <f>G9*1.15*10.7639</f>
        <v>769654.17037944577</v>
      </c>
    </row>
    <row r="11" spans="5:13" ht="16.5" thickTop="1" thickBot="1" x14ac:dyDescent="0.3">
      <c r="E11" s="113"/>
      <c r="F11" s="114"/>
      <c r="G11" s="115"/>
    </row>
    <row r="12" spans="5:13" ht="31.5" thickTop="1" thickBot="1" x14ac:dyDescent="0.3">
      <c r="E12" s="86" t="s">
        <v>100</v>
      </c>
      <c r="F12" s="53" t="s">
        <v>36</v>
      </c>
      <c r="G12" s="54">
        <v>2000</v>
      </c>
    </row>
    <row r="13" spans="5:13" ht="16.5" thickTop="1" thickBot="1" x14ac:dyDescent="0.3">
      <c r="E13" s="86" t="s">
        <v>101</v>
      </c>
      <c r="F13" s="53" t="s">
        <v>102</v>
      </c>
      <c r="G13" s="63">
        <v>0.05</v>
      </c>
    </row>
    <row r="14" spans="5:13" ht="16.5" thickTop="1" thickBot="1" x14ac:dyDescent="0.3">
      <c r="E14" s="52" t="s">
        <v>48</v>
      </c>
      <c r="F14" s="53" t="s">
        <v>49</v>
      </c>
      <c r="G14" s="54">
        <v>100</v>
      </c>
      <c r="I14" s="30">
        <f>G14*G10</f>
        <v>76965417.03794457</v>
      </c>
    </row>
    <row r="15" spans="5:13" ht="16.5" thickTop="1" thickBot="1" x14ac:dyDescent="0.3">
      <c r="E15" s="40" t="s">
        <v>39</v>
      </c>
      <c r="F15" s="53" t="s">
        <v>82</v>
      </c>
      <c r="G15" s="55">
        <v>0.05</v>
      </c>
      <c r="I15" s="18" t="e">
        <f>ASSUMPTIONS!#REF!*'Total Outflow'!G14</f>
        <v>#REF!</v>
      </c>
    </row>
    <row r="16" spans="5:13" ht="16.5" thickTop="1" thickBot="1" x14ac:dyDescent="0.3">
      <c r="E16" s="40" t="s">
        <v>40</v>
      </c>
      <c r="F16" s="53" t="s">
        <v>82</v>
      </c>
      <c r="G16" s="55">
        <v>0.05</v>
      </c>
      <c r="I16" s="18" t="e">
        <f>#REF!*'Total Outflow'!G14</f>
        <v>#REF!</v>
      </c>
      <c r="M16">
        <v>27000</v>
      </c>
    </row>
    <row r="17" spans="5:13" ht="16.5" thickTop="1" thickBot="1" x14ac:dyDescent="0.3">
      <c r="E17" s="40"/>
      <c r="F17" s="53"/>
      <c r="G17" s="55"/>
      <c r="I17" s="18"/>
      <c r="M17">
        <f>M16*0.75</f>
        <v>20250</v>
      </c>
    </row>
    <row r="18" spans="5:13" ht="16.5" thickTop="1" thickBot="1" x14ac:dyDescent="0.3">
      <c r="E18" s="40" t="s">
        <v>37</v>
      </c>
      <c r="F18" s="53" t="s">
        <v>38</v>
      </c>
      <c r="G18" s="55">
        <v>0.03</v>
      </c>
      <c r="I18" s="18"/>
      <c r="K18">
        <v>35000</v>
      </c>
    </row>
    <row r="19" spans="5:13" ht="16.5" thickTop="1" thickBot="1" x14ac:dyDescent="0.3">
      <c r="E19" s="40" t="s">
        <v>103</v>
      </c>
      <c r="F19" s="53" t="s">
        <v>81</v>
      </c>
      <c r="G19" s="55">
        <v>0.15</v>
      </c>
      <c r="K19">
        <f>K18*0.75</f>
        <v>26250</v>
      </c>
    </row>
    <row r="20" spans="5:13" ht="16.5" thickTop="1" thickBot="1" x14ac:dyDescent="0.3">
      <c r="E20" s="116"/>
      <c r="F20" s="117"/>
      <c r="G20" s="118"/>
    </row>
    <row r="21" spans="5:13" ht="16.5" thickTop="1" thickBot="1" x14ac:dyDescent="0.3">
      <c r="E21" s="56" t="s">
        <v>75</v>
      </c>
      <c r="F21" s="53" t="s">
        <v>35</v>
      </c>
      <c r="G21" s="54">
        <v>29000</v>
      </c>
      <c r="K21">
        <v>38000</v>
      </c>
    </row>
    <row r="22" spans="5:13" ht="16.5" thickTop="1" thickBot="1" x14ac:dyDescent="0.3">
      <c r="E22" s="56" t="s">
        <v>41</v>
      </c>
      <c r="F22" s="53" t="s">
        <v>42</v>
      </c>
      <c r="G22" s="63">
        <v>0.03</v>
      </c>
      <c r="K22">
        <f>K21*0.76</f>
        <v>28880</v>
      </c>
    </row>
    <row r="23" spans="5:13" ht="15.75" thickTop="1" x14ac:dyDescent="0.25">
      <c r="E23" s="98"/>
      <c r="F23" s="99"/>
      <c r="G23" s="100"/>
    </row>
    <row r="24" spans="5:13" hidden="1" x14ac:dyDescent="0.25">
      <c r="E24" s="47"/>
      <c r="F24" s="47"/>
      <c r="G24" s="47"/>
    </row>
    <row r="25" spans="5:13" hidden="1" x14ac:dyDescent="0.25">
      <c r="E25" s="21" t="s">
        <v>21</v>
      </c>
      <c r="F25" s="24"/>
      <c r="G25" s="25">
        <v>0.75</v>
      </c>
    </row>
    <row r="26" spans="5:13" hidden="1" x14ac:dyDescent="0.25">
      <c r="E26" s="21" t="s">
        <v>22</v>
      </c>
      <c r="F26" s="24"/>
      <c r="G26" s="25">
        <v>0.25</v>
      </c>
    </row>
    <row r="27" spans="5:13" hidden="1" x14ac:dyDescent="0.25">
      <c r="E27" s="21" t="s">
        <v>52</v>
      </c>
      <c r="F27" s="21"/>
      <c r="G27" s="24">
        <v>0.09</v>
      </c>
      <c r="H27" t="s">
        <v>56</v>
      </c>
      <c r="I27" s="84">
        <v>7.0000000000000007E-2</v>
      </c>
    </row>
    <row r="28" spans="5:13" hidden="1" x14ac:dyDescent="0.25">
      <c r="E28" s="21" t="s">
        <v>53</v>
      </c>
      <c r="F28" s="21"/>
      <c r="G28" s="35">
        <v>0.25169999999999998</v>
      </c>
      <c r="H28" t="s">
        <v>57</v>
      </c>
      <c r="I28" s="84">
        <v>0.14000000000000001</v>
      </c>
    </row>
    <row r="29" spans="5:13" hidden="1" x14ac:dyDescent="0.25">
      <c r="E29" s="21" t="s">
        <v>65</v>
      </c>
      <c r="F29" s="21"/>
      <c r="G29" s="26">
        <f>I30</f>
        <v>0.17500000000000002</v>
      </c>
      <c r="H29" t="s">
        <v>98</v>
      </c>
      <c r="I29">
        <v>1.5</v>
      </c>
    </row>
    <row r="30" spans="5:13" hidden="1" x14ac:dyDescent="0.25">
      <c r="E30" s="21" t="s">
        <v>63</v>
      </c>
      <c r="F30" s="21"/>
      <c r="G30" s="35">
        <v>0.25</v>
      </c>
      <c r="H30" t="s">
        <v>99</v>
      </c>
      <c r="I30" s="84">
        <f>I27+(I29*(I28-I27))</f>
        <v>0.17500000000000002</v>
      </c>
    </row>
    <row r="31" spans="5:13" hidden="1" x14ac:dyDescent="0.25">
      <c r="E31" s="21" t="s">
        <v>23</v>
      </c>
      <c r="F31" s="21"/>
      <c r="G31" s="26">
        <f>(G26*G29)+((G25*G27)*(1-G28))</f>
        <v>9.4260250000000004E-2</v>
      </c>
    </row>
    <row r="32" spans="5:13" hidden="1" x14ac:dyDescent="0.25">
      <c r="E32" s="21" t="s">
        <v>64</v>
      </c>
      <c r="F32" s="21"/>
      <c r="G32" s="24"/>
    </row>
    <row r="33" spans="3:11" hidden="1" x14ac:dyDescent="0.25">
      <c r="E33" s="21" t="s">
        <v>3</v>
      </c>
      <c r="F33" s="21"/>
      <c r="G33" s="38">
        <f>G31+G32</f>
        <v>9.4260250000000004E-2</v>
      </c>
    </row>
    <row r="34" spans="3:11" x14ac:dyDescent="0.25">
      <c r="E34" s="119" t="s">
        <v>114</v>
      </c>
      <c r="F34" s="119"/>
      <c r="G34" s="119"/>
    </row>
    <row r="35" spans="3:11" ht="30" customHeight="1" x14ac:dyDescent="0.25">
      <c r="E35" s="106" t="s">
        <v>117</v>
      </c>
      <c r="F35" s="106"/>
      <c r="G35" s="106"/>
    </row>
    <row r="36" spans="3:11" ht="50.1" customHeight="1" x14ac:dyDescent="0.25">
      <c r="E36" s="107" t="s">
        <v>118</v>
      </c>
      <c r="F36" s="108"/>
      <c r="G36" s="109"/>
    </row>
    <row r="37" spans="3:11" ht="39.950000000000003" hidden="1" customHeight="1" x14ac:dyDescent="0.25">
      <c r="E37" s="105"/>
      <c r="F37" s="105"/>
      <c r="G37" s="105"/>
    </row>
    <row r="38" spans="3:11" ht="39.950000000000003" hidden="1" customHeight="1" x14ac:dyDescent="0.25">
      <c r="E38" s="105"/>
      <c r="F38" s="105"/>
      <c r="G38" s="105"/>
      <c r="H38" t="s">
        <v>55</v>
      </c>
      <c r="J38" s="32" t="s">
        <v>54</v>
      </c>
      <c r="K38" s="33">
        <f>G40+G41*(G42-G40)</f>
        <v>0</v>
      </c>
    </row>
    <row r="39" spans="3:11" ht="39.950000000000003" hidden="1" customHeight="1" x14ac:dyDescent="0.25">
      <c r="E39" s="105"/>
      <c r="F39" s="105"/>
      <c r="G39" s="105"/>
    </row>
    <row r="40" spans="3:11" ht="39.950000000000003" hidden="1" customHeight="1" x14ac:dyDescent="0.25">
      <c r="C40" t="s">
        <v>61</v>
      </c>
      <c r="E40" s="105"/>
      <c r="F40" s="105"/>
      <c r="G40" s="105"/>
      <c r="H40" t="s">
        <v>59</v>
      </c>
    </row>
    <row r="41" spans="3:11" ht="39.950000000000003" hidden="1" customHeight="1" x14ac:dyDescent="0.25">
      <c r="E41" s="105"/>
      <c r="F41" s="105"/>
      <c r="G41" s="105"/>
      <c r="H41" t="s">
        <v>60</v>
      </c>
    </row>
    <row r="42" spans="3:11" ht="39.950000000000003" hidden="1" customHeight="1" x14ac:dyDescent="0.25">
      <c r="C42" t="s">
        <v>62</v>
      </c>
      <c r="E42" s="105"/>
      <c r="F42" s="105"/>
      <c r="G42" s="105"/>
      <c r="H42" t="s">
        <v>58</v>
      </c>
    </row>
    <row r="43" spans="3:11" ht="39.950000000000003" hidden="1" customHeight="1" x14ac:dyDescent="0.25">
      <c r="E43" s="105"/>
      <c r="F43" s="105"/>
      <c r="G43" s="105"/>
    </row>
    <row r="44" spans="3:11" ht="39.950000000000003" hidden="1" customHeight="1" x14ac:dyDescent="0.25">
      <c r="E44" s="105"/>
      <c r="F44" s="105"/>
      <c r="G44" s="105"/>
    </row>
    <row r="45" spans="3:11" ht="39.950000000000003" hidden="1" customHeight="1" x14ac:dyDescent="0.25">
      <c r="E45" s="105"/>
      <c r="F45" s="105"/>
      <c r="G45" s="105"/>
      <c r="K45" s="36">
        <f>G26</f>
        <v>0.25</v>
      </c>
    </row>
    <row r="46" spans="3:11" ht="39.950000000000003" hidden="1" customHeight="1" x14ac:dyDescent="0.25">
      <c r="E46" s="105"/>
      <c r="F46" s="105"/>
      <c r="G46" s="105"/>
    </row>
    <row r="47" spans="3:11" ht="39.950000000000003" hidden="1" customHeight="1" x14ac:dyDescent="0.25">
      <c r="E47" s="105"/>
      <c r="F47" s="105"/>
      <c r="G47" s="105"/>
    </row>
    <row r="48" spans="3:11" ht="39.950000000000003" hidden="1" customHeight="1" x14ac:dyDescent="0.25">
      <c r="E48" s="105"/>
      <c r="F48" s="105"/>
      <c r="G48" s="105"/>
      <c r="K48" s="33">
        <f>G27*(1-G28)</f>
        <v>6.734699999999999E-2</v>
      </c>
    </row>
    <row r="49" spans="5:11" ht="39.950000000000003" hidden="1" customHeight="1" x14ac:dyDescent="0.25">
      <c r="E49" s="105"/>
      <c r="F49" s="105"/>
      <c r="G49" s="105"/>
    </row>
    <row r="50" spans="5:11" ht="39.950000000000003" hidden="1" customHeight="1" x14ac:dyDescent="0.25">
      <c r="E50" s="105"/>
      <c r="F50" s="105"/>
      <c r="G50" s="105"/>
    </row>
    <row r="51" spans="5:11" ht="39.950000000000003" hidden="1" customHeight="1" x14ac:dyDescent="0.25">
      <c r="E51" s="105"/>
      <c r="F51" s="105"/>
      <c r="G51" s="105"/>
      <c r="K51" s="36">
        <f>G25</f>
        <v>0.75</v>
      </c>
    </row>
    <row r="52" spans="5:11" ht="39.950000000000003" hidden="1" customHeight="1" x14ac:dyDescent="0.25">
      <c r="E52" s="105"/>
      <c r="F52" s="105"/>
      <c r="G52" s="105"/>
    </row>
    <row r="53" spans="5:11" ht="39.950000000000003" hidden="1" customHeight="1" x14ac:dyDescent="0.25">
      <c r="E53" s="105"/>
      <c r="F53" s="105"/>
      <c r="G53" s="105"/>
      <c r="H53" s="37"/>
    </row>
    <row r="54" spans="5:11" ht="39.950000000000003" hidden="1" customHeight="1" x14ac:dyDescent="0.25">
      <c r="E54" s="105"/>
      <c r="F54" s="105"/>
      <c r="G54" s="105"/>
    </row>
    <row r="55" spans="5:11" ht="39.950000000000003" hidden="1" customHeight="1" x14ac:dyDescent="0.25">
      <c r="E55" s="105"/>
      <c r="F55" s="105"/>
      <c r="G55" s="105"/>
      <c r="H55" s="34"/>
    </row>
    <row r="56" spans="5:11" ht="39.950000000000003" hidden="1" customHeight="1" x14ac:dyDescent="0.25">
      <c r="E56" s="105"/>
      <c r="F56" s="105"/>
      <c r="G56" s="105"/>
      <c r="H56" s="34"/>
    </row>
    <row r="57" spans="5:11" ht="39.950000000000003" hidden="1" customHeight="1" x14ac:dyDescent="0.25">
      <c r="E57" s="105"/>
      <c r="F57" s="105"/>
      <c r="G57" s="105"/>
      <c r="H57" s="34"/>
    </row>
    <row r="58" spans="5:11" ht="39.950000000000003" hidden="1" customHeight="1" x14ac:dyDescent="0.25">
      <c r="E58" s="105"/>
      <c r="F58" s="105"/>
      <c r="G58" s="105"/>
      <c r="H58" s="34"/>
    </row>
    <row r="59" spans="5:11" ht="39.950000000000003" hidden="1" customHeight="1" x14ac:dyDescent="0.25">
      <c r="E59" s="105"/>
      <c r="F59" s="105"/>
      <c r="G59" s="105"/>
      <c r="H59" s="34"/>
    </row>
    <row r="60" spans="5:11" ht="39.950000000000003" hidden="1" customHeight="1" x14ac:dyDescent="0.25">
      <c r="E60" s="105"/>
      <c r="F60" s="105"/>
      <c r="G60" s="105"/>
    </row>
    <row r="61" spans="5:11" ht="39.950000000000003" hidden="1" customHeight="1" x14ac:dyDescent="0.25">
      <c r="E61" s="105"/>
      <c r="F61" s="105"/>
      <c r="G61" s="105"/>
    </row>
    <row r="62" spans="5:11" x14ac:dyDescent="0.25">
      <c r="E62" s="105"/>
      <c r="F62" s="105"/>
      <c r="G62" s="105"/>
    </row>
  </sheetData>
  <mergeCells count="7">
    <mergeCell ref="E35:G35"/>
    <mergeCell ref="E36:G36"/>
    <mergeCell ref="E5:G5"/>
    <mergeCell ref="E7:E8"/>
    <mergeCell ref="E11:G11"/>
    <mergeCell ref="E20:G20"/>
    <mergeCell ref="E34:G3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
  <sheetViews>
    <sheetView workbookViewId="0">
      <selection activeCell="E9" sqref="E9"/>
    </sheetView>
  </sheetViews>
  <sheetFormatPr defaultRowHeight="15" x14ac:dyDescent="0.25"/>
  <cols>
    <col min="2" max="2" width="22" bestFit="1" customWidth="1"/>
    <col min="3" max="3" width="16.85546875" bestFit="1" customWidth="1"/>
    <col min="4" max="4" width="14" customWidth="1"/>
    <col min="5" max="6" width="13" customWidth="1"/>
    <col min="7" max="7" width="12" bestFit="1" customWidth="1"/>
  </cols>
  <sheetData>
    <row r="1" spans="2:7" ht="15" customHeight="1" thickBot="1" x14ac:dyDescent="0.3"/>
    <row r="2" spans="2:7" ht="49.5" customHeight="1" thickTop="1" thickBot="1" x14ac:dyDescent="0.3">
      <c r="B2" s="120" t="s">
        <v>86</v>
      </c>
      <c r="C2" s="120"/>
      <c r="D2" s="120"/>
      <c r="E2" s="120"/>
      <c r="F2" s="120"/>
      <c r="G2" s="120"/>
    </row>
    <row r="3" spans="2:7" ht="16.5" thickTop="1" thickBot="1" x14ac:dyDescent="0.3">
      <c r="B3" s="122" t="s">
        <v>6</v>
      </c>
      <c r="C3" s="123" t="s">
        <v>43</v>
      </c>
      <c r="D3" s="124"/>
      <c r="E3" s="124"/>
      <c r="F3" s="125"/>
      <c r="G3" s="121" t="s">
        <v>4</v>
      </c>
    </row>
    <row r="4" spans="2:7" ht="16.5" thickTop="1" thickBot="1" x14ac:dyDescent="0.3">
      <c r="B4" s="122"/>
      <c r="C4" s="95">
        <v>44652</v>
      </c>
      <c r="D4" s="95">
        <f>EDATE(C4,12)</f>
        <v>45017</v>
      </c>
      <c r="E4" s="95">
        <f>EDATE(D4,12)</f>
        <v>45383</v>
      </c>
      <c r="F4" s="95">
        <f>EDATE(E4,12)</f>
        <v>45748</v>
      </c>
      <c r="G4" s="121"/>
    </row>
    <row r="5" spans="2:7" ht="16.5" thickTop="1" thickBot="1" x14ac:dyDescent="0.3">
      <c r="B5" s="122"/>
      <c r="C5" s="95">
        <f>EDATE(C4,12)-1</f>
        <v>45016</v>
      </c>
      <c r="D5" s="95">
        <f>EDATE(D4,12)-1</f>
        <v>45382</v>
      </c>
      <c r="E5" s="95">
        <f>EDATE(E4,12)-1</f>
        <v>45747</v>
      </c>
      <c r="F5" s="95">
        <f>EDATE(F4,12)-1</f>
        <v>46112</v>
      </c>
      <c r="G5" s="121"/>
    </row>
    <row r="6" spans="2:7" ht="16.5" thickTop="1" thickBot="1" x14ac:dyDescent="0.3">
      <c r="B6" s="57" t="s">
        <v>46</v>
      </c>
      <c r="C6" s="58">
        <v>0.3</v>
      </c>
      <c r="D6" s="58">
        <v>0.35</v>
      </c>
      <c r="E6" s="58">
        <v>0.3</v>
      </c>
      <c r="F6" s="58">
        <v>0.05</v>
      </c>
      <c r="G6" s="59">
        <f>SUM(C6:F6)</f>
        <v>1</v>
      </c>
    </row>
    <row r="7" spans="2:7" ht="31.5" thickTop="1" thickBot="1" x14ac:dyDescent="0.3">
      <c r="B7" s="60" t="s">
        <v>74</v>
      </c>
      <c r="C7" s="61">
        <f>C6*ASSUMPTIONS!$G$10</f>
        <v>230896.25111383371</v>
      </c>
      <c r="D7" s="61">
        <f>D6*ASSUMPTIONS!$G$10</f>
        <v>269378.95963280601</v>
      </c>
      <c r="E7" s="61">
        <f>E6*ASSUMPTIONS!$G$10</f>
        <v>230896.25111383371</v>
      </c>
      <c r="F7" s="61">
        <f>F6*ASSUMPTIONS!$G$10</f>
        <v>38482.708518972293</v>
      </c>
      <c r="G7" s="62">
        <f>SUM(C7,D7,E7,F7)</f>
        <v>769654.17037944577</v>
      </c>
    </row>
    <row r="8" spans="2:7" ht="15.75" thickTop="1" x14ac:dyDescent="0.25"/>
  </sheetData>
  <mergeCells count="4">
    <mergeCell ref="B2:G2"/>
    <mergeCell ref="G3:G5"/>
    <mergeCell ref="B3:B5"/>
    <mergeCell ref="C3:F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9"/>
  <sheetViews>
    <sheetView zoomScale="85" zoomScaleNormal="85" workbookViewId="0">
      <selection activeCell="D4" sqref="D4"/>
    </sheetView>
  </sheetViews>
  <sheetFormatPr defaultRowHeight="15" x14ac:dyDescent="0.25"/>
  <cols>
    <col min="2" max="2" width="5.7109375" bestFit="1" customWidth="1"/>
    <col min="3" max="3" width="27.42578125" customWidth="1"/>
    <col min="4" max="4" width="15.7109375" customWidth="1"/>
    <col min="5" max="5" width="21.140625" bestFit="1" customWidth="1"/>
    <col min="6" max="6" width="19.5703125" bestFit="1" customWidth="1"/>
  </cols>
  <sheetData>
    <row r="2" spans="2:6" ht="40.5" customHeight="1" x14ac:dyDescent="0.25">
      <c r="B2" s="127" t="s">
        <v>84</v>
      </c>
      <c r="C2" s="127"/>
      <c r="D2" s="127"/>
      <c r="E2" s="127"/>
      <c r="F2" s="127"/>
    </row>
    <row r="3" spans="2:6" ht="45" x14ac:dyDescent="0.25">
      <c r="B3" s="96" t="s">
        <v>0</v>
      </c>
      <c r="C3" s="96" t="s">
        <v>19</v>
      </c>
      <c r="D3" s="96" t="s">
        <v>107</v>
      </c>
      <c r="E3" s="96" t="s">
        <v>108</v>
      </c>
      <c r="F3" s="96" t="s">
        <v>8</v>
      </c>
    </row>
    <row r="4" spans="2:6" x14ac:dyDescent="0.25">
      <c r="B4" s="1">
        <v>1</v>
      </c>
      <c r="C4" s="23" t="s">
        <v>47</v>
      </c>
      <c r="D4" s="28">
        <f>ASSUMPTIONS!G10</f>
        <v>769654.17037944577</v>
      </c>
      <c r="E4" s="2">
        <v>29000</v>
      </c>
      <c r="F4" s="3">
        <f>E4*D4</f>
        <v>22319970941.003929</v>
      </c>
    </row>
    <row r="5" spans="2:6" x14ac:dyDescent="0.25">
      <c r="B5" s="126" t="s">
        <v>4</v>
      </c>
      <c r="C5" s="126"/>
      <c r="D5" s="19">
        <f>SUM(D4:D4)</f>
        <v>769654.17037944577</v>
      </c>
      <c r="E5" s="19"/>
      <c r="F5" s="5">
        <f>SUM(F4:F4)</f>
        <v>22319970941.003929</v>
      </c>
    </row>
    <row r="6" spans="2:6" x14ac:dyDescent="0.25">
      <c r="B6" s="128"/>
      <c r="C6" s="129"/>
      <c r="D6" s="129"/>
      <c r="E6" s="129"/>
      <c r="F6" s="130"/>
    </row>
    <row r="7" spans="2:6" ht="51.75" customHeight="1" x14ac:dyDescent="0.25"/>
    <row r="8" spans="2:6" ht="21.75" customHeight="1" x14ac:dyDescent="0.25">
      <c r="F8" s="18"/>
    </row>
    <row r="9" spans="2:6" x14ac:dyDescent="0.25">
      <c r="F9" s="18"/>
    </row>
  </sheetData>
  <mergeCells count="3">
    <mergeCell ref="B5:C5"/>
    <mergeCell ref="B2:F2"/>
    <mergeCell ref="B6:F6"/>
  </mergeCells>
  <phoneticPr fontId="1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J28"/>
  <sheetViews>
    <sheetView topLeftCell="A10" zoomScaleNormal="100" workbookViewId="0">
      <selection activeCell="D6" sqref="D6:H21"/>
    </sheetView>
  </sheetViews>
  <sheetFormatPr defaultColWidth="9.140625" defaultRowHeight="15" x14ac:dyDescent="0.25"/>
  <cols>
    <col min="1" max="3" width="9.140625" style="6"/>
    <col min="4" max="4" width="31.42578125" style="6" customWidth="1"/>
    <col min="5" max="5" width="18.5703125" style="6" customWidth="1"/>
    <col min="6" max="6" width="17.28515625" style="6" customWidth="1"/>
    <col min="7" max="8" width="16" style="6" customWidth="1"/>
    <col min="9" max="16384" width="9.140625" style="6"/>
  </cols>
  <sheetData>
    <row r="5" spans="4:10" ht="15.75" thickBot="1" x14ac:dyDescent="0.3"/>
    <row r="6" spans="4:10" ht="16.5" thickTop="1" thickBot="1" x14ac:dyDescent="0.3">
      <c r="D6" s="120" t="s">
        <v>7</v>
      </c>
      <c r="E6" s="120"/>
      <c r="F6" s="120"/>
      <c r="G6" s="120"/>
      <c r="H6" s="120"/>
    </row>
    <row r="7" spans="4:10" ht="16.5" thickTop="1" thickBot="1" x14ac:dyDescent="0.3">
      <c r="D7" s="122" t="s">
        <v>91</v>
      </c>
      <c r="E7" s="134" t="s">
        <v>92</v>
      </c>
      <c r="F7" s="135"/>
      <c r="G7" s="135"/>
      <c r="H7" s="136"/>
    </row>
    <row r="8" spans="4:10" ht="16.5" thickTop="1" thickBot="1" x14ac:dyDescent="0.3">
      <c r="D8" s="122"/>
      <c r="E8" s="97">
        <v>44652</v>
      </c>
      <c r="F8" s="97">
        <f>EDATE(E8,12)</f>
        <v>45017</v>
      </c>
      <c r="G8" s="97">
        <f>EDATE(F8,12)</f>
        <v>45383</v>
      </c>
      <c r="H8" s="97">
        <f>EDATE(G8,12)</f>
        <v>45748</v>
      </c>
    </row>
    <row r="9" spans="4:10" ht="16.5" thickTop="1" thickBot="1" x14ac:dyDescent="0.3">
      <c r="D9" s="122"/>
      <c r="E9" s="97">
        <f>EDATE(E8,12)-1</f>
        <v>45016</v>
      </c>
      <c r="F9" s="97">
        <f>EDATE(F8,12)-1</f>
        <v>45382</v>
      </c>
      <c r="G9" s="97">
        <f>EDATE(G8,12)-1</f>
        <v>45747</v>
      </c>
      <c r="H9" s="97">
        <f>EDATE(H8,12)-1</f>
        <v>46112</v>
      </c>
    </row>
    <row r="10" spans="4:10" ht="18" customHeight="1" thickTop="1" thickBot="1" x14ac:dyDescent="0.3">
      <c r="D10" s="64" t="s">
        <v>83</v>
      </c>
      <c r="E10" s="80">
        <f>'Absorption Rate'!C7</f>
        <v>230896.25111383371</v>
      </c>
      <c r="F10" s="80">
        <f>'Absorption Rate'!D7</f>
        <v>269378.95963280601</v>
      </c>
      <c r="G10" s="80">
        <f>'Absorption Rate'!E7</f>
        <v>230896.25111383371</v>
      </c>
      <c r="H10" s="80">
        <f>'Absorption Rate'!F7</f>
        <v>38482.708518972293</v>
      </c>
    </row>
    <row r="11" spans="4:10" ht="16.5" thickTop="1" thickBot="1" x14ac:dyDescent="0.3">
      <c r="D11" s="64" t="s">
        <v>66</v>
      </c>
      <c r="E11" s="65">
        <f>E10/'Absorption Rate'!$G7</f>
        <v>0.3</v>
      </c>
      <c r="F11" s="65">
        <f>F10/'Absorption Rate'!$G7</f>
        <v>0.35</v>
      </c>
      <c r="G11" s="65">
        <f>G10/'Absorption Rate'!$G7</f>
        <v>0.3</v>
      </c>
      <c r="H11" s="65">
        <f>H10/'Absorption Rate'!$G7</f>
        <v>0.05</v>
      </c>
    </row>
    <row r="12" spans="4:10" ht="16.5" thickTop="1" thickBot="1" x14ac:dyDescent="0.3">
      <c r="D12" s="64" t="s">
        <v>45</v>
      </c>
      <c r="E12" s="65">
        <v>0</v>
      </c>
      <c r="F12" s="65">
        <f>ASSUMPTIONS!G22</f>
        <v>0.03</v>
      </c>
      <c r="G12" s="65">
        <f>ASSUMPTIONS!G22</f>
        <v>0.03</v>
      </c>
      <c r="H12" s="65">
        <v>0.03</v>
      </c>
    </row>
    <row r="13" spans="4:10" ht="16.5" thickTop="1" thickBot="1" x14ac:dyDescent="0.3">
      <c r="D13" s="64" t="s">
        <v>44</v>
      </c>
      <c r="E13" s="66">
        <f>ASSUMPTIONS!G21</f>
        <v>29000</v>
      </c>
      <c r="F13" s="66">
        <f>E13*(1+F12)</f>
        <v>29870</v>
      </c>
      <c r="G13" s="66">
        <f>F13*(1+G12)</f>
        <v>30766.100000000002</v>
      </c>
      <c r="H13" s="66">
        <f>G13*(1+H12)</f>
        <v>31689.083000000002</v>
      </c>
    </row>
    <row r="14" spans="4:10" ht="16.5" thickTop="1" thickBot="1" x14ac:dyDescent="0.3">
      <c r="D14" s="67" t="s">
        <v>88</v>
      </c>
      <c r="E14" s="68">
        <f>E13*E10/10^7</f>
        <v>669.5991282301178</v>
      </c>
      <c r="F14" s="68">
        <f>F13*F10/10^7</f>
        <v>804.63495242319152</v>
      </c>
      <c r="G14" s="68">
        <f>G13*G10/10^7</f>
        <v>710.37771513933205</v>
      </c>
      <c r="H14" s="68">
        <f>H13*H10/10^7</f>
        <v>121.94817443225203</v>
      </c>
      <c r="J14" s="29"/>
    </row>
    <row r="15" spans="4:10" ht="16.5" thickTop="1" thickBot="1" x14ac:dyDescent="0.3">
      <c r="D15" s="69" t="s">
        <v>89</v>
      </c>
      <c r="E15" s="79">
        <f>E14</f>
        <v>669.5991282301178</v>
      </c>
      <c r="F15" s="79">
        <f>F14</f>
        <v>804.63495242319152</v>
      </c>
      <c r="G15" s="79">
        <f>G14</f>
        <v>710.37771513933205</v>
      </c>
      <c r="H15" s="79">
        <f>H14</f>
        <v>121.94817443225203</v>
      </c>
      <c r="J15" s="8"/>
    </row>
    <row r="16" spans="4:10" ht="16.5" thickTop="1" thickBot="1" x14ac:dyDescent="0.3">
      <c r="D16" s="132"/>
      <c r="E16" s="132"/>
      <c r="F16" s="132"/>
      <c r="G16" s="132"/>
      <c r="H16" s="132"/>
    </row>
    <row r="17" spans="4:8" ht="16.5" thickTop="1" thickBot="1" x14ac:dyDescent="0.3">
      <c r="D17" s="133" t="s">
        <v>5</v>
      </c>
      <c r="E17" s="133"/>
      <c r="F17" s="133"/>
      <c r="G17" s="133"/>
      <c r="H17" s="133"/>
    </row>
    <row r="18" spans="4:8" ht="51" customHeight="1" thickTop="1" thickBot="1" x14ac:dyDescent="0.3">
      <c r="D18" s="131" t="s">
        <v>51</v>
      </c>
      <c r="E18" s="131"/>
      <c r="F18" s="131"/>
      <c r="G18" s="131"/>
      <c r="H18" s="131"/>
    </row>
    <row r="19" spans="4:8" ht="77.25" customHeight="1" thickTop="1" thickBot="1" x14ac:dyDescent="0.3">
      <c r="D19" s="188" t="s">
        <v>120</v>
      </c>
      <c r="E19" s="188"/>
      <c r="F19" s="188"/>
      <c r="G19" s="188"/>
      <c r="H19" s="188"/>
    </row>
    <row r="20" spans="4:8" ht="36" customHeight="1" thickTop="1" thickBot="1" x14ac:dyDescent="0.3">
      <c r="D20" s="131" t="s">
        <v>87</v>
      </c>
      <c r="E20" s="131"/>
      <c r="F20" s="131"/>
      <c r="G20" s="131"/>
      <c r="H20" s="131"/>
    </row>
    <row r="21" spans="4:8" ht="16.5" customHeight="1" thickTop="1" thickBot="1" x14ac:dyDescent="0.3">
      <c r="D21" s="131" t="s">
        <v>90</v>
      </c>
      <c r="E21" s="131"/>
      <c r="F21" s="131"/>
      <c r="G21" s="131"/>
      <c r="H21" s="131"/>
    </row>
    <row r="22" spans="4:8" ht="15.75" thickTop="1" x14ac:dyDescent="0.25"/>
    <row r="28" spans="4:8" x14ac:dyDescent="0.25">
      <c r="F28" s="9"/>
    </row>
  </sheetData>
  <mergeCells count="9">
    <mergeCell ref="D19:H19"/>
    <mergeCell ref="D20:H20"/>
    <mergeCell ref="D21:H21"/>
    <mergeCell ref="D6:H6"/>
    <mergeCell ref="D7:D9"/>
    <mergeCell ref="D16:H16"/>
    <mergeCell ref="D17:H17"/>
    <mergeCell ref="D18:H18"/>
    <mergeCell ref="E7:H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K20"/>
  <sheetViews>
    <sheetView topLeftCell="A4" workbookViewId="0">
      <selection activeCell="D6" sqref="D6:G17"/>
    </sheetView>
  </sheetViews>
  <sheetFormatPr defaultRowHeight="15" x14ac:dyDescent="0.25"/>
  <cols>
    <col min="4" max="4" width="19" bestFit="1" customWidth="1"/>
    <col min="5" max="5" width="23.140625" bestFit="1" customWidth="1"/>
    <col min="6" max="6" width="25.85546875" customWidth="1"/>
    <col min="7" max="7" width="18.5703125" bestFit="1" customWidth="1"/>
    <col min="10" max="10" width="25.140625" bestFit="1" customWidth="1"/>
    <col min="11" max="11" width="20.42578125" bestFit="1" customWidth="1"/>
  </cols>
  <sheetData>
    <row r="5" spans="4:11" ht="15" customHeight="1" thickBot="1" x14ac:dyDescent="0.3"/>
    <row r="6" spans="4:11" ht="26.25" customHeight="1" thickTop="1" thickBot="1" x14ac:dyDescent="0.3">
      <c r="D6" s="138" t="s">
        <v>93</v>
      </c>
      <c r="E6" s="139"/>
      <c r="F6" s="139"/>
      <c r="G6" s="140"/>
      <c r="H6" s="83"/>
      <c r="I6" s="82"/>
      <c r="J6" s="4" t="s">
        <v>26</v>
      </c>
      <c r="K6" s="4" t="s">
        <v>27</v>
      </c>
    </row>
    <row r="7" spans="4:11" ht="57" thickTop="1" thickBot="1" x14ac:dyDescent="0.3">
      <c r="D7" s="70" t="s">
        <v>29</v>
      </c>
      <c r="E7" s="70" t="s">
        <v>28</v>
      </c>
      <c r="F7" s="70" t="s">
        <v>30</v>
      </c>
      <c r="G7" s="70" t="s">
        <v>31</v>
      </c>
      <c r="J7" s="1"/>
      <c r="K7" s="27">
        <f>ASSUMPTIONS!G10</f>
        <v>769654.17037944577</v>
      </c>
    </row>
    <row r="8" spans="4:11" ht="16.5" hidden="1" thickTop="1" thickBot="1" x14ac:dyDescent="0.3">
      <c r="D8" s="57"/>
      <c r="E8" s="57"/>
      <c r="F8" s="57"/>
      <c r="G8" s="57"/>
    </row>
    <row r="9" spans="4:11" ht="16.5" thickTop="1" thickBot="1" x14ac:dyDescent="0.3">
      <c r="D9" s="71" t="s">
        <v>20</v>
      </c>
      <c r="E9" s="72">
        <f>ASSUMPTIONS!G12*ASSUMPTIONS!G10</f>
        <v>1539308340.7588916</v>
      </c>
      <c r="F9" s="72">
        <v>596636413</v>
      </c>
      <c r="G9" s="72">
        <f>E9-F9</f>
        <v>942671927.75889158</v>
      </c>
    </row>
    <row r="10" spans="4:11" ht="16.5" thickTop="1" thickBot="1" x14ac:dyDescent="0.3">
      <c r="D10" s="71" t="s">
        <v>104</v>
      </c>
      <c r="E10" s="72">
        <f>G9*ASSUMPTIONS!G13</f>
        <v>47133596.387944579</v>
      </c>
      <c r="F10" s="72"/>
      <c r="G10" s="72">
        <f>E10-F10</f>
        <v>47133596.387944579</v>
      </c>
    </row>
    <row r="11" spans="4:11" ht="16.5" thickTop="1" thickBot="1" x14ac:dyDescent="0.3">
      <c r="D11" s="71" t="s">
        <v>24</v>
      </c>
      <c r="E11" s="72">
        <f>G9*ASSUMPTIONS!G15</f>
        <v>47133596.387944579</v>
      </c>
      <c r="F11" s="72">
        <v>0</v>
      </c>
      <c r="G11" s="72">
        <f>E11-F11</f>
        <v>47133596.387944579</v>
      </c>
    </row>
    <row r="12" spans="4:11" ht="16.5" thickTop="1" thickBot="1" x14ac:dyDescent="0.3">
      <c r="D12" s="71" t="s">
        <v>25</v>
      </c>
      <c r="E12" s="72">
        <f>G9*ASSUMPTIONS!G16</f>
        <v>47133596.387944579</v>
      </c>
      <c r="F12" s="72">
        <v>0</v>
      </c>
      <c r="G12" s="72">
        <f>E12-F12</f>
        <v>47133596.387944579</v>
      </c>
    </row>
    <row r="13" spans="4:11" ht="16.5" thickTop="1" thickBot="1" x14ac:dyDescent="0.3">
      <c r="D13" s="71" t="s">
        <v>50</v>
      </c>
      <c r="E13" s="72">
        <f>ASSUMPTIONS!G14*ASSUMPTIONS!G10</f>
        <v>76965417.03794457</v>
      </c>
      <c r="F13" s="72">
        <v>0</v>
      </c>
      <c r="G13" s="72">
        <f>E13-F13</f>
        <v>76965417.03794457</v>
      </c>
    </row>
    <row r="14" spans="4:11" s="34" customFormat="1" ht="16.5" thickTop="1" thickBot="1" x14ac:dyDescent="0.3">
      <c r="D14" s="70" t="s">
        <v>4</v>
      </c>
      <c r="E14" s="187">
        <f>SUM(E9:E13)</f>
        <v>1757674546.9606702</v>
      </c>
      <c r="F14" s="187">
        <f>SUM(F9:F13)</f>
        <v>596636413</v>
      </c>
      <c r="G14" s="186">
        <f>SUM(G9:G13)</f>
        <v>1161038133.9606698</v>
      </c>
    </row>
    <row r="15" spans="4:11" ht="15.75" thickTop="1" x14ac:dyDescent="0.25">
      <c r="E15" s="18"/>
    </row>
    <row r="16" spans="4:11" x14ac:dyDescent="0.25">
      <c r="D16" s="141" t="s">
        <v>114</v>
      </c>
      <c r="E16" s="141"/>
      <c r="F16" s="141"/>
      <c r="G16" s="141"/>
    </row>
    <row r="17" spans="4:7" x14ac:dyDescent="0.25">
      <c r="D17" s="137" t="s">
        <v>119</v>
      </c>
      <c r="E17" s="137"/>
      <c r="F17" s="137"/>
      <c r="G17" s="137"/>
    </row>
    <row r="18" spans="4:7" x14ac:dyDescent="0.25">
      <c r="G18" s="18"/>
    </row>
    <row r="20" spans="4:7" x14ac:dyDescent="0.25">
      <c r="F20" s="18"/>
    </row>
  </sheetData>
  <mergeCells count="3">
    <mergeCell ref="D17:G17"/>
    <mergeCell ref="D6:G6"/>
    <mergeCell ref="D16:G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224"/>
  <sheetViews>
    <sheetView tabSelected="1" topLeftCell="F12" zoomScale="91" zoomScaleNormal="91" workbookViewId="0">
      <selection activeCell="O24" sqref="O24"/>
    </sheetView>
  </sheetViews>
  <sheetFormatPr defaultRowHeight="15" x14ac:dyDescent="0.25"/>
  <cols>
    <col min="1" max="1" width="2" style="76" customWidth="1"/>
    <col min="2" max="2" width="26.5703125" bestFit="1" customWidth="1"/>
    <col min="3" max="3" width="19.42578125" bestFit="1" customWidth="1"/>
    <col min="4" max="4" width="18" bestFit="1" customWidth="1"/>
    <col min="5" max="5" width="14" customWidth="1"/>
    <col min="6" max="6" width="14.5703125" bestFit="1" customWidth="1"/>
    <col min="7" max="7" width="14.5703125" customWidth="1"/>
    <col min="8" max="8" width="14.85546875" hidden="1" customWidth="1"/>
    <col min="9" max="9" width="9.140625" style="76"/>
    <col min="10" max="10" width="20.5703125" style="76" bestFit="1" customWidth="1"/>
    <col min="11" max="12" width="11" style="76" customWidth="1"/>
    <col min="13" max="13" width="20.5703125" style="76" bestFit="1" customWidth="1"/>
    <col min="14" max="14" width="17.7109375" style="76" bestFit="1" customWidth="1"/>
    <col min="15" max="15" width="20.5703125" style="76" bestFit="1" customWidth="1"/>
    <col min="16" max="16" width="13.140625" style="76" bestFit="1" customWidth="1"/>
    <col min="17" max="17" width="9.140625" style="76"/>
    <col min="18" max="18" width="17.7109375" style="76" bestFit="1" customWidth="1"/>
    <col min="19" max="143" width="9.140625" style="76"/>
  </cols>
  <sheetData>
    <row r="1" spans="1:143" s="76" customFormat="1" ht="15.75" thickBot="1" x14ac:dyDescent="0.3"/>
    <row r="2" spans="1:143" ht="17.25" thickTop="1" thickBot="1" x14ac:dyDescent="0.3">
      <c r="B2" s="143" t="s">
        <v>71</v>
      </c>
      <c r="C2" s="143"/>
      <c r="D2" s="143"/>
      <c r="E2" s="143"/>
      <c r="F2" s="143"/>
      <c r="G2" s="143"/>
      <c r="H2" s="143"/>
    </row>
    <row r="3" spans="1:143" ht="16.5" thickTop="1" thickBot="1" x14ac:dyDescent="0.3">
      <c r="B3" s="144" t="s">
        <v>68</v>
      </c>
      <c r="C3" s="145" t="s">
        <v>78</v>
      </c>
      <c r="D3" s="87">
        <f>Inflow!E8</f>
        <v>44652</v>
      </c>
      <c r="E3" s="87">
        <f>Inflow!F8</f>
        <v>45017</v>
      </c>
      <c r="F3" s="87">
        <f>Inflow!G8</f>
        <v>45383</v>
      </c>
      <c r="G3" s="87">
        <f>Inflow!H8</f>
        <v>45748</v>
      </c>
      <c r="H3" s="146" t="s">
        <v>69</v>
      </c>
    </row>
    <row r="4" spans="1:143" ht="16.5" thickTop="1" thickBot="1" x14ac:dyDescent="0.3">
      <c r="B4" s="144"/>
      <c r="C4" s="145"/>
      <c r="D4" s="87">
        <f>Inflow!E9</f>
        <v>45016</v>
      </c>
      <c r="E4" s="87">
        <f>Inflow!F9</f>
        <v>45382</v>
      </c>
      <c r="F4" s="87">
        <f>Inflow!G9</f>
        <v>45747</v>
      </c>
      <c r="G4" s="87">
        <f>Inflow!H9</f>
        <v>46112</v>
      </c>
      <c r="H4" s="146"/>
    </row>
    <row r="5" spans="1:143" ht="16.5" thickTop="1" thickBot="1" x14ac:dyDescent="0.3">
      <c r="B5" s="150"/>
      <c r="C5" s="150"/>
      <c r="D5" s="150"/>
      <c r="E5" s="150"/>
      <c r="F5" s="150"/>
      <c r="G5" s="150"/>
      <c r="H5" s="150"/>
    </row>
    <row r="6" spans="1:143" ht="29.25" customHeight="1" thickTop="1" thickBot="1" x14ac:dyDescent="0.3">
      <c r="B6" s="147" t="s">
        <v>109</v>
      </c>
      <c r="C6" s="147"/>
      <c r="D6" s="45">
        <f>Inflow!E15</f>
        <v>669.5991282301178</v>
      </c>
      <c r="E6" s="45">
        <f>Inflow!F15</f>
        <v>804.63495242319152</v>
      </c>
      <c r="F6" s="45">
        <f>Inflow!G15</f>
        <v>710.37771513933205</v>
      </c>
      <c r="G6" s="45">
        <f>Inflow!H15</f>
        <v>121.94817443225203</v>
      </c>
      <c r="H6" s="45">
        <f>SUM(G6,F6,E6,D6)</f>
        <v>2306.5599702248933</v>
      </c>
    </row>
    <row r="7" spans="1:143" ht="16.5" thickTop="1" thickBot="1" x14ac:dyDescent="0.3">
      <c r="B7" s="149"/>
      <c r="C7" s="149"/>
      <c r="D7" s="149"/>
      <c r="E7" s="149"/>
      <c r="F7" s="149"/>
      <c r="G7" s="149"/>
      <c r="H7" s="149"/>
    </row>
    <row r="8" spans="1:143" s="34" customFormat="1" ht="16.5" thickTop="1" thickBot="1" x14ac:dyDescent="0.3">
      <c r="A8" s="77"/>
      <c r="B8" s="148" t="s">
        <v>94</v>
      </c>
      <c r="C8" s="148"/>
      <c r="D8" s="88">
        <f>SUM(D6:D6)</f>
        <v>669.5991282301178</v>
      </c>
      <c r="E8" s="88">
        <f>SUM(E6:E6)</f>
        <v>804.63495242319152</v>
      </c>
      <c r="F8" s="88">
        <f>SUM(F6:F6)</f>
        <v>710.37771513933205</v>
      </c>
      <c r="G8" s="88">
        <f>SUM(G6:G6)</f>
        <v>121.94817443225203</v>
      </c>
      <c r="H8" s="46">
        <f>SUM(D8:G8)</f>
        <v>2306.5599702248933</v>
      </c>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row>
    <row r="9" spans="1:143" ht="16.5" thickTop="1" thickBot="1" x14ac:dyDescent="0.3">
      <c r="B9" s="142"/>
      <c r="C9" s="142"/>
      <c r="D9" s="142"/>
      <c r="E9" s="142"/>
      <c r="F9" s="142"/>
      <c r="G9" s="43"/>
      <c r="H9" s="40"/>
    </row>
    <row r="10" spans="1:143" ht="16.5" thickTop="1" thickBot="1" x14ac:dyDescent="0.3">
      <c r="B10" s="147" t="s">
        <v>20</v>
      </c>
      <c r="C10" s="147"/>
      <c r="D10" s="41">
        <f>('Total Outflow'!$G$9*30%)/10^7</f>
        <v>28.280157832766747</v>
      </c>
      <c r="E10" s="41">
        <f>('Total Outflow'!$G$9*35%)/10^7</f>
        <v>32.993517471561205</v>
      </c>
      <c r="F10" s="41">
        <f>('Total Outflow'!$G$9*35%)/10^7</f>
        <v>32.993517471561205</v>
      </c>
      <c r="G10" s="44">
        <v>0</v>
      </c>
      <c r="H10" s="41">
        <f>SUM(G10,F10,E10,D10)</f>
        <v>94.267192775889157</v>
      </c>
    </row>
    <row r="11" spans="1:143" ht="16.5" thickTop="1" thickBot="1" x14ac:dyDescent="0.3">
      <c r="B11" s="164" t="s">
        <v>105</v>
      </c>
      <c r="C11" s="165"/>
      <c r="D11" s="41">
        <f>'Total Outflow'!$E$10*30%/10^7</f>
        <v>1.4140078916383372</v>
      </c>
      <c r="E11" s="41">
        <f>'Total Outflow'!$E$10*35%/10^7</f>
        <v>1.6496758735780603</v>
      </c>
      <c r="F11" s="41">
        <f>'Total Outflow'!$E$10*35%/10^7</f>
        <v>1.6496758735780603</v>
      </c>
      <c r="G11" s="44" t="s">
        <v>73</v>
      </c>
      <c r="H11" s="41"/>
    </row>
    <row r="12" spans="1:143" ht="15" customHeight="1" thickTop="1" thickBot="1" x14ac:dyDescent="0.3">
      <c r="B12" s="163" t="s">
        <v>96</v>
      </c>
      <c r="C12" s="163"/>
      <c r="D12" s="41">
        <f>'Total Outflow'!G13/10^7</f>
        <v>7.6965417037944572</v>
      </c>
      <c r="E12" s="189" t="s">
        <v>73</v>
      </c>
      <c r="F12" s="189" t="s">
        <v>73</v>
      </c>
      <c r="G12" s="44">
        <v>0</v>
      </c>
      <c r="H12" s="41">
        <f>SUM(G12,F12,E12,D12)</f>
        <v>7.6965417037944572</v>
      </c>
    </row>
    <row r="13" spans="1:143" ht="14.45" customHeight="1" thickTop="1" thickBot="1" x14ac:dyDescent="0.3">
      <c r="B13" s="147" t="s">
        <v>97</v>
      </c>
      <c r="C13" s="147"/>
      <c r="D13" s="41">
        <f>('Total Outflow'!$G$11*30%)/10^7</f>
        <v>1.4140078916383372</v>
      </c>
      <c r="E13" s="41">
        <f>('Total Outflow'!$G$11*35%)/10^7</f>
        <v>1.6496758735780603</v>
      </c>
      <c r="F13" s="41">
        <f>('Total Outflow'!$G$11*35%)/10^7</f>
        <v>1.6496758735780603</v>
      </c>
      <c r="G13" s="44">
        <v>0</v>
      </c>
      <c r="H13" s="41">
        <f>SUM(D13:G13)</f>
        <v>4.7133596387944579</v>
      </c>
    </row>
    <row r="14" spans="1:143" ht="16.5" thickTop="1" thickBot="1" x14ac:dyDescent="0.3">
      <c r="B14" s="147" t="s">
        <v>25</v>
      </c>
      <c r="C14" s="147"/>
      <c r="D14" s="41">
        <f>('Total Outflow'!$G$12*30%)/10^7</f>
        <v>1.4140078916383372</v>
      </c>
      <c r="E14" s="41">
        <f>('Total Outflow'!$G$12*35%)/10^7</f>
        <v>1.6496758735780603</v>
      </c>
      <c r="F14" s="41">
        <f>('Total Outflow'!$G$12*35%)/10^7</f>
        <v>1.6496758735780603</v>
      </c>
      <c r="G14" s="44">
        <v>0</v>
      </c>
      <c r="H14" s="41">
        <f>SUM(D14:G14)</f>
        <v>4.7133596387944579</v>
      </c>
    </row>
    <row r="15" spans="1:143" ht="16.5" thickTop="1" thickBot="1" x14ac:dyDescent="0.3">
      <c r="B15" s="142"/>
      <c r="C15" s="142"/>
      <c r="D15" s="142"/>
      <c r="E15" s="142"/>
      <c r="F15" s="142"/>
      <c r="G15" s="43"/>
      <c r="H15" s="39"/>
    </row>
    <row r="16" spans="1:143" s="34" customFormat="1" ht="16.5" thickTop="1" thickBot="1" x14ac:dyDescent="0.3">
      <c r="A16" s="77"/>
      <c r="B16" s="174" t="s">
        <v>95</v>
      </c>
      <c r="C16" s="174"/>
      <c r="D16" s="89">
        <f>SUM(D10:D14)</f>
        <v>40.21872321147621</v>
      </c>
      <c r="E16" s="89">
        <f t="shared" ref="E16:G16" si="0">SUM(E10:E14)</f>
        <v>37.94254509229539</v>
      </c>
      <c r="F16" s="89">
        <f t="shared" si="0"/>
        <v>37.94254509229539</v>
      </c>
      <c r="G16" s="89">
        <f t="shared" si="0"/>
        <v>0</v>
      </c>
      <c r="H16" s="42">
        <f>SUM(G16,F16,E16,D16)</f>
        <v>116.10381339606698</v>
      </c>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row>
    <row r="17" spans="2:18" ht="16.5" thickTop="1" thickBot="1" x14ac:dyDescent="0.3">
      <c r="B17" s="142"/>
      <c r="C17" s="142"/>
      <c r="D17" s="175"/>
      <c r="E17" s="175"/>
      <c r="F17" s="175"/>
      <c r="G17" s="73"/>
      <c r="H17" s="74"/>
    </row>
    <row r="18" spans="2:18" ht="16.5" thickTop="1" thickBot="1" x14ac:dyDescent="0.3">
      <c r="B18" s="172" t="s">
        <v>77</v>
      </c>
      <c r="C18" s="173"/>
      <c r="D18" s="90">
        <f>D8-D16</f>
        <v>629.38040501864157</v>
      </c>
      <c r="E18" s="90">
        <f t="shared" ref="E18:G18" si="1">E8-E16</f>
        <v>766.69240733089612</v>
      </c>
      <c r="F18" s="90">
        <f t="shared" si="1"/>
        <v>672.43517004703665</v>
      </c>
      <c r="G18" s="90">
        <f t="shared" si="1"/>
        <v>121.94817443225203</v>
      </c>
      <c r="H18" s="75">
        <f>SUM(G18,F18,E18,D18)</f>
        <v>2190.4561568288264</v>
      </c>
      <c r="K18" s="81"/>
    </row>
    <row r="19" spans="2:18" ht="16.5" thickTop="1" thickBot="1" x14ac:dyDescent="0.3">
      <c r="B19" s="116"/>
      <c r="C19" s="117"/>
      <c r="D19" s="117"/>
      <c r="E19" s="117"/>
      <c r="F19" s="117"/>
      <c r="G19" s="117"/>
      <c r="H19" s="118"/>
    </row>
    <row r="20" spans="2:18" ht="16.5" thickTop="1" thickBot="1" x14ac:dyDescent="0.3">
      <c r="B20" s="91" t="s">
        <v>80</v>
      </c>
      <c r="C20" s="92">
        <f>XNPV(C21,D18:G18,D4:G4)</f>
        <v>1984.3426414165892</v>
      </c>
      <c r="D20" s="151" t="s">
        <v>79</v>
      </c>
      <c r="E20" s="152"/>
      <c r="F20" s="152"/>
      <c r="G20" s="152"/>
      <c r="H20" s="153"/>
      <c r="I20" s="78"/>
      <c r="O20" s="78"/>
    </row>
    <row r="21" spans="2:18" ht="16.5" thickTop="1" thickBot="1" x14ac:dyDescent="0.3">
      <c r="B21" s="91" t="s">
        <v>76</v>
      </c>
      <c r="C21" s="93">
        <f>ASSUMPTIONS!G33</f>
        <v>9.4260250000000004E-2</v>
      </c>
      <c r="D21" s="154"/>
      <c r="E21" s="155"/>
      <c r="F21" s="155"/>
      <c r="G21" s="155"/>
      <c r="H21" s="156"/>
      <c r="K21" s="78"/>
    </row>
    <row r="22" spans="2:18" ht="31.5" thickTop="1" thickBot="1" x14ac:dyDescent="0.3">
      <c r="B22" s="103" t="s">
        <v>115</v>
      </c>
      <c r="C22" s="92">
        <f>C20*15%</f>
        <v>297.65139621248835</v>
      </c>
      <c r="D22" s="154"/>
      <c r="E22" s="155"/>
      <c r="F22" s="155"/>
      <c r="G22" s="155"/>
      <c r="H22" s="156"/>
      <c r="K22" s="78"/>
      <c r="L22" s="78"/>
      <c r="M22" s="78"/>
      <c r="N22" s="78"/>
      <c r="Q22" s="76">
        <f>Q23*4046.86</f>
        <v>103627.94402</v>
      </c>
      <c r="R22" s="78">
        <f>J23/Q22</f>
        <v>162773.22892062343</v>
      </c>
    </row>
    <row r="23" spans="2:18" ht="16.5" thickTop="1" thickBot="1" x14ac:dyDescent="0.3">
      <c r="B23" s="91" t="s">
        <v>70</v>
      </c>
      <c r="C23" s="94">
        <f>C20+C21-C22</f>
        <v>1686.7855054541008</v>
      </c>
      <c r="D23" s="157"/>
      <c r="E23" s="158"/>
      <c r="F23" s="158"/>
      <c r="G23" s="158"/>
      <c r="H23" s="159"/>
      <c r="J23" s="78">
        <f>C23*10^7</f>
        <v>16867855054.541008</v>
      </c>
      <c r="K23" s="76">
        <v>441192319</v>
      </c>
      <c r="L23" s="76">
        <v>155443500</v>
      </c>
      <c r="M23" s="85">
        <f>J23+K23+L23</f>
        <v>17464490873.541008</v>
      </c>
      <c r="N23" s="78">
        <f>M23*2%</f>
        <v>349289817.47082019</v>
      </c>
      <c r="O23" s="78">
        <f>M23+N23</f>
        <v>17813780691.011829</v>
      </c>
      <c r="Q23" s="76">
        <v>25.606999999999999</v>
      </c>
      <c r="R23" s="78">
        <f>J23/Q23</f>
        <v>658720469.18971407</v>
      </c>
    </row>
    <row r="24" spans="2:18" ht="16.5" thickTop="1" thickBot="1" x14ac:dyDescent="0.3">
      <c r="B24" s="160"/>
      <c r="C24" s="161"/>
      <c r="D24" s="161"/>
      <c r="E24" s="161"/>
      <c r="F24" s="161"/>
      <c r="G24" s="161"/>
      <c r="H24" s="162"/>
      <c r="J24" s="78"/>
      <c r="K24" s="81"/>
      <c r="O24" s="78">
        <f>ROUND(O23,-7)</f>
        <v>17810000000</v>
      </c>
    </row>
    <row r="25" spans="2:18" ht="16.5" thickTop="1" thickBot="1" x14ac:dyDescent="0.3">
      <c r="B25" s="166" t="s">
        <v>67</v>
      </c>
      <c r="C25" s="167"/>
      <c r="D25" s="167"/>
      <c r="E25" s="167"/>
      <c r="F25" s="167"/>
      <c r="G25" s="167"/>
      <c r="H25" s="168"/>
      <c r="O25" s="76">
        <f>O24*85%</f>
        <v>15138500000</v>
      </c>
      <c r="P25" s="76">
        <f>O24*75%</f>
        <v>13357500000</v>
      </c>
    </row>
    <row r="26" spans="2:18" ht="16.5" thickTop="1" thickBot="1" x14ac:dyDescent="0.3">
      <c r="B26" s="169" t="s">
        <v>106</v>
      </c>
      <c r="C26" s="170"/>
      <c r="D26" s="170"/>
      <c r="E26" s="170"/>
      <c r="F26" s="170"/>
      <c r="G26" s="170"/>
      <c r="H26" s="171"/>
    </row>
    <row r="27" spans="2:18" s="76" customFormat="1" ht="15.75" thickTop="1" x14ac:dyDescent="0.25"/>
    <row r="28" spans="2:18" s="76" customFormat="1" x14ac:dyDescent="0.25"/>
    <row r="29" spans="2:18" s="76" customFormat="1" x14ac:dyDescent="0.25"/>
    <row r="30" spans="2:18" s="76" customFormat="1" x14ac:dyDescent="0.25"/>
    <row r="31" spans="2:18" s="76" customFormat="1" x14ac:dyDescent="0.25"/>
    <row r="32" spans="2:18" s="76" customFormat="1" x14ac:dyDescent="0.25"/>
    <row r="33" s="76" customFormat="1" x14ac:dyDescent="0.25"/>
    <row r="34" s="76" customFormat="1" x14ac:dyDescent="0.25"/>
    <row r="35" s="76" customFormat="1" x14ac:dyDescent="0.25"/>
    <row r="36" s="76" customFormat="1" x14ac:dyDescent="0.25"/>
    <row r="37" s="76" customFormat="1" x14ac:dyDescent="0.25"/>
    <row r="38" s="76" customFormat="1" x14ac:dyDescent="0.25"/>
    <row r="39" s="76" customFormat="1" x14ac:dyDescent="0.25"/>
    <row r="40" s="76" customFormat="1" x14ac:dyDescent="0.25"/>
    <row r="41" s="76" customFormat="1" x14ac:dyDescent="0.25"/>
    <row r="42" s="76" customFormat="1" x14ac:dyDescent="0.25"/>
    <row r="43" s="76" customFormat="1" x14ac:dyDescent="0.25"/>
    <row r="44" s="76" customFormat="1" x14ac:dyDescent="0.25"/>
    <row r="45" s="76" customFormat="1" x14ac:dyDescent="0.25"/>
    <row r="46" s="76" customFormat="1" x14ac:dyDescent="0.25"/>
    <row r="47" s="76" customFormat="1" x14ac:dyDescent="0.25"/>
    <row r="48" s="76" customFormat="1" x14ac:dyDescent="0.25"/>
    <row r="49" s="76" customFormat="1" x14ac:dyDescent="0.25"/>
    <row r="50" s="76" customFormat="1" x14ac:dyDescent="0.25"/>
    <row r="51" s="76" customFormat="1" x14ac:dyDescent="0.25"/>
    <row r="52" s="76" customFormat="1" x14ac:dyDescent="0.25"/>
    <row r="53" s="76" customFormat="1" x14ac:dyDescent="0.25"/>
    <row r="54" s="76" customFormat="1" x14ac:dyDescent="0.25"/>
    <row r="55" s="76" customFormat="1" x14ac:dyDescent="0.25"/>
    <row r="56" s="76" customFormat="1" x14ac:dyDescent="0.25"/>
    <row r="57" s="76" customFormat="1" x14ac:dyDescent="0.25"/>
    <row r="58" s="76" customFormat="1" x14ac:dyDescent="0.25"/>
    <row r="59" s="76" customFormat="1" x14ac:dyDescent="0.25"/>
    <row r="60" s="76" customFormat="1" x14ac:dyDescent="0.25"/>
    <row r="61" s="76" customFormat="1" x14ac:dyDescent="0.25"/>
    <row r="62" s="76" customFormat="1" x14ac:dyDescent="0.25"/>
    <row r="63" s="76" customFormat="1" x14ac:dyDescent="0.25"/>
    <row r="64" s="76" customFormat="1" x14ac:dyDescent="0.25"/>
    <row r="65" s="76" customFormat="1" x14ac:dyDescent="0.25"/>
    <row r="66" s="76" customFormat="1" x14ac:dyDescent="0.25"/>
    <row r="67" s="76" customFormat="1" x14ac:dyDescent="0.25"/>
    <row r="68" s="76" customFormat="1" x14ac:dyDescent="0.25"/>
    <row r="69" s="76" customFormat="1" x14ac:dyDescent="0.25"/>
    <row r="70" s="76" customFormat="1" x14ac:dyDescent="0.25"/>
    <row r="71" s="76" customFormat="1" x14ac:dyDescent="0.25"/>
    <row r="72" s="76" customFormat="1" x14ac:dyDescent="0.25"/>
    <row r="73" s="76" customFormat="1" x14ac:dyDescent="0.25"/>
    <row r="74" s="76" customFormat="1" x14ac:dyDescent="0.25"/>
    <row r="75" s="76" customFormat="1" x14ac:dyDescent="0.25"/>
    <row r="76" s="76" customFormat="1" x14ac:dyDescent="0.25"/>
    <row r="77" s="76" customFormat="1" x14ac:dyDescent="0.25"/>
    <row r="78" s="76" customFormat="1" x14ac:dyDescent="0.25"/>
    <row r="79" s="76" customFormat="1" x14ac:dyDescent="0.25"/>
    <row r="80" s="76" customFormat="1" x14ac:dyDescent="0.25"/>
    <row r="81" s="76" customFormat="1" x14ac:dyDescent="0.25"/>
    <row r="82" s="76" customFormat="1" x14ac:dyDescent="0.25"/>
    <row r="83" s="76" customFormat="1" x14ac:dyDescent="0.25"/>
    <row r="84" s="76" customFormat="1" x14ac:dyDescent="0.25"/>
    <row r="85" s="76" customFormat="1" x14ac:dyDescent="0.25"/>
    <row r="86" s="76" customFormat="1" x14ac:dyDescent="0.25"/>
    <row r="87" s="76" customFormat="1" x14ac:dyDescent="0.25"/>
    <row r="88" s="76" customFormat="1" x14ac:dyDescent="0.25"/>
    <row r="89" s="76" customFormat="1" x14ac:dyDescent="0.25"/>
    <row r="90" s="76" customFormat="1" x14ac:dyDescent="0.25"/>
    <row r="91" s="76" customFormat="1" x14ac:dyDescent="0.25"/>
    <row r="92" s="76" customFormat="1" x14ac:dyDescent="0.25"/>
    <row r="93" s="76" customFormat="1" x14ac:dyDescent="0.25"/>
    <row r="94" s="76" customFormat="1" x14ac:dyDescent="0.25"/>
    <row r="95" s="76" customFormat="1" x14ac:dyDescent="0.25"/>
    <row r="96" s="76" customFormat="1" x14ac:dyDescent="0.25"/>
    <row r="97" s="76" customFormat="1" x14ac:dyDescent="0.25"/>
    <row r="98" s="76" customFormat="1" x14ac:dyDescent="0.25"/>
    <row r="99" s="76" customFormat="1" x14ac:dyDescent="0.25"/>
    <row r="100" s="76" customFormat="1" x14ac:dyDescent="0.25"/>
    <row r="101" s="76" customFormat="1" x14ac:dyDescent="0.25"/>
    <row r="102" s="76" customFormat="1" x14ac:dyDescent="0.25"/>
    <row r="103" s="76" customFormat="1" x14ac:dyDescent="0.25"/>
    <row r="104" s="76" customFormat="1" x14ac:dyDescent="0.25"/>
    <row r="105" s="76" customFormat="1" x14ac:dyDescent="0.25"/>
    <row r="106" s="76" customFormat="1" x14ac:dyDescent="0.25"/>
    <row r="107" s="76" customFormat="1" x14ac:dyDescent="0.25"/>
    <row r="108" s="76" customFormat="1" x14ac:dyDescent="0.25"/>
    <row r="109" s="76" customFormat="1" x14ac:dyDescent="0.25"/>
    <row r="110" s="76" customFormat="1" x14ac:dyDescent="0.25"/>
    <row r="111" s="76" customFormat="1" x14ac:dyDescent="0.25"/>
    <row r="112" s="76" customFormat="1" x14ac:dyDescent="0.25"/>
    <row r="113" s="76" customFormat="1" x14ac:dyDescent="0.25"/>
    <row r="114" s="76" customFormat="1" x14ac:dyDescent="0.25"/>
    <row r="115" s="76" customFormat="1" x14ac:dyDescent="0.25"/>
    <row r="116" s="76" customFormat="1" x14ac:dyDescent="0.25"/>
    <row r="117" s="76" customFormat="1" x14ac:dyDescent="0.25"/>
    <row r="118" s="76" customFormat="1" x14ac:dyDescent="0.25"/>
    <row r="119" s="76" customFormat="1" x14ac:dyDescent="0.25"/>
    <row r="120" s="76" customFormat="1" x14ac:dyDescent="0.25"/>
    <row r="121" s="76" customFormat="1" x14ac:dyDescent="0.25"/>
    <row r="122" s="76" customFormat="1" x14ac:dyDescent="0.25"/>
    <row r="123" s="76" customFormat="1" x14ac:dyDescent="0.25"/>
    <row r="124" s="76" customFormat="1" x14ac:dyDescent="0.25"/>
    <row r="125" s="76" customFormat="1" x14ac:dyDescent="0.25"/>
    <row r="126" s="76" customFormat="1" x14ac:dyDescent="0.25"/>
    <row r="127" s="76" customFormat="1" x14ac:dyDescent="0.25"/>
    <row r="128" s="76" customFormat="1" x14ac:dyDescent="0.25"/>
    <row r="129" s="76" customFormat="1" x14ac:dyDescent="0.25"/>
    <row r="130" s="76" customFormat="1" x14ac:dyDescent="0.25"/>
    <row r="131" s="76" customFormat="1" x14ac:dyDescent="0.25"/>
    <row r="132" s="76" customFormat="1" x14ac:dyDescent="0.25"/>
    <row r="133" s="76" customFormat="1" x14ac:dyDescent="0.25"/>
    <row r="134" s="76" customFormat="1" x14ac:dyDescent="0.25"/>
    <row r="135" s="76" customFormat="1" x14ac:dyDescent="0.25"/>
    <row r="136" s="76" customFormat="1" x14ac:dyDescent="0.25"/>
    <row r="137" s="76" customFormat="1" x14ac:dyDescent="0.25"/>
    <row r="138" s="76" customFormat="1" x14ac:dyDescent="0.25"/>
    <row r="139" s="76" customFormat="1" x14ac:dyDescent="0.25"/>
    <row r="140" s="76" customFormat="1" x14ac:dyDescent="0.25"/>
    <row r="141" s="76" customFormat="1" x14ac:dyDescent="0.25"/>
    <row r="142" s="76" customFormat="1" x14ac:dyDescent="0.25"/>
    <row r="143" s="76" customFormat="1" x14ac:dyDescent="0.25"/>
    <row r="144" s="76" customFormat="1" x14ac:dyDescent="0.25"/>
    <row r="145" s="76" customFormat="1" x14ac:dyDescent="0.25"/>
    <row r="146" s="76" customFormat="1" x14ac:dyDescent="0.25"/>
    <row r="147" s="76" customFormat="1" x14ac:dyDescent="0.25"/>
    <row r="148" s="76" customFormat="1" x14ac:dyDescent="0.25"/>
    <row r="149" s="76" customFormat="1" x14ac:dyDescent="0.25"/>
    <row r="150" s="76" customFormat="1" x14ac:dyDescent="0.25"/>
    <row r="151" s="76" customFormat="1" x14ac:dyDescent="0.25"/>
    <row r="152" s="76" customFormat="1" x14ac:dyDescent="0.25"/>
    <row r="153" s="76" customFormat="1" x14ac:dyDescent="0.25"/>
    <row r="154" s="76" customFormat="1" x14ac:dyDescent="0.25"/>
    <row r="155" s="76" customFormat="1" x14ac:dyDescent="0.25"/>
    <row r="156" s="76" customFormat="1" x14ac:dyDescent="0.25"/>
    <row r="157" s="76" customFormat="1" x14ac:dyDescent="0.25"/>
    <row r="158" s="76" customFormat="1" x14ac:dyDescent="0.25"/>
    <row r="159" s="76" customFormat="1" x14ac:dyDescent="0.25"/>
    <row r="160" s="76" customFormat="1" x14ac:dyDescent="0.25"/>
    <row r="161" s="76" customFormat="1" x14ac:dyDescent="0.25"/>
    <row r="162" s="76" customFormat="1" x14ac:dyDescent="0.25"/>
    <row r="163" s="76" customFormat="1" x14ac:dyDescent="0.25"/>
    <row r="164" s="76" customFormat="1" x14ac:dyDescent="0.25"/>
    <row r="165" s="76" customFormat="1" x14ac:dyDescent="0.25"/>
    <row r="166" s="76" customFormat="1" x14ac:dyDescent="0.25"/>
    <row r="167" s="76" customFormat="1" x14ac:dyDescent="0.25"/>
    <row r="168" s="76" customFormat="1" x14ac:dyDescent="0.25"/>
    <row r="169" s="76" customFormat="1" x14ac:dyDescent="0.25"/>
    <row r="170" s="76" customFormat="1" x14ac:dyDescent="0.25"/>
    <row r="171" s="76" customFormat="1" x14ac:dyDescent="0.25"/>
    <row r="172" s="76" customFormat="1" x14ac:dyDescent="0.25"/>
    <row r="173" s="76" customFormat="1" x14ac:dyDescent="0.25"/>
    <row r="174" s="76" customFormat="1" x14ac:dyDescent="0.25"/>
    <row r="175" s="76" customFormat="1" x14ac:dyDescent="0.25"/>
    <row r="176" s="76" customFormat="1" x14ac:dyDescent="0.25"/>
    <row r="177" s="76" customFormat="1" x14ac:dyDescent="0.25"/>
    <row r="178" s="76" customFormat="1" x14ac:dyDescent="0.25"/>
    <row r="179" s="76" customFormat="1" x14ac:dyDescent="0.25"/>
    <row r="180" s="76" customFormat="1" x14ac:dyDescent="0.25"/>
    <row r="181" s="76" customFormat="1" x14ac:dyDescent="0.25"/>
    <row r="182" s="76" customFormat="1" x14ac:dyDescent="0.25"/>
    <row r="183" s="76" customFormat="1" x14ac:dyDescent="0.25"/>
    <row r="184" s="76" customFormat="1" x14ac:dyDescent="0.25"/>
    <row r="185" s="76" customFormat="1" x14ac:dyDescent="0.25"/>
    <row r="186" s="76" customFormat="1" x14ac:dyDescent="0.25"/>
    <row r="187" s="76" customFormat="1" x14ac:dyDescent="0.25"/>
    <row r="188" s="76" customFormat="1" x14ac:dyDescent="0.25"/>
    <row r="189" s="76" customFormat="1" x14ac:dyDescent="0.25"/>
    <row r="190" s="76" customFormat="1" x14ac:dyDescent="0.25"/>
    <row r="191" s="76" customFormat="1" x14ac:dyDescent="0.25"/>
    <row r="192" s="76" customFormat="1" x14ac:dyDescent="0.25"/>
    <row r="193" s="76" customFormat="1" x14ac:dyDescent="0.25"/>
    <row r="194" s="76" customFormat="1" x14ac:dyDescent="0.25"/>
    <row r="195" s="76" customFormat="1" x14ac:dyDescent="0.25"/>
    <row r="196" s="76" customFormat="1" x14ac:dyDescent="0.25"/>
    <row r="197" s="76" customFormat="1" x14ac:dyDescent="0.25"/>
    <row r="198" s="76" customFormat="1" x14ac:dyDescent="0.25"/>
    <row r="199" s="76" customFormat="1" x14ac:dyDescent="0.25"/>
    <row r="200" s="76" customFormat="1" x14ac:dyDescent="0.25"/>
    <row r="201" s="76" customFormat="1" x14ac:dyDescent="0.25"/>
    <row r="202" s="76" customFormat="1" x14ac:dyDescent="0.25"/>
    <row r="203" s="76" customFormat="1" x14ac:dyDescent="0.25"/>
    <row r="204" s="76" customFormat="1" x14ac:dyDescent="0.25"/>
    <row r="205" s="76" customFormat="1" x14ac:dyDescent="0.25"/>
    <row r="206" s="76" customFormat="1" x14ac:dyDescent="0.25"/>
    <row r="207" s="76" customFormat="1" x14ac:dyDescent="0.25"/>
    <row r="208" s="76" customFormat="1" x14ac:dyDescent="0.25"/>
    <row r="209" s="76" customFormat="1" x14ac:dyDescent="0.25"/>
    <row r="210" s="76" customFormat="1" x14ac:dyDescent="0.25"/>
    <row r="211" s="76" customFormat="1" x14ac:dyDescent="0.25"/>
    <row r="212" s="76" customFormat="1" x14ac:dyDescent="0.25"/>
    <row r="213" s="76" customFormat="1" x14ac:dyDescent="0.25"/>
    <row r="214" s="76" customFormat="1" x14ac:dyDescent="0.25"/>
    <row r="215" s="76" customFormat="1" x14ac:dyDescent="0.25"/>
    <row r="216" s="76" customFormat="1" x14ac:dyDescent="0.25"/>
    <row r="217" s="76" customFormat="1" x14ac:dyDescent="0.25"/>
    <row r="218" s="76" customFormat="1" x14ac:dyDescent="0.25"/>
    <row r="219" s="76" customFormat="1" x14ac:dyDescent="0.25"/>
    <row r="220" s="76" customFormat="1" x14ac:dyDescent="0.25"/>
    <row r="221" s="76" customFormat="1" x14ac:dyDescent="0.25"/>
    <row r="222" s="76" customFormat="1" x14ac:dyDescent="0.25"/>
    <row r="223" s="76" customFormat="1" x14ac:dyDescent="0.25"/>
    <row r="224" s="76" customFormat="1" x14ac:dyDescent="0.25"/>
  </sheetData>
  <mergeCells count="23">
    <mergeCell ref="B25:H25"/>
    <mergeCell ref="B26:H26"/>
    <mergeCell ref="B18:C18"/>
    <mergeCell ref="B19:H19"/>
    <mergeCell ref="B16:C16"/>
    <mergeCell ref="B17:F17"/>
    <mergeCell ref="B15:F15"/>
    <mergeCell ref="D20:H23"/>
    <mergeCell ref="B24:H24"/>
    <mergeCell ref="B10:C10"/>
    <mergeCell ref="B12:C12"/>
    <mergeCell ref="B13:C13"/>
    <mergeCell ref="B14:C14"/>
    <mergeCell ref="B11:C11"/>
    <mergeCell ref="B9:F9"/>
    <mergeCell ref="B2:H2"/>
    <mergeCell ref="B3:B4"/>
    <mergeCell ref="C3:C4"/>
    <mergeCell ref="H3:H4"/>
    <mergeCell ref="B6:C6"/>
    <mergeCell ref="B8:C8"/>
    <mergeCell ref="B7:H7"/>
    <mergeCell ref="B5:H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6"/>
  <sheetViews>
    <sheetView showGridLines="0" workbookViewId="0">
      <selection activeCell="C3" sqref="C3:I3"/>
    </sheetView>
  </sheetViews>
  <sheetFormatPr defaultColWidth="9.140625" defaultRowHeight="15" x14ac:dyDescent="0.25"/>
  <cols>
    <col min="1" max="2" width="9.140625" style="11"/>
    <col min="3" max="3" width="17.7109375" style="11" customWidth="1"/>
    <col min="4" max="4" width="22.5703125" style="11" customWidth="1"/>
    <col min="5" max="5" width="12.5703125" style="12" customWidth="1"/>
    <col min="6" max="6" width="11.7109375" style="12" customWidth="1"/>
    <col min="7" max="8" width="11.28515625" style="12" customWidth="1"/>
    <col min="9" max="9" width="24.140625" style="11" bestFit="1" customWidth="1"/>
    <col min="10" max="10" width="9.140625" style="11"/>
    <col min="11" max="11" width="16.85546875" style="11" bestFit="1" customWidth="1"/>
    <col min="12" max="16384" width="9.140625" style="11"/>
  </cols>
  <sheetData>
    <row r="3" spans="1:11" ht="30.75" customHeight="1" x14ac:dyDescent="0.25">
      <c r="A3" s="13" t="s">
        <v>9</v>
      </c>
      <c r="B3" s="13" t="s">
        <v>10</v>
      </c>
      <c r="C3" s="178" t="s">
        <v>85</v>
      </c>
      <c r="D3" s="178"/>
      <c r="E3" s="178"/>
      <c r="F3" s="178"/>
      <c r="G3" s="178"/>
      <c r="H3" s="178"/>
      <c r="I3" s="178"/>
    </row>
    <row r="4" spans="1:11" x14ac:dyDescent="0.25">
      <c r="C4" s="179"/>
      <c r="D4" s="179"/>
      <c r="E4" s="179"/>
      <c r="F4" s="179"/>
      <c r="G4" s="179"/>
      <c r="H4" s="179"/>
      <c r="I4" s="179"/>
    </row>
    <row r="5" spans="1:11" ht="27.75" x14ac:dyDescent="0.25">
      <c r="C5" s="7" t="s">
        <v>1</v>
      </c>
      <c r="D5" s="7" t="s">
        <v>2</v>
      </c>
      <c r="E5" s="14">
        <f>DCF!D4</f>
        <v>45016</v>
      </c>
      <c r="F5" s="14">
        <f>DCF!E4</f>
        <v>45382</v>
      </c>
      <c r="G5" s="14">
        <f>DCF!F4</f>
        <v>45747</v>
      </c>
      <c r="H5" s="14">
        <f>DCF!G4</f>
        <v>46112</v>
      </c>
      <c r="I5" s="20" t="s">
        <v>11</v>
      </c>
    </row>
    <row r="6" spans="1:11" x14ac:dyDescent="0.25">
      <c r="C6" s="180" t="s">
        <v>12</v>
      </c>
      <c r="D6" s="180"/>
      <c r="E6" s="15">
        <f>DCF!D8</f>
        <v>669.5991282301178</v>
      </c>
      <c r="F6" s="15">
        <f>DCF!E8</f>
        <v>804.63495242319152</v>
      </c>
      <c r="G6" s="15">
        <f>DCF!F8</f>
        <v>710.37771513933205</v>
      </c>
      <c r="H6" s="15">
        <f>DCF!G8</f>
        <v>121.94817443225203</v>
      </c>
      <c r="I6" s="15">
        <f>SUM(E6,F6,G6,H6)</f>
        <v>2306.5599702248933</v>
      </c>
    </row>
    <row r="7" spans="1:11" x14ac:dyDescent="0.25">
      <c r="C7" s="181" t="s">
        <v>13</v>
      </c>
      <c r="D7" s="181"/>
      <c r="E7" s="16">
        <f>DCF!D16</f>
        <v>40.21872321147621</v>
      </c>
      <c r="F7" s="16">
        <f>DCF!E16</f>
        <v>37.94254509229539</v>
      </c>
      <c r="G7" s="16">
        <f>DCF!F16</f>
        <v>37.94254509229539</v>
      </c>
      <c r="H7" s="16">
        <f>DCF!G16</f>
        <v>0</v>
      </c>
      <c r="I7" s="16">
        <f>SUM(E7:G7)</f>
        <v>116.103813396067</v>
      </c>
    </row>
    <row r="8" spans="1:11" x14ac:dyDescent="0.25">
      <c r="C8" s="182"/>
      <c r="D8" s="182"/>
      <c r="E8" s="182"/>
      <c r="F8" s="182"/>
      <c r="G8" s="182"/>
      <c r="H8" s="182"/>
      <c r="I8" s="182"/>
    </row>
    <row r="9" spans="1:11" x14ac:dyDescent="0.25">
      <c r="C9" s="180" t="s">
        <v>14</v>
      </c>
      <c r="D9" s="180"/>
      <c r="E9" s="15">
        <f>SUM(E6,E7)</f>
        <v>709.81785144159403</v>
      </c>
      <c r="F9" s="15">
        <f>SUM(F6,F7)</f>
        <v>842.57749751548693</v>
      </c>
      <c r="G9" s="15">
        <f>SUM(G6,G7)</f>
        <v>748.32026023162746</v>
      </c>
      <c r="H9" s="15">
        <f>SUM(H6,H7)</f>
        <v>121.94817443225203</v>
      </c>
      <c r="I9" s="15">
        <f>SUM(I6,I7)</f>
        <v>2422.6637836209602</v>
      </c>
    </row>
    <row r="10" spans="1:11" x14ac:dyDescent="0.25">
      <c r="C10" s="182"/>
      <c r="D10" s="182"/>
      <c r="E10" s="182"/>
      <c r="F10" s="182"/>
      <c r="G10" s="182"/>
      <c r="H10" s="182"/>
      <c r="I10" s="182"/>
    </row>
    <row r="11" spans="1:11" x14ac:dyDescent="0.25">
      <c r="C11" s="180" t="s">
        <v>15</v>
      </c>
      <c r="D11" s="180"/>
      <c r="E11" s="17" t="e">
        <f>DCF!#REF!</f>
        <v>#REF!</v>
      </c>
      <c r="F11" s="185"/>
      <c r="G11" s="185"/>
      <c r="H11" s="185"/>
      <c r="I11" s="185"/>
    </row>
    <row r="12" spans="1:11" x14ac:dyDescent="0.25">
      <c r="C12" s="180" t="s">
        <v>16</v>
      </c>
      <c r="D12" s="180"/>
      <c r="E12" s="17" t="e">
        <f>ROUND(E11,-1)</f>
        <v>#REF!</v>
      </c>
      <c r="F12" s="185"/>
      <c r="G12" s="185"/>
      <c r="H12" s="185"/>
      <c r="I12" s="185"/>
    </row>
    <row r="13" spans="1:11" x14ac:dyDescent="0.25">
      <c r="C13" s="179"/>
      <c r="D13" s="179"/>
      <c r="E13" s="179"/>
      <c r="F13" s="179"/>
      <c r="G13" s="179"/>
      <c r="H13" s="179"/>
      <c r="I13" s="179"/>
      <c r="K13" s="31"/>
    </row>
    <row r="14" spans="1:11" ht="30" customHeight="1" x14ac:dyDescent="0.25">
      <c r="C14" s="183" t="s">
        <v>17</v>
      </c>
      <c r="D14" s="183"/>
      <c r="E14" s="10" t="e">
        <f>E12*(1-15%)</f>
        <v>#REF!</v>
      </c>
      <c r="F14" s="184"/>
      <c r="G14" s="184"/>
      <c r="H14" s="184"/>
      <c r="I14" s="184"/>
      <c r="J14" s="22"/>
      <c r="K14" s="22"/>
    </row>
    <row r="15" spans="1:11" ht="30" customHeight="1" x14ac:dyDescent="0.25">
      <c r="C15" s="183" t="s">
        <v>18</v>
      </c>
      <c r="D15" s="183"/>
      <c r="E15" s="10" t="e">
        <f>E12*(1-25%)</f>
        <v>#REF!</v>
      </c>
      <c r="F15" s="184"/>
      <c r="G15" s="184"/>
      <c r="H15" s="184"/>
      <c r="I15" s="184"/>
    </row>
    <row r="16" spans="1:11" ht="28.5" customHeight="1" x14ac:dyDescent="0.25">
      <c r="C16" s="176" t="s">
        <v>32</v>
      </c>
      <c r="D16" s="177"/>
      <c r="E16" s="177"/>
      <c r="F16" s="177"/>
      <c r="G16" s="177"/>
      <c r="H16" s="177"/>
      <c r="I16" s="177"/>
      <c r="K16" s="31"/>
    </row>
  </sheetData>
  <mergeCells count="15">
    <mergeCell ref="C16:I16"/>
    <mergeCell ref="C3:I3"/>
    <mergeCell ref="C4:I4"/>
    <mergeCell ref="C6:D6"/>
    <mergeCell ref="C7:D7"/>
    <mergeCell ref="C9:D9"/>
    <mergeCell ref="C8:I8"/>
    <mergeCell ref="C13:I13"/>
    <mergeCell ref="C14:D14"/>
    <mergeCell ref="F14:I15"/>
    <mergeCell ref="C15:D15"/>
    <mergeCell ref="C10:I10"/>
    <mergeCell ref="F11:I12"/>
    <mergeCell ref="C11:D11"/>
    <mergeCell ref="C12: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ASSUMPTIONS</vt:lpstr>
      <vt:lpstr>Absorption Rate</vt:lpstr>
      <vt:lpstr>Residential Inflow</vt:lpstr>
      <vt:lpstr>Inflow</vt:lpstr>
      <vt:lpstr>Total Outflow</vt:lpstr>
      <vt:lpstr>DCF</vt:lpstr>
      <vt:lpstr>Consolidated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Garg - Corporate Finance</dc:creator>
  <cp:lastModifiedBy>Rahul Gupta</cp:lastModifiedBy>
  <dcterms:created xsi:type="dcterms:W3CDTF">2020-02-03T05:38:58Z</dcterms:created>
  <dcterms:modified xsi:type="dcterms:W3CDTF">2022-09-21T13:39:56Z</dcterms:modified>
</cp:coreProperties>
</file>