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engineer3\Desktop\Final Borivalli Property\"/>
    </mc:Choice>
  </mc:AlternateContent>
  <bookViews>
    <workbookView xWindow="0" yWindow="0" windowWidth="20490" windowHeight="7755" tabRatio="867" activeTab="5"/>
  </bookViews>
  <sheets>
    <sheet name="ASSUMPTIONS" sheetId="18" r:id="rId1"/>
    <sheet name="Absorption Rate" sheetId="9" r:id="rId2"/>
    <sheet name="Residential Inflow" sheetId="3" r:id="rId3"/>
    <sheet name="Inflow" sheetId="11" r:id="rId4"/>
    <sheet name="Total Outflow" sheetId="16" r:id="rId5"/>
    <sheet name="DCF" sheetId="7" r:id="rId6"/>
    <sheet name="Consolidated Summary" sheetId="12" r:id="rId7"/>
  </sheets>
  <definedNames>
    <definedName name="_xlnm._FilterDatabase" localSheetId="2" hidden="1">'Residential Inflow'!$B$3:$F$5</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24" i="7" l="1"/>
  <c r="G7" i="9"/>
  <c r="D14" i="7"/>
  <c r="E14" i="16" l="1"/>
  <c r="E13" i="16"/>
  <c r="E9" i="16" l="1"/>
  <c r="E10" i="16" s="1"/>
  <c r="J10" i="11"/>
  <c r="I10" i="11"/>
  <c r="J9" i="11"/>
  <c r="D4" i="3"/>
  <c r="H7" i="9"/>
  <c r="G9" i="9"/>
  <c r="D7" i="9"/>
  <c r="E7" i="9"/>
  <c r="F7" i="9"/>
  <c r="C7" i="9"/>
  <c r="G11" i="18"/>
  <c r="G10" i="18"/>
  <c r="M25" i="7" l="1"/>
  <c r="L25" i="7"/>
  <c r="I30" i="18"/>
  <c r="G29" i="18" s="1"/>
  <c r="G31" i="18" s="1"/>
  <c r="G16" i="7" l="1"/>
  <c r="E13" i="11"/>
  <c r="G6" i="9"/>
  <c r="G33" i="18"/>
  <c r="C21" i="7" s="1"/>
  <c r="F14" i="16" l="1"/>
  <c r="K53" i="18"/>
  <c r="K50" i="18"/>
  <c r="K47" i="18"/>
  <c r="K40" i="18" l="1"/>
  <c r="G57" i="18" s="1"/>
  <c r="G61" i="18" s="1"/>
  <c r="H11" i="11" l="1"/>
  <c r="H7" i="12"/>
  <c r="F12" i="11" l="1"/>
  <c r="G12" i="11" l="1"/>
  <c r="F13" i="11"/>
  <c r="G8" i="18"/>
  <c r="G9" i="18" s="1"/>
  <c r="G13" i="11" l="1"/>
  <c r="H13" i="11" l="1"/>
  <c r="D3" i="7" l="1"/>
  <c r="E9" i="11"/>
  <c r="D4" i="7" s="1"/>
  <c r="E5" i="12" s="1"/>
  <c r="F8" i="11"/>
  <c r="F9" i="11" s="1"/>
  <c r="E4" i="7" s="1"/>
  <c r="F5" i="12" s="1"/>
  <c r="C5" i="9"/>
  <c r="D4" i="9"/>
  <c r="D5" i="9" s="1"/>
  <c r="E3" i="7" l="1"/>
  <c r="G8" i="11"/>
  <c r="H8" i="11" s="1"/>
  <c r="E4" i="9"/>
  <c r="F4" i="9" s="1"/>
  <c r="F5" i="9" s="1"/>
  <c r="H9" i="11" l="1"/>
  <c r="G4" i="7" s="1"/>
  <c r="H5" i="12" s="1"/>
  <c r="G3" i="7"/>
  <c r="G9" i="11"/>
  <c r="F4" i="7" s="1"/>
  <c r="G5" i="12" s="1"/>
  <c r="F3" i="7"/>
  <c r="E5" i="9"/>
  <c r="E11" i="12" l="1"/>
  <c r="E12" i="12" s="1"/>
  <c r="E15" i="12" s="1"/>
  <c r="E14" i="12" l="1"/>
  <c r="L30" i="7" l="1"/>
  <c r="L28" i="7"/>
  <c r="H10" i="11" l="1"/>
  <c r="H14" i="11" s="1"/>
  <c r="H15" i="11" s="1"/>
  <c r="G6" i="7" s="1"/>
  <c r="G8" i="7" s="1"/>
  <c r="G10" i="11"/>
  <c r="G14" i="11" s="1"/>
  <c r="G15" i="11" s="1"/>
  <c r="F6" i="7" s="1"/>
  <c r="F8" i="7" s="1"/>
  <c r="G10" i="16"/>
  <c r="D11" i="7" s="1"/>
  <c r="F10" i="11"/>
  <c r="G13" i="16"/>
  <c r="G9" i="16"/>
  <c r="E11" i="16"/>
  <c r="G11" i="16" s="1"/>
  <c r="E12" i="16"/>
  <c r="G12" i="16" s="1"/>
  <c r="F14" i="11"/>
  <c r="F15" i="11" s="1"/>
  <c r="E6" i="7" s="1"/>
  <c r="E8" i="7" s="1"/>
  <c r="F11" i="7" l="1"/>
  <c r="H11" i="7" s="1"/>
  <c r="E11" i="7"/>
  <c r="F6" i="12"/>
  <c r="E10" i="11"/>
  <c r="D13" i="7"/>
  <c r="F13" i="7"/>
  <c r="E13" i="7"/>
  <c r="F12" i="7"/>
  <c r="E12" i="7"/>
  <c r="D12" i="7"/>
  <c r="G6" i="12"/>
  <c r="G18" i="7"/>
  <c r="H6" i="12"/>
  <c r="H9" i="12" s="1"/>
  <c r="E10" i="7"/>
  <c r="G14" i="16"/>
  <c r="D10" i="7"/>
  <c r="F10" i="7"/>
  <c r="F4" i="3"/>
  <c r="D5" i="3"/>
  <c r="H12" i="7" l="1"/>
  <c r="F5" i="3"/>
  <c r="G11" i="11"/>
  <c r="F11" i="11"/>
  <c r="E11" i="11"/>
  <c r="E14" i="11"/>
  <c r="E15" i="11" s="1"/>
  <c r="D6" i="7" s="1"/>
  <c r="F16" i="7"/>
  <c r="H10" i="7"/>
  <c r="H14" i="7"/>
  <c r="H13" i="7"/>
  <c r="D16" i="7"/>
  <c r="E7" i="12" s="1"/>
  <c r="E16" i="7"/>
  <c r="H16" i="7" l="1"/>
  <c r="G7" i="12"/>
  <c r="G9" i="12" s="1"/>
  <c r="F18" i="7"/>
  <c r="F7" i="12"/>
  <c r="F9" i="12" s="1"/>
  <c r="E18" i="7"/>
  <c r="D8" i="7"/>
  <c r="H6" i="7"/>
  <c r="I7" i="12" l="1"/>
  <c r="E6" i="12"/>
  <c r="D18" i="7"/>
  <c r="C20" i="7" s="1"/>
  <c r="H8" i="7"/>
  <c r="C22" i="7" l="1"/>
  <c r="I20" i="7" s="1"/>
  <c r="I6" i="12"/>
  <c r="I9" i="12" s="1"/>
  <c r="E9" i="12"/>
  <c r="H18" i="7"/>
  <c r="C23" i="7" l="1"/>
  <c r="I23" i="7" s="1"/>
  <c r="I25" i="7" s="1"/>
  <c r="I29" i="7" l="1"/>
  <c r="I28" i="7"/>
  <c r="J25" i="7"/>
  <c r="K25" i="7" s="1"/>
</calcChain>
</file>

<file path=xl/sharedStrings.xml><?xml version="1.0" encoding="utf-8"?>
<sst xmlns="http://schemas.openxmlformats.org/spreadsheetml/2006/main" count="148" uniqueCount="127">
  <si>
    <t>S.No.</t>
  </si>
  <si>
    <t>CASHFLOWS</t>
  </si>
  <si>
    <t>Year</t>
  </si>
  <si>
    <t>Discount Rate</t>
  </si>
  <si>
    <t>Total</t>
  </si>
  <si>
    <t>Important Notes:</t>
  </si>
  <si>
    <t>Project Details</t>
  </si>
  <si>
    <t>4. The total Value of inventory to be sold each year as shown above is in Millions Rupees.</t>
  </si>
  <si>
    <t xml:space="preserve">PROJECT INFLOW MODEL </t>
  </si>
  <si>
    <t>Market Value</t>
  </si>
  <si>
    <r>
      <t xml:space="preserve">Adopted Market Rates 
</t>
    </r>
    <r>
      <rPr>
        <i/>
        <sz val="11"/>
        <color theme="0"/>
        <rFont val="Calibri"/>
        <family val="2"/>
        <scheme val="minor"/>
      </rPr>
      <t>(per sq.ft.)</t>
    </r>
  </si>
  <si>
    <t xml:space="preserve"> </t>
  </si>
  <si>
    <t>`</t>
  </si>
  <si>
    <r>
      <t xml:space="preserve">CASH FLOW SUMMATION
</t>
    </r>
    <r>
      <rPr>
        <i/>
        <sz val="10"/>
        <color theme="0"/>
        <rFont val="Calibri"/>
        <family val="2"/>
        <scheme val="minor"/>
      </rPr>
      <t>(in Million Rupees)</t>
    </r>
  </si>
  <si>
    <r>
      <t xml:space="preserve">INFLOW </t>
    </r>
    <r>
      <rPr>
        <i/>
        <sz val="10"/>
        <color theme="1"/>
        <rFont val="Calibri"/>
        <family val="2"/>
        <scheme val="minor"/>
      </rPr>
      <t>(In Million Rupees)</t>
    </r>
  </si>
  <si>
    <r>
      <t xml:space="preserve">OUTFLOW </t>
    </r>
    <r>
      <rPr>
        <i/>
        <sz val="10"/>
        <color theme="1"/>
        <rFont val="Calibri"/>
        <family val="2"/>
        <scheme val="minor"/>
      </rPr>
      <t>(In Million Rupees)</t>
    </r>
  </si>
  <si>
    <r>
      <t xml:space="preserve">NET PROJECT CASH INFLOW </t>
    </r>
    <r>
      <rPr>
        <i/>
        <sz val="10"/>
        <color theme="1"/>
        <rFont val="Calibri"/>
        <family val="2"/>
        <scheme val="minor"/>
      </rPr>
      <t>(In Million Rupees)</t>
    </r>
  </si>
  <si>
    <r>
      <t xml:space="preserve">Net Present Value (NPV)-A </t>
    </r>
    <r>
      <rPr>
        <i/>
        <sz val="10"/>
        <color theme="1"/>
        <rFont val="Calibri"/>
        <family val="2"/>
        <scheme val="minor"/>
      </rPr>
      <t>(In Million Rupees)</t>
    </r>
  </si>
  <si>
    <r>
      <t xml:space="preserve">Round Off Value-A
</t>
    </r>
    <r>
      <rPr>
        <i/>
        <sz val="10"/>
        <color theme="1"/>
        <rFont val="Calibri"/>
        <family val="2"/>
        <scheme val="minor"/>
      </rPr>
      <t>(In Million Rupees)</t>
    </r>
  </si>
  <si>
    <r>
      <t xml:space="preserve">EXPECTED REALIZABLE VALUE^ (@ ~15% less)
</t>
    </r>
    <r>
      <rPr>
        <i/>
        <sz val="10"/>
        <color theme="1"/>
        <rFont val="Calibri"/>
        <family val="2"/>
        <scheme val="minor"/>
      </rPr>
      <t>(In Million Rupees)</t>
    </r>
  </si>
  <si>
    <r>
      <t xml:space="preserve">EXPECTED DISTRESS VALUE* (@ ~25% less)
</t>
    </r>
    <r>
      <rPr>
        <i/>
        <sz val="10"/>
        <color theme="1"/>
        <rFont val="Calibri"/>
        <family val="2"/>
        <scheme val="minor"/>
      </rPr>
      <t>(In Million Rupees)</t>
    </r>
  </si>
  <si>
    <t>Tower</t>
  </si>
  <si>
    <r>
      <t xml:space="preserve">Total Super Area </t>
    </r>
    <r>
      <rPr>
        <i/>
        <sz val="11"/>
        <color theme="0"/>
        <rFont val="Calibri"/>
        <family val="2"/>
        <scheme val="minor"/>
      </rPr>
      <t>(sq.ft.)</t>
    </r>
  </si>
  <si>
    <t>Construction Cost</t>
  </si>
  <si>
    <t>Debt</t>
  </si>
  <si>
    <t>Equity</t>
  </si>
  <si>
    <t>WACC</t>
  </si>
  <si>
    <t>Administrative Cost</t>
  </si>
  <si>
    <t>Marketing Expenses</t>
  </si>
  <si>
    <t>Total Proposed Cost</t>
  </si>
  <si>
    <t>Description</t>
  </si>
  <si>
    <t>Yet to be Incurred</t>
  </si>
  <si>
    <t>The above mentioned values are in Millions Rupees.
1 Million = Rs.10,00,000/-</t>
  </si>
  <si>
    <t>Acre</t>
  </si>
  <si>
    <t xml:space="preserve">sq mtr </t>
  </si>
  <si>
    <t>Sq. ft.</t>
  </si>
  <si>
    <t>INR/sq.ft</t>
  </si>
  <si>
    <t>INR/sq.ft On SBUA</t>
  </si>
  <si>
    <t xml:space="preserve">Cost Escalation (YoY) </t>
  </si>
  <si>
    <t>%</t>
  </si>
  <si>
    <t>Admin Costs</t>
  </si>
  <si>
    <t>Sales &amp; Marketing Costs</t>
  </si>
  <si>
    <t>YoY</t>
  </si>
  <si>
    <t>Unbooked Absorption</t>
  </si>
  <si>
    <t>Cost per sq. ft.</t>
  </si>
  <si>
    <t>% of Increment per year</t>
  </si>
  <si>
    <t>Percentage absorption</t>
  </si>
  <si>
    <t>Statutory approvals &amp; NOCs</t>
  </si>
  <si>
    <t xml:space="preserve">Approval Charges </t>
  </si>
  <si>
    <t>3. As per the general real estate market scenario, the market rate for available inventory will increase @ 3% for selling of balance units in each year and in the fourth the developer will sold the remaining units with a premium of 8% since the project will be completed and ready to move.</t>
  </si>
  <si>
    <t>1. As per market/ industry practice and our market study, we are of the view that company will monetize the unsold units of residential society (to be developed) in the micro market within Four years @ 30% in first year, 35% in the second year, 30% in the third year &amp; rest 5% in the fourth year.</t>
  </si>
  <si>
    <t>Cost of DEBT</t>
  </si>
  <si>
    <t xml:space="preserve">Corporate tax rate </t>
  </si>
  <si>
    <t>Ke</t>
  </si>
  <si>
    <t>=</t>
  </si>
  <si>
    <t>Rf+ Beta(Rm-Rf)</t>
  </si>
  <si>
    <t>Rf</t>
  </si>
  <si>
    <t>Beta</t>
  </si>
  <si>
    <t>Rm</t>
  </si>
  <si>
    <t xml:space="preserve">10 year Nifty 50 nreturn avergae </t>
  </si>
  <si>
    <t>10 year govt bond rate</t>
  </si>
  <si>
    <t>5 year beta of infra senstivity iof stock with respecyt to market</t>
  </si>
  <si>
    <t>Risk free rate</t>
  </si>
  <si>
    <t>Market return</t>
  </si>
  <si>
    <t>Weight of Equity</t>
  </si>
  <si>
    <t>Post tax Cost of debt</t>
  </si>
  <si>
    <t>Weight of debt</t>
  </si>
  <si>
    <t>Wd*Kd*(1-t) +We*Ke</t>
  </si>
  <si>
    <t>Company Risk premium</t>
  </si>
  <si>
    <t>Cost of Equity Ke</t>
  </si>
  <si>
    <t xml:space="preserve">Cost of Equity </t>
  </si>
  <si>
    <t xml:space="preserve"> % Sale of captioned Project</t>
  </si>
  <si>
    <t>Important Note:</t>
  </si>
  <si>
    <t xml:space="preserve">PROJECTIONS </t>
  </si>
  <si>
    <t>PROJECTIONS SUMMATION</t>
  </si>
  <si>
    <t>RESIDUAL VALUE OF LAND</t>
  </si>
  <si>
    <t>BASIC RESIDUAL LAND VALUE METHOD</t>
  </si>
  <si>
    <t>ASSUMPTIONS FOR BASIC RESIDUAL LAND VALUE METHOD</t>
  </si>
  <si>
    <t>-</t>
  </si>
  <si>
    <t>Area Absorption Rate
 (sq. ft.)</t>
  </si>
  <si>
    <t>Residential Space Sale Rate</t>
  </si>
  <si>
    <t>DISCOUNT RATE</t>
  </si>
  <si>
    <t>NET CASH FLOW</t>
  </si>
  <si>
    <t>YEAR</t>
  </si>
  <si>
    <t>Residual Value of Land=Net Present Value-Estimated Profit</t>
  </si>
  <si>
    <t>NET PRESENT VALUE (NPV)</t>
  </si>
  <si>
    <t>% of NPV</t>
  </si>
  <si>
    <t>Percentage of Construction Cost</t>
  </si>
  <si>
    <t>Consultancy Cost</t>
  </si>
  <si>
    <t xml:space="preserve"> % of COC</t>
  </si>
  <si>
    <t>ABSORPTION RATE | M/S. AIRPORT AUTHORITY OF INDIA | SITUATED AT PROPERTY CITY SURVEY NO. 1556, 1558, 1559, 1560 AND 1568 OF VILLAGE DAHISAR, BORIVALI,  MUMBAI SUBURBAN DISTRICT, MUMBAI</t>
  </si>
  <si>
    <t>RESIDENTIAL INFLOW | M/S. AIRPORT AUTHORITY OF INDIA | SITUATED AT PROPERTY CITY SURVEY NO. 1556, 1558, 1559, 1560 AND 1568 OF VILLAGE DAHISAR, BORIVALI,  MUMBAI SUBURBAN DISTRICT, MUMBAI</t>
  </si>
  <si>
    <t>TOTAL OUTFLOW | M/S. AIRPORT AUTHORITY OF INDIA | SITUATED AT PROPERTY CITY SURVEY NO. 1556, 1558, 1559, 1560 AND 1568 OF VILLAGE DAHISAR, BORIVALI,  MUMBAI SUBURBAN DISTRICT, MUMBAI</t>
  </si>
  <si>
    <t>Inflow  (in Crore)</t>
  </si>
  <si>
    <r>
      <t xml:space="preserve"> Total Inflow </t>
    </r>
    <r>
      <rPr>
        <b/>
        <i/>
        <sz val="11"/>
        <color theme="1"/>
        <rFont val="Calibri"/>
        <family val="2"/>
        <scheme val="minor"/>
      </rPr>
      <t>(in Crore)</t>
    </r>
  </si>
  <si>
    <t>PROJECT DETAILS</t>
  </si>
  <si>
    <t>INVENTORY ABSORBTION</t>
  </si>
  <si>
    <r>
      <t>Total Earnings Through Unbooked Residential Units</t>
    </r>
    <r>
      <rPr>
        <i/>
        <sz val="11"/>
        <color theme="1"/>
        <rFont val="Calibri"/>
        <family val="2"/>
        <scheme val="minor"/>
      </rPr>
      <t xml:space="preserve"> </t>
    </r>
    <r>
      <rPr>
        <b/>
        <i/>
        <sz val="11"/>
        <color theme="1"/>
        <rFont val="Calibri"/>
        <family val="2"/>
        <scheme val="minor"/>
      </rPr>
      <t>&amp; Parking</t>
    </r>
  </si>
  <si>
    <r>
      <t xml:space="preserve">TOTAL INFLOW </t>
    </r>
    <r>
      <rPr>
        <b/>
        <i/>
        <sz val="11"/>
        <color theme="1"/>
        <rFont val="Calibri"/>
        <family val="2"/>
        <scheme val="minor"/>
      </rPr>
      <t xml:space="preserve">(in Crore) </t>
    </r>
    <r>
      <rPr>
        <b/>
        <sz val="11"/>
        <color theme="1"/>
        <rFont val="Calibri"/>
        <family val="2"/>
        <scheme val="minor"/>
      </rPr>
      <t>(A)</t>
    </r>
  </si>
  <si>
    <r>
      <rPr>
        <b/>
        <sz val="11"/>
        <color theme="1"/>
        <rFont val="Calibri"/>
        <family val="2"/>
        <scheme val="minor"/>
      </rPr>
      <t>Approval Charges</t>
    </r>
    <r>
      <rPr>
        <sz val="11"/>
        <color theme="1"/>
        <rFont val="Calibri"/>
        <family val="2"/>
        <scheme val="minor"/>
      </rPr>
      <t/>
    </r>
  </si>
  <si>
    <t>Administrative Expenses</t>
  </si>
  <si>
    <r>
      <t xml:space="preserve">TOTAL OUTFLOW </t>
    </r>
    <r>
      <rPr>
        <b/>
        <i/>
        <sz val="11"/>
        <color theme="1"/>
        <rFont val="Calibri"/>
        <family val="2"/>
        <scheme val="minor"/>
      </rPr>
      <t xml:space="preserve">(in Crore) </t>
    </r>
    <r>
      <rPr>
        <b/>
        <sz val="11"/>
        <color theme="1"/>
        <rFont val="Calibri"/>
        <family val="2"/>
        <scheme val="minor"/>
      </rPr>
      <t>(B)</t>
    </r>
  </si>
  <si>
    <t>B</t>
  </si>
  <si>
    <t>Ce</t>
  </si>
  <si>
    <t>Land Area</t>
  </si>
  <si>
    <t>Expected Built-up area as per maximum FAR</t>
  </si>
  <si>
    <t>Basic Cost of Construction for high rise building in Mumbai</t>
  </si>
  <si>
    <t>INR/ sq. ft</t>
  </si>
  <si>
    <t>Escalation in Sale Rate</t>
  </si>
  <si>
    <t>Expected Developers Profit</t>
  </si>
  <si>
    <t>FAR/ FSI</t>
  </si>
  <si>
    <t>1. The above residual value of land is arrived baased on the assumption taken during the course of the assessment.</t>
  </si>
  <si>
    <t>Area Absorbed per annum (sq. ft.)</t>
  </si>
  <si>
    <t>PROJECT OUTFLOW</t>
  </si>
  <si>
    <r>
      <t xml:space="preserve">Total Cost Incurred as on date
</t>
    </r>
    <r>
      <rPr>
        <b/>
        <i/>
        <sz val="10"/>
        <rFont val="Calibri"/>
        <family val="2"/>
        <scheme val="minor"/>
      </rPr>
      <t>(as information provided by the company)</t>
    </r>
  </si>
  <si>
    <t>5. Market rates have been considered on super area but only built-up area is considered and not the super area in the calculation to arrive at the minimum fetch value.</t>
  </si>
  <si>
    <t>Note:</t>
  </si>
  <si>
    <t>SBUA</t>
  </si>
  <si>
    <t>Check</t>
  </si>
  <si>
    <t>check</t>
  </si>
  <si>
    <t>2. The average market rate for residential flats in the subject project is varying in between Rs.24,000/-per sq.ft. to Rs.30,000/-per sq.ft.  on carpet area.After considering the loading factor we have adopted Rs. 20,000/- per sq.ft on super built-up area including other charges like PLC, IFMS Charges, Utility Charges and developer will charge additional parking charges. These rates are also the current prevailing market rate of the other projects present nearby.</t>
  </si>
  <si>
    <t>per acre</t>
  </si>
  <si>
    <t>per sq.mtr</t>
  </si>
  <si>
    <t>1. As per Industry practice, we have considered 15% loading factor on builtup area to arrive at super area.</t>
  </si>
  <si>
    <t>2. We have considered Rs 27,000/- per sq.ft on carpet area as per market information and accordingly converted Lumpsum Rs.20,000/- per sq.ft on super area basis adjusting the loading factor approximately 25% on carpet to super area rates.</t>
  </si>
  <si>
    <r>
      <t>Expected Saleable Area</t>
    </r>
    <r>
      <rPr>
        <b/>
        <i/>
        <sz val="11"/>
        <color theme="1"/>
        <rFont val="Calibri"/>
        <family val="2"/>
        <scheme val="minor"/>
      </rPr>
      <t xml:space="preserve"> (Super Built-up area as per maximum FAR)</t>
    </r>
  </si>
  <si>
    <t>DEVELOPERS PROFIT @ 15% OF NPV</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</si>
</sst>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8" formatCode="&quot;₹&quot;\ #,##0.00;[Red]&quot;₹&quot;\ \-#,##0.00"/>
    <numFmt numFmtId="44" formatCode="_ &quot;₹&quot;\ * #,##0.00_ ;_ &quot;₹&quot;\ * \-#,##0.00_ ;_ &quot;₹&quot;\ * &quot;-&quot;??_ ;_ @_ "/>
    <numFmt numFmtId="43" formatCode="_ * #,##0.00_ ;_ * \-#,##0.00_ ;_ * &quot;-&quot;??_ ;_ @_ "/>
    <numFmt numFmtId="164" formatCode="_(* #,##0.00_);_(* \(#,##0.00\);_(* &quot;-&quot;??_);_(@_)"/>
    <numFmt numFmtId="165" formatCode="_ [$₹-4009]\ * #,##0.00_ ;_ [$₹-4009]\ * \-#,##0.00_ ;_ [$₹-4009]\ * &quot;-&quot;??_ ;_ @_ "/>
    <numFmt numFmtId="166" formatCode="0.0%"/>
    <numFmt numFmtId="167" formatCode="_(* #,##0.0_);_(* \(#,##0.0\);_(* &quot;-&quot;??_);_(@_)"/>
    <numFmt numFmtId="168" formatCode="_(&quot;$&quot;* #,##0.000_);_(&quot;$&quot;* \(#,##0.000\);_(&quot;$&quot;* &quot;-&quot;??_);_(@_)"/>
    <numFmt numFmtId="169" formatCode="_(* #,##0_);_(* \(#,##0\);_(* &quot;-&quot;??_);_(@_)"/>
  </numFmts>
  <fonts count="18" x14ac:knownFonts="1">
    <font>
      <sz val="11"/>
      <color theme="1"/>
      <name val="Calibri"/>
      <family val="2"/>
      <scheme val="minor"/>
    </font>
    <font>
      <b/>
      <sz val="11"/>
      <color theme="1"/>
      <name val="Calibri"/>
      <family val="2"/>
      <scheme val="minor"/>
    </font>
    <font>
      <sz val="11"/>
      <color rgb="FF000000"/>
      <name val="Calibri"/>
      <family val="2"/>
      <scheme val="minor"/>
    </font>
    <font>
      <sz val="11"/>
      <color theme="1"/>
      <name val="Calibri"/>
      <family val="2"/>
      <scheme val="minor"/>
    </font>
    <font>
      <b/>
      <sz val="11"/>
      <color theme="0"/>
      <name val="Calibri"/>
      <family val="2"/>
      <scheme val="minor"/>
    </font>
    <font>
      <i/>
      <sz val="11"/>
      <color theme="1"/>
      <name val="Calibri"/>
      <family val="2"/>
      <scheme val="minor"/>
    </font>
    <font>
      <b/>
      <sz val="12"/>
      <color theme="0"/>
      <name val="Calibri"/>
      <family val="2"/>
      <scheme val="minor"/>
    </font>
    <font>
      <b/>
      <sz val="11"/>
      <name val="Calibri"/>
      <family val="2"/>
      <scheme val="minor"/>
    </font>
    <font>
      <b/>
      <i/>
      <sz val="11"/>
      <color theme="1"/>
      <name val="Calibri"/>
      <family val="2"/>
      <scheme val="minor"/>
    </font>
    <font>
      <sz val="11"/>
      <name val="Calibri"/>
      <family val="2"/>
      <scheme val="minor"/>
    </font>
    <font>
      <i/>
      <sz val="11"/>
      <color theme="0"/>
      <name val="Calibri"/>
      <family val="2"/>
      <scheme val="minor"/>
    </font>
    <font>
      <i/>
      <sz val="10"/>
      <color theme="0"/>
      <name val="Calibri"/>
      <family val="2"/>
      <scheme val="minor"/>
    </font>
    <font>
      <i/>
      <sz val="10"/>
      <color theme="1"/>
      <name val="Calibri"/>
      <family val="2"/>
      <scheme val="minor"/>
    </font>
    <font>
      <sz val="8"/>
      <name val="Calibri"/>
      <family val="2"/>
      <scheme val="minor"/>
    </font>
    <font>
      <b/>
      <sz val="11"/>
      <color rgb="FF000000"/>
      <name val="Calibri"/>
      <family val="2"/>
      <scheme val="minor"/>
    </font>
    <font>
      <i/>
      <sz val="11"/>
      <color rgb="FF000000"/>
      <name val="Calibri"/>
      <family val="2"/>
      <scheme val="minor"/>
    </font>
    <font>
      <sz val="11"/>
      <color theme="0"/>
      <name val="Calibri"/>
      <family val="2"/>
      <scheme val="minor"/>
    </font>
    <font>
      <b/>
      <i/>
      <sz val="10"/>
      <name val="Calibri"/>
      <family val="2"/>
      <scheme val="minor"/>
    </font>
  </fonts>
  <fills count="1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theme="3" tint="-0.499984740745262"/>
        <bgColor indexed="64"/>
      </patternFill>
    </fill>
    <fill>
      <patternFill patternType="solid">
        <fgColor theme="3" tint="-0.249977111117893"/>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theme="4" tint="0.79998168889431442"/>
      </left>
      <right style="double">
        <color theme="4" tint="0.79998168889431442"/>
      </right>
      <top style="double">
        <color theme="4" tint="0.79998168889431442"/>
      </top>
      <bottom style="double">
        <color theme="4" tint="0.79998168889431442"/>
      </bottom>
      <diagonal/>
    </border>
    <border>
      <left style="double">
        <color theme="4" tint="0.79998168889431442"/>
      </left>
      <right/>
      <top style="double">
        <color theme="4" tint="0.79998168889431442"/>
      </top>
      <bottom/>
      <diagonal/>
    </border>
    <border>
      <left/>
      <right/>
      <top style="double">
        <color theme="4" tint="0.79998168889431442"/>
      </top>
      <bottom/>
      <diagonal/>
    </border>
    <border>
      <left/>
      <right style="double">
        <color theme="4" tint="0.79998168889431442"/>
      </right>
      <top style="double">
        <color theme="4" tint="0.79998168889431442"/>
      </top>
      <bottom/>
      <diagonal/>
    </border>
    <border>
      <left style="double">
        <color theme="4" tint="0.79998168889431442"/>
      </left>
      <right/>
      <top/>
      <bottom/>
      <diagonal/>
    </border>
    <border>
      <left/>
      <right style="double">
        <color theme="4" tint="0.79998168889431442"/>
      </right>
      <top/>
      <bottom/>
      <diagonal/>
    </border>
    <border>
      <left style="double">
        <color theme="4" tint="0.79998168889431442"/>
      </left>
      <right/>
      <top/>
      <bottom style="double">
        <color theme="4" tint="0.79998168889431442"/>
      </bottom>
      <diagonal/>
    </border>
    <border>
      <left/>
      <right/>
      <top/>
      <bottom style="double">
        <color theme="4" tint="0.79998168889431442"/>
      </bottom>
      <diagonal/>
    </border>
    <border>
      <left/>
      <right style="double">
        <color theme="4" tint="0.79998168889431442"/>
      </right>
      <top/>
      <bottom style="double">
        <color theme="4" tint="0.79998168889431442"/>
      </bottom>
      <diagonal/>
    </border>
    <border>
      <left style="double">
        <color theme="4" tint="0.79998168889431442"/>
      </left>
      <right/>
      <top style="double">
        <color theme="4" tint="0.79998168889431442"/>
      </top>
      <bottom style="double">
        <color theme="4" tint="0.79998168889431442"/>
      </bottom>
      <diagonal/>
    </border>
    <border>
      <left/>
      <right/>
      <top style="double">
        <color theme="4" tint="0.79998168889431442"/>
      </top>
      <bottom style="double">
        <color theme="4" tint="0.79998168889431442"/>
      </bottom>
      <diagonal/>
    </border>
    <border>
      <left/>
      <right style="double">
        <color theme="4" tint="0.79998168889431442"/>
      </right>
      <top style="double">
        <color theme="4" tint="0.79998168889431442"/>
      </top>
      <bottom style="double">
        <color theme="4" tint="0.79998168889431442"/>
      </bottom>
      <diagonal/>
    </border>
    <border>
      <left style="double">
        <color theme="4" tint="0.79998168889431442"/>
      </left>
      <right style="thin">
        <color indexed="64"/>
      </right>
      <top style="double">
        <color theme="4" tint="0.79998168889431442"/>
      </top>
      <bottom style="double">
        <color theme="4" tint="0.79998168889431442"/>
      </bottom>
      <diagonal/>
    </border>
    <border>
      <left style="thin">
        <color indexed="64"/>
      </left>
      <right style="thin">
        <color indexed="64"/>
      </right>
      <top style="double">
        <color theme="4" tint="0.79998168889431442"/>
      </top>
      <bottom style="double">
        <color theme="4" tint="0.79998168889431442"/>
      </bottom>
      <diagonal/>
    </border>
    <border>
      <left style="thin">
        <color indexed="64"/>
      </left>
      <right style="double">
        <color theme="4" tint="0.79998168889431442"/>
      </right>
      <top style="double">
        <color theme="4" tint="0.79998168889431442"/>
      </top>
      <bottom style="double">
        <color theme="4" tint="0.79998168889431442"/>
      </bottom>
      <diagonal/>
    </border>
    <border>
      <left style="thin">
        <color indexed="64"/>
      </left>
      <right style="thin">
        <color indexed="64"/>
      </right>
      <top/>
      <bottom style="thin">
        <color indexed="64"/>
      </bottom>
      <diagonal/>
    </border>
    <border>
      <left style="double">
        <color theme="4" tint="0.79998168889431442"/>
      </left>
      <right style="double">
        <color theme="4" tint="0.79998168889431442"/>
      </right>
      <top style="double">
        <color theme="4" tint="0.79998168889431442"/>
      </top>
      <bottom/>
      <diagonal/>
    </border>
    <border>
      <left style="double">
        <color theme="4" tint="0.79998168889431442"/>
      </left>
      <right style="double">
        <color theme="4" tint="0.79998168889431442"/>
      </right>
      <top/>
      <bottom style="double">
        <color theme="4" tint="0.79998168889431442"/>
      </bottom>
      <diagonal/>
    </border>
    <border>
      <left style="double">
        <color theme="4" tint="0.79998168889431442"/>
      </left>
      <right style="double">
        <color theme="4" tint="0.79995117038483843"/>
      </right>
      <top style="double">
        <color theme="4" tint="0.79995117038483843"/>
      </top>
      <bottom style="double">
        <color theme="4" tint="0.79998168889431442"/>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thin">
        <color theme="3"/>
      </left>
      <right style="thin">
        <color theme="3"/>
      </right>
      <top/>
      <bottom/>
      <diagonal/>
    </border>
  </borders>
  <cellStyleXfs count="5">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cellStyleXfs>
  <cellXfs count="193">
    <xf numFmtId="0" fontId="0" fillId="0" borderId="0" xfId="0"/>
    <xf numFmtId="0" fontId="0" fillId="0" borderId="1" xfId="0" applyBorder="1" applyAlignment="1">
      <alignment horizontal="center" vertical="center"/>
    </xf>
    <xf numFmtId="44" fontId="0" fillId="0" borderId="1" xfId="2" applyFont="1" applyBorder="1" applyAlignment="1">
      <alignment horizontal="center" vertical="center"/>
    </xf>
    <xf numFmtId="44" fontId="1" fillId="0" borderId="1" xfId="2" applyFont="1" applyBorder="1" applyAlignment="1">
      <alignment horizontal="center" vertical="center"/>
    </xf>
    <xf numFmtId="0" fontId="2" fillId="0" borderId="0" xfId="0" applyFont="1" applyAlignment="1">
      <alignment horizontal="left" vertical="top"/>
    </xf>
    <xf numFmtId="0" fontId="4" fillId="7" borderId="1" xfId="0" applyFont="1" applyFill="1" applyBorder="1" applyAlignment="1">
      <alignment horizontal="center" vertical="center"/>
    </xf>
    <xf numFmtId="9" fontId="2" fillId="0" borderId="0" xfId="3" applyFont="1" applyFill="1" applyBorder="1" applyAlignment="1">
      <alignment horizontal="left" vertical="top"/>
    </xf>
    <xf numFmtId="0" fontId="2" fillId="0" borderId="0" xfId="0" applyFont="1" applyAlignment="1">
      <alignment horizontal="center" vertical="center"/>
    </xf>
    <xf numFmtId="44" fontId="1" fillId="0" borderId="1" xfId="2" applyFont="1" applyBorder="1" applyAlignment="1">
      <alignment vertical="center"/>
    </xf>
    <xf numFmtId="0" fontId="2" fillId="0" borderId="0" xfId="0" applyFont="1"/>
    <xf numFmtId="44" fontId="2" fillId="0" borderId="0" xfId="2" applyFont="1"/>
    <xf numFmtId="44" fontId="4" fillId="0" borderId="0" xfId="2" applyFont="1" applyFill="1" applyBorder="1" applyAlignment="1">
      <alignment vertical="top"/>
    </xf>
    <xf numFmtId="17" fontId="4" fillId="7" borderId="1" xfId="2" applyNumberFormat="1" applyFont="1" applyFill="1" applyBorder="1" applyAlignment="1">
      <alignment horizontal="center" vertical="center"/>
    </xf>
    <xf numFmtId="2" fontId="2" fillId="0" borderId="1" xfId="2" applyNumberFormat="1" applyFont="1" applyBorder="1" applyAlignment="1">
      <alignment horizontal="right" vertical="center"/>
    </xf>
    <xf numFmtId="167" fontId="9" fillId="3" borderId="1" xfId="1" applyNumberFormat="1" applyFont="1" applyFill="1" applyBorder="1" applyAlignment="1">
      <alignment vertical="center"/>
    </xf>
    <xf numFmtId="165" fontId="1" fillId="0" borderId="1" xfId="0" applyNumberFormat="1" applyFont="1" applyBorder="1" applyAlignment="1">
      <alignment horizontal="center" vertical="center"/>
    </xf>
    <xf numFmtId="0" fontId="4" fillId="5" borderId="1" xfId="0" applyFont="1" applyFill="1" applyBorder="1" applyAlignment="1">
      <alignment horizontal="center" vertical="center" wrapText="1"/>
    </xf>
    <xf numFmtId="44" fontId="0" fillId="0" borderId="0" xfId="0" applyNumberFormat="1"/>
    <xf numFmtId="0" fontId="1" fillId="0" borderId="1" xfId="0" applyFont="1" applyBorder="1" applyAlignment="1">
      <alignment horizontal="center" vertical="center"/>
    </xf>
    <xf numFmtId="17" fontId="4" fillId="7" borderId="1" xfId="2" applyNumberFormat="1" applyFont="1" applyFill="1" applyBorder="1" applyAlignment="1">
      <alignment horizontal="center" vertical="center" wrapText="1"/>
    </xf>
    <xf numFmtId="0" fontId="0" fillId="0" borderId="1" xfId="0" applyBorder="1"/>
    <xf numFmtId="44" fontId="2" fillId="0" borderId="0" xfId="0" applyNumberFormat="1" applyFont="1"/>
    <xf numFmtId="0" fontId="2" fillId="2" borderId="1" xfId="0" applyFont="1" applyFill="1" applyBorder="1" applyAlignment="1">
      <alignment vertical="center"/>
    </xf>
    <xf numFmtId="10" fontId="0" fillId="0" borderId="1" xfId="0" applyNumberFormat="1" applyBorder="1"/>
    <xf numFmtId="9" fontId="0" fillId="0" borderId="1" xfId="0" applyNumberFormat="1" applyBorder="1"/>
    <xf numFmtId="10" fontId="0" fillId="0" borderId="1" xfId="3" applyNumberFormat="1" applyFont="1" applyBorder="1"/>
    <xf numFmtId="43" fontId="2" fillId="3" borderId="1" xfId="0" applyNumberFormat="1" applyFont="1" applyFill="1" applyBorder="1" applyAlignment="1">
      <alignment horizontal="center" vertical="center"/>
    </xf>
    <xf numFmtId="44" fontId="2" fillId="0" borderId="0" xfId="3" applyNumberFormat="1" applyFont="1" applyFill="1" applyBorder="1" applyAlignment="1">
      <alignment horizontal="left" vertical="top"/>
    </xf>
    <xf numFmtId="44" fontId="0" fillId="0" borderId="0" xfId="2" applyFont="1"/>
    <xf numFmtId="165" fontId="2" fillId="0" borderId="0" xfId="0" applyNumberFormat="1" applyFont="1"/>
    <xf numFmtId="0" fontId="0" fillId="0" borderId="0" xfId="0" quotePrefix="1"/>
    <xf numFmtId="10" fontId="0" fillId="9" borderId="0" xfId="3" applyNumberFormat="1" applyFont="1" applyFill="1"/>
    <xf numFmtId="0" fontId="1" fillId="0" borderId="0" xfId="0" applyFont="1"/>
    <xf numFmtId="9" fontId="0" fillId="0" borderId="1" xfId="3" applyFont="1" applyBorder="1"/>
    <xf numFmtId="9" fontId="0" fillId="9" borderId="0" xfId="0" applyNumberFormat="1" applyFill="1"/>
    <xf numFmtId="9" fontId="0" fillId="0" borderId="0" xfId="3" applyFont="1" applyBorder="1"/>
    <xf numFmtId="10" fontId="0" fillId="3" borderId="1" xfId="0" applyNumberFormat="1" applyFill="1" applyBorder="1"/>
    <xf numFmtId="165" fontId="0" fillId="3" borderId="5" xfId="0" applyNumberFormat="1" applyFill="1" applyBorder="1" applyAlignment="1">
      <alignment vertical="center"/>
    </xf>
    <xf numFmtId="0" fontId="1" fillId="3" borderId="5" xfId="0" applyFont="1" applyFill="1" applyBorder="1" applyAlignment="1">
      <alignment vertical="center"/>
    </xf>
    <xf numFmtId="2" fontId="9" fillId="3" borderId="5" xfId="1" applyNumberFormat="1" applyFont="1" applyFill="1" applyBorder="1" applyAlignment="1">
      <alignment vertical="center"/>
    </xf>
    <xf numFmtId="2" fontId="7" fillId="10" borderId="5" xfId="1" applyNumberFormat="1" applyFont="1" applyFill="1" applyBorder="1" applyAlignment="1">
      <alignment vertical="center"/>
    </xf>
    <xf numFmtId="0" fontId="1" fillId="3" borderId="5" xfId="0" applyFont="1" applyFill="1" applyBorder="1" applyAlignment="1">
      <alignment horizontal="right" vertical="center"/>
    </xf>
    <xf numFmtId="167" fontId="9" fillId="3" borderId="5" xfId="1" applyNumberFormat="1" applyFont="1" applyFill="1" applyBorder="1" applyAlignment="1">
      <alignment horizontal="right" vertical="center"/>
    </xf>
    <xf numFmtId="164" fontId="9" fillId="3" borderId="5" xfId="1" applyFont="1" applyFill="1" applyBorder="1" applyAlignment="1">
      <alignment vertical="center"/>
    </xf>
    <xf numFmtId="164" fontId="7" fillId="10" borderId="5" xfId="1" applyFont="1" applyFill="1" applyBorder="1" applyAlignment="1">
      <alignment vertical="center"/>
    </xf>
    <xf numFmtId="0" fontId="0" fillId="0" borderId="20" xfId="0" applyBorder="1"/>
    <xf numFmtId="0" fontId="1" fillId="0" borderId="5" xfId="0" applyFont="1" applyBorder="1" applyAlignment="1">
      <alignment horizontal="left" vertical="center"/>
    </xf>
    <xf numFmtId="0" fontId="0" fillId="0" borderId="5" xfId="0" applyBorder="1" applyAlignment="1">
      <alignment horizontal="left"/>
    </xf>
    <xf numFmtId="0" fontId="0" fillId="0" borderId="5" xfId="0" applyBorder="1" applyAlignment="1">
      <alignment horizontal="left" vertical="center"/>
    </xf>
    <xf numFmtId="0" fontId="1" fillId="3" borderId="5" xfId="0" applyFont="1" applyFill="1" applyBorder="1" applyAlignment="1">
      <alignment horizontal="left" vertical="center"/>
    </xf>
    <xf numFmtId="0" fontId="0" fillId="3" borderId="5" xfId="0" applyFill="1" applyBorder="1" applyAlignment="1">
      <alignment horizontal="left" vertical="center"/>
    </xf>
    <xf numFmtId="9" fontId="7" fillId="3" borderId="5" xfId="0" applyNumberFormat="1" applyFont="1" applyFill="1" applyBorder="1" applyAlignment="1">
      <alignment horizontal="left" vertical="center"/>
    </xf>
    <xf numFmtId="0" fontId="0" fillId="0" borderId="5" xfId="0" applyBorder="1" applyAlignment="1">
      <alignment horizontal="center" vertical="center"/>
    </xf>
    <xf numFmtId="9" fontId="2" fillId="0" borderId="5" xfId="3" applyFont="1" applyBorder="1" applyAlignment="1">
      <alignment horizontal="center" vertical="center"/>
    </xf>
    <xf numFmtId="0" fontId="2" fillId="0" borderId="5" xfId="0" applyFont="1" applyBorder="1" applyAlignment="1">
      <alignment horizontal="center" vertical="center" wrapText="1"/>
    </xf>
    <xf numFmtId="43" fontId="0" fillId="0" borderId="5" xfId="0" applyNumberFormat="1" applyBorder="1" applyAlignment="1">
      <alignment horizontal="center" vertical="center"/>
    </xf>
    <xf numFmtId="9" fontId="0" fillId="3" borderId="5" xfId="3" applyFont="1" applyFill="1" applyBorder="1" applyAlignment="1">
      <alignment horizontal="right" vertical="center"/>
    </xf>
    <xf numFmtId="0" fontId="2" fillId="0" borderId="5" xfId="0" applyFont="1" applyBorder="1" applyAlignment="1">
      <alignment vertical="center" wrapText="1"/>
    </xf>
    <xf numFmtId="166" fontId="2" fillId="0" borderId="5" xfId="3" applyNumberFormat="1" applyFont="1" applyBorder="1" applyAlignment="1">
      <alignment vertical="center"/>
    </xf>
    <xf numFmtId="44" fontId="2" fillId="0" borderId="5" xfId="2" applyFont="1" applyBorder="1" applyAlignment="1">
      <alignment vertical="center"/>
    </xf>
    <xf numFmtId="0" fontId="5" fillId="0" borderId="5" xfId="0" applyFont="1" applyBorder="1" applyAlignment="1">
      <alignment vertical="center" wrapText="1"/>
    </xf>
    <xf numFmtId="44" fontId="3" fillId="0" borderId="5" xfId="2" applyFont="1" applyBorder="1" applyAlignment="1">
      <alignment horizontal="center" vertical="center"/>
    </xf>
    <xf numFmtId="0" fontId="14" fillId="0" borderId="5" xfId="0" applyFont="1" applyBorder="1" applyAlignment="1">
      <alignment vertical="center" wrapText="1"/>
    </xf>
    <xf numFmtId="0" fontId="0" fillId="0" borderId="20" xfId="0" applyBorder="1" applyAlignment="1">
      <alignment horizontal="center" vertical="center"/>
    </xf>
    <xf numFmtId="0" fontId="0" fillId="0" borderId="5" xfId="0" applyBorder="1" applyAlignment="1">
      <alignment horizontal="left" vertical="center" wrapText="1"/>
    </xf>
    <xf numFmtId="44" fontId="0" fillId="0" borderId="5" xfId="0" applyNumberFormat="1" applyBorder="1" applyAlignment="1">
      <alignment horizontal="center" vertical="center"/>
    </xf>
    <xf numFmtId="0" fontId="1" fillId="3" borderId="21" xfId="0" applyFont="1" applyFill="1" applyBorder="1" applyAlignment="1">
      <alignment horizontal="right" vertical="center"/>
    </xf>
    <xf numFmtId="165" fontId="0" fillId="3" borderId="21" xfId="0" applyNumberFormat="1" applyFill="1" applyBorder="1" applyAlignment="1">
      <alignment vertical="center"/>
    </xf>
    <xf numFmtId="2" fontId="4" fillId="11" borderId="5" xfId="1" applyNumberFormat="1" applyFont="1" applyFill="1" applyBorder="1" applyAlignment="1">
      <alignment vertical="center"/>
    </xf>
    <xf numFmtId="0" fontId="0" fillId="3" borderId="0" xfId="0" applyFill="1"/>
    <xf numFmtId="0" fontId="1" fillId="3" borderId="0" xfId="0" applyFont="1" applyFill="1"/>
    <xf numFmtId="165" fontId="0" fillId="3" borderId="0" xfId="0" applyNumberFormat="1" applyFill="1"/>
    <xf numFmtId="44" fontId="1" fillId="0" borderId="5" xfId="0" applyNumberFormat="1" applyFont="1" applyBorder="1" applyAlignment="1">
      <alignment horizontal="right" vertical="center"/>
    </xf>
    <xf numFmtId="0" fontId="1" fillId="3" borderId="5" xfId="0" applyFont="1" applyFill="1" applyBorder="1" applyAlignment="1">
      <alignment vertical="center" wrapText="1"/>
    </xf>
    <xf numFmtId="164" fontId="0" fillId="3" borderId="0" xfId="1" applyFont="1" applyFill="1"/>
    <xf numFmtId="8" fontId="1" fillId="3" borderId="0" xfId="0" applyNumberFormat="1" applyFont="1" applyFill="1"/>
    <xf numFmtId="43" fontId="1" fillId="3" borderId="0" xfId="0" applyNumberFormat="1" applyFont="1" applyFill="1"/>
    <xf numFmtId="43" fontId="0" fillId="3" borderId="0" xfId="0" applyNumberFormat="1" applyFill="1"/>
    <xf numFmtId="169" fontId="0" fillId="3" borderId="0" xfId="1" applyNumberFormat="1" applyFont="1" applyFill="1"/>
    <xf numFmtId="9" fontId="2" fillId="0" borderId="0" xfId="0" applyNumberFormat="1" applyFont="1" applyAlignment="1">
      <alignment horizontal="left" vertical="top"/>
    </xf>
    <xf numFmtId="9" fontId="0" fillId="0" borderId="0" xfId="0" applyNumberFormat="1"/>
    <xf numFmtId="0" fontId="1" fillId="3" borderId="5" xfId="0" applyFont="1" applyFill="1" applyBorder="1" applyAlignment="1">
      <alignment horizontal="left" vertical="center" wrapText="1"/>
    </xf>
    <xf numFmtId="164" fontId="0" fillId="0" borderId="5" xfId="1" applyFont="1" applyBorder="1" applyAlignment="1">
      <alignment horizontal="right" vertical="center"/>
    </xf>
    <xf numFmtId="164" fontId="0" fillId="3" borderId="5" xfId="1" applyFont="1" applyFill="1" applyBorder="1" applyAlignment="1">
      <alignment horizontal="right" vertical="center"/>
    </xf>
    <xf numFmtId="164" fontId="0" fillId="0" borderId="0" xfId="1" applyFont="1"/>
    <xf numFmtId="10" fontId="0" fillId="3" borderId="5" xfId="1" applyNumberFormat="1" applyFont="1" applyFill="1" applyBorder="1" applyAlignment="1">
      <alignment horizontal="right" vertical="center"/>
    </xf>
    <xf numFmtId="17" fontId="7" fillId="6" borderId="5" xfId="2" applyNumberFormat="1" applyFont="1" applyFill="1" applyBorder="1" applyAlignment="1">
      <alignment horizontal="center" vertical="center"/>
    </xf>
    <xf numFmtId="0" fontId="2" fillId="0" borderId="25" xfId="0" applyFont="1" applyBorder="1" applyAlignment="1">
      <alignment horizontal="left" vertical="top"/>
    </xf>
    <xf numFmtId="0" fontId="2" fillId="0" borderId="22" xfId="0" applyFont="1" applyBorder="1" applyAlignment="1">
      <alignment vertical="center" wrapText="1"/>
    </xf>
    <xf numFmtId="164" fontId="2" fillId="0" borderId="22" xfId="1" applyFont="1" applyBorder="1" applyAlignment="1">
      <alignment vertical="center" wrapText="1"/>
    </xf>
    <xf numFmtId="17" fontId="7" fillId="6" borderId="24" xfId="2" applyNumberFormat="1" applyFont="1" applyFill="1" applyBorder="1" applyAlignment="1">
      <alignment horizontal="center" vertical="top"/>
    </xf>
    <xf numFmtId="0" fontId="0" fillId="0" borderId="22" xfId="0" applyBorder="1" applyAlignment="1">
      <alignment horizontal="center" vertical="center"/>
    </xf>
    <xf numFmtId="0" fontId="7" fillId="4" borderId="24" xfId="0" applyFont="1" applyFill="1" applyBorder="1" applyAlignment="1">
      <alignment horizontal="center" vertical="center" wrapText="1"/>
    </xf>
    <xf numFmtId="0" fontId="7" fillId="0" borderId="5" xfId="0" applyFont="1" applyFill="1" applyBorder="1" applyAlignment="1">
      <alignment horizontal="center" vertical="center"/>
    </xf>
    <xf numFmtId="44" fontId="7" fillId="0" borderId="5" xfId="0" applyNumberFormat="1" applyFont="1" applyFill="1" applyBorder="1" applyAlignment="1">
      <alignment horizontal="center" vertical="center"/>
    </xf>
    <xf numFmtId="17" fontId="4" fillId="13" borderId="5" xfId="2" applyNumberFormat="1" applyFont="1" applyFill="1" applyBorder="1" applyAlignment="1">
      <alignment horizontal="center" vertical="center"/>
    </xf>
    <xf numFmtId="164" fontId="7" fillId="4" borderId="5" xfId="1" applyFont="1" applyFill="1" applyBorder="1" applyAlignment="1">
      <alignment vertical="center"/>
    </xf>
    <xf numFmtId="2" fontId="7" fillId="4" borderId="5" xfId="1" applyNumberFormat="1" applyFont="1" applyFill="1" applyBorder="1" applyAlignment="1">
      <alignment vertical="center"/>
    </xf>
    <xf numFmtId="43" fontId="4" fillId="13" borderId="23" xfId="0" applyNumberFormat="1" applyFont="1" applyFill="1" applyBorder="1" applyAlignment="1">
      <alignment horizontal="center" vertical="center"/>
    </xf>
    <xf numFmtId="0" fontId="4" fillId="13" borderId="5" xfId="0" applyFont="1" applyFill="1" applyBorder="1" applyAlignment="1">
      <alignment vertical="center"/>
    </xf>
    <xf numFmtId="165" fontId="16" fillId="13" borderId="5" xfId="0" applyNumberFormat="1" applyFont="1" applyFill="1" applyBorder="1" applyAlignment="1">
      <alignment vertical="center"/>
    </xf>
    <xf numFmtId="10" fontId="16" fillId="13" borderId="5" xfId="3" applyNumberFormat="1" applyFont="1" applyFill="1" applyBorder="1" applyAlignment="1">
      <alignment vertical="center" wrapText="1"/>
    </xf>
    <xf numFmtId="165" fontId="4" fillId="13" borderId="5" xfId="0" applyNumberFormat="1" applyFont="1" applyFill="1" applyBorder="1" applyAlignment="1">
      <alignment vertical="center"/>
    </xf>
    <xf numFmtId="0" fontId="1" fillId="0" borderId="21" xfId="0" applyFont="1" applyBorder="1" applyAlignment="1">
      <alignment vertical="center"/>
    </xf>
    <xf numFmtId="164" fontId="0" fillId="0" borderId="0" xfId="1" applyFont="1" applyFill="1"/>
    <xf numFmtId="164" fontId="0" fillId="0" borderId="5" xfId="1" applyFont="1" applyFill="1" applyBorder="1" applyAlignment="1">
      <alignment horizontal="right" vertical="center"/>
    </xf>
    <xf numFmtId="17" fontId="7" fillId="6" borderId="5" xfId="2" applyNumberFormat="1" applyFont="1" applyFill="1" applyBorder="1" applyAlignment="1">
      <alignment horizontal="center" vertical="center"/>
    </xf>
    <xf numFmtId="43" fontId="0" fillId="0" borderId="0" xfId="0" applyNumberFormat="1"/>
    <xf numFmtId="0" fontId="0" fillId="9" borderId="0" xfId="0" applyFill="1"/>
    <xf numFmtId="164" fontId="0" fillId="9" borderId="0" xfId="1" applyFont="1" applyFill="1"/>
    <xf numFmtId="164" fontId="2" fillId="3" borderId="1" xfId="1" applyFont="1" applyFill="1" applyBorder="1" applyAlignment="1">
      <alignment horizontal="center" vertical="center"/>
    </xf>
    <xf numFmtId="164" fontId="2" fillId="0" borderId="0" xfId="0" applyNumberFormat="1" applyFont="1" applyAlignment="1">
      <alignment horizontal="left" vertical="top"/>
    </xf>
    <xf numFmtId="43" fontId="2" fillId="0" borderId="26" xfId="0" applyNumberFormat="1" applyFont="1" applyBorder="1" applyAlignment="1">
      <alignment horizontal="left" vertical="top"/>
    </xf>
    <xf numFmtId="0" fontId="1" fillId="0" borderId="22" xfId="0" applyFont="1" applyBorder="1" applyAlignment="1">
      <alignment vertical="center" wrapText="1"/>
    </xf>
    <xf numFmtId="0" fontId="0" fillId="0" borderId="1" xfId="0" applyFill="1" applyBorder="1" applyAlignment="1">
      <alignment horizontal="left"/>
    </xf>
    <xf numFmtId="0" fontId="1" fillId="0" borderId="1" xfId="0" applyFont="1" applyBorder="1" applyAlignment="1">
      <alignment horizontal="left"/>
    </xf>
    <xf numFmtId="0" fontId="1" fillId="4" borderId="5" xfId="0" applyFont="1" applyFill="1" applyBorder="1" applyAlignment="1">
      <alignment horizontal="center" vertical="center"/>
    </xf>
    <xf numFmtId="0" fontId="1" fillId="0" borderId="21" xfId="0" applyFont="1" applyBorder="1" applyAlignment="1">
      <alignment horizontal="left" vertical="center" wrapText="1"/>
    </xf>
    <xf numFmtId="0" fontId="1" fillId="0" borderId="22" xfId="0" applyFont="1" applyBorder="1" applyAlignment="1">
      <alignment horizontal="left"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3" borderId="14"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16" xfId="0" applyFont="1" applyFill="1" applyBorder="1" applyAlignment="1">
      <alignment horizontal="center" vertical="center"/>
    </xf>
    <xf numFmtId="0" fontId="0" fillId="0" borderId="3" xfId="0" applyFill="1" applyBorder="1" applyAlignment="1">
      <alignment horizontal="left" wrapText="1"/>
    </xf>
    <xf numFmtId="0" fontId="0" fillId="0" borderId="4" xfId="0" applyFill="1" applyBorder="1" applyAlignment="1">
      <alignment horizontal="left" wrapText="1"/>
    </xf>
    <xf numFmtId="0" fontId="0" fillId="0" borderId="2" xfId="0" applyFill="1" applyBorder="1" applyAlignment="1">
      <alignment horizontal="left" wrapText="1"/>
    </xf>
    <xf numFmtId="0" fontId="7" fillId="6" borderId="5" xfId="0" applyFont="1" applyFill="1" applyBorder="1" applyAlignment="1">
      <alignment horizontal="center" vertical="center"/>
    </xf>
    <xf numFmtId="17" fontId="7" fillId="6" borderId="5" xfId="2" applyNumberFormat="1" applyFont="1" applyFill="1" applyBorder="1" applyAlignment="1">
      <alignment horizontal="center" vertical="center"/>
    </xf>
    <xf numFmtId="0" fontId="4" fillId="12" borderId="0" xfId="0" applyFont="1" applyFill="1" applyAlignment="1">
      <alignment horizontal="center" vertical="center" wrapText="1"/>
    </xf>
    <xf numFmtId="0" fontId="4" fillId="12" borderId="12" xfId="0" applyFont="1" applyFill="1" applyBorder="1" applyAlignment="1">
      <alignment horizontal="center" vertical="center" wrapText="1"/>
    </xf>
    <xf numFmtId="0" fontId="1" fillId="0" borderId="1" xfId="0" applyFont="1" applyBorder="1" applyAlignment="1">
      <alignment horizontal="center" vertical="center"/>
    </xf>
    <xf numFmtId="0" fontId="1" fillId="8" borderId="1" xfId="0" applyFont="1" applyFill="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5" fillId="0" borderId="5" xfId="0" applyFont="1" applyBorder="1" applyAlignment="1">
      <alignment horizontal="left" vertical="center" wrapText="1"/>
    </xf>
    <xf numFmtId="0" fontId="4" fillId="12" borderId="21" xfId="0" applyFont="1" applyFill="1" applyBorder="1" applyAlignment="1">
      <alignment horizontal="center" vertical="center" wrapText="1"/>
    </xf>
    <xf numFmtId="17" fontId="7" fillId="6" borderId="25" xfId="2" applyNumberFormat="1" applyFont="1" applyFill="1" applyBorder="1" applyAlignment="1">
      <alignment horizontal="center" vertical="top"/>
    </xf>
    <xf numFmtId="17" fontId="7" fillId="6" borderId="27" xfId="2" applyNumberFormat="1" applyFont="1" applyFill="1" applyBorder="1" applyAlignment="1">
      <alignment horizontal="center" vertical="top"/>
    </xf>
    <xf numFmtId="17" fontId="7" fillId="6" borderId="26" xfId="2" applyNumberFormat="1" applyFont="1" applyFill="1" applyBorder="1" applyAlignment="1">
      <alignment horizontal="center" vertical="top"/>
    </xf>
    <xf numFmtId="0" fontId="2" fillId="0" borderId="5" xfId="0" applyFont="1" applyBorder="1" applyAlignment="1">
      <alignment horizontal="left" vertical="center" wrapText="1"/>
    </xf>
    <xf numFmtId="0" fontId="14" fillId="0" borderId="5" xfId="0" applyFont="1" applyBorder="1" applyAlignment="1">
      <alignment horizontal="left" vertical="center" wrapText="1"/>
    </xf>
    <xf numFmtId="17" fontId="7" fillId="6" borderId="24" xfId="2" applyNumberFormat="1" applyFont="1" applyFill="1" applyBorder="1" applyAlignment="1">
      <alignment horizontal="center" vertical="top"/>
    </xf>
    <xf numFmtId="44" fontId="0" fillId="0" borderId="0" xfId="0" applyNumberFormat="1" applyAlignment="1">
      <alignment horizontal="center"/>
    </xf>
    <xf numFmtId="0" fontId="0" fillId="0" borderId="0" xfId="0" applyAlignment="1">
      <alignment horizontal="center"/>
    </xf>
    <xf numFmtId="0" fontId="1" fillId="6" borderId="0" xfId="0" applyFont="1" applyFill="1" applyAlignment="1">
      <alignment horizontal="center" vertical="center" wrapText="1"/>
    </xf>
    <xf numFmtId="0" fontId="1" fillId="6" borderId="0" xfId="0" applyFont="1" applyFill="1" applyBorder="1" applyAlignment="1">
      <alignment horizontal="center" vertical="center" wrapText="1"/>
    </xf>
    <xf numFmtId="0" fontId="4" fillId="12" borderId="0" xfId="0" applyFont="1" applyFill="1" applyAlignment="1">
      <alignment horizontal="center"/>
    </xf>
    <xf numFmtId="0" fontId="1" fillId="3" borderId="5" xfId="0" applyFont="1" applyFill="1" applyBorder="1" applyAlignment="1">
      <alignment horizontal="center" vertical="center"/>
    </xf>
    <xf numFmtId="44" fontId="6" fillId="13" borderId="5" xfId="2" applyFont="1" applyFill="1" applyBorder="1" applyAlignment="1">
      <alignment horizontal="center" vertical="center" wrapText="1"/>
    </xf>
    <xf numFmtId="0" fontId="4" fillId="13" borderId="5" xfId="0" applyFont="1" applyFill="1" applyBorder="1" applyAlignment="1">
      <alignment horizontal="left" vertical="center"/>
    </xf>
    <xf numFmtId="0" fontId="4" fillId="13" borderId="5" xfId="0" applyFont="1" applyFill="1" applyBorder="1" applyAlignment="1">
      <alignment horizontal="center" vertical="center"/>
    </xf>
    <xf numFmtId="17" fontId="4" fillId="13" borderId="5" xfId="2" applyNumberFormat="1" applyFont="1" applyFill="1" applyBorder="1" applyAlignment="1">
      <alignment horizontal="center" vertical="center" wrapText="1"/>
    </xf>
    <xf numFmtId="0" fontId="1" fillId="3" borderId="5" xfId="0" applyFont="1" applyFill="1" applyBorder="1" applyAlignment="1">
      <alignment vertical="center" wrapText="1"/>
    </xf>
    <xf numFmtId="0" fontId="1" fillId="4" borderId="5" xfId="0" applyFont="1" applyFill="1" applyBorder="1" applyAlignment="1">
      <alignment vertical="center" wrapText="1"/>
    </xf>
    <xf numFmtId="0" fontId="1" fillId="3" borderId="5" xfId="0" applyFont="1" applyFill="1" applyBorder="1" applyAlignment="1">
      <alignment horizontal="center" vertical="center" wrapText="1"/>
    </xf>
    <xf numFmtId="0" fontId="7" fillId="3" borderId="5" xfId="0" applyFont="1" applyFill="1" applyBorder="1" applyAlignment="1">
      <alignment horizontal="center" vertical="center"/>
    </xf>
    <xf numFmtId="10" fontId="1" fillId="3" borderId="6" xfId="3" applyNumberFormat="1" applyFont="1" applyFill="1" applyBorder="1" applyAlignment="1">
      <alignment horizontal="left" vertical="center" wrapText="1"/>
    </xf>
    <xf numFmtId="10" fontId="1" fillId="3" borderId="7" xfId="3" applyNumberFormat="1" applyFont="1" applyFill="1" applyBorder="1" applyAlignment="1">
      <alignment horizontal="left" vertical="center" wrapText="1"/>
    </xf>
    <xf numFmtId="10" fontId="1" fillId="3" borderId="8" xfId="3" applyNumberFormat="1" applyFont="1" applyFill="1" applyBorder="1" applyAlignment="1">
      <alignment horizontal="left" vertical="center" wrapText="1"/>
    </xf>
    <xf numFmtId="10" fontId="1" fillId="3" borderId="9" xfId="3" applyNumberFormat="1" applyFont="1" applyFill="1" applyBorder="1" applyAlignment="1">
      <alignment horizontal="left" vertical="center" wrapText="1"/>
    </xf>
    <xf numFmtId="10" fontId="1" fillId="3" borderId="0" xfId="3" applyNumberFormat="1" applyFont="1" applyFill="1" applyBorder="1" applyAlignment="1">
      <alignment horizontal="left" vertical="center" wrapText="1"/>
    </xf>
    <xf numFmtId="10" fontId="1" fillId="3" borderId="10" xfId="3" applyNumberFormat="1" applyFont="1" applyFill="1" applyBorder="1" applyAlignment="1">
      <alignment horizontal="left" vertical="center" wrapText="1"/>
    </xf>
    <xf numFmtId="10" fontId="1" fillId="3" borderId="11" xfId="3" applyNumberFormat="1" applyFont="1" applyFill="1" applyBorder="1" applyAlignment="1">
      <alignment horizontal="left" vertical="center" wrapText="1"/>
    </xf>
    <xf numFmtId="10" fontId="1" fillId="3" borderId="12" xfId="3" applyNumberFormat="1" applyFont="1" applyFill="1" applyBorder="1" applyAlignment="1">
      <alignment horizontal="left" vertical="center" wrapText="1"/>
    </xf>
    <xf numFmtId="10" fontId="1" fillId="3" borderId="13" xfId="3" applyNumberFormat="1" applyFont="1" applyFill="1" applyBorder="1" applyAlignment="1">
      <alignment horizontal="left" vertical="center" wrapText="1"/>
    </xf>
    <xf numFmtId="0" fontId="0" fillId="3" borderId="14"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5" xfId="0" applyFill="1" applyBorder="1" applyAlignment="1">
      <alignment vertical="center" wrapText="1"/>
    </xf>
    <xf numFmtId="0" fontId="8" fillId="3" borderId="17" xfId="0" applyFont="1" applyFill="1" applyBorder="1" applyAlignment="1">
      <alignment horizontal="left"/>
    </xf>
    <xf numFmtId="0" fontId="8" fillId="3" borderId="18" xfId="0" applyFont="1" applyFill="1" applyBorder="1" applyAlignment="1">
      <alignment horizontal="left"/>
    </xf>
    <xf numFmtId="0" fontId="8" fillId="3" borderId="19" xfId="0" applyFont="1" applyFill="1" applyBorder="1" applyAlignment="1">
      <alignment horizontal="left"/>
    </xf>
    <xf numFmtId="0" fontId="8" fillId="3" borderId="17" xfId="0" applyFont="1" applyFill="1" applyBorder="1" applyAlignment="1">
      <alignment horizontal="left" vertical="top" wrapText="1"/>
    </xf>
    <xf numFmtId="0" fontId="8" fillId="3" borderId="18" xfId="0" applyFont="1" applyFill="1" applyBorder="1" applyAlignment="1">
      <alignment horizontal="left" vertical="top" wrapText="1"/>
    </xf>
    <xf numFmtId="0" fontId="8" fillId="3" borderId="19" xfId="0" applyFont="1" applyFill="1" applyBorder="1" applyAlignment="1">
      <alignment horizontal="left" vertical="top" wrapText="1"/>
    </xf>
    <xf numFmtId="0" fontId="4" fillId="13" borderId="14" xfId="0" applyFont="1" applyFill="1" applyBorder="1" applyAlignment="1">
      <alignment horizontal="left" vertical="center"/>
    </xf>
    <xf numFmtId="0" fontId="4" fillId="13" borderId="16" xfId="0" applyFont="1" applyFill="1" applyBorder="1" applyAlignment="1">
      <alignment horizontal="left" vertical="center"/>
    </xf>
    <xf numFmtId="0" fontId="1" fillId="4" borderId="5" xfId="0" applyFont="1" applyFill="1" applyBorder="1" applyAlignment="1">
      <alignment vertical="center"/>
    </xf>
    <xf numFmtId="0" fontId="1" fillId="3" borderId="21" xfId="0" applyFont="1" applyFill="1" applyBorder="1" applyAlignment="1">
      <alignment horizontal="center" vertical="center"/>
    </xf>
    <xf numFmtId="0" fontId="15" fillId="0" borderId="1" xfId="0" applyFont="1" applyBorder="1" applyAlignment="1">
      <alignment horizontal="left" wrapText="1"/>
    </xf>
    <xf numFmtId="0" fontId="15" fillId="0" borderId="1" xfId="0" applyFont="1" applyBorder="1" applyAlignment="1">
      <alignment horizontal="left"/>
    </xf>
    <xf numFmtId="0" fontId="1" fillId="0" borderId="1" xfId="0" applyFont="1" applyBorder="1" applyAlignment="1">
      <alignment horizontal="center" vertical="center" wrapText="1"/>
    </xf>
    <xf numFmtId="0" fontId="2" fillId="0" borderId="1" xfId="0" applyFont="1" applyBorder="1" applyAlignment="1">
      <alignment horizontal="center"/>
    </xf>
    <xf numFmtId="0" fontId="1" fillId="6" borderId="1" xfId="0" applyFont="1" applyFill="1" applyBorder="1" applyAlignment="1">
      <alignment horizontal="left" vertical="top" wrapText="1"/>
    </xf>
    <xf numFmtId="0" fontId="1" fillId="6" borderId="1" xfId="0" applyFont="1" applyFill="1" applyBorder="1" applyAlignment="1">
      <alignment horizontal="left" vertical="top"/>
    </xf>
    <xf numFmtId="0" fontId="7" fillId="3" borderId="1" xfId="0" applyFont="1" applyFill="1" applyBorder="1" applyAlignment="1">
      <alignment horizontal="center" vertical="top"/>
    </xf>
    <xf numFmtId="0" fontId="1" fillId="0" borderId="1" xfId="0" applyFont="1" applyBorder="1" applyAlignment="1">
      <alignment horizontal="left" vertical="center" wrapText="1"/>
    </xf>
    <xf numFmtId="44" fontId="2" fillId="0" borderId="1" xfId="2" applyFont="1" applyBorder="1" applyAlignment="1">
      <alignment horizontal="center"/>
    </xf>
    <xf numFmtId="168" fontId="2" fillId="0" borderId="1" xfId="2" applyNumberFormat="1" applyFont="1" applyBorder="1" applyAlignment="1">
      <alignment horizontal="center" vertical="top"/>
    </xf>
    <xf numFmtId="43" fontId="2" fillId="0" borderId="5" xfId="3" applyNumberFormat="1" applyFont="1" applyBorder="1" applyAlignment="1">
      <alignment horizontal="center" vertical="center"/>
    </xf>
  </cellXfs>
  <cellStyles count="5">
    <cellStyle name="Comma" xfId="1" builtinId="3"/>
    <cellStyle name="Comma 2" xfId="4"/>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K62"/>
  <sheetViews>
    <sheetView topLeftCell="E7" zoomScaleNormal="100" workbookViewId="0">
      <selection activeCell="G22" sqref="G22"/>
    </sheetView>
  </sheetViews>
  <sheetFormatPr defaultRowHeight="15" x14ac:dyDescent="0.25"/>
  <cols>
    <col min="5" max="5" width="46.7109375" bestFit="1" customWidth="1"/>
    <col min="6" max="6" width="30" bestFit="1" customWidth="1"/>
    <col min="7" max="7" width="15.28515625" bestFit="1" customWidth="1"/>
    <col min="8" max="8" width="44.140625" customWidth="1"/>
    <col min="9" max="9" width="15.85546875" bestFit="1" customWidth="1"/>
  </cols>
  <sheetData>
    <row r="4" spans="5:9" ht="15.75" thickBot="1" x14ac:dyDescent="0.3"/>
    <row r="5" spans="5:9" ht="16.5" thickTop="1" thickBot="1" x14ac:dyDescent="0.3">
      <c r="E5" s="116" t="s">
        <v>77</v>
      </c>
      <c r="F5" s="116"/>
      <c r="G5" s="116"/>
    </row>
    <row r="6" spans="5:9" ht="16.5" thickTop="1" thickBot="1" x14ac:dyDescent="0.3">
      <c r="E6" s="46" t="s">
        <v>110</v>
      </c>
      <c r="F6" s="47" t="s">
        <v>78</v>
      </c>
      <c r="G6" s="82">
        <v>0.6</v>
      </c>
    </row>
    <row r="7" spans="5:9" ht="16.5" thickTop="1" thickBot="1" x14ac:dyDescent="0.3">
      <c r="E7" s="117" t="s">
        <v>104</v>
      </c>
      <c r="F7" s="47" t="s">
        <v>33</v>
      </c>
      <c r="G7" s="82">
        <v>44.81</v>
      </c>
    </row>
    <row r="8" spans="5:9" ht="16.5" thickTop="1" thickBot="1" x14ac:dyDescent="0.3">
      <c r="E8" s="118"/>
      <c r="F8" s="47" t="s">
        <v>34</v>
      </c>
      <c r="G8" s="82">
        <f>G7*4046.86</f>
        <v>181339.7966</v>
      </c>
    </row>
    <row r="9" spans="5:9" ht="16.5" thickTop="1" thickBot="1" x14ac:dyDescent="0.3">
      <c r="E9" s="103" t="s">
        <v>105</v>
      </c>
      <c r="F9" s="47" t="s">
        <v>34</v>
      </c>
      <c r="G9" s="82">
        <f>G8*G6</f>
        <v>108803.87796</v>
      </c>
    </row>
    <row r="10" spans="5:9" ht="16.5" thickTop="1" thickBot="1" x14ac:dyDescent="0.3">
      <c r="E10" s="103" t="s">
        <v>105</v>
      </c>
      <c r="F10" s="48" t="s">
        <v>35</v>
      </c>
      <c r="G10" s="104">
        <f>G9*10.7639</f>
        <v>1171154.061973644</v>
      </c>
      <c r="H10" s="84"/>
      <c r="I10" s="107"/>
    </row>
    <row r="11" spans="5:9" ht="31.5" thickTop="1" thickBot="1" x14ac:dyDescent="0.3">
      <c r="E11" s="113" t="s">
        <v>125</v>
      </c>
      <c r="F11" s="48" t="s">
        <v>35</v>
      </c>
      <c r="G11" s="104">
        <f>G10*1.15</f>
        <v>1346827.1712696904</v>
      </c>
      <c r="H11" s="84"/>
      <c r="I11" s="107"/>
    </row>
    <row r="12" spans="5:9" ht="16.5" thickTop="1" thickBot="1" x14ac:dyDescent="0.3">
      <c r="E12" s="119"/>
      <c r="F12" s="120"/>
      <c r="G12" s="121"/>
    </row>
    <row r="13" spans="5:9" ht="31.5" thickTop="1" thickBot="1" x14ac:dyDescent="0.3">
      <c r="E13" s="81" t="s">
        <v>106</v>
      </c>
      <c r="F13" s="50" t="s">
        <v>37</v>
      </c>
      <c r="G13" s="83">
        <v>2000</v>
      </c>
    </row>
    <row r="14" spans="5:9" ht="16.5" thickTop="1" thickBot="1" x14ac:dyDescent="0.3">
      <c r="E14" s="49" t="s">
        <v>88</v>
      </c>
      <c r="F14" s="50" t="s">
        <v>89</v>
      </c>
      <c r="G14" s="56">
        <v>0.05</v>
      </c>
    </row>
    <row r="15" spans="5:9" ht="16.5" thickTop="1" thickBot="1" x14ac:dyDescent="0.3">
      <c r="E15" s="49" t="s">
        <v>47</v>
      </c>
      <c r="F15" s="50" t="s">
        <v>107</v>
      </c>
      <c r="G15" s="83">
        <v>100</v>
      </c>
      <c r="I15" s="28"/>
    </row>
    <row r="16" spans="5:9" ht="16.5" thickTop="1" thickBot="1" x14ac:dyDescent="0.3">
      <c r="E16" s="38" t="s">
        <v>40</v>
      </c>
      <c r="F16" s="50" t="s">
        <v>87</v>
      </c>
      <c r="G16" s="56">
        <v>0.05</v>
      </c>
      <c r="I16" s="17"/>
    </row>
    <row r="17" spans="5:9" ht="16.5" thickTop="1" thickBot="1" x14ac:dyDescent="0.3">
      <c r="E17" s="38" t="s">
        <v>41</v>
      </c>
      <c r="F17" s="50" t="s">
        <v>87</v>
      </c>
      <c r="G17" s="56">
        <v>0.05</v>
      </c>
      <c r="I17" s="17"/>
    </row>
    <row r="18" spans="5:9" ht="16.5" thickTop="1" thickBot="1" x14ac:dyDescent="0.3">
      <c r="E18" s="38"/>
      <c r="F18" s="50"/>
      <c r="G18" s="56"/>
      <c r="I18" s="17"/>
    </row>
    <row r="19" spans="5:9" ht="16.5" thickTop="1" thickBot="1" x14ac:dyDescent="0.3">
      <c r="E19" s="38" t="s">
        <v>38</v>
      </c>
      <c r="F19" s="50" t="s">
        <v>39</v>
      </c>
      <c r="G19" s="85">
        <v>0.03</v>
      </c>
      <c r="I19" s="17"/>
    </row>
    <row r="20" spans="5:9" ht="16.5" thickTop="1" thickBot="1" x14ac:dyDescent="0.3">
      <c r="E20" s="38" t="s">
        <v>109</v>
      </c>
      <c r="F20" s="50" t="s">
        <v>86</v>
      </c>
      <c r="G20" s="56">
        <v>0.15</v>
      </c>
    </row>
    <row r="21" spans="5:9" ht="16.5" thickTop="1" thickBot="1" x14ac:dyDescent="0.3">
      <c r="E21" s="122"/>
      <c r="F21" s="123"/>
      <c r="G21" s="124"/>
      <c r="I21" s="17"/>
    </row>
    <row r="22" spans="5:9" ht="16.5" thickTop="1" thickBot="1" x14ac:dyDescent="0.3">
      <c r="E22" s="51" t="s">
        <v>80</v>
      </c>
      <c r="F22" s="50" t="s">
        <v>36</v>
      </c>
      <c r="G22" s="105">
        <v>20000</v>
      </c>
    </row>
    <row r="23" spans="5:9" ht="16.5" thickTop="1" thickBot="1" x14ac:dyDescent="0.3">
      <c r="E23" s="51" t="s">
        <v>108</v>
      </c>
      <c r="F23" s="50" t="s">
        <v>42</v>
      </c>
      <c r="G23" s="56">
        <v>0.03</v>
      </c>
    </row>
    <row r="24" spans="5:9" ht="15.75" hidden="1" thickTop="1" x14ac:dyDescent="0.25">
      <c r="E24" s="45"/>
      <c r="F24" s="45"/>
      <c r="G24" s="45"/>
    </row>
    <row r="25" spans="5:9" ht="15.75" hidden="1" thickTop="1" x14ac:dyDescent="0.25">
      <c r="E25" s="20" t="s">
        <v>24</v>
      </c>
      <c r="F25" s="23"/>
      <c r="G25" s="24">
        <v>0.75</v>
      </c>
    </row>
    <row r="26" spans="5:9" ht="15.75" hidden="1" thickTop="1" x14ac:dyDescent="0.25">
      <c r="E26" s="20" t="s">
        <v>25</v>
      </c>
      <c r="F26" s="23"/>
      <c r="G26" s="24">
        <v>0.25</v>
      </c>
    </row>
    <row r="27" spans="5:9" ht="15.75" hidden="1" thickTop="1" x14ac:dyDescent="0.25">
      <c r="E27" s="20" t="s">
        <v>51</v>
      </c>
      <c r="F27" s="20"/>
      <c r="G27" s="23">
        <v>0.09</v>
      </c>
      <c r="H27" t="s">
        <v>56</v>
      </c>
      <c r="I27" s="80">
        <v>7.0000000000000007E-2</v>
      </c>
    </row>
    <row r="28" spans="5:9" ht="15.75" hidden="1" thickTop="1" x14ac:dyDescent="0.25">
      <c r="E28" s="20" t="s">
        <v>52</v>
      </c>
      <c r="F28" s="20"/>
      <c r="G28" s="33">
        <v>0.25169999999999998</v>
      </c>
      <c r="H28" t="s">
        <v>58</v>
      </c>
      <c r="I28" s="80">
        <v>0.14000000000000001</v>
      </c>
    </row>
    <row r="29" spans="5:9" ht="15.75" hidden="1" thickTop="1" x14ac:dyDescent="0.25">
      <c r="E29" s="20" t="s">
        <v>70</v>
      </c>
      <c r="F29" s="20"/>
      <c r="G29" s="25">
        <f>I30</f>
        <v>0.17500000000000002</v>
      </c>
      <c r="H29" t="s">
        <v>102</v>
      </c>
      <c r="I29">
        <v>1.5</v>
      </c>
    </row>
    <row r="30" spans="5:9" ht="15.75" hidden="1" thickTop="1" x14ac:dyDescent="0.25">
      <c r="E30" s="20" t="s">
        <v>65</v>
      </c>
      <c r="F30" s="20"/>
      <c r="G30" s="33">
        <v>0.25</v>
      </c>
      <c r="H30" t="s">
        <v>103</v>
      </c>
      <c r="I30" s="80">
        <f>I27+(I29*(I28-I27))</f>
        <v>0.17500000000000002</v>
      </c>
    </row>
    <row r="31" spans="5:9" ht="15.75" hidden="1" thickTop="1" x14ac:dyDescent="0.25">
      <c r="E31" s="20" t="s">
        <v>26</v>
      </c>
      <c r="F31" s="20"/>
      <c r="G31" s="25">
        <f>(G26*G29)+((G25*G27)*(1-G28))</f>
        <v>9.4260250000000004E-2</v>
      </c>
    </row>
    <row r="32" spans="5:9" ht="15.75" hidden="1" thickTop="1" x14ac:dyDescent="0.25">
      <c r="E32" s="20" t="s">
        <v>68</v>
      </c>
      <c r="F32" s="20"/>
      <c r="G32" s="23"/>
    </row>
    <row r="33" spans="3:11" ht="15.75" hidden="1" thickTop="1" x14ac:dyDescent="0.25">
      <c r="E33" s="20" t="s">
        <v>3</v>
      </c>
      <c r="F33" s="20"/>
      <c r="G33" s="36">
        <f>G31+G32</f>
        <v>9.4260250000000004E-2</v>
      </c>
    </row>
    <row r="34" spans="3:11" ht="15.75" thickTop="1" x14ac:dyDescent="0.25">
      <c r="G34" s="35"/>
    </row>
    <row r="35" spans="3:11" x14ac:dyDescent="0.25">
      <c r="E35" s="115" t="s">
        <v>116</v>
      </c>
      <c r="F35" s="115"/>
      <c r="G35" s="115"/>
    </row>
    <row r="36" spans="3:11" x14ac:dyDescent="0.25">
      <c r="E36" s="114" t="s">
        <v>123</v>
      </c>
      <c r="F36" s="114"/>
      <c r="G36" s="114"/>
    </row>
    <row r="37" spans="3:11" ht="45" customHeight="1" x14ac:dyDescent="0.25">
      <c r="E37" s="125" t="s">
        <v>124</v>
      </c>
      <c r="F37" s="126"/>
      <c r="G37" s="127"/>
    </row>
    <row r="40" spans="3:11" hidden="1" x14ac:dyDescent="0.25">
      <c r="E40" t="s">
        <v>69</v>
      </c>
      <c r="F40" t="s">
        <v>53</v>
      </c>
      <c r="G40" t="s">
        <v>54</v>
      </c>
      <c r="H40" t="s">
        <v>55</v>
      </c>
      <c r="J40" s="30" t="s">
        <v>54</v>
      </c>
      <c r="K40" s="31">
        <f>G42+G43*(G44-G42)</f>
        <v>0.13150000000000001</v>
      </c>
    </row>
    <row r="41" spans="3:11" hidden="1" x14ac:dyDescent="0.25"/>
    <row r="42" spans="3:11" hidden="1" x14ac:dyDescent="0.25">
      <c r="C42" t="s">
        <v>62</v>
      </c>
      <c r="E42" t="s">
        <v>56</v>
      </c>
      <c r="F42" t="s">
        <v>54</v>
      </c>
      <c r="G42">
        <v>6.8500000000000005E-2</v>
      </c>
      <c r="H42" t="s">
        <v>60</v>
      </c>
    </row>
    <row r="43" spans="3:11" hidden="1" x14ac:dyDescent="0.25">
      <c r="E43" t="s">
        <v>57</v>
      </c>
      <c r="G43">
        <v>2</v>
      </c>
      <c r="H43" t="s">
        <v>61</v>
      </c>
    </row>
    <row r="44" spans="3:11" hidden="1" x14ac:dyDescent="0.25">
      <c r="C44" t="s">
        <v>63</v>
      </c>
      <c r="E44" t="s">
        <v>58</v>
      </c>
      <c r="G44">
        <v>0.1</v>
      </c>
      <c r="H44" t="s">
        <v>59</v>
      </c>
    </row>
    <row r="45" spans="3:11" hidden="1" x14ac:dyDescent="0.25"/>
    <row r="46" spans="3:11" hidden="1" x14ac:dyDescent="0.25"/>
    <row r="47" spans="3:11" hidden="1" x14ac:dyDescent="0.25">
      <c r="E47" t="s">
        <v>64</v>
      </c>
      <c r="K47" s="34">
        <f>G26</f>
        <v>0.25</v>
      </c>
    </row>
    <row r="48" spans="3:11" hidden="1" x14ac:dyDescent="0.25"/>
    <row r="49" spans="5:11" hidden="1" x14ac:dyDescent="0.25"/>
    <row r="50" spans="5:11" hidden="1" x14ac:dyDescent="0.25">
      <c r="E50" t="s">
        <v>65</v>
      </c>
      <c r="F50" t="s">
        <v>54</v>
      </c>
      <c r="K50" s="31">
        <f>G27*(1-G28)</f>
        <v>6.734699999999999E-2</v>
      </c>
    </row>
    <row r="51" spans="5:11" hidden="1" x14ac:dyDescent="0.25"/>
    <row r="52" spans="5:11" hidden="1" x14ac:dyDescent="0.25">
      <c r="E52" t="s">
        <v>66</v>
      </c>
    </row>
    <row r="53" spans="5:11" hidden="1" x14ac:dyDescent="0.25">
      <c r="K53" s="34">
        <f>G25</f>
        <v>0.75</v>
      </c>
    </row>
    <row r="54" spans="5:11" hidden="1" x14ac:dyDescent="0.25"/>
    <row r="55" spans="5:11" hidden="1" x14ac:dyDescent="0.25">
      <c r="E55" t="s">
        <v>26</v>
      </c>
      <c r="F55" t="s">
        <v>54</v>
      </c>
      <c r="G55" t="s">
        <v>67</v>
      </c>
    </row>
    <row r="56" spans="5:11" hidden="1" x14ac:dyDescent="0.25"/>
    <row r="57" spans="5:11" hidden="1" x14ac:dyDescent="0.25">
      <c r="E57" t="s">
        <v>26</v>
      </c>
      <c r="G57">
        <f>K53*K50+K47*K40</f>
        <v>8.3385249999999994E-2</v>
      </c>
    </row>
    <row r="58" spans="5:11" hidden="1" x14ac:dyDescent="0.25"/>
    <row r="59" spans="5:11" hidden="1" x14ac:dyDescent="0.25">
      <c r="E59" t="s">
        <v>68</v>
      </c>
      <c r="G59">
        <v>2.5000000000000001E-2</v>
      </c>
    </row>
    <row r="60" spans="5:11" hidden="1" x14ac:dyDescent="0.25"/>
    <row r="61" spans="5:11" hidden="1" x14ac:dyDescent="0.25">
      <c r="E61" t="s">
        <v>3</v>
      </c>
      <c r="G61">
        <f>G57+G59</f>
        <v>0.10838524999999999</v>
      </c>
    </row>
    <row r="62" spans="5:11" hidden="1" x14ac:dyDescent="0.25"/>
  </sheetData>
  <mergeCells count="7">
    <mergeCell ref="E37:G37"/>
    <mergeCell ref="E36:G36"/>
    <mergeCell ref="E35:G35"/>
    <mergeCell ref="E5:G5"/>
    <mergeCell ref="E7:E8"/>
    <mergeCell ref="E12:G12"/>
    <mergeCell ref="E21:G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workbookViewId="0">
      <selection activeCell="G7" sqref="G7"/>
    </sheetView>
  </sheetViews>
  <sheetFormatPr defaultRowHeight="15" x14ac:dyDescent="0.25"/>
  <cols>
    <col min="2" max="2" width="22" bestFit="1" customWidth="1"/>
    <col min="3" max="3" width="16.85546875" bestFit="1" customWidth="1"/>
    <col min="4" max="4" width="14" customWidth="1"/>
    <col min="5" max="6" width="13" customWidth="1"/>
    <col min="7" max="7" width="13.28515625" bestFit="1" customWidth="1"/>
  </cols>
  <sheetData>
    <row r="1" spans="2:8" x14ac:dyDescent="0.25">
      <c r="B1" s="130" t="s">
        <v>90</v>
      </c>
      <c r="C1" s="130"/>
      <c r="D1" s="130"/>
      <c r="E1" s="130"/>
      <c r="F1" s="130"/>
      <c r="G1" s="130"/>
    </row>
    <row r="2" spans="2:8" ht="30" customHeight="1" thickBot="1" x14ac:dyDescent="0.3">
      <c r="B2" s="131"/>
      <c r="C2" s="131"/>
      <c r="D2" s="131"/>
      <c r="E2" s="131"/>
      <c r="F2" s="131"/>
      <c r="G2" s="131"/>
    </row>
    <row r="3" spans="2:8" ht="16.5" thickTop="1" thickBot="1" x14ac:dyDescent="0.3">
      <c r="B3" s="128" t="s">
        <v>6</v>
      </c>
      <c r="C3" s="129" t="s">
        <v>43</v>
      </c>
      <c r="D3" s="129"/>
      <c r="E3" s="129"/>
      <c r="F3" s="86"/>
      <c r="G3" s="106" t="s">
        <v>4</v>
      </c>
    </row>
    <row r="4" spans="2:8" ht="16.5" thickTop="1" thickBot="1" x14ac:dyDescent="0.3">
      <c r="B4" s="128"/>
      <c r="C4" s="86">
        <v>44652</v>
      </c>
      <c r="D4" s="86">
        <f>EDATE(C4,12)</f>
        <v>45017</v>
      </c>
      <c r="E4" s="86">
        <f>EDATE(D4,12)</f>
        <v>45383</v>
      </c>
      <c r="F4" s="86">
        <f>EDATE(E4,12)</f>
        <v>45748</v>
      </c>
      <c r="G4" s="106"/>
    </row>
    <row r="5" spans="2:8" ht="16.5" thickTop="1" thickBot="1" x14ac:dyDescent="0.3">
      <c r="B5" s="128"/>
      <c r="C5" s="86">
        <f>EDATE(C4,12)-1</f>
        <v>45016</v>
      </c>
      <c r="D5" s="86">
        <f>EDATE(D4,12)-1</f>
        <v>45382</v>
      </c>
      <c r="E5" s="86">
        <f>EDATE(E4,12)-1</f>
        <v>45747</v>
      </c>
      <c r="F5" s="86">
        <f>EDATE(F4,12)-1</f>
        <v>46112</v>
      </c>
      <c r="G5" s="106"/>
    </row>
    <row r="6" spans="2:8" ht="16.5" thickTop="1" thickBot="1" x14ac:dyDescent="0.3">
      <c r="B6" s="52" t="s">
        <v>46</v>
      </c>
      <c r="C6" s="53">
        <v>0.3</v>
      </c>
      <c r="D6" s="53">
        <v>0.35</v>
      </c>
      <c r="E6" s="53">
        <v>0.3</v>
      </c>
      <c r="F6" s="53">
        <v>0.05</v>
      </c>
      <c r="G6" s="53">
        <f>SUM(C6:F6)</f>
        <v>1</v>
      </c>
    </row>
    <row r="7" spans="2:8" ht="31.5" thickTop="1" thickBot="1" x14ac:dyDescent="0.3">
      <c r="B7" s="54" t="s">
        <v>79</v>
      </c>
      <c r="C7" s="55">
        <f>C6*ASSUMPTIONS!$G$11</f>
        <v>404048.1513809071</v>
      </c>
      <c r="D7" s="55">
        <f>D6*ASSUMPTIONS!$G$11</f>
        <v>471389.50994439161</v>
      </c>
      <c r="E7" s="55">
        <f>E6*ASSUMPTIONS!$G$11</f>
        <v>404048.1513809071</v>
      </c>
      <c r="F7" s="55">
        <f>F6*ASSUMPTIONS!$G$11</f>
        <v>67341.358563484522</v>
      </c>
      <c r="G7" s="192">
        <f>SUM(C7:F7)</f>
        <v>1346827.1712696904</v>
      </c>
      <c r="H7" s="107">
        <f>G7-G9</f>
        <v>0</v>
      </c>
    </row>
    <row r="8" spans="2:8" ht="15.75" thickTop="1" x14ac:dyDescent="0.25"/>
    <row r="9" spans="2:8" x14ac:dyDescent="0.25">
      <c r="F9" s="108" t="s">
        <v>118</v>
      </c>
      <c r="G9" s="109">
        <f>ASSUMPTIONS!G11</f>
        <v>1346827.1712696904</v>
      </c>
    </row>
  </sheetData>
  <mergeCells count="3">
    <mergeCell ref="B3:B5"/>
    <mergeCell ref="C3:E3"/>
    <mergeCell ref="B1:G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9"/>
  <sheetViews>
    <sheetView zoomScale="85" zoomScaleNormal="85" workbookViewId="0">
      <selection activeCell="E4" sqref="E4"/>
    </sheetView>
  </sheetViews>
  <sheetFormatPr defaultRowHeight="15" x14ac:dyDescent="0.25"/>
  <cols>
    <col min="2" max="2" width="5.7109375" bestFit="1" customWidth="1"/>
    <col min="3" max="3" width="27.42578125" customWidth="1"/>
    <col min="4" max="4" width="15.7109375" customWidth="1"/>
    <col min="5" max="5" width="21.140625" bestFit="1" customWidth="1"/>
    <col min="6" max="6" width="19.5703125" bestFit="1" customWidth="1"/>
  </cols>
  <sheetData>
    <row r="2" spans="2:6" ht="40.5" customHeight="1" x14ac:dyDescent="0.25">
      <c r="B2" s="133" t="s">
        <v>91</v>
      </c>
      <c r="C2" s="133"/>
      <c r="D2" s="133"/>
      <c r="E2" s="133"/>
      <c r="F2" s="133"/>
    </row>
    <row r="3" spans="2:6" ht="45" x14ac:dyDescent="0.25">
      <c r="B3" s="16" t="s">
        <v>0</v>
      </c>
      <c r="C3" s="16" t="s">
        <v>21</v>
      </c>
      <c r="D3" s="16" t="s">
        <v>22</v>
      </c>
      <c r="E3" s="16" t="s">
        <v>10</v>
      </c>
      <c r="F3" s="16" t="s">
        <v>9</v>
      </c>
    </row>
    <row r="4" spans="2:6" x14ac:dyDescent="0.25">
      <c r="B4" s="1">
        <v>1</v>
      </c>
      <c r="C4" s="22" t="s">
        <v>117</v>
      </c>
      <c r="D4" s="26">
        <f>ASSUMPTIONS!G11</f>
        <v>1346827.1712696904</v>
      </c>
      <c r="E4" s="110">
        <v>20000</v>
      </c>
      <c r="F4" s="2">
        <f>E4*D4</f>
        <v>26936543425.393806</v>
      </c>
    </row>
    <row r="5" spans="2:6" x14ac:dyDescent="0.25">
      <c r="B5" s="132" t="s">
        <v>4</v>
      </c>
      <c r="C5" s="132"/>
      <c r="D5" s="18">
        <f>SUM(D4:D4)</f>
        <v>1346827.1712696904</v>
      </c>
      <c r="E5" s="18"/>
      <c r="F5" s="3">
        <f>SUM(F4:F4)</f>
        <v>26936543425.393806</v>
      </c>
    </row>
    <row r="6" spans="2:6" x14ac:dyDescent="0.25">
      <c r="B6" s="134"/>
      <c r="C6" s="135"/>
      <c r="D6" s="135"/>
      <c r="E6" s="135"/>
      <c r="F6" s="136"/>
    </row>
    <row r="7" spans="2:6" ht="51.75" customHeight="1" x14ac:dyDescent="0.25"/>
    <row r="8" spans="2:6" ht="21.75" customHeight="1" x14ac:dyDescent="0.25">
      <c r="F8" s="17"/>
    </row>
    <row r="9" spans="2:6" x14ac:dyDescent="0.25">
      <c r="F9" s="17"/>
    </row>
  </sheetData>
  <mergeCells count="3">
    <mergeCell ref="B5:C5"/>
    <mergeCell ref="B2:F2"/>
    <mergeCell ref="B6:F6"/>
  </mergeCells>
  <phoneticPr fontId="1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K29"/>
  <sheetViews>
    <sheetView topLeftCell="A10" zoomScale="120" zoomScaleNormal="120" workbookViewId="0">
      <selection activeCell="D6" sqref="D6:H22"/>
    </sheetView>
  </sheetViews>
  <sheetFormatPr defaultColWidth="9.140625" defaultRowHeight="15" x14ac:dyDescent="0.25"/>
  <cols>
    <col min="1" max="3" width="9.140625" style="4"/>
    <col min="4" max="4" width="31.42578125" style="4" customWidth="1"/>
    <col min="5" max="5" width="18.5703125" style="4" customWidth="1"/>
    <col min="6" max="6" width="17.28515625" style="4" customWidth="1"/>
    <col min="7" max="8" width="16" style="4" customWidth="1"/>
    <col min="9" max="9" width="13.42578125" style="4" bestFit="1" customWidth="1"/>
    <col min="10" max="16384" width="9.140625" style="4"/>
  </cols>
  <sheetData>
    <row r="5" spans="3:11" ht="15.75" thickBot="1" x14ac:dyDescent="0.3"/>
    <row r="6" spans="3:11" ht="15.75" thickTop="1" x14ac:dyDescent="0.25">
      <c r="D6" s="138" t="s">
        <v>8</v>
      </c>
      <c r="E6" s="138"/>
      <c r="F6" s="138"/>
      <c r="G6" s="138"/>
      <c r="H6" s="138"/>
      <c r="K6" s="79"/>
    </row>
    <row r="7" spans="3:11" x14ac:dyDescent="0.25">
      <c r="D7" s="139" t="s">
        <v>95</v>
      </c>
      <c r="E7" s="144" t="s">
        <v>96</v>
      </c>
      <c r="F7" s="144"/>
      <c r="G7" s="144"/>
      <c r="H7" s="144"/>
    </row>
    <row r="8" spans="3:11" x14ac:dyDescent="0.25">
      <c r="D8" s="140"/>
      <c r="E8" s="90">
        <v>44652</v>
      </c>
      <c r="F8" s="90">
        <f>EDATE(E8,12)</f>
        <v>45017</v>
      </c>
      <c r="G8" s="90">
        <f>EDATE(F8,12)</f>
        <v>45383</v>
      </c>
      <c r="H8" s="90">
        <f>EDATE(G8,12)</f>
        <v>45748</v>
      </c>
    </row>
    <row r="9" spans="3:11" x14ac:dyDescent="0.25">
      <c r="D9" s="141"/>
      <c r="E9" s="90">
        <f>EDATE(E8,12)-1</f>
        <v>45016</v>
      </c>
      <c r="F9" s="90">
        <f>EDATE(F8,12)-1</f>
        <v>45382</v>
      </c>
      <c r="G9" s="90">
        <f>EDATE(G8,12)-1</f>
        <v>45747</v>
      </c>
      <c r="H9" s="90">
        <f>EDATE(H8,12)-1</f>
        <v>46112</v>
      </c>
      <c r="I9" s="4" t="s">
        <v>119</v>
      </c>
      <c r="J9" s="87">
        <f>ASSUMPTIONS!G11</f>
        <v>1346827.1712696904</v>
      </c>
    </row>
    <row r="10" spans="3:11" ht="18" customHeight="1" thickBot="1" x14ac:dyDescent="0.3">
      <c r="C10" s="88"/>
      <c r="D10" s="88" t="s">
        <v>112</v>
      </c>
      <c r="E10" s="89">
        <f>'Absorption Rate'!C7</f>
        <v>404048.1513809071</v>
      </c>
      <c r="F10" s="89">
        <f>'Absorption Rate'!D7</f>
        <v>471389.50994439161</v>
      </c>
      <c r="G10" s="89">
        <f>'Absorption Rate'!E7</f>
        <v>404048.1513809071</v>
      </c>
      <c r="H10" s="89">
        <f>'Absorption Rate'!F7</f>
        <v>67341.358563484522</v>
      </c>
      <c r="I10" s="111">
        <f>SUM(E10:H10)</f>
        <v>1346827.1712696904</v>
      </c>
      <c r="J10" s="112">
        <f>I10-J9</f>
        <v>0</v>
      </c>
    </row>
    <row r="11" spans="3:11" ht="16.5" thickTop="1" thickBot="1" x14ac:dyDescent="0.3">
      <c r="D11" s="57" t="s">
        <v>71</v>
      </c>
      <c r="E11" s="58">
        <f>E10/'Absorption Rate'!$G7</f>
        <v>0.3</v>
      </c>
      <c r="F11" s="58">
        <f>F10/'Absorption Rate'!$G7</f>
        <v>0.35</v>
      </c>
      <c r="G11" s="58">
        <f>G10/'Absorption Rate'!$G7</f>
        <v>0.3</v>
      </c>
      <c r="H11" s="58">
        <f>'Absorption Rate'!F6</f>
        <v>0.05</v>
      </c>
    </row>
    <row r="12" spans="3:11" ht="16.5" thickTop="1" thickBot="1" x14ac:dyDescent="0.3">
      <c r="D12" s="57" t="s">
        <v>45</v>
      </c>
      <c r="E12" s="58">
        <v>0</v>
      </c>
      <c r="F12" s="58">
        <f>ASSUMPTIONS!G23</f>
        <v>0.03</v>
      </c>
      <c r="G12" s="58">
        <f>ASSUMPTIONS!G23</f>
        <v>0.03</v>
      </c>
      <c r="H12" s="58">
        <v>0.03</v>
      </c>
    </row>
    <row r="13" spans="3:11" ht="16.5" thickTop="1" thickBot="1" x14ac:dyDescent="0.3">
      <c r="D13" s="57" t="s">
        <v>44</v>
      </c>
      <c r="E13" s="59">
        <f>ASSUMPTIONS!G22</f>
        <v>20000</v>
      </c>
      <c r="F13" s="59">
        <f>E13*(1+F12)</f>
        <v>20600</v>
      </c>
      <c r="G13" s="59">
        <f>F13*(1+G12)</f>
        <v>21218</v>
      </c>
      <c r="H13" s="59">
        <f>G13*(1+H12)</f>
        <v>21854.54</v>
      </c>
    </row>
    <row r="14" spans="3:11" ht="16.5" thickTop="1" thickBot="1" x14ac:dyDescent="0.3">
      <c r="D14" s="60" t="s">
        <v>93</v>
      </c>
      <c r="E14" s="61">
        <f>E13*E10/10^7</f>
        <v>808.09630276181417</v>
      </c>
      <c r="F14" s="61">
        <f>F13*F10/10^7</f>
        <v>971.06239048544671</v>
      </c>
      <c r="G14" s="61">
        <f>G13*G10/10^7</f>
        <v>857.30936760000873</v>
      </c>
      <c r="H14" s="61">
        <f>H13*H10/10^7</f>
        <v>147.17144143800152</v>
      </c>
      <c r="J14" s="27"/>
    </row>
    <row r="15" spans="3:11" ht="16.5" thickTop="1" thickBot="1" x14ac:dyDescent="0.3">
      <c r="D15" s="62" t="s">
        <v>94</v>
      </c>
      <c r="E15" s="72">
        <f>E14</f>
        <v>808.09630276181417</v>
      </c>
      <c r="F15" s="72">
        <f>F14</f>
        <v>971.06239048544671</v>
      </c>
      <c r="G15" s="72">
        <f>G14</f>
        <v>857.30936760000873</v>
      </c>
      <c r="H15" s="72">
        <f>H14</f>
        <v>147.17144143800152</v>
      </c>
      <c r="J15" s="6"/>
    </row>
    <row r="16" spans="3:11" ht="16.5" thickTop="1" thickBot="1" x14ac:dyDescent="0.3">
      <c r="D16" s="142"/>
      <c r="E16" s="142"/>
      <c r="F16" s="142"/>
      <c r="G16" s="142"/>
      <c r="H16" s="142"/>
    </row>
    <row r="17" spans="4:8" ht="16.5" thickTop="1" thickBot="1" x14ac:dyDescent="0.3">
      <c r="D17" s="143" t="s">
        <v>5</v>
      </c>
      <c r="E17" s="143"/>
      <c r="F17" s="143"/>
      <c r="G17" s="143"/>
      <c r="H17" s="143"/>
    </row>
    <row r="18" spans="4:8" ht="51" customHeight="1" thickTop="1" thickBot="1" x14ac:dyDescent="0.3">
      <c r="D18" s="137" t="s">
        <v>50</v>
      </c>
      <c r="E18" s="137"/>
      <c r="F18" s="137"/>
      <c r="G18" s="137"/>
      <c r="H18" s="137"/>
    </row>
    <row r="19" spans="4:8" ht="78.75" customHeight="1" thickTop="1" thickBot="1" x14ac:dyDescent="0.3">
      <c r="D19" s="137" t="s">
        <v>120</v>
      </c>
      <c r="E19" s="137"/>
      <c r="F19" s="137"/>
      <c r="G19" s="137"/>
      <c r="H19" s="137"/>
    </row>
    <row r="20" spans="4:8" ht="48" customHeight="1" thickTop="1" thickBot="1" x14ac:dyDescent="0.3">
      <c r="D20" s="137" t="s">
        <v>49</v>
      </c>
      <c r="E20" s="137"/>
      <c r="F20" s="137"/>
      <c r="G20" s="137"/>
      <c r="H20" s="137"/>
    </row>
    <row r="21" spans="4:8" ht="16.5" thickTop="1" thickBot="1" x14ac:dyDescent="0.3">
      <c r="D21" s="137" t="s">
        <v>7</v>
      </c>
      <c r="E21" s="137"/>
      <c r="F21" s="137"/>
      <c r="G21" s="137"/>
      <c r="H21" s="137"/>
    </row>
    <row r="22" spans="4:8" ht="28.5" customHeight="1" thickTop="1" thickBot="1" x14ac:dyDescent="0.3">
      <c r="D22" s="137" t="s">
        <v>115</v>
      </c>
      <c r="E22" s="137"/>
      <c r="F22" s="137"/>
      <c r="G22" s="137"/>
      <c r="H22" s="137"/>
    </row>
    <row r="23" spans="4:8" ht="15.75" thickTop="1" x14ac:dyDescent="0.25"/>
    <row r="29" spans="4:8" x14ac:dyDescent="0.25">
      <c r="F29" s="7"/>
    </row>
  </sheetData>
  <mergeCells count="10">
    <mergeCell ref="D22:H22"/>
    <mergeCell ref="D19:H19"/>
    <mergeCell ref="D20:H20"/>
    <mergeCell ref="D21:H21"/>
    <mergeCell ref="D6:H6"/>
    <mergeCell ref="D7:D9"/>
    <mergeCell ref="D16:H16"/>
    <mergeCell ref="D17:H17"/>
    <mergeCell ref="D18:H18"/>
    <mergeCell ref="E7:H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G21"/>
  <sheetViews>
    <sheetView workbookViewId="0">
      <selection activeCell="E14" sqref="E14"/>
    </sheetView>
  </sheetViews>
  <sheetFormatPr defaultRowHeight="15" x14ac:dyDescent="0.25"/>
  <cols>
    <col min="4" max="4" width="19" bestFit="1" customWidth="1"/>
    <col min="5" max="5" width="23.140625" bestFit="1" customWidth="1"/>
    <col min="6" max="6" width="25.85546875" customWidth="1"/>
    <col min="7" max="7" width="18.5703125" customWidth="1"/>
  </cols>
  <sheetData>
    <row r="4" spans="4:7" x14ac:dyDescent="0.25">
      <c r="D4" s="149" t="s">
        <v>113</v>
      </c>
      <c r="E4" s="149"/>
      <c r="F4" s="149"/>
      <c r="G4" s="149"/>
    </row>
    <row r="5" spans="4:7" hidden="1" x14ac:dyDescent="0.25">
      <c r="D5" s="147" t="s">
        <v>92</v>
      </c>
      <c r="E5" s="147"/>
      <c r="F5" s="147"/>
      <c r="G5" s="147"/>
    </row>
    <row r="6" spans="4:7" ht="33" hidden="1" customHeight="1" thickBot="1" x14ac:dyDescent="0.25">
      <c r="D6" s="148"/>
      <c r="E6" s="148"/>
      <c r="F6" s="148"/>
      <c r="G6" s="148"/>
    </row>
    <row r="7" spans="4:7" ht="56.25" thickBot="1" x14ac:dyDescent="0.3">
      <c r="D7" s="92" t="s">
        <v>30</v>
      </c>
      <c r="E7" s="92" t="s">
        <v>29</v>
      </c>
      <c r="F7" s="92" t="s">
        <v>114</v>
      </c>
      <c r="G7" s="92" t="s">
        <v>31</v>
      </c>
    </row>
    <row r="8" spans="4:7" ht="15.75" hidden="1" thickBot="1" x14ac:dyDescent="0.3">
      <c r="D8" s="91"/>
      <c r="E8" s="91"/>
      <c r="F8" s="91"/>
      <c r="G8" s="91"/>
    </row>
    <row r="9" spans="4:7" ht="16.5" thickTop="1" thickBot="1" x14ac:dyDescent="0.3">
      <c r="D9" s="64" t="s">
        <v>23</v>
      </c>
      <c r="E9" s="65">
        <f>ASSUMPTIONS!G13*ASSUMPTIONS!G11</f>
        <v>2693654342.5393806</v>
      </c>
      <c r="F9" s="65">
        <v>0</v>
      </c>
      <c r="G9" s="65">
        <f>E9-F9</f>
        <v>2693654342.5393806</v>
      </c>
    </row>
    <row r="10" spans="4:7" ht="16.5" thickTop="1" thickBot="1" x14ac:dyDescent="0.3">
      <c r="D10" s="64" t="s">
        <v>88</v>
      </c>
      <c r="E10" s="65">
        <f>E9*ASSUMPTIONS!G14</f>
        <v>134682717.12696904</v>
      </c>
      <c r="F10" s="65">
        <v>0</v>
      </c>
      <c r="G10" s="65">
        <f>E10-F10</f>
        <v>134682717.12696904</v>
      </c>
    </row>
    <row r="11" spans="4:7" ht="16.5" thickTop="1" thickBot="1" x14ac:dyDescent="0.3">
      <c r="D11" s="64" t="s">
        <v>27</v>
      </c>
      <c r="E11" s="65">
        <f>E9*ASSUMPTIONS!G16</f>
        <v>134682717.12696904</v>
      </c>
      <c r="F11" s="65">
        <v>0</v>
      </c>
      <c r="G11" s="65">
        <f>E11-F11</f>
        <v>134682717.12696904</v>
      </c>
    </row>
    <row r="12" spans="4:7" ht="16.5" thickTop="1" thickBot="1" x14ac:dyDescent="0.3">
      <c r="D12" s="64" t="s">
        <v>28</v>
      </c>
      <c r="E12" s="65">
        <f>E9*ASSUMPTIONS!G17</f>
        <v>134682717.12696904</v>
      </c>
      <c r="F12" s="65">
        <v>0</v>
      </c>
      <c r="G12" s="65">
        <f>E12-F12</f>
        <v>134682717.12696904</v>
      </c>
    </row>
    <row r="13" spans="4:7" ht="16.5" thickTop="1" thickBot="1" x14ac:dyDescent="0.3">
      <c r="D13" s="64" t="s">
        <v>48</v>
      </c>
      <c r="E13" s="65">
        <f>ASSUMPTIONS!G15*ASSUMPTIONS!G11</f>
        <v>134682717.12696904</v>
      </c>
      <c r="F13" s="65">
        <v>0</v>
      </c>
      <c r="G13" s="65">
        <f>E13-F13</f>
        <v>134682717.12696904</v>
      </c>
    </row>
    <row r="14" spans="4:7" s="32" customFormat="1" ht="16.5" thickTop="1" thickBot="1" x14ac:dyDescent="0.3">
      <c r="D14" s="93" t="s">
        <v>4</v>
      </c>
      <c r="E14" s="94">
        <f>SUM(E9:E13)</f>
        <v>3232385211.047256</v>
      </c>
      <c r="F14" s="94">
        <f>SUM(F9:F13)</f>
        <v>0</v>
      </c>
      <c r="G14" s="94">
        <f>SUM(G9:G13)</f>
        <v>3232385211.047256</v>
      </c>
    </row>
    <row r="15" spans="4:7" ht="15.75" thickTop="1" x14ac:dyDescent="0.25">
      <c r="D15" s="63"/>
      <c r="E15" s="63"/>
      <c r="F15" s="63"/>
      <c r="G15" s="63"/>
    </row>
    <row r="16" spans="4:7" x14ac:dyDescent="0.25">
      <c r="E16" s="17"/>
    </row>
    <row r="18" spans="4:7" x14ac:dyDescent="0.25">
      <c r="D18" s="145"/>
      <c r="E18" s="146"/>
      <c r="F18" s="146"/>
      <c r="G18" s="146"/>
    </row>
    <row r="19" spans="4:7" x14ac:dyDescent="0.25">
      <c r="G19" s="17"/>
    </row>
    <row r="21" spans="4:7" x14ac:dyDescent="0.25">
      <c r="F21" s="17"/>
    </row>
  </sheetData>
  <mergeCells count="3">
    <mergeCell ref="D18:G18"/>
    <mergeCell ref="D5:G6"/>
    <mergeCell ref="D4:G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M224"/>
  <sheetViews>
    <sheetView tabSelected="1" topLeftCell="A7" zoomScale="85" zoomScaleNormal="85" workbookViewId="0">
      <selection activeCell="M25" sqref="M25"/>
    </sheetView>
  </sheetViews>
  <sheetFormatPr defaultRowHeight="15" x14ac:dyDescent="0.25"/>
  <cols>
    <col min="1" max="1" width="2" style="69" customWidth="1"/>
    <col min="2" max="2" width="33" bestFit="1" customWidth="1"/>
    <col min="3" max="3" width="11.7109375" bestFit="1" customWidth="1"/>
    <col min="4" max="4" width="13.28515625" customWidth="1"/>
    <col min="5" max="5" width="14" customWidth="1"/>
    <col min="6" max="6" width="14.5703125" bestFit="1" customWidth="1"/>
    <col min="7" max="7" width="14.5703125" customWidth="1"/>
    <col min="8" max="8" width="14.85546875" hidden="1" customWidth="1"/>
    <col min="9" max="9" width="19.5703125" style="69" bestFit="1" customWidth="1"/>
    <col min="10" max="10" width="17" style="69" bestFit="1" customWidth="1"/>
    <col min="11" max="13" width="19.5703125" style="69" bestFit="1" customWidth="1"/>
    <col min="14" max="14" width="9.140625" style="69"/>
    <col min="15" max="15" width="15.85546875" style="69" bestFit="1" customWidth="1"/>
    <col min="16" max="143" width="9.140625" style="69"/>
  </cols>
  <sheetData>
    <row r="1" spans="1:143" s="69" customFormat="1" ht="15.75" thickBot="1" x14ac:dyDescent="0.3"/>
    <row r="2" spans="1:143" ht="17.25" thickTop="1" thickBot="1" x14ac:dyDescent="0.3">
      <c r="B2" s="151" t="s">
        <v>76</v>
      </c>
      <c r="C2" s="151"/>
      <c r="D2" s="151"/>
      <c r="E2" s="151"/>
      <c r="F2" s="151"/>
      <c r="G2" s="151"/>
      <c r="H2" s="151"/>
    </row>
    <row r="3" spans="1:143" ht="16.5" thickTop="1" thickBot="1" x14ac:dyDescent="0.3">
      <c r="B3" s="152" t="s">
        <v>73</v>
      </c>
      <c r="C3" s="153" t="s">
        <v>83</v>
      </c>
      <c r="D3" s="95">
        <f>Inflow!E8</f>
        <v>44652</v>
      </c>
      <c r="E3" s="95">
        <f>Inflow!F8</f>
        <v>45017</v>
      </c>
      <c r="F3" s="95">
        <f>Inflow!G8</f>
        <v>45383</v>
      </c>
      <c r="G3" s="95">
        <f>Inflow!H8</f>
        <v>45748</v>
      </c>
      <c r="H3" s="154" t="s">
        <v>74</v>
      </c>
    </row>
    <row r="4" spans="1:143" ht="16.5" thickTop="1" thickBot="1" x14ac:dyDescent="0.3">
      <c r="B4" s="152"/>
      <c r="C4" s="153"/>
      <c r="D4" s="95">
        <f>Inflow!E9</f>
        <v>45016</v>
      </c>
      <c r="E4" s="95">
        <f>Inflow!F9</f>
        <v>45382</v>
      </c>
      <c r="F4" s="95">
        <f>Inflow!G9</f>
        <v>45747</v>
      </c>
      <c r="G4" s="95">
        <f>Inflow!H9</f>
        <v>46112</v>
      </c>
      <c r="H4" s="154"/>
    </row>
    <row r="5" spans="1:143" ht="16.5" thickTop="1" thickBot="1" x14ac:dyDescent="0.3">
      <c r="B5" s="158"/>
      <c r="C5" s="158"/>
      <c r="D5" s="158"/>
      <c r="E5" s="158"/>
      <c r="F5" s="158"/>
      <c r="G5" s="158"/>
      <c r="H5" s="158"/>
    </row>
    <row r="6" spans="1:143" ht="29.25" customHeight="1" thickTop="1" thickBot="1" x14ac:dyDescent="0.3">
      <c r="B6" s="155" t="s">
        <v>97</v>
      </c>
      <c r="C6" s="155"/>
      <c r="D6" s="43">
        <f>Inflow!E15</f>
        <v>808.09630276181417</v>
      </c>
      <c r="E6" s="43">
        <f>Inflow!F15</f>
        <v>971.06239048544671</v>
      </c>
      <c r="F6" s="43">
        <f>Inflow!G15</f>
        <v>857.30936760000873</v>
      </c>
      <c r="G6" s="43">
        <f>Inflow!H15</f>
        <v>147.17144143800152</v>
      </c>
      <c r="H6" s="43">
        <f>SUM(G6,F6,E6,D6)</f>
        <v>2783.6395022852712</v>
      </c>
    </row>
    <row r="7" spans="1:143" ht="16.5" thickTop="1" thickBot="1" x14ac:dyDescent="0.3">
      <c r="B7" s="157"/>
      <c r="C7" s="157"/>
      <c r="D7" s="157"/>
      <c r="E7" s="157"/>
      <c r="F7" s="157"/>
      <c r="G7" s="157"/>
      <c r="H7" s="157"/>
    </row>
    <row r="8" spans="1:143" s="32" customFormat="1" ht="16.5" thickTop="1" thickBot="1" x14ac:dyDescent="0.3">
      <c r="A8" s="70"/>
      <c r="B8" s="156" t="s">
        <v>98</v>
      </c>
      <c r="C8" s="156"/>
      <c r="D8" s="96">
        <f>SUM(D6:D6)</f>
        <v>808.09630276181417</v>
      </c>
      <c r="E8" s="96">
        <f>SUM(E6:E6)</f>
        <v>971.06239048544671</v>
      </c>
      <c r="F8" s="96">
        <f>SUM(F6:F6)</f>
        <v>857.30936760000873</v>
      </c>
      <c r="G8" s="96">
        <f>SUM(G6:G6)</f>
        <v>147.17144143800152</v>
      </c>
      <c r="H8" s="44">
        <f>SUM(D8:G8)</f>
        <v>2783.6395022852716</v>
      </c>
      <c r="I8" s="75"/>
      <c r="J8" s="70"/>
      <c r="K8" s="76"/>
      <c r="L8" s="76"/>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row>
    <row r="9" spans="1:143" ht="16.5" thickTop="1" thickBot="1" x14ac:dyDescent="0.3">
      <c r="B9" s="150"/>
      <c r="C9" s="150"/>
      <c r="D9" s="150"/>
      <c r="E9" s="150"/>
      <c r="F9" s="150"/>
      <c r="G9" s="41"/>
      <c r="H9" s="38"/>
      <c r="L9" s="77"/>
    </row>
    <row r="10" spans="1:143" ht="16.5" thickTop="1" thickBot="1" x14ac:dyDescent="0.3">
      <c r="B10" s="155" t="s">
        <v>23</v>
      </c>
      <c r="C10" s="155"/>
      <c r="D10" s="39">
        <f>('Total Outflow'!$G$9*30%)/10^7</f>
        <v>80.809630276181409</v>
      </c>
      <c r="E10" s="39">
        <f>('Total Outflow'!$G$9*35%)/10^7</f>
        <v>94.277901988878313</v>
      </c>
      <c r="F10" s="39">
        <f>('Total Outflow'!$G$9*35%)/10^7</f>
        <v>94.277901988878313</v>
      </c>
      <c r="G10" s="42">
        <v>0</v>
      </c>
      <c r="H10" s="39">
        <f>SUM(G10,F10,E10,D10)</f>
        <v>269.36543425393802</v>
      </c>
    </row>
    <row r="11" spans="1:143" ht="16.5" thickTop="1" thickBot="1" x14ac:dyDescent="0.3">
      <c r="B11" s="73" t="s">
        <v>88</v>
      </c>
      <c r="C11" s="73"/>
      <c r="D11" s="39">
        <f>('Total Outflow'!$G$10*30%)/10^7</f>
        <v>4.0404815138090706</v>
      </c>
      <c r="E11" s="39">
        <f>('Total Outflow'!$G$10*35%)/10^7</f>
        <v>4.7138950994439162</v>
      </c>
      <c r="F11" s="39">
        <f>('Total Outflow'!$G$10*35%)/10^7</f>
        <v>4.7138950994439162</v>
      </c>
      <c r="G11" s="42">
        <v>0</v>
      </c>
      <c r="H11" s="39">
        <f>SUM(G11,F11,E11,D11)</f>
        <v>13.468271712696904</v>
      </c>
    </row>
    <row r="12" spans="1:143" ht="16.5" thickTop="1" thickBot="1" x14ac:dyDescent="0.3">
      <c r="B12" s="155" t="s">
        <v>100</v>
      </c>
      <c r="C12" s="155"/>
      <c r="D12" s="39">
        <f>('Total Outflow'!$G$11*30%)/10^7</f>
        <v>4.0404815138090706</v>
      </c>
      <c r="E12" s="39">
        <f>('Total Outflow'!$G$11*35%)/10^7</f>
        <v>4.7138950994439162</v>
      </c>
      <c r="F12" s="39">
        <f>('Total Outflow'!$G$11*35%)/10^7</f>
        <v>4.7138950994439162</v>
      </c>
      <c r="G12" s="42">
        <v>0</v>
      </c>
      <c r="H12" s="39">
        <f>SUM(D12:G12)</f>
        <v>13.468271712696904</v>
      </c>
    </row>
    <row r="13" spans="1:143" ht="16.5" thickTop="1" thickBot="1" x14ac:dyDescent="0.3">
      <c r="B13" s="155" t="s">
        <v>28</v>
      </c>
      <c r="C13" s="155"/>
      <c r="D13" s="39">
        <f>('Total Outflow'!$G$12*30%)/10^7</f>
        <v>4.0404815138090706</v>
      </c>
      <c r="E13" s="39">
        <f>('Total Outflow'!$G$12*35%)/10^7</f>
        <v>4.7138950994439162</v>
      </c>
      <c r="F13" s="39">
        <f>('Total Outflow'!$G$12*35%)/10^7</f>
        <v>4.7138950994439162</v>
      </c>
      <c r="G13" s="42">
        <v>0</v>
      </c>
      <c r="H13" s="39">
        <f>SUM(D13:G13)</f>
        <v>13.468271712696904</v>
      </c>
    </row>
    <row r="14" spans="1:143" ht="16.5" thickTop="1" thickBot="1" x14ac:dyDescent="0.3">
      <c r="B14" s="171" t="s">
        <v>99</v>
      </c>
      <c r="C14" s="171"/>
      <c r="D14" s="39">
        <f>ASSUMPTIONS!G15*ASSUMPTIONS!G11/10^7</f>
        <v>13.468271712696904</v>
      </c>
      <c r="E14" s="39"/>
      <c r="F14" s="39"/>
      <c r="G14" s="42">
        <v>0</v>
      </c>
      <c r="H14" s="39">
        <f>SUM(G14,F14,E14,D14)</f>
        <v>13.468271712696904</v>
      </c>
    </row>
    <row r="15" spans="1:143" ht="16.5" thickTop="1" thickBot="1" x14ac:dyDescent="0.3">
      <c r="B15" s="150"/>
      <c r="C15" s="150"/>
      <c r="D15" s="150"/>
      <c r="E15" s="150"/>
      <c r="F15" s="150"/>
      <c r="G15" s="41"/>
      <c r="H15" s="37"/>
    </row>
    <row r="16" spans="1:143" s="32" customFormat="1" ht="16.5" thickTop="1" thickBot="1" x14ac:dyDescent="0.3">
      <c r="A16" s="70"/>
      <c r="B16" s="180" t="s">
        <v>101</v>
      </c>
      <c r="C16" s="180"/>
      <c r="D16" s="97">
        <f>SUM(D10:D14)</f>
        <v>106.39934653030552</v>
      </c>
      <c r="E16" s="97">
        <f>SUM(E10:E14)</f>
        <v>108.41958728721006</v>
      </c>
      <c r="F16" s="97">
        <f>SUM(F10:F14)</f>
        <v>108.41958728721006</v>
      </c>
      <c r="G16" s="97">
        <f>SUM(G10:G14)</f>
        <v>0</v>
      </c>
      <c r="H16" s="40">
        <f>SUM(G16,F16,E16,D16)</f>
        <v>323.23852110472563</v>
      </c>
      <c r="I16" s="75"/>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c r="BY16" s="70"/>
      <c r="BZ16" s="70"/>
      <c r="CA16" s="70"/>
      <c r="CB16" s="70"/>
      <c r="CC16" s="70"/>
      <c r="CD16" s="70"/>
      <c r="CE16" s="70"/>
      <c r="CF16" s="70"/>
      <c r="CG16" s="70"/>
      <c r="CH16" s="70"/>
      <c r="CI16" s="70"/>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0"/>
      <c r="DU16" s="70"/>
      <c r="DV16" s="70"/>
      <c r="DW16" s="70"/>
      <c r="DX16" s="70"/>
      <c r="DY16" s="70"/>
      <c r="DZ16" s="70"/>
      <c r="EA16" s="70"/>
      <c r="EB16" s="70"/>
      <c r="EC16" s="70"/>
      <c r="ED16" s="70"/>
      <c r="EE16" s="70"/>
      <c r="EF16" s="70"/>
      <c r="EG16" s="70"/>
      <c r="EH16" s="70"/>
      <c r="EI16" s="70"/>
      <c r="EJ16" s="70"/>
      <c r="EK16" s="70"/>
      <c r="EL16" s="70"/>
      <c r="EM16" s="70"/>
    </row>
    <row r="17" spans="2:15" ht="16.5" thickTop="1" thickBot="1" x14ac:dyDescent="0.3">
      <c r="B17" s="150"/>
      <c r="C17" s="150"/>
      <c r="D17" s="181"/>
      <c r="E17" s="181"/>
      <c r="F17" s="181"/>
      <c r="G17" s="66"/>
      <c r="H17" s="67"/>
    </row>
    <row r="18" spans="2:15" ht="16.5" thickTop="1" thickBot="1" x14ac:dyDescent="0.3">
      <c r="B18" s="178" t="s">
        <v>82</v>
      </c>
      <c r="C18" s="179"/>
      <c r="D18" s="98">
        <f>D8-D16</f>
        <v>701.69695623150869</v>
      </c>
      <c r="E18" s="98">
        <f>E8-E16</f>
        <v>862.64280319823661</v>
      </c>
      <c r="F18" s="98">
        <f>F8-F16</f>
        <v>748.88978031279862</v>
      </c>
      <c r="G18" s="98">
        <f>G8-G16</f>
        <v>147.17144143800152</v>
      </c>
      <c r="H18" s="68">
        <f>SUM(G18,F18,E18,D18)</f>
        <v>2460.4009811805454</v>
      </c>
      <c r="K18" s="74"/>
      <c r="O18" s="78"/>
    </row>
    <row r="19" spans="2:15" ht="16.5" thickTop="1" thickBot="1" x14ac:dyDescent="0.3">
      <c r="B19" s="122"/>
      <c r="C19" s="123"/>
      <c r="D19" s="123"/>
      <c r="E19" s="123"/>
      <c r="F19" s="123"/>
      <c r="G19" s="123"/>
      <c r="H19" s="124"/>
      <c r="M19" s="71"/>
    </row>
    <row r="20" spans="2:15" ht="16.5" thickTop="1" thickBot="1" x14ac:dyDescent="0.3">
      <c r="B20" s="99" t="s">
        <v>85</v>
      </c>
      <c r="C20" s="100">
        <f>XNPV(C21,D18:G18,D4:G4)</f>
        <v>2227.402831457322</v>
      </c>
      <c r="D20" s="159" t="s">
        <v>84</v>
      </c>
      <c r="E20" s="160"/>
      <c r="F20" s="160"/>
      <c r="G20" s="160"/>
      <c r="H20" s="161"/>
      <c r="I20" s="71">
        <f>C20-C22</f>
        <v>1893.2924067387237</v>
      </c>
    </row>
    <row r="21" spans="2:15" ht="16.5" thickTop="1" thickBot="1" x14ac:dyDescent="0.3">
      <c r="B21" s="99" t="s">
        <v>81</v>
      </c>
      <c r="C21" s="101">
        <f>ASSUMPTIONS!G33</f>
        <v>9.4260250000000004E-2</v>
      </c>
      <c r="D21" s="162"/>
      <c r="E21" s="163"/>
      <c r="F21" s="163"/>
      <c r="G21" s="163"/>
      <c r="H21" s="164"/>
      <c r="K21" s="71"/>
    </row>
    <row r="22" spans="2:15" ht="16.5" thickTop="1" thickBot="1" x14ac:dyDescent="0.3">
      <c r="B22" s="99" t="s">
        <v>126</v>
      </c>
      <c r="C22" s="100">
        <f>C20*15%</f>
        <v>334.11042471859827</v>
      </c>
      <c r="D22" s="162"/>
      <c r="E22" s="163"/>
      <c r="F22" s="163"/>
      <c r="G22" s="163"/>
      <c r="H22" s="164"/>
      <c r="K22" s="71"/>
      <c r="L22" s="71"/>
      <c r="M22" s="71"/>
    </row>
    <row r="23" spans="2:15" ht="16.5" thickTop="1" thickBot="1" x14ac:dyDescent="0.3">
      <c r="B23" s="99" t="s">
        <v>75</v>
      </c>
      <c r="C23" s="102">
        <f>C20-C22</f>
        <v>1893.2924067387237</v>
      </c>
      <c r="D23" s="165"/>
      <c r="E23" s="166"/>
      <c r="F23" s="166"/>
      <c r="G23" s="166"/>
      <c r="H23" s="167"/>
      <c r="I23" s="71">
        <f>C23*10^7</f>
        <v>18932924067.387238</v>
      </c>
      <c r="L23" s="71"/>
    </row>
    <row r="24" spans="2:15" ht="16.5" thickTop="1" thickBot="1" x14ac:dyDescent="0.3">
      <c r="B24" s="168"/>
      <c r="C24" s="169"/>
      <c r="D24" s="169"/>
      <c r="E24" s="169"/>
      <c r="F24" s="169"/>
      <c r="G24" s="169"/>
      <c r="H24" s="170"/>
      <c r="I24" s="69">
        <v>783613</v>
      </c>
      <c r="K24" s="74"/>
      <c r="L24" s="71">
        <f>ROUND(K25,-7)</f>
        <v>19310000000</v>
      </c>
    </row>
    <row r="25" spans="2:15" ht="16.5" thickTop="1" thickBot="1" x14ac:dyDescent="0.3">
      <c r="B25" s="172" t="s">
        <v>72</v>
      </c>
      <c r="C25" s="173"/>
      <c r="D25" s="173"/>
      <c r="E25" s="173"/>
      <c r="F25" s="173"/>
      <c r="G25" s="173"/>
      <c r="H25" s="174"/>
      <c r="I25" s="71">
        <f>I23+I24</f>
        <v>18933707680.387238</v>
      </c>
      <c r="J25" s="71">
        <f>I25*2%</f>
        <v>378674153.60774475</v>
      </c>
      <c r="K25" s="71">
        <f>I25+J25</f>
        <v>19312381833.994984</v>
      </c>
      <c r="L25" s="71">
        <f>L24*85%</f>
        <v>16413500000</v>
      </c>
      <c r="M25" s="74">
        <f>L24*75%</f>
        <v>14482500000</v>
      </c>
    </row>
    <row r="26" spans="2:15" ht="31.5" customHeight="1" thickTop="1" thickBot="1" x14ac:dyDescent="0.3">
      <c r="B26" s="175" t="s">
        <v>111</v>
      </c>
      <c r="C26" s="176"/>
      <c r="D26" s="176"/>
      <c r="E26" s="176"/>
      <c r="F26" s="176"/>
      <c r="G26" s="176"/>
      <c r="H26" s="177"/>
      <c r="L26" s="71"/>
    </row>
    <row r="27" spans="2:15" s="69" customFormat="1" ht="15.75" thickTop="1" x14ac:dyDescent="0.25"/>
    <row r="28" spans="2:15" s="69" customFormat="1" x14ac:dyDescent="0.25">
      <c r="G28" s="69" t="s">
        <v>121</v>
      </c>
      <c r="I28" s="71">
        <f>I25/ASSUMPTIONS!G7</f>
        <v>422533088.15860826</v>
      </c>
      <c r="L28" s="71">
        <f>L26*0.85</f>
        <v>0</v>
      </c>
    </row>
    <row r="29" spans="2:15" s="69" customFormat="1" x14ac:dyDescent="0.25">
      <c r="G29" s="69" t="s">
        <v>122</v>
      </c>
      <c r="I29" s="71">
        <f>I25/ASSUMPTIONS!G8</f>
        <v>104410.1076287809</v>
      </c>
    </row>
    <row r="30" spans="2:15" s="69" customFormat="1" x14ac:dyDescent="0.25">
      <c r="L30" s="71">
        <f>L26*0.75</f>
        <v>0</v>
      </c>
    </row>
    <row r="31" spans="2:15" s="69" customFormat="1" x14ac:dyDescent="0.25"/>
    <row r="32" spans="2:15" s="69" customFormat="1" x14ac:dyDescent="0.25"/>
    <row r="33" s="69" customFormat="1" x14ac:dyDescent="0.25"/>
    <row r="34" s="69" customFormat="1" x14ac:dyDescent="0.25"/>
    <row r="35" s="69" customFormat="1" x14ac:dyDescent="0.25"/>
    <row r="36" s="69" customFormat="1" x14ac:dyDescent="0.25"/>
    <row r="37" s="69" customFormat="1" x14ac:dyDescent="0.25"/>
    <row r="38" s="69" customFormat="1" x14ac:dyDescent="0.25"/>
    <row r="39" s="69" customFormat="1" x14ac:dyDescent="0.25"/>
    <row r="40" s="69" customFormat="1" x14ac:dyDescent="0.25"/>
    <row r="41" s="69" customFormat="1" x14ac:dyDescent="0.25"/>
    <row r="42" s="69" customFormat="1" x14ac:dyDescent="0.25"/>
    <row r="43" s="69" customFormat="1" x14ac:dyDescent="0.25"/>
    <row r="44" s="69" customFormat="1" x14ac:dyDescent="0.25"/>
    <row r="45" s="69" customFormat="1" x14ac:dyDescent="0.25"/>
    <row r="46" s="69" customFormat="1" x14ac:dyDescent="0.25"/>
    <row r="47" s="69" customFormat="1" x14ac:dyDescent="0.25"/>
    <row r="48" s="69" customFormat="1" x14ac:dyDescent="0.25"/>
    <row r="49" s="69" customFormat="1" x14ac:dyDescent="0.25"/>
    <row r="50" s="69" customFormat="1" x14ac:dyDescent="0.25"/>
    <row r="51" s="69" customFormat="1" x14ac:dyDescent="0.25"/>
    <row r="52" s="69" customFormat="1" x14ac:dyDescent="0.25"/>
    <row r="53" s="69" customFormat="1" x14ac:dyDescent="0.25"/>
    <row r="54" s="69" customFormat="1" x14ac:dyDescent="0.25"/>
    <row r="55" s="69" customFormat="1" x14ac:dyDescent="0.25"/>
    <row r="56" s="69" customFormat="1" x14ac:dyDescent="0.25"/>
    <row r="57" s="69" customFormat="1" x14ac:dyDescent="0.25"/>
    <row r="58" s="69" customFormat="1" x14ac:dyDescent="0.25"/>
    <row r="59" s="69" customFormat="1" x14ac:dyDescent="0.25"/>
    <row r="60" s="69" customFormat="1" x14ac:dyDescent="0.25"/>
    <row r="61" s="69" customFormat="1" x14ac:dyDescent="0.25"/>
    <row r="62" s="69" customFormat="1" x14ac:dyDescent="0.25"/>
    <row r="63" s="69" customFormat="1" x14ac:dyDescent="0.25"/>
    <row r="64" s="69" customFormat="1" x14ac:dyDescent="0.25"/>
    <row r="65" s="69" customFormat="1" x14ac:dyDescent="0.25"/>
    <row r="66" s="69" customFormat="1" x14ac:dyDescent="0.25"/>
    <row r="67" s="69" customFormat="1" x14ac:dyDescent="0.25"/>
    <row r="68" s="69" customFormat="1" x14ac:dyDescent="0.25"/>
    <row r="69" s="69" customFormat="1" x14ac:dyDescent="0.25"/>
    <row r="70" s="69" customFormat="1" x14ac:dyDescent="0.25"/>
    <row r="71" s="69" customFormat="1" x14ac:dyDescent="0.25"/>
    <row r="72" s="69" customFormat="1" x14ac:dyDescent="0.25"/>
    <row r="73" s="69" customFormat="1" x14ac:dyDescent="0.25"/>
    <row r="74" s="69" customFormat="1" x14ac:dyDescent="0.25"/>
    <row r="75" s="69" customFormat="1" x14ac:dyDescent="0.25"/>
    <row r="76" s="69" customFormat="1" x14ac:dyDescent="0.25"/>
    <row r="77" s="69" customFormat="1" x14ac:dyDescent="0.25"/>
    <row r="78" s="69" customFormat="1" x14ac:dyDescent="0.25"/>
    <row r="79" s="69" customFormat="1" x14ac:dyDescent="0.25"/>
    <row r="80" s="69" customFormat="1" x14ac:dyDescent="0.25"/>
    <row r="81" s="69" customFormat="1" x14ac:dyDescent="0.25"/>
    <row r="82" s="69" customFormat="1" x14ac:dyDescent="0.25"/>
    <row r="83" s="69" customFormat="1" x14ac:dyDescent="0.25"/>
    <row r="84" s="69" customFormat="1" x14ac:dyDescent="0.25"/>
    <row r="85" s="69" customFormat="1" x14ac:dyDescent="0.25"/>
    <row r="86" s="69" customFormat="1" x14ac:dyDescent="0.25"/>
    <row r="87" s="69" customFormat="1" x14ac:dyDescent="0.25"/>
    <row r="88" s="69" customFormat="1" x14ac:dyDescent="0.25"/>
    <row r="89" s="69" customFormat="1" x14ac:dyDescent="0.25"/>
    <row r="90" s="69" customFormat="1" x14ac:dyDescent="0.25"/>
    <row r="91" s="69" customFormat="1" x14ac:dyDescent="0.25"/>
    <row r="92" s="69" customFormat="1" x14ac:dyDescent="0.25"/>
    <row r="93" s="69" customFormat="1" x14ac:dyDescent="0.25"/>
    <row r="94" s="69" customFormat="1" x14ac:dyDescent="0.25"/>
    <row r="95" s="69" customFormat="1" x14ac:dyDescent="0.25"/>
    <row r="96" s="69" customFormat="1" x14ac:dyDescent="0.25"/>
    <row r="97" s="69" customFormat="1" x14ac:dyDescent="0.25"/>
    <row r="98" s="69" customFormat="1" x14ac:dyDescent="0.25"/>
    <row r="99" s="69" customFormat="1" x14ac:dyDescent="0.25"/>
    <row r="100" s="69" customFormat="1" x14ac:dyDescent="0.25"/>
    <row r="101" s="69" customFormat="1" x14ac:dyDescent="0.25"/>
    <row r="102" s="69" customFormat="1" x14ac:dyDescent="0.25"/>
    <row r="103" s="69" customFormat="1" x14ac:dyDescent="0.25"/>
    <row r="104" s="69" customFormat="1" x14ac:dyDescent="0.25"/>
    <row r="105" s="69" customFormat="1" x14ac:dyDescent="0.25"/>
    <row r="106" s="69" customFormat="1" x14ac:dyDescent="0.25"/>
    <row r="107" s="69" customFormat="1" x14ac:dyDescent="0.25"/>
    <row r="108" s="69" customFormat="1" x14ac:dyDescent="0.25"/>
    <row r="109" s="69" customFormat="1" x14ac:dyDescent="0.25"/>
    <row r="110" s="69" customFormat="1" x14ac:dyDescent="0.25"/>
    <row r="111" s="69" customFormat="1" x14ac:dyDescent="0.25"/>
    <row r="112" s="69" customFormat="1" x14ac:dyDescent="0.25"/>
    <row r="113" s="69" customFormat="1" x14ac:dyDescent="0.25"/>
    <row r="114" s="69" customFormat="1" x14ac:dyDescent="0.25"/>
    <row r="115" s="69" customFormat="1" x14ac:dyDescent="0.25"/>
    <row r="116" s="69" customFormat="1" x14ac:dyDescent="0.25"/>
    <row r="117" s="69" customFormat="1" x14ac:dyDescent="0.25"/>
    <row r="118" s="69" customFormat="1" x14ac:dyDescent="0.25"/>
    <row r="119" s="69" customFormat="1" x14ac:dyDescent="0.25"/>
    <row r="120" s="69" customFormat="1" x14ac:dyDescent="0.25"/>
    <row r="121" s="69" customFormat="1" x14ac:dyDescent="0.25"/>
    <row r="122" s="69" customFormat="1" x14ac:dyDescent="0.25"/>
    <row r="123" s="69" customFormat="1" x14ac:dyDescent="0.25"/>
    <row r="124" s="69" customFormat="1" x14ac:dyDescent="0.25"/>
    <row r="125" s="69" customFormat="1" x14ac:dyDescent="0.25"/>
    <row r="126" s="69" customFormat="1" x14ac:dyDescent="0.25"/>
    <row r="127" s="69" customFormat="1" x14ac:dyDescent="0.25"/>
    <row r="128" s="69" customFormat="1" x14ac:dyDescent="0.25"/>
    <row r="129" s="69" customFormat="1" x14ac:dyDescent="0.25"/>
    <row r="130" s="69" customFormat="1" x14ac:dyDescent="0.25"/>
    <row r="131" s="69" customFormat="1" x14ac:dyDescent="0.25"/>
    <row r="132" s="69" customFormat="1" x14ac:dyDescent="0.25"/>
    <row r="133" s="69" customFormat="1" x14ac:dyDescent="0.25"/>
    <row r="134" s="69" customFormat="1" x14ac:dyDescent="0.25"/>
    <row r="135" s="69" customFormat="1" x14ac:dyDescent="0.25"/>
    <row r="136" s="69" customFormat="1" x14ac:dyDescent="0.25"/>
    <row r="137" s="69" customFormat="1" x14ac:dyDescent="0.25"/>
    <row r="138" s="69" customFormat="1" x14ac:dyDescent="0.25"/>
    <row r="139" s="69" customFormat="1" x14ac:dyDescent="0.25"/>
    <row r="140" s="69" customFormat="1" x14ac:dyDescent="0.25"/>
    <row r="141" s="69" customFormat="1" x14ac:dyDescent="0.25"/>
    <row r="142" s="69" customFormat="1" x14ac:dyDescent="0.25"/>
    <row r="143" s="69" customFormat="1" x14ac:dyDescent="0.25"/>
    <row r="144" s="69" customFormat="1" x14ac:dyDescent="0.25"/>
    <row r="145" s="69" customFormat="1" x14ac:dyDescent="0.25"/>
    <row r="146" s="69" customFormat="1" x14ac:dyDescent="0.25"/>
    <row r="147" s="69" customFormat="1" x14ac:dyDescent="0.25"/>
    <row r="148" s="69" customFormat="1" x14ac:dyDescent="0.25"/>
    <row r="149" s="69" customFormat="1" x14ac:dyDescent="0.25"/>
    <row r="150" s="69" customFormat="1" x14ac:dyDescent="0.25"/>
    <row r="151" s="69" customFormat="1" x14ac:dyDescent="0.25"/>
    <row r="152" s="69" customFormat="1" x14ac:dyDescent="0.25"/>
    <row r="153" s="69" customFormat="1" x14ac:dyDescent="0.25"/>
    <row r="154" s="69" customFormat="1" x14ac:dyDescent="0.25"/>
    <row r="155" s="69" customFormat="1" x14ac:dyDescent="0.25"/>
    <row r="156" s="69" customFormat="1" x14ac:dyDescent="0.25"/>
    <row r="157" s="69" customFormat="1" x14ac:dyDescent="0.25"/>
    <row r="158" s="69" customFormat="1" x14ac:dyDescent="0.25"/>
    <row r="159" s="69" customFormat="1" x14ac:dyDescent="0.25"/>
    <row r="160" s="69" customFormat="1" x14ac:dyDescent="0.25"/>
    <row r="161" s="69" customFormat="1" x14ac:dyDescent="0.25"/>
    <row r="162" s="69" customFormat="1" x14ac:dyDescent="0.25"/>
    <row r="163" s="69" customFormat="1" x14ac:dyDescent="0.25"/>
    <row r="164" s="69" customFormat="1" x14ac:dyDescent="0.25"/>
    <row r="165" s="69" customFormat="1" x14ac:dyDescent="0.25"/>
    <row r="166" s="69" customFormat="1" x14ac:dyDescent="0.25"/>
    <row r="167" s="69" customFormat="1" x14ac:dyDescent="0.25"/>
    <row r="168" s="69" customFormat="1" x14ac:dyDescent="0.25"/>
    <row r="169" s="69" customFormat="1" x14ac:dyDescent="0.25"/>
    <row r="170" s="69" customFormat="1" x14ac:dyDescent="0.25"/>
    <row r="171" s="69" customFormat="1" x14ac:dyDescent="0.25"/>
    <row r="172" s="69" customFormat="1" x14ac:dyDescent="0.25"/>
    <row r="173" s="69" customFormat="1" x14ac:dyDescent="0.25"/>
    <row r="174" s="69" customFormat="1" x14ac:dyDescent="0.25"/>
    <row r="175" s="69" customFormat="1" x14ac:dyDescent="0.25"/>
    <row r="176" s="69" customFormat="1" x14ac:dyDescent="0.25"/>
    <row r="177" s="69" customFormat="1" x14ac:dyDescent="0.25"/>
    <row r="178" s="69" customFormat="1" x14ac:dyDescent="0.25"/>
    <row r="179" s="69" customFormat="1" x14ac:dyDescent="0.25"/>
    <row r="180" s="69" customFormat="1" x14ac:dyDescent="0.25"/>
    <row r="181" s="69" customFormat="1" x14ac:dyDescent="0.25"/>
    <row r="182" s="69" customFormat="1" x14ac:dyDescent="0.25"/>
    <row r="183" s="69" customFormat="1" x14ac:dyDescent="0.25"/>
    <row r="184" s="69" customFormat="1" x14ac:dyDescent="0.25"/>
    <row r="185" s="69" customFormat="1" x14ac:dyDescent="0.25"/>
    <row r="186" s="69" customFormat="1" x14ac:dyDescent="0.25"/>
    <row r="187" s="69" customFormat="1" x14ac:dyDescent="0.25"/>
    <row r="188" s="69" customFormat="1" x14ac:dyDescent="0.25"/>
    <row r="189" s="69" customFormat="1" x14ac:dyDescent="0.25"/>
    <row r="190" s="69" customFormat="1" x14ac:dyDescent="0.25"/>
    <row r="191" s="69" customFormat="1" x14ac:dyDescent="0.25"/>
    <row r="192" s="69" customFormat="1" x14ac:dyDescent="0.25"/>
    <row r="193" s="69" customFormat="1" x14ac:dyDescent="0.25"/>
    <row r="194" s="69" customFormat="1" x14ac:dyDescent="0.25"/>
    <row r="195" s="69" customFormat="1" x14ac:dyDescent="0.25"/>
    <row r="196" s="69" customFormat="1" x14ac:dyDescent="0.25"/>
    <row r="197" s="69" customFormat="1" x14ac:dyDescent="0.25"/>
    <row r="198" s="69" customFormat="1" x14ac:dyDescent="0.25"/>
    <row r="199" s="69" customFormat="1" x14ac:dyDescent="0.25"/>
    <row r="200" s="69" customFormat="1" x14ac:dyDescent="0.25"/>
    <row r="201" s="69" customFormat="1" x14ac:dyDescent="0.25"/>
    <row r="202" s="69" customFormat="1" x14ac:dyDescent="0.25"/>
    <row r="203" s="69" customFormat="1" x14ac:dyDescent="0.25"/>
    <row r="204" s="69" customFormat="1" x14ac:dyDescent="0.25"/>
    <row r="205" s="69" customFormat="1" x14ac:dyDescent="0.25"/>
    <row r="206" s="69" customFormat="1" x14ac:dyDescent="0.25"/>
    <row r="207" s="69" customFormat="1" x14ac:dyDescent="0.25"/>
    <row r="208" s="69" customFormat="1" x14ac:dyDescent="0.25"/>
    <row r="209" s="69" customFormat="1" x14ac:dyDescent="0.25"/>
    <row r="210" s="69" customFormat="1" x14ac:dyDescent="0.25"/>
    <row r="211" s="69" customFormat="1" x14ac:dyDescent="0.25"/>
    <row r="212" s="69" customFormat="1" x14ac:dyDescent="0.25"/>
    <row r="213" s="69" customFormat="1" x14ac:dyDescent="0.25"/>
    <row r="214" s="69" customFormat="1" x14ac:dyDescent="0.25"/>
    <row r="215" s="69" customFormat="1" x14ac:dyDescent="0.25"/>
    <row r="216" s="69" customFormat="1" x14ac:dyDescent="0.25"/>
    <row r="217" s="69" customFormat="1" x14ac:dyDescent="0.25"/>
    <row r="218" s="69" customFormat="1" x14ac:dyDescent="0.25"/>
    <row r="219" s="69" customFormat="1" x14ac:dyDescent="0.25"/>
    <row r="220" s="69" customFormat="1" x14ac:dyDescent="0.25"/>
    <row r="221" s="69" customFormat="1" x14ac:dyDescent="0.25"/>
    <row r="222" s="69" customFormat="1" x14ac:dyDescent="0.25"/>
    <row r="223" s="69" customFormat="1" x14ac:dyDescent="0.25"/>
    <row r="224" s="69" customFormat="1" x14ac:dyDescent="0.25"/>
  </sheetData>
  <mergeCells count="22">
    <mergeCell ref="B25:H25"/>
    <mergeCell ref="B26:H26"/>
    <mergeCell ref="B18:C18"/>
    <mergeCell ref="B19:H19"/>
    <mergeCell ref="B16:C16"/>
    <mergeCell ref="B17:F17"/>
    <mergeCell ref="B15:F15"/>
    <mergeCell ref="D20:H23"/>
    <mergeCell ref="B24:H24"/>
    <mergeCell ref="B10:C10"/>
    <mergeCell ref="B14:C14"/>
    <mergeCell ref="B12:C12"/>
    <mergeCell ref="B13:C13"/>
    <mergeCell ref="B9:F9"/>
    <mergeCell ref="B2:H2"/>
    <mergeCell ref="B3:B4"/>
    <mergeCell ref="C3:C4"/>
    <mergeCell ref="H3:H4"/>
    <mergeCell ref="B6:C6"/>
    <mergeCell ref="B8:C8"/>
    <mergeCell ref="B7:H7"/>
    <mergeCell ref="B5:H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16"/>
  <sheetViews>
    <sheetView showGridLines="0" workbookViewId="0">
      <selection activeCell="E11" sqref="E11"/>
    </sheetView>
  </sheetViews>
  <sheetFormatPr defaultColWidth="9.140625" defaultRowHeight="15" x14ac:dyDescent="0.25"/>
  <cols>
    <col min="1" max="2" width="9.140625" style="9"/>
    <col min="3" max="3" width="17.7109375" style="9" customWidth="1"/>
    <col min="4" max="4" width="22.5703125" style="9" customWidth="1"/>
    <col min="5" max="5" width="7.5703125" style="10" bestFit="1" customWidth="1"/>
    <col min="6" max="6" width="11.7109375" style="10" customWidth="1"/>
    <col min="7" max="8" width="11.28515625" style="10" customWidth="1"/>
    <col min="9" max="9" width="24.140625" style="9" bestFit="1" customWidth="1"/>
    <col min="10" max="10" width="9.140625" style="9"/>
    <col min="11" max="11" width="16.85546875" style="9" bestFit="1" customWidth="1"/>
    <col min="12" max="16384" width="9.140625" style="9"/>
  </cols>
  <sheetData>
    <row r="3" spans="1:11" ht="30.75" customHeight="1" x14ac:dyDescent="0.25">
      <c r="A3" s="11" t="s">
        <v>11</v>
      </c>
      <c r="B3" s="11" t="s">
        <v>12</v>
      </c>
      <c r="C3" s="184"/>
      <c r="D3" s="184"/>
      <c r="E3" s="184"/>
      <c r="F3" s="184"/>
      <c r="G3" s="184"/>
      <c r="H3" s="184"/>
      <c r="I3" s="184"/>
    </row>
    <row r="4" spans="1:11" x14ac:dyDescent="0.25">
      <c r="C4" s="185"/>
      <c r="D4" s="185"/>
      <c r="E4" s="185"/>
      <c r="F4" s="185"/>
      <c r="G4" s="185"/>
      <c r="H4" s="185"/>
      <c r="I4" s="185"/>
    </row>
    <row r="5" spans="1:11" ht="27.75" x14ac:dyDescent="0.25">
      <c r="C5" s="5" t="s">
        <v>1</v>
      </c>
      <c r="D5" s="5" t="s">
        <v>2</v>
      </c>
      <c r="E5" s="12">
        <f>DCF!D4</f>
        <v>45016</v>
      </c>
      <c r="F5" s="12">
        <f>DCF!E4</f>
        <v>45382</v>
      </c>
      <c r="G5" s="12">
        <f>DCF!F4</f>
        <v>45747</v>
      </c>
      <c r="H5" s="12">
        <f>DCF!G4</f>
        <v>46112</v>
      </c>
      <c r="I5" s="19" t="s">
        <v>13</v>
      </c>
    </row>
    <row r="6" spans="1:11" x14ac:dyDescent="0.25">
      <c r="C6" s="186" t="s">
        <v>14</v>
      </c>
      <c r="D6" s="186"/>
      <c r="E6" s="13">
        <f>DCF!D8</f>
        <v>808.09630276181417</v>
      </c>
      <c r="F6" s="13">
        <f>DCF!E8</f>
        <v>971.06239048544671</v>
      </c>
      <c r="G6" s="13">
        <f>DCF!F8</f>
        <v>857.30936760000873</v>
      </c>
      <c r="H6" s="13">
        <f>DCF!G8</f>
        <v>147.17144143800152</v>
      </c>
      <c r="I6" s="13">
        <f>SUM(E6,F6,G6,H6)</f>
        <v>2783.6395022852716</v>
      </c>
    </row>
    <row r="7" spans="1:11" x14ac:dyDescent="0.25">
      <c r="C7" s="187" t="s">
        <v>15</v>
      </c>
      <c r="D7" s="187"/>
      <c r="E7" s="14">
        <f>DCF!D16</f>
        <v>106.39934653030552</v>
      </c>
      <c r="F7" s="14">
        <f>DCF!E16</f>
        <v>108.41958728721006</v>
      </c>
      <c r="G7" s="14">
        <f>DCF!F16</f>
        <v>108.41958728721006</v>
      </c>
      <c r="H7" s="14">
        <f>DCF!G16</f>
        <v>0</v>
      </c>
      <c r="I7" s="14">
        <f>SUM(E7:G7)</f>
        <v>323.23852110472563</v>
      </c>
    </row>
    <row r="8" spans="1:11" x14ac:dyDescent="0.25">
      <c r="C8" s="188"/>
      <c r="D8" s="188"/>
      <c r="E8" s="188"/>
      <c r="F8" s="188"/>
      <c r="G8" s="188"/>
      <c r="H8" s="188"/>
      <c r="I8" s="188"/>
    </row>
    <row r="9" spans="1:11" x14ac:dyDescent="0.25">
      <c r="C9" s="186" t="s">
        <v>16</v>
      </c>
      <c r="D9" s="186"/>
      <c r="E9" s="13">
        <f>SUM(E6,E7)</f>
        <v>914.49564929211965</v>
      </c>
      <c r="F9" s="13">
        <f>SUM(F6,F7)</f>
        <v>1079.4819777726568</v>
      </c>
      <c r="G9" s="13">
        <f>SUM(G6,G7)</f>
        <v>965.72895488721883</v>
      </c>
      <c r="H9" s="13">
        <f>SUM(H6,H7)</f>
        <v>147.17144143800152</v>
      </c>
      <c r="I9" s="13">
        <f>SUM(I6,I7)</f>
        <v>3106.8780233899975</v>
      </c>
    </row>
    <row r="10" spans="1:11" x14ac:dyDescent="0.25">
      <c r="C10" s="188"/>
      <c r="D10" s="188"/>
      <c r="E10" s="188"/>
      <c r="F10" s="188"/>
      <c r="G10" s="188"/>
      <c r="H10" s="188"/>
      <c r="I10" s="188"/>
    </row>
    <row r="11" spans="1:11" x14ac:dyDescent="0.25">
      <c r="C11" s="186" t="s">
        <v>17</v>
      </c>
      <c r="D11" s="186"/>
      <c r="E11" s="15" t="e">
        <f>DCF!#REF!</f>
        <v>#REF!</v>
      </c>
      <c r="F11" s="191"/>
      <c r="G11" s="191"/>
      <c r="H11" s="191"/>
      <c r="I11" s="191"/>
    </row>
    <row r="12" spans="1:11" x14ac:dyDescent="0.25">
      <c r="C12" s="186" t="s">
        <v>18</v>
      </c>
      <c r="D12" s="186"/>
      <c r="E12" s="15" t="e">
        <f>ROUND(E11,-1)</f>
        <v>#REF!</v>
      </c>
      <c r="F12" s="191"/>
      <c r="G12" s="191"/>
      <c r="H12" s="191"/>
      <c r="I12" s="191"/>
    </row>
    <row r="13" spans="1:11" x14ac:dyDescent="0.25">
      <c r="C13" s="185"/>
      <c r="D13" s="185"/>
      <c r="E13" s="185"/>
      <c r="F13" s="185"/>
      <c r="G13" s="185"/>
      <c r="H13" s="185"/>
      <c r="I13" s="185"/>
      <c r="K13" s="29"/>
    </row>
    <row r="14" spans="1:11" ht="30" customHeight="1" x14ac:dyDescent="0.25">
      <c r="C14" s="189" t="s">
        <v>19</v>
      </c>
      <c r="D14" s="189"/>
      <c r="E14" s="8" t="e">
        <f>E12*(1-15%)</f>
        <v>#REF!</v>
      </c>
      <c r="F14" s="190"/>
      <c r="G14" s="190"/>
      <c r="H14" s="190"/>
      <c r="I14" s="190"/>
      <c r="J14" s="21"/>
      <c r="K14" s="21"/>
    </row>
    <row r="15" spans="1:11" ht="30" customHeight="1" x14ac:dyDescent="0.25">
      <c r="C15" s="189" t="s">
        <v>20</v>
      </c>
      <c r="D15" s="189"/>
      <c r="E15" s="8" t="e">
        <f>E12*(1-25%)</f>
        <v>#REF!</v>
      </c>
      <c r="F15" s="190"/>
      <c r="G15" s="190"/>
      <c r="H15" s="190"/>
      <c r="I15" s="190"/>
    </row>
    <row r="16" spans="1:11" ht="28.5" customHeight="1" x14ac:dyDescent="0.25">
      <c r="C16" s="182" t="s">
        <v>32</v>
      </c>
      <c r="D16" s="183"/>
      <c r="E16" s="183"/>
      <c r="F16" s="183"/>
      <c r="G16" s="183"/>
      <c r="H16" s="183"/>
      <c r="I16" s="183"/>
      <c r="K16" s="29"/>
    </row>
  </sheetData>
  <mergeCells count="15">
    <mergeCell ref="C16:I16"/>
    <mergeCell ref="C3:I3"/>
    <mergeCell ref="C4:I4"/>
    <mergeCell ref="C6:D6"/>
    <mergeCell ref="C7:D7"/>
    <mergeCell ref="C9:D9"/>
    <mergeCell ref="C8:I8"/>
    <mergeCell ref="C13:I13"/>
    <mergeCell ref="C14:D14"/>
    <mergeCell ref="F14:I15"/>
    <mergeCell ref="C15:D15"/>
    <mergeCell ref="C10:I10"/>
    <mergeCell ref="F11:I12"/>
    <mergeCell ref="C11:D11"/>
    <mergeCell ref="C12:D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ASSUMPTIONS</vt:lpstr>
      <vt:lpstr>Absorption Rate</vt:lpstr>
      <vt:lpstr>Residential Inflow</vt:lpstr>
      <vt:lpstr>Inflow</vt:lpstr>
      <vt:lpstr>Total Outflow</vt:lpstr>
      <vt:lpstr>DCF</vt:lpstr>
      <vt:lpstr>Consolidated Summary</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Abhishek Garg - Corporate Finance</dc:creator>
  <cp:lastModifiedBy>Rahul Gupta</cp:lastModifiedBy>
  <dcterms:created xsi:type="dcterms:W3CDTF">2020-02-03T05:38:58Z</dcterms:created>
  <dcterms:modified xsi:type="dcterms:W3CDTF">2022-09-21T13:39:53Z</dcterms:modified>
</cp:coreProperties>
</file>