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hhavi Toshan\Tantia Sanjauli Parking\Working\"/>
    </mc:Choice>
  </mc:AlternateContent>
  <bookViews>
    <workbookView xWindow="0" yWindow="0" windowWidth="23040" windowHeight="9390" activeTab="7"/>
  </bookViews>
  <sheets>
    <sheet name="BS" sheetId="1" r:id="rId1"/>
    <sheet name="P&amp;L" sheetId="2" r:id="rId2"/>
    <sheet name="CF" sheetId="3" r:id="rId3"/>
    <sheet name="Other Revenue " sheetId="5" r:id="rId4"/>
    <sheet name="Valuation RK" sheetId="4" r:id="rId5"/>
    <sheet name="Project cost" sheetId="7" r:id="rId6"/>
    <sheet name="Sheet1" sheetId="6" r:id="rId7"/>
    <sheet name="Sheet3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8" l="1"/>
  <c r="H86" i="8" s="1"/>
  <c r="G85" i="8"/>
  <c r="H85" i="8" s="1"/>
  <c r="G84" i="8"/>
  <c r="G83" i="8"/>
  <c r="I83" i="8" s="1"/>
  <c r="G82" i="8"/>
  <c r="I23" i="5"/>
  <c r="J23" i="5" s="1"/>
  <c r="K23" i="5" s="1"/>
  <c r="L23" i="5" s="1"/>
  <c r="M23" i="5" s="1"/>
  <c r="N23" i="5" s="1"/>
  <c r="O23" i="5" s="1"/>
  <c r="P23" i="5" s="1"/>
  <c r="Q23" i="5" s="1"/>
  <c r="R23" i="5" s="1"/>
  <c r="S23" i="5" s="1"/>
  <c r="T23" i="5" s="1"/>
  <c r="U23" i="5" s="1"/>
  <c r="V23" i="5" s="1"/>
  <c r="W23" i="5" s="1"/>
  <c r="X23" i="5" s="1"/>
  <c r="Y23" i="5" s="1"/>
  <c r="Z23" i="5" s="1"/>
  <c r="AA23" i="5" s="1"/>
  <c r="AB23" i="5" s="1"/>
  <c r="AC23" i="5" s="1"/>
  <c r="H23" i="5"/>
  <c r="I84" i="8"/>
  <c r="I82" i="8"/>
  <c r="H84" i="8"/>
  <c r="H82" i="8"/>
  <c r="G72" i="8"/>
  <c r="F72" i="8"/>
  <c r="E72" i="8"/>
  <c r="D72" i="8"/>
  <c r="C72" i="8"/>
  <c r="G70" i="8"/>
  <c r="F70" i="8"/>
  <c r="E70" i="8"/>
  <c r="D70" i="8"/>
  <c r="C70" i="8"/>
  <c r="G68" i="8"/>
  <c r="F68" i="8"/>
  <c r="E68" i="8"/>
  <c r="D68" i="8"/>
  <c r="C68" i="8"/>
  <c r="G65" i="8"/>
  <c r="F65" i="8"/>
  <c r="E65" i="8"/>
  <c r="D65" i="8"/>
  <c r="C65" i="8"/>
  <c r="D58" i="8"/>
  <c r="E58" i="8"/>
  <c r="F58" i="8"/>
  <c r="G58" i="8"/>
  <c r="C58" i="8"/>
  <c r="H54" i="8"/>
  <c r="G54" i="8"/>
  <c r="F54" i="8"/>
  <c r="E54" i="8"/>
  <c r="D54" i="8"/>
  <c r="C54" i="8"/>
  <c r="H52" i="8"/>
  <c r="G52" i="8"/>
  <c r="F52" i="8"/>
  <c r="E52" i="8"/>
  <c r="D52" i="8"/>
  <c r="C52" i="8"/>
  <c r="H50" i="8"/>
  <c r="G50" i="8"/>
  <c r="F50" i="8"/>
  <c r="E50" i="8"/>
  <c r="D50" i="8"/>
  <c r="C50" i="8"/>
  <c r="H47" i="8"/>
  <c r="G47" i="8"/>
  <c r="F47" i="8"/>
  <c r="E47" i="8"/>
  <c r="D47" i="8"/>
  <c r="C47" i="8"/>
  <c r="D40" i="8"/>
  <c r="E40" i="8"/>
  <c r="F40" i="8"/>
  <c r="G40" i="8"/>
  <c r="H40" i="8"/>
  <c r="C40" i="8"/>
  <c r="H36" i="8"/>
  <c r="G36" i="8"/>
  <c r="F36" i="8"/>
  <c r="E36" i="8"/>
  <c r="D36" i="8"/>
  <c r="C36" i="8"/>
  <c r="H34" i="8"/>
  <c r="G34" i="8"/>
  <c r="F34" i="8"/>
  <c r="E34" i="8"/>
  <c r="D34" i="8"/>
  <c r="C34" i="8"/>
  <c r="H32" i="8"/>
  <c r="G32" i="8"/>
  <c r="F32" i="8"/>
  <c r="E32" i="8"/>
  <c r="D32" i="8"/>
  <c r="C32" i="8"/>
  <c r="H29" i="8"/>
  <c r="G29" i="8"/>
  <c r="F29" i="8"/>
  <c r="E29" i="8"/>
  <c r="D29" i="8"/>
  <c r="C29" i="8"/>
  <c r="D22" i="8"/>
  <c r="E22" i="8"/>
  <c r="F22" i="8"/>
  <c r="G22" i="8"/>
  <c r="H22" i="8"/>
  <c r="C22" i="8"/>
  <c r="H18" i="8"/>
  <c r="G18" i="8"/>
  <c r="F18" i="8"/>
  <c r="E18" i="8"/>
  <c r="D18" i="8"/>
  <c r="C18" i="8"/>
  <c r="H16" i="8"/>
  <c r="G16" i="8"/>
  <c r="F16" i="8"/>
  <c r="E16" i="8"/>
  <c r="D16" i="8"/>
  <c r="C16" i="8"/>
  <c r="H14" i="8"/>
  <c r="G14" i="8"/>
  <c r="F14" i="8"/>
  <c r="E14" i="8"/>
  <c r="D14" i="8"/>
  <c r="C14" i="8"/>
  <c r="H11" i="8"/>
  <c r="G11" i="8"/>
  <c r="F11" i="8"/>
  <c r="E11" i="8"/>
  <c r="D11" i="8"/>
  <c r="C11" i="8"/>
  <c r="C6" i="8"/>
  <c r="H4" i="8"/>
  <c r="G4" i="8"/>
  <c r="F4" i="8"/>
  <c r="E4" i="8"/>
  <c r="D4" i="8"/>
  <c r="C4" i="8"/>
  <c r="D7" i="5"/>
  <c r="I85" i="8" l="1"/>
  <c r="H83" i="8"/>
  <c r="I86" i="8"/>
  <c r="L37" i="4"/>
  <c r="G23" i="6" l="1"/>
  <c r="F21" i="6"/>
  <c r="F29" i="6"/>
  <c r="E41" i="6" l="1"/>
  <c r="G20" i="6" l="1"/>
  <c r="B47" i="4"/>
  <c r="G21" i="6" l="1"/>
  <c r="I20" i="6" s="1"/>
  <c r="G24" i="6"/>
  <c r="E23" i="6"/>
  <c r="E29" i="6"/>
  <c r="M30" i="6"/>
  <c r="M31" i="6" s="1"/>
  <c r="L30" i="6"/>
  <c r="L31" i="6" s="1"/>
  <c r="K30" i="6"/>
  <c r="K31" i="6" s="1"/>
  <c r="J30" i="6"/>
  <c r="J31" i="6" s="1"/>
  <c r="M27" i="6"/>
  <c r="L27" i="6"/>
  <c r="K27" i="6"/>
  <c r="J27" i="6"/>
  <c r="AE31" i="2" l="1"/>
  <c r="Z31" i="2"/>
  <c r="U31" i="2"/>
  <c r="P31" i="2"/>
  <c r="B36" i="4"/>
  <c r="C17" i="4" l="1"/>
  <c r="B17" i="4"/>
  <c r="A47" i="4" l="1"/>
  <c r="A49" i="4" l="1"/>
  <c r="B49" i="4" s="1"/>
  <c r="A48" i="4"/>
  <c r="B48" i="4" s="1"/>
  <c r="O13" i="6"/>
  <c r="O14" i="6"/>
  <c r="O12" i="6"/>
  <c r="N12" i="6"/>
  <c r="L12" i="6"/>
  <c r="K12" i="6"/>
  <c r="G12" i="6"/>
  <c r="K31" i="2"/>
  <c r="AH14" i="2" l="1"/>
  <c r="AF14" i="2"/>
  <c r="AG14" i="2" s="1"/>
  <c r="AD14" i="2"/>
  <c r="AE14" i="2" s="1"/>
  <c r="AB14" i="2"/>
  <c r="AC14" i="2" s="1"/>
  <c r="Z14" i="2"/>
  <c r="AA14" i="2" s="1"/>
  <c r="X14" i="2"/>
  <c r="Y14" i="2" s="1"/>
  <c r="V14" i="2"/>
  <c r="W14" i="2" s="1"/>
  <c r="T14" i="2"/>
  <c r="U14" i="2" s="1"/>
  <c r="R14" i="2"/>
  <c r="S14" i="2" s="1"/>
  <c r="Q14" i="2"/>
  <c r="P14" i="2"/>
  <c r="O14" i="2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B13" i="4"/>
  <c r="I53" i="1"/>
  <c r="J53" i="1"/>
  <c r="G53" i="1"/>
  <c r="H53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G49" i="1"/>
  <c r="H49" i="1"/>
  <c r="I49" i="1"/>
  <c r="J49" i="1"/>
  <c r="F53" i="1"/>
  <c r="F52" i="1"/>
  <c r="F51" i="1"/>
  <c r="F50" i="1"/>
  <c r="F49" i="1"/>
  <c r="L18" i="1" l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K18" i="1"/>
  <c r="O13" i="2"/>
  <c r="P13" i="2" s="1"/>
  <c r="Q13" i="2" s="1"/>
  <c r="R13" i="2" s="1"/>
  <c r="S13" i="2" s="1"/>
  <c r="T13" i="2" s="1"/>
  <c r="U13" i="2" s="1"/>
  <c r="V13" i="2" s="1"/>
  <c r="W13" i="2" s="1"/>
  <c r="X13" i="2" s="1"/>
  <c r="Y13" i="2" s="1"/>
  <c r="Z13" i="2" s="1"/>
  <c r="AA13" i="2" s="1"/>
  <c r="AB13" i="2" s="1"/>
  <c r="AC13" i="2" s="1"/>
  <c r="AD13" i="2" s="1"/>
  <c r="AE13" i="2" s="1"/>
  <c r="AF13" i="2" s="1"/>
  <c r="AG13" i="2" s="1"/>
  <c r="AH13" i="2" s="1"/>
  <c r="AA11" i="5"/>
  <c r="AB11" i="5"/>
  <c r="AC11" i="5" s="1"/>
  <c r="AA12" i="5"/>
  <c r="AB12" i="5"/>
  <c r="AC12" i="5"/>
  <c r="AB16" i="5"/>
  <c r="AA27" i="5"/>
  <c r="AB27" i="5" s="1"/>
  <c r="AC27" i="5" s="1"/>
  <c r="AA28" i="5"/>
  <c r="AB28" i="5"/>
  <c r="AC28" i="5" s="1"/>
  <c r="K25" i="2" l="1"/>
  <c r="L6" i="1" l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K6" i="1"/>
  <c r="K28" i="5" l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H28" i="5"/>
  <c r="I28" i="5" s="1"/>
  <c r="J28" i="5" s="1"/>
  <c r="F27" i="5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Q27" i="5" s="1"/>
  <c r="R27" i="5" s="1"/>
  <c r="S27" i="5" s="1"/>
  <c r="T27" i="5" s="1"/>
  <c r="U27" i="5" s="1"/>
  <c r="V27" i="5" s="1"/>
  <c r="W27" i="5" s="1"/>
  <c r="X27" i="5" s="1"/>
  <c r="Y27" i="5" s="1"/>
  <c r="Z27" i="5" s="1"/>
  <c r="E23" i="5"/>
  <c r="F21" i="5"/>
  <c r="F23" i="5" s="1"/>
  <c r="E21" i="5"/>
  <c r="F18" i="5"/>
  <c r="G18" i="5" s="1"/>
  <c r="H18" i="5" s="1"/>
  <c r="G17" i="5"/>
  <c r="H17" i="5" s="1"/>
  <c r="L16" i="5"/>
  <c r="N16" i="5" s="1"/>
  <c r="P16" i="5" s="1"/>
  <c r="I16" i="5"/>
  <c r="K16" i="5" s="1"/>
  <c r="M16" i="5" s="1"/>
  <c r="O16" i="5" s="1"/>
  <c r="H16" i="5"/>
  <c r="J16" i="5" s="1"/>
  <c r="J12" i="5"/>
  <c r="K12" i="5" s="1"/>
  <c r="L12" i="5" s="1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I12" i="5"/>
  <c r="H12" i="5"/>
  <c r="G12" i="5"/>
  <c r="F12" i="5"/>
  <c r="K11" i="5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J11" i="5"/>
  <c r="D9" i="5"/>
  <c r="D8" i="5"/>
  <c r="G7" i="5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H6" i="5"/>
  <c r="I6" i="5" s="1"/>
  <c r="G6" i="5"/>
  <c r="D10" i="5" l="1"/>
  <c r="I18" i="5"/>
  <c r="J18" i="5" s="1"/>
  <c r="K18" i="5" s="1"/>
  <c r="L18" i="5" s="1"/>
  <c r="M18" i="5" s="1"/>
  <c r="N18" i="5" s="1"/>
  <c r="O18" i="5" s="1"/>
  <c r="P18" i="5" s="1"/>
  <c r="Q18" i="5" s="1"/>
  <c r="Q16" i="5"/>
  <c r="R16" i="5"/>
  <c r="J6" i="5"/>
  <c r="G21" i="5"/>
  <c r="I17" i="5"/>
  <c r="J17" i="5" s="1"/>
  <c r="K17" i="5" s="1"/>
  <c r="L17" i="5" s="1"/>
  <c r="M17" i="5" s="1"/>
  <c r="N17" i="5" s="1"/>
  <c r="O17" i="5" s="1"/>
  <c r="P17" i="5" s="1"/>
  <c r="H21" i="5"/>
  <c r="L6" i="2" l="1"/>
  <c r="L5" i="2"/>
  <c r="M6" i="2"/>
  <c r="M5" i="2"/>
  <c r="K6" i="5"/>
  <c r="J21" i="5"/>
  <c r="T16" i="5"/>
  <c r="I21" i="5"/>
  <c r="R18" i="5"/>
  <c r="Q17" i="5"/>
  <c r="R17" i="5" s="1"/>
  <c r="S16" i="5"/>
  <c r="O6" i="2" l="1"/>
  <c r="O5" i="2"/>
  <c r="S18" i="5"/>
  <c r="T18" i="5" s="1"/>
  <c r="N6" i="2"/>
  <c r="N5" i="2"/>
  <c r="V16" i="5"/>
  <c r="U16" i="5"/>
  <c r="S17" i="5"/>
  <c r="T17" i="5" s="1"/>
  <c r="K21" i="5"/>
  <c r="L6" i="5"/>
  <c r="P6" i="2" l="1"/>
  <c r="P5" i="2"/>
  <c r="L21" i="5"/>
  <c r="M6" i="5"/>
  <c r="U17" i="5"/>
  <c r="V17" i="5" s="1"/>
  <c r="W16" i="5"/>
  <c r="X16" i="5"/>
  <c r="U18" i="5"/>
  <c r="V18" i="5" s="1"/>
  <c r="W18" i="5" l="1"/>
  <c r="X18" i="5" s="1"/>
  <c r="Q6" i="2"/>
  <c r="Q5" i="2"/>
  <c r="Y16" i="5"/>
  <c r="AA16" i="5" s="1"/>
  <c r="W17" i="5"/>
  <c r="X17" i="5" s="1"/>
  <c r="Z16" i="5"/>
  <c r="M21" i="5"/>
  <c r="N6" i="5"/>
  <c r="R6" i="2" l="1"/>
  <c r="R5" i="2"/>
  <c r="AC16" i="5"/>
  <c r="Y17" i="5"/>
  <c r="Z17" i="5" s="1"/>
  <c r="AA17" i="5" s="1"/>
  <c r="O6" i="5"/>
  <c r="N21" i="5"/>
  <c r="Y18" i="5"/>
  <c r="Z18" i="5" s="1"/>
  <c r="AA18" i="5" s="1"/>
  <c r="AB18" i="5" s="1"/>
  <c r="AC18" i="5" s="1"/>
  <c r="AB17" i="5" l="1"/>
  <c r="S6" i="2"/>
  <c r="S5" i="2"/>
  <c r="O21" i="5"/>
  <c r="P6" i="5"/>
  <c r="T6" i="2" l="1"/>
  <c r="T5" i="2"/>
  <c r="AC17" i="5"/>
  <c r="P21" i="5"/>
  <c r="Q6" i="5"/>
  <c r="U6" i="2" l="1"/>
  <c r="U5" i="2"/>
  <c r="R6" i="5"/>
  <c r="Q21" i="5"/>
  <c r="V6" i="2" l="1"/>
  <c r="V5" i="2"/>
  <c r="S6" i="5"/>
  <c r="R21" i="5"/>
  <c r="W6" i="2" l="1"/>
  <c r="W5" i="2"/>
  <c r="S21" i="5"/>
  <c r="T6" i="5"/>
  <c r="X6" i="2" l="1"/>
  <c r="X5" i="2"/>
  <c r="U6" i="5"/>
  <c r="T21" i="5"/>
  <c r="Y6" i="2" l="1"/>
  <c r="Y5" i="2"/>
  <c r="V6" i="5"/>
  <c r="U21" i="5"/>
  <c r="Z6" i="2" l="1"/>
  <c r="Z5" i="2"/>
  <c r="W6" i="5"/>
  <c r="V21" i="5"/>
  <c r="AA6" i="2" l="1"/>
  <c r="AA5" i="2"/>
  <c r="W21" i="5"/>
  <c r="X6" i="5"/>
  <c r="AB6" i="2" l="1"/>
  <c r="AB5" i="2"/>
  <c r="X21" i="5"/>
  <c r="Y6" i="5"/>
  <c r="AC6" i="2" l="1"/>
  <c r="AC5" i="2"/>
  <c r="Z6" i="5"/>
  <c r="Y21" i="5"/>
  <c r="Z21" i="5" l="1"/>
  <c r="AE5" i="2" s="1"/>
  <c r="AA6" i="5"/>
  <c r="AD6" i="2"/>
  <c r="AD5" i="2"/>
  <c r="AE6" i="2" l="1"/>
  <c r="AB6" i="5"/>
  <c r="AA21" i="5"/>
  <c r="D20" i="3"/>
  <c r="D15" i="3"/>
  <c r="D12" i="3"/>
  <c r="D9" i="3"/>
  <c r="D8" i="3"/>
  <c r="D7" i="3"/>
  <c r="D6" i="3"/>
  <c r="D5" i="3"/>
  <c r="D3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D1" i="3"/>
  <c r="D16" i="3"/>
  <c r="D13" i="3"/>
  <c r="D7" i="2"/>
  <c r="E7" i="2"/>
  <c r="F7" i="2"/>
  <c r="G7" i="2"/>
  <c r="H7" i="2"/>
  <c r="I7" i="2"/>
  <c r="J7" i="2"/>
  <c r="C7" i="2"/>
  <c r="B20" i="4"/>
  <c r="B30" i="4"/>
  <c r="B29" i="4" s="1"/>
  <c r="B28" i="4" s="1"/>
  <c r="C22" i="4"/>
  <c r="D22" i="4" s="1"/>
  <c r="E22" i="4" s="1"/>
  <c r="F22" i="4" s="1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D44" i="2"/>
  <c r="D45" i="2" s="1"/>
  <c r="AF6" i="2" l="1"/>
  <c r="AF5" i="2"/>
  <c r="AC6" i="5"/>
  <c r="AC21" i="5" s="1"/>
  <c r="AB21" i="5"/>
  <c r="V23" i="4"/>
  <c r="W23" i="4"/>
  <c r="X23" i="4"/>
  <c r="B31" i="4"/>
  <c r="B32" i="4" s="1"/>
  <c r="G30" i="4"/>
  <c r="D10" i="3"/>
  <c r="C23" i="4"/>
  <c r="G23" i="4"/>
  <c r="K23" i="4"/>
  <c r="O23" i="4"/>
  <c r="S23" i="4"/>
  <c r="J23" i="4"/>
  <c r="N23" i="4"/>
  <c r="R23" i="4"/>
  <c r="B23" i="4"/>
  <c r="D23" i="4"/>
  <c r="H23" i="4"/>
  <c r="L23" i="4"/>
  <c r="P23" i="4"/>
  <c r="T23" i="4"/>
  <c r="E23" i="4"/>
  <c r="I23" i="4"/>
  <c r="M23" i="4"/>
  <c r="Q23" i="4"/>
  <c r="U23" i="4"/>
  <c r="F23" i="4"/>
  <c r="AG5" i="2" l="1"/>
  <c r="AG6" i="2"/>
  <c r="AH6" i="2"/>
  <c r="AH5" i="2"/>
  <c r="D18" i="3"/>
  <c r="D21" i="3" s="1"/>
  <c r="G31" i="4"/>
  <c r="G32" i="4" s="1"/>
  <c r="G29" i="4"/>
  <c r="G28" i="4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K23" i="2" l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V23" i="2" s="1"/>
  <c r="W23" i="2" s="1"/>
  <c r="X23" i="2" s="1"/>
  <c r="Y23" i="2" s="1"/>
  <c r="Z23" i="2" s="1"/>
  <c r="AA23" i="2" s="1"/>
  <c r="AB23" i="2" s="1"/>
  <c r="AC23" i="2" s="1"/>
  <c r="AD23" i="2" s="1"/>
  <c r="AE23" i="2" s="1"/>
  <c r="AF23" i="2" s="1"/>
  <c r="AG23" i="2" s="1"/>
  <c r="AH23" i="2" s="1"/>
  <c r="D69" i="2" l="1"/>
  <c r="D84" i="2" s="1"/>
  <c r="C94" i="2"/>
  <c r="E93" i="2"/>
  <c r="D93" i="2"/>
  <c r="E92" i="2"/>
  <c r="D92" i="2"/>
  <c r="C92" i="2"/>
  <c r="E57" i="2"/>
  <c r="E80" i="2" s="1"/>
  <c r="F57" i="2"/>
  <c r="G57" i="2"/>
  <c r="G80" i="2" s="1"/>
  <c r="H57" i="2"/>
  <c r="H80" i="2" s="1"/>
  <c r="I57" i="2"/>
  <c r="I80" i="2" s="1"/>
  <c r="J57" i="2"/>
  <c r="J80" i="2" s="1"/>
  <c r="K57" i="2"/>
  <c r="K80" i="2" s="1"/>
  <c r="L57" i="2"/>
  <c r="L80" i="2" s="1"/>
  <c r="M57" i="2"/>
  <c r="M80" i="2" s="1"/>
  <c r="N57" i="2"/>
  <c r="N80" i="2" s="1"/>
  <c r="O57" i="2"/>
  <c r="O80" i="2" s="1"/>
  <c r="P57" i="2"/>
  <c r="P80" i="2" s="1"/>
  <c r="Q57" i="2"/>
  <c r="R57" i="2"/>
  <c r="R80" i="2" s="1"/>
  <c r="S57" i="2"/>
  <c r="S80" i="2" s="1"/>
  <c r="T57" i="2"/>
  <c r="T80" i="2" s="1"/>
  <c r="U57" i="2"/>
  <c r="U80" i="2" s="1"/>
  <c r="V57" i="2"/>
  <c r="V80" i="2" s="1"/>
  <c r="W57" i="2"/>
  <c r="W80" i="2" s="1"/>
  <c r="X57" i="2"/>
  <c r="X80" i="2" s="1"/>
  <c r="Y57" i="2"/>
  <c r="Y80" i="2" s="1"/>
  <c r="Z57" i="2"/>
  <c r="Z80" i="2" s="1"/>
  <c r="AA57" i="2"/>
  <c r="AA80" i="2" s="1"/>
  <c r="AB57" i="2"/>
  <c r="AB80" i="2" s="1"/>
  <c r="AC57" i="2"/>
  <c r="AC80" i="2" s="1"/>
  <c r="AD57" i="2"/>
  <c r="AD80" i="2" s="1"/>
  <c r="AE57" i="2"/>
  <c r="AE80" i="2" s="1"/>
  <c r="AF57" i="2"/>
  <c r="AF80" i="2" s="1"/>
  <c r="AG57" i="2"/>
  <c r="AG80" i="2" s="1"/>
  <c r="AH57" i="2"/>
  <c r="AH80" i="2" s="1"/>
  <c r="D57" i="2"/>
  <c r="D80" i="2" s="1"/>
  <c r="A90" i="2"/>
  <c r="F89" i="2"/>
  <c r="F85" i="2"/>
  <c r="F90" i="2" s="1"/>
  <c r="H84" i="2"/>
  <c r="J84" i="2" s="1"/>
  <c r="L84" i="2" s="1"/>
  <c r="N84" i="2" s="1"/>
  <c r="P84" i="2" s="1"/>
  <c r="R84" i="2" s="1"/>
  <c r="T84" i="2" s="1"/>
  <c r="V84" i="2" s="1"/>
  <c r="X84" i="2" s="1"/>
  <c r="Z84" i="2" s="1"/>
  <c r="AB84" i="2" s="1"/>
  <c r="AD84" i="2" s="1"/>
  <c r="AF84" i="2" s="1"/>
  <c r="AH84" i="2" s="1"/>
  <c r="F83" i="2"/>
  <c r="F88" i="2" s="1"/>
  <c r="F82" i="2"/>
  <c r="G82" i="2" s="1"/>
  <c r="H82" i="2" s="1"/>
  <c r="I82" i="2" s="1"/>
  <c r="J82" i="2" s="1"/>
  <c r="K82" i="2" s="1"/>
  <c r="L82" i="2" s="1"/>
  <c r="M82" i="2" s="1"/>
  <c r="N82" i="2" s="1"/>
  <c r="O82" i="2" s="1"/>
  <c r="P82" i="2" s="1"/>
  <c r="Q82" i="2" s="1"/>
  <c r="R82" i="2" s="1"/>
  <c r="S82" i="2" s="1"/>
  <c r="T82" i="2" s="1"/>
  <c r="U82" i="2" s="1"/>
  <c r="V82" i="2" s="1"/>
  <c r="W82" i="2" s="1"/>
  <c r="X82" i="2" s="1"/>
  <c r="Y82" i="2" s="1"/>
  <c r="Z82" i="2" s="1"/>
  <c r="AA82" i="2" s="1"/>
  <c r="AB82" i="2" s="1"/>
  <c r="AC82" i="2" s="1"/>
  <c r="AD82" i="2" s="1"/>
  <c r="AE82" i="2" s="1"/>
  <c r="AF82" i="2" s="1"/>
  <c r="AG82" i="2" s="1"/>
  <c r="AH82" i="2" s="1"/>
  <c r="C74" i="2"/>
  <c r="C76" i="2" s="1"/>
  <c r="D71" i="2"/>
  <c r="E71" i="2" s="1"/>
  <c r="F71" i="2" s="1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W71" i="2" s="1"/>
  <c r="X71" i="2" s="1"/>
  <c r="Y71" i="2" s="1"/>
  <c r="Z71" i="2" s="1"/>
  <c r="AA71" i="2" s="1"/>
  <c r="AB71" i="2" s="1"/>
  <c r="AC71" i="2" s="1"/>
  <c r="AD71" i="2" s="1"/>
  <c r="AE71" i="2" s="1"/>
  <c r="AF71" i="2" s="1"/>
  <c r="AG71" i="2" s="1"/>
  <c r="AH71" i="2" s="1"/>
  <c r="E70" i="2"/>
  <c r="F70" i="2" s="1"/>
  <c r="G70" i="2" s="1"/>
  <c r="H70" i="2" s="1"/>
  <c r="I70" i="2" s="1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U70" i="2" s="1"/>
  <c r="V70" i="2" s="1"/>
  <c r="W70" i="2" s="1"/>
  <c r="X70" i="2" s="1"/>
  <c r="Y70" i="2" s="1"/>
  <c r="Z70" i="2" s="1"/>
  <c r="AA70" i="2" s="1"/>
  <c r="AB70" i="2" s="1"/>
  <c r="AC70" i="2" s="1"/>
  <c r="AD70" i="2" s="1"/>
  <c r="AE70" i="2" s="1"/>
  <c r="AF70" i="2" s="1"/>
  <c r="AG70" i="2" s="1"/>
  <c r="AH70" i="2" s="1"/>
  <c r="F65" i="2"/>
  <c r="E65" i="2"/>
  <c r="D65" i="2"/>
  <c r="G64" i="2"/>
  <c r="G65" i="2" s="1"/>
  <c r="H65" i="2" s="1"/>
  <c r="I65" i="2" s="1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W65" i="2" s="1"/>
  <c r="X65" i="2" s="1"/>
  <c r="Y65" i="2" s="1"/>
  <c r="Z65" i="2" s="1"/>
  <c r="AA65" i="2" s="1"/>
  <c r="AB65" i="2" s="1"/>
  <c r="AC65" i="2" s="1"/>
  <c r="AD65" i="2" s="1"/>
  <c r="AE65" i="2" s="1"/>
  <c r="AF65" i="2" s="1"/>
  <c r="AG65" i="2" s="1"/>
  <c r="AH65" i="2" s="1"/>
  <c r="D60" i="2"/>
  <c r="B60" i="2"/>
  <c r="E59" i="2"/>
  <c r="F59" i="2" s="1"/>
  <c r="G59" i="2" s="1"/>
  <c r="H59" i="2" s="1"/>
  <c r="Q80" i="2"/>
  <c r="F80" i="2"/>
  <c r="H64" i="2" l="1"/>
  <c r="I64" i="2" s="1"/>
  <c r="J64" i="2" s="1"/>
  <c r="K64" i="2" s="1"/>
  <c r="L64" i="2" s="1"/>
  <c r="M64" i="2" s="1"/>
  <c r="N64" i="2" s="1"/>
  <c r="O64" i="2" s="1"/>
  <c r="P64" i="2" s="1"/>
  <c r="Q64" i="2" s="1"/>
  <c r="R64" i="2" s="1"/>
  <c r="S64" i="2" s="1"/>
  <c r="T64" i="2" s="1"/>
  <c r="U64" i="2" s="1"/>
  <c r="V64" i="2" s="1"/>
  <c r="W64" i="2" s="1"/>
  <c r="X64" i="2" s="1"/>
  <c r="Y64" i="2" s="1"/>
  <c r="Z64" i="2" s="1"/>
  <c r="AA64" i="2" s="1"/>
  <c r="AB64" i="2" s="1"/>
  <c r="AC64" i="2" s="1"/>
  <c r="AD64" i="2" s="1"/>
  <c r="AE64" i="2" s="1"/>
  <c r="AF64" i="2" s="1"/>
  <c r="AG64" i="2" s="1"/>
  <c r="AH64" i="2" s="1"/>
  <c r="F87" i="2"/>
  <c r="G87" i="2"/>
  <c r="H87" i="2" s="1"/>
  <c r="I87" i="2" s="1"/>
  <c r="J87" i="2" s="1"/>
  <c r="K87" i="2" s="1"/>
  <c r="L87" i="2" s="1"/>
  <c r="M87" i="2" s="1"/>
  <c r="N87" i="2" s="1"/>
  <c r="O87" i="2" s="1"/>
  <c r="P87" i="2" s="1"/>
  <c r="Q87" i="2" s="1"/>
  <c r="R87" i="2" s="1"/>
  <c r="S87" i="2" s="1"/>
  <c r="T87" i="2" s="1"/>
  <c r="U87" i="2" s="1"/>
  <c r="V87" i="2" s="1"/>
  <c r="W87" i="2" s="1"/>
  <c r="X87" i="2" s="1"/>
  <c r="Y87" i="2" s="1"/>
  <c r="Z87" i="2" s="1"/>
  <c r="AA87" i="2" s="1"/>
  <c r="AB87" i="2" s="1"/>
  <c r="AC87" i="2" s="1"/>
  <c r="AD87" i="2" s="1"/>
  <c r="AE87" i="2" s="1"/>
  <c r="AF87" i="2" s="1"/>
  <c r="AG87" i="2" s="1"/>
  <c r="AH87" i="2" s="1"/>
  <c r="D74" i="2"/>
  <c r="D76" i="2" s="1"/>
  <c r="G85" i="2"/>
  <c r="H85" i="2" s="1"/>
  <c r="I85" i="2" s="1"/>
  <c r="J85" i="2" s="1"/>
  <c r="K85" i="2" s="1"/>
  <c r="L85" i="2" s="1"/>
  <c r="M85" i="2" s="1"/>
  <c r="N85" i="2" s="1"/>
  <c r="O85" i="2" s="1"/>
  <c r="P85" i="2" s="1"/>
  <c r="Q85" i="2" s="1"/>
  <c r="R85" i="2" s="1"/>
  <c r="S85" i="2" s="1"/>
  <c r="T85" i="2" s="1"/>
  <c r="U85" i="2" s="1"/>
  <c r="V85" i="2" s="1"/>
  <c r="W85" i="2" s="1"/>
  <c r="X85" i="2" s="1"/>
  <c r="Y85" i="2" s="1"/>
  <c r="Z85" i="2" s="1"/>
  <c r="AA85" i="2" s="1"/>
  <c r="AB85" i="2" s="1"/>
  <c r="AC85" i="2" s="1"/>
  <c r="AD85" i="2" s="1"/>
  <c r="AE85" i="2" s="1"/>
  <c r="AF85" i="2" s="1"/>
  <c r="AG85" i="2" s="1"/>
  <c r="AH85" i="2" s="1"/>
  <c r="E69" i="2"/>
  <c r="E84" i="2" s="1"/>
  <c r="G84" i="2" s="1"/>
  <c r="G89" i="2" s="1"/>
  <c r="H89" i="2" s="1"/>
  <c r="F69" i="2"/>
  <c r="H69" i="2" s="1"/>
  <c r="J69" i="2" s="1"/>
  <c r="L69" i="2" s="1"/>
  <c r="N69" i="2" s="1"/>
  <c r="P69" i="2" s="1"/>
  <c r="R69" i="2" s="1"/>
  <c r="T69" i="2" s="1"/>
  <c r="V69" i="2" s="1"/>
  <c r="X69" i="2" s="1"/>
  <c r="Z69" i="2" s="1"/>
  <c r="AB69" i="2" s="1"/>
  <c r="AD69" i="2" s="1"/>
  <c r="AF69" i="2" s="1"/>
  <c r="AH69" i="2" s="1"/>
  <c r="I59" i="2"/>
  <c r="E60" i="2"/>
  <c r="G83" i="2"/>
  <c r="H83" i="2" s="1"/>
  <c r="I83" i="2" s="1"/>
  <c r="J83" i="2" s="1"/>
  <c r="K83" i="2" s="1"/>
  <c r="L83" i="2" s="1"/>
  <c r="M83" i="2" s="1"/>
  <c r="N83" i="2" s="1"/>
  <c r="O83" i="2" s="1"/>
  <c r="P83" i="2" s="1"/>
  <c r="Q83" i="2" s="1"/>
  <c r="R83" i="2" s="1"/>
  <c r="S83" i="2" s="1"/>
  <c r="T83" i="2" s="1"/>
  <c r="U83" i="2" s="1"/>
  <c r="V83" i="2" s="1"/>
  <c r="W83" i="2" s="1"/>
  <c r="X83" i="2" s="1"/>
  <c r="Y83" i="2" s="1"/>
  <c r="Z83" i="2" s="1"/>
  <c r="AA83" i="2" s="1"/>
  <c r="AB83" i="2" s="1"/>
  <c r="AC83" i="2" s="1"/>
  <c r="AD83" i="2" s="1"/>
  <c r="AE83" i="2" s="1"/>
  <c r="AF83" i="2" s="1"/>
  <c r="AG83" i="2" s="1"/>
  <c r="AH83" i="2" s="1"/>
  <c r="G69" i="2" l="1"/>
  <c r="I69" i="2" s="1"/>
  <c r="K69" i="2" s="1"/>
  <c r="M69" i="2" s="1"/>
  <c r="O69" i="2" s="1"/>
  <c r="Q69" i="2" s="1"/>
  <c r="S69" i="2" s="1"/>
  <c r="U69" i="2" s="1"/>
  <c r="W69" i="2" s="1"/>
  <c r="Y69" i="2" s="1"/>
  <c r="AA69" i="2" s="1"/>
  <c r="AC69" i="2" s="1"/>
  <c r="AE69" i="2" s="1"/>
  <c r="AG69" i="2" s="1"/>
  <c r="G88" i="2"/>
  <c r="H88" i="2" s="1"/>
  <c r="I88" i="2" s="1"/>
  <c r="J88" i="2" s="1"/>
  <c r="K88" i="2" s="1"/>
  <c r="L88" i="2" s="1"/>
  <c r="M88" i="2" s="1"/>
  <c r="N88" i="2" s="1"/>
  <c r="O88" i="2" s="1"/>
  <c r="P88" i="2" s="1"/>
  <c r="Q88" i="2" s="1"/>
  <c r="R88" i="2" s="1"/>
  <c r="S88" i="2" s="1"/>
  <c r="T88" i="2" s="1"/>
  <c r="U88" i="2" s="1"/>
  <c r="V88" i="2" s="1"/>
  <c r="W88" i="2" s="1"/>
  <c r="X88" i="2" s="1"/>
  <c r="Y88" i="2" s="1"/>
  <c r="Z88" i="2" s="1"/>
  <c r="AA88" i="2" s="1"/>
  <c r="AB88" i="2" s="1"/>
  <c r="AC88" i="2" s="1"/>
  <c r="AD88" i="2" s="1"/>
  <c r="AE88" i="2" s="1"/>
  <c r="AF88" i="2" s="1"/>
  <c r="AG88" i="2" s="1"/>
  <c r="AH88" i="2" s="1"/>
  <c r="G90" i="2"/>
  <c r="H90" i="2" s="1"/>
  <c r="I90" i="2" s="1"/>
  <c r="J90" i="2" s="1"/>
  <c r="K90" i="2" s="1"/>
  <c r="L90" i="2" s="1"/>
  <c r="M90" i="2" s="1"/>
  <c r="N90" i="2" s="1"/>
  <c r="O90" i="2" s="1"/>
  <c r="P90" i="2" s="1"/>
  <c r="Q90" i="2" s="1"/>
  <c r="R90" i="2" s="1"/>
  <c r="S90" i="2" s="1"/>
  <c r="T90" i="2" s="1"/>
  <c r="U90" i="2" s="1"/>
  <c r="V90" i="2" s="1"/>
  <c r="W90" i="2" s="1"/>
  <c r="X90" i="2" s="1"/>
  <c r="Y90" i="2" s="1"/>
  <c r="Z90" i="2" s="1"/>
  <c r="AA90" i="2" s="1"/>
  <c r="AB90" i="2" s="1"/>
  <c r="AC90" i="2" s="1"/>
  <c r="AD90" i="2" s="1"/>
  <c r="AE90" i="2" s="1"/>
  <c r="AF90" i="2" s="1"/>
  <c r="AG90" i="2" s="1"/>
  <c r="AH90" i="2" s="1"/>
  <c r="I84" i="2"/>
  <c r="K84" i="2" s="1"/>
  <c r="M84" i="2" s="1"/>
  <c r="O84" i="2" s="1"/>
  <c r="Q84" i="2" s="1"/>
  <c r="S84" i="2" s="1"/>
  <c r="U84" i="2" s="1"/>
  <c r="W84" i="2" s="1"/>
  <c r="Y84" i="2" s="1"/>
  <c r="AA84" i="2" s="1"/>
  <c r="AC84" i="2" s="1"/>
  <c r="AE84" i="2" s="1"/>
  <c r="AG84" i="2" s="1"/>
  <c r="F60" i="2"/>
  <c r="E74" i="2"/>
  <c r="E76" i="2" s="1"/>
  <c r="J59" i="2"/>
  <c r="I89" i="2" l="1"/>
  <c r="J89" i="2" s="1"/>
  <c r="K89" i="2" s="1"/>
  <c r="L89" i="2" s="1"/>
  <c r="M89" i="2" s="1"/>
  <c r="N89" i="2" s="1"/>
  <c r="O89" i="2" s="1"/>
  <c r="P89" i="2" s="1"/>
  <c r="Q89" i="2" s="1"/>
  <c r="R89" i="2" s="1"/>
  <c r="S89" i="2" s="1"/>
  <c r="T89" i="2" s="1"/>
  <c r="U89" i="2" s="1"/>
  <c r="V89" i="2" s="1"/>
  <c r="W89" i="2" s="1"/>
  <c r="X89" i="2" s="1"/>
  <c r="Y89" i="2" s="1"/>
  <c r="Z89" i="2" s="1"/>
  <c r="AA89" i="2" s="1"/>
  <c r="AB89" i="2" s="1"/>
  <c r="AC89" i="2" s="1"/>
  <c r="AD89" i="2" s="1"/>
  <c r="AE89" i="2" s="1"/>
  <c r="AF89" i="2" s="1"/>
  <c r="AG89" i="2" s="1"/>
  <c r="AH89" i="2" s="1"/>
  <c r="K59" i="2"/>
  <c r="G60" i="2"/>
  <c r="F74" i="2"/>
  <c r="F76" i="2" s="1"/>
  <c r="H60" i="2" l="1"/>
  <c r="G74" i="2"/>
  <c r="G76" i="2" s="1"/>
  <c r="L59" i="2"/>
  <c r="M59" i="2" l="1"/>
  <c r="I60" i="2"/>
  <c r="H74" i="2"/>
  <c r="H76" i="2" s="1"/>
  <c r="J60" i="2" l="1"/>
  <c r="I74" i="2"/>
  <c r="I76" i="2" s="1"/>
  <c r="N59" i="2"/>
  <c r="O59" i="2" l="1"/>
  <c r="K60" i="2"/>
  <c r="J74" i="2"/>
  <c r="J76" i="2" s="1"/>
  <c r="L60" i="2" l="1"/>
  <c r="K74" i="2"/>
  <c r="K76" i="2" s="1"/>
  <c r="P59" i="2"/>
  <c r="Q59" i="2" l="1"/>
  <c r="M60" i="2"/>
  <c r="L74" i="2"/>
  <c r="L76" i="2" s="1"/>
  <c r="N60" i="2" l="1"/>
  <c r="M74" i="2"/>
  <c r="M76" i="2" s="1"/>
  <c r="R59" i="2"/>
  <c r="S59" i="2" l="1"/>
  <c r="O60" i="2"/>
  <c r="N74" i="2"/>
  <c r="N76" i="2" s="1"/>
  <c r="P60" i="2" l="1"/>
  <c r="O74" i="2"/>
  <c r="O76" i="2" s="1"/>
  <c r="T59" i="2"/>
  <c r="U59" i="2" l="1"/>
  <c r="Q60" i="2"/>
  <c r="P74" i="2"/>
  <c r="P76" i="2" s="1"/>
  <c r="R60" i="2" l="1"/>
  <c r="Q74" i="2"/>
  <c r="Q76" i="2" s="1"/>
  <c r="V59" i="2"/>
  <c r="W59" i="2" l="1"/>
  <c r="S60" i="2"/>
  <c r="R74" i="2"/>
  <c r="R76" i="2" s="1"/>
  <c r="T60" i="2" l="1"/>
  <c r="S74" i="2"/>
  <c r="S76" i="2" s="1"/>
  <c r="X59" i="2"/>
  <c r="Y59" i="2" l="1"/>
  <c r="U60" i="2"/>
  <c r="T74" i="2"/>
  <c r="T76" i="2" s="1"/>
  <c r="V60" i="2" l="1"/>
  <c r="U74" i="2"/>
  <c r="U76" i="2" s="1"/>
  <c r="Z59" i="2"/>
  <c r="AA59" i="2" l="1"/>
  <c r="W60" i="2"/>
  <c r="V74" i="2"/>
  <c r="V76" i="2" s="1"/>
  <c r="AB59" i="2" l="1"/>
  <c r="X60" i="2"/>
  <c r="W74" i="2"/>
  <c r="W76" i="2" s="1"/>
  <c r="AC59" i="2" l="1"/>
  <c r="Y60" i="2"/>
  <c r="X74" i="2"/>
  <c r="X76" i="2" s="1"/>
  <c r="Z60" i="2" l="1"/>
  <c r="Y74" i="2"/>
  <c r="Y76" i="2" s="1"/>
  <c r="AD59" i="2"/>
  <c r="AE59" i="2" l="1"/>
  <c r="AA60" i="2"/>
  <c r="Z74" i="2"/>
  <c r="Z76" i="2" s="1"/>
  <c r="AB60" i="2" l="1"/>
  <c r="AA74" i="2"/>
  <c r="AA76" i="2" s="1"/>
  <c r="AF59" i="2"/>
  <c r="AG59" i="2" l="1"/>
  <c r="AC60" i="2"/>
  <c r="AB74" i="2"/>
  <c r="AB76" i="2" s="1"/>
  <c r="AD60" i="2" l="1"/>
  <c r="AC74" i="2"/>
  <c r="AC76" i="2" s="1"/>
  <c r="AH59" i="2"/>
  <c r="AE60" i="2" l="1"/>
  <c r="AD74" i="2"/>
  <c r="AD76" i="2" s="1"/>
  <c r="AF60" i="2" l="1"/>
  <c r="AE74" i="2"/>
  <c r="AE76" i="2" s="1"/>
  <c r="AG60" i="2" l="1"/>
  <c r="AF74" i="2"/>
  <c r="AF76" i="2" s="1"/>
  <c r="AH60" i="2" l="1"/>
  <c r="AH74" i="2" s="1"/>
  <c r="AH76" i="2" s="1"/>
  <c r="AG74" i="2"/>
  <c r="AG76" i="2" s="1"/>
  <c r="K19" i="2" l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AG19" i="2" s="1"/>
  <c r="AH19" i="2" s="1"/>
  <c r="K18" i="2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V18" i="2" s="1"/>
  <c r="W18" i="2" s="1"/>
  <c r="X18" i="2" s="1"/>
  <c r="Y18" i="2" s="1"/>
  <c r="Z18" i="2" s="1"/>
  <c r="AA18" i="2" s="1"/>
  <c r="AB18" i="2" s="1"/>
  <c r="AC18" i="2" s="1"/>
  <c r="AD18" i="2" s="1"/>
  <c r="AE18" i="2" s="1"/>
  <c r="AF18" i="2" s="1"/>
  <c r="AG18" i="2" s="1"/>
  <c r="AH18" i="2" s="1"/>
  <c r="G36" i="2"/>
  <c r="H36" i="2"/>
  <c r="I36" i="2"/>
  <c r="J36" i="2"/>
  <c r="F36" i="2"/>
  <c r="G35" i="2"/>
  <c r="H35" i="2"/>
  <c r="I35" i="2"/>
  <c r="J35" i="2"/>
  <c r="F35" i="2"/>
  <c r="K11" i="2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X11" i="2" s="1"/>
  <c r="Y11" i="2" s="1"/>
  <c r="Z11" i="2" s="1"/>
  <c r="AA11" i="2" s="1"/>
  <c r="AB11" i="2" s="1"/>
  <c r="AC11" i="2" s="1"/>
  <c r="AD11" i="2" s="1"/>
  <c r="AE11" i="2" s="1"/>
  <c r="AF11" i="2" s="1"/>
  <c r="AG11" i="2" s="1"/>
  <c r="AH11" i="2" s="1"/>
  <c r="K10" i="2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K9" i="2"/>
  <c r="G33" i="2"/>
  <c r="H33" i="2"/>
  <c r="I33" i="2"/>
  <c r="J33" i="2"/>
  <c r="F33" i="2"/>
  <c r="G32" i="2"/>
  <c r="H32" i="2"/>
  <c r="I32" i="2"/>
  <c r="J32" i="2"/>
  <c r="F32" i="2"/>
  <c r="H31" i="2"/>
  <c r="I31" i="2"/>
  <c r="J31" i="2"/>
  <c r="G31" i="2"/>
  <c r="K35" i="2" l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AB35" i="2" s="1"/>
  <c r="AC35" i="2" s="1"/>
  <c r="AD35" i="2" s="1"/>
  <c r="AE35" i="2" s="1"/>
  <c r="K36" i="2"/>
  <c r="L36" i="2" s="1"/>
  <c r="M36" i="2" s="1"/>
  <c r="N36" i="2" s="1"/>
  <c r="O36" i="2" s="1"/>
  <c r="P36" i="2" s="1"/>
  <c r="Q36" i="2" s="1"/>
  <c r="R36" i="2" s="1"/>
  <c r="S36" i="2" s="1"/>
  <c r="T36" i="2" s="1"/>
  <c r="U36" i="2" s="1"/>
  <c r="V36" i="2" s="1"/>
  <c r="W36" i="2" s="1"/>
  <c r="X36" i="2" s="1"/>
  <c r="Y36" i="2" s="1"/>
  <c r="Z36" i="2" s="1"/>
  <c r="AA36" i="2" s="1"/>
  <c r="AB36" i="2" s="1"/>
  <c r="AC36" i="2" s="1"/>
  <c r="AD36" i="2" s="1"/>
  <c r="AE36" i="2" s="1"/>
  <c r="L9" i="2"/>
  <c r="K4" i="2"/>
  <c r="K7" i="2" s="1"/>
  <c r="K49" i="1" s="1"/>
  <c r="K32" i="2"/>
  <c r="L31" i="2"/>
  <c r="M31" i="2" s="1"/>
  <c r="N31" i="2" s="1"/>
  <c r="O31" i="2" s="1"/>
  <c r="K33" i="2"/>
  <c r="Q31" i="2" l="1"/>
  <c r="R31" i="2" s="1"/>
  <c r="S31" i="2" s="1"/>
  <c r="T31" i="2" s="1"/>
  <c r="K15" i="2"/>
  <c r="M9" i="2"/>
  <c r="K12" i="2"/>
  <c r="L4" i="2"/>
  <c r="L7" i="2" l="1"/>
  <c r="L15" i="2"/>
  <c r="V31" i="2"/>
  <c r="W31" i="2" s="1"/>
  <c r="X31" i="2" s="1"/>
  <c r="Y31" i="2" s="1"/>
  <c r="N9" i="2"/>
  <c r="M4" i="2"/>
  <c r="M7" i="2" s="1"/>
  <c r="L12" i="2"/>
  <c r="K16" i="2"/>
  <c r="C4" i="4" l="1"/>
  <c r="D5" i="8" s="1"/>
  <c r="M49" i="1"/>
  <c r="B4" i="4"/>
  <c r="C5" i="8" s="1"/>
  <c r="L49" i="1"/>
  <c r="AA31" i="2"/>
  <c r="AB31" i="2" s="1"/>
  <c r="AC31" i="2" s="1"/>
  <c r="AD31" i="2" s="1"/>
  <c r="AF31" i="2" s="1"/>
  <c r="AG31" i="2" s="1"/>
  <c r="AH31" i="2" s="1"/>
  <c r="K17" i="2"/>
  <c r="K20" i="2" s="1"/>
  <c r="K22" i="2" s="1"/>
  <c r="K24" i="2" s="1"/>
  <c r="K26" i="2" s="1"/>
  <c r="K28" i="2" s="1"/>
  <c r="E3" i="3" s="1"/>
  <c r="L16" i="2"/>
  <c r="N4" i="2"/>
  <c r="N7" i="2" s="1"/>
  <c r="M12" i="2"/>
  <c r="M15" i="2"/>
  <c r="O9" i="2"/>
  <c r="C18" i="4" l="1"/>
  <c r="D19" i="8" s="1"/>
  <c r="C16" i="4"/>
  <c r="D17" i="8" s="1"/>
  <c r="C5" i="4"/>
  <c r="D6" i="8" s="1"/>
  <c r="C14" i="4"/>
  <c r="D15" i="8" s="1"/>
  <c r="B18" i="4"/>
  <c r="C19" i="8" s="1"/>
  <c r="B16" i="4"/>
  <c r="C17" i="8" s="1"/>
  <c r="B14" i="4"/>
  <c r="C15" i="8" s="1"/>
  <c r="D4" i="4"/>
  <c r="E5" i="8" s="1"/>
  <c r="N49" i="1"/>
  <c r="L17" i="2"/>
  <c r="P9" i="2"/>
  <c r="M16" i="2"/>
  <c r="O4" i="2"/>
  <c r="O7" i="2" s="1"/>
  <c r="N12" i="2"/>
  <c r="N15" i="2"/>
  <c r="D16" i="4" l="1"/>
  <c r="E17" i="8" s="1"/>
  <c r="D18" i="4"/>
  <c r="E19" i="8" s="1"/>
  <c r="D5" i="4"/>
  <c r="E6" i="8" s="1"/>
  <c r="D14" i="4"/>
  <c r="E15" i="8" s="1"/>
  <c r="O49" i="1"/>
  <c r="E4" i="4"/>
  <c r="F5" i="8" s="1"/>
  <c r="B6" i="4"/>
  <c r="M17" i="2"/>
  <c r="L20" i="2"/>
  <c r="N16" i="2"/>
  <c r="Q9" i="2"/>
  <c r="P4" i="2"/>
  <c r="P7" i="2" s="1"/>
  <c r="O12" i="2"/>
  <c r="O15" i="2"/>
  <c r="B7" i="4" l="1"/>
  <c r="C8" i="8" s="1"/>
  <c r="C7" i="8"/>
  <c r="E16" i="4"/>
  <c r="F17" i="8" s="1"/>
  <c r="E18" i="4"/>
  <c r="F19" i="8" s="1"/>
  <c r="E5" i="4"/>
  <c r="F6" i="8" s="1"/>
  <c r="E14" i="4"/>
  <c r="F15" i="8" s="1"/>
  <c r="F4" i="4"/>
  <c r="G5" i="8" s="1"/>
  <c r="P49" i="1"/>
  <c r="C6" i="4"/>
  <c r="L22" i="2"/>
  <c r="L24" i="2" s="1"/>
  <c r="L25" i="2" s="1"/>
  <c r="B8" i="4"/>
  <c r="C9" i="8" s="1"/>
  <c r="M20" i="2"/>
  <c r="N17" i="2"/>
  <c r="O16" i="2"/>
  <c r="Q4" i="2"/>
  <c r="Q7" i="2" s="1"/>
  <c r="P12" i="2"/>
  <c r="P15" i="2"/>
  <c r="R9" i="2"/>
  <c r="C7" i="4" l="1"/>
  <c r="D8" i="8" s="1"/>
  <c r="D7" i="8"/>
  <c r="B11" i="4"/>
  <c r="B9" i="4"/>
  <c r="C10" i="8" s="1"/>
  <c r="F5" i="4"/>
  <c r="G6" i="8" s="1"/>
  <c r="F16" i="4"/>
  <c r="G17" i="8" s="1"/>
  <c r="F18" i="4"/>
  <c r="G19" i="8" s="1"/>
  <c r="F14" i="4"/>
  <c r="G15" i="8" s="1"/>
  <c r="G4" i="4"/>
  <c r="H5" i="8" s="1"/>
  <c r="Q49" i="1"/>
  <c r="D6" i="4"/>
  <c r="M22" i="2"/>
  <c r="M24" i="2" s="1"/>
  <c r="M25" i="2" s="1"/>
  <c r="C8" i="4"/>
  <c r="D9" i="8" s="1"/>
  <c r="O17" i="2"/>
  <c r="N20" i="2"/>
  <c r="L26" i="2"/>
  <c r="L28" i="2" s="1"/>
  <c r="F3" i="3" s="1"/>
  <c r="S9" i="2"/>
  <c r="R4" i="2"/>
  <c r="R7" i="2" s="1"/>
  <c r="Q12" i="2"/>
  <c r="Q15" i="2"/>
  <c r="P16" i="2"/>
  <c r="B19" i="4" l="1"/>
  <c r="B24" i="4" s="1"/>
  <c r="C12" i="8"/>
  <c r="C20" i="8" s="1"/>
  <c r="D7" i="4"/>
  <c r="E8" i="8" s="1"/>
  <c r="E7" i="8"/>
  <c r="B12" i="4"/>
  <c r="C13" i="8" s="1"/>
  <c r="C11" i="4"/>
  <c r="D12" i="8" s="1"/>
  <c r="D20" i="8" s="1"/>
  <c r="C9" i="4"/>
  <c r="D10" i="8" s="1"/>
  <c r="G18" i="4"/>
  <c r="H19" i="8" s="1"/>
  <c r="G5" i="4"/>
  <c r="H6" i="8" s="1"/>
  <c r="G16" i="4"/>
  <c r="H17" i="8" s="1"/>
  <c r="G14" i="4"/>
  <c r="H15" i="8" s="1"/>
  <c r="E6" i="4"/>
  <c r="N22" i="2"/>
  <c r="N24" i="2" s="1"/>
  <c r="N25" i="2" s="1"/>
  <c r="D8" i="4"/>
  <c r="E9" i="8" s="1"/>
  <c r="H4" i="4"/>
  <c r="C23" i="8" s="1"/>
  <c r="R49" i="1"/>
  <c r="M26" i="2"/>
  <c r="M28" i="2" s="1"/>
  <c r="G3" i="3" s="1"/>
  <c r="O20" i="2"/>
  <c r="P17" i="2"/>
  <c r="S4" i="2"/>
  <c r="S7" i="2" s="1"/>
  <c r="R15" i="2"/>
  <c r="R12" i="2"/>
  <c r="Q16" i="2"/>
  <c r="T9" i="2"/>
  <c r="E7" i="4" l="1"/>
  <c r="F8" i="8" s="1"/>
  <c r="F7" i="8"/>
  <c r="H16" i="4"/>
  <c r="C35" i="8" s="1"/>
  <c r="H18" i="4"/>
  <c r="C37" i="8" s="1"/>
  <c r="H5" i="4"/>
  <c r="C24" i="8" s="1"/>
  <c r="H14" i="4"/>
  <c r="C33" i="8" s="1"/>
  <c r="C19" i="4"/>
  <c r="C12" i="4"/>
  <c r="D13" i="8" s="1"/>
  <c r="D11" i="4"/>
  <c r="E12" i="8" s="1"/>
  <c r="E20" i="8" s="1"/>
  <c r="D9" i="4"/>
  <c r="E10" i="8" s="1"/>
  <c r="S49" i="1"/>
  <c r="I4" i="4"/>
  <c r="D23" i="8" s="1"/>
  <c r="F6" i="4"/>
  <c r="O22" i="2"/>
  <c r="O24" i="2" s="1"/>
  <c r="O25" i="2" s="1"/>
  <c r="E8" i="4"/>
  <c r="F9" i="8" s="1"/>
  <c r="P20" i="2"/>
  <c r="N26" i="2"/>
  <c r="N28" i="2" s="1"/>
  <c r="H3" i="3" s="1"/>
  <c r="Q17" i="2"/>
  <c r="T4" i="2"/>
  <c r="T7" i="2" s="1"/>
  <c r="S12" i="2"/>
  <c r="S15" i="2"/>
  <c r="R16" i="2"/>
  <c r="U9" i="2"/>
  <c r="F7" i="4" l="1"/>
  <c r="G8" i="8" s="1"/>
  <c r="G7" i="8"/>
  <c r="I16" i="4"/>
  <c r="D35" i="8" s="1"/>
  <c r="I18" i="4"/>
  <c r="D37" i="8" s="1"/>
  <c r="I5" i="4"/>
  <c r="D24" i="8" s="1"/>
  <c r="I14" i="4"/>
  <c r="D33" i="8" s="1"/>
  <c r="E11" i="4"/>
  <c r="F12" i="8" s="1"/>
  <c r="F20" i="8" s="1"/>
  <c r="E9" i="4"/>
  <c r="F10" i="8" s="1"/>
  <c r="D19" i="4"/>
  <c r="D12" i="4"/>
  <c r="E13" i="8" s="1"/>
  <c r="J4" i="4"/>
  <c r="E23" i="8" s="1"/>
  <c r="T49" i="1"/>
  <c r="G6" i="4"/>
  <c r="P22" i="2"/>
  <c r="P24" i="2" s="1"/>
  <c r="P25" i="2" s="1"/>
  <c r="F8" i="4"/>
  <c r="G9" i="8" s="1"/>
  <c r="R17" i="2"/>
  <c r="Q20" i="2"/>
  <c r="O26" i="2"/>
  <c r="O28" i="2" s="1"/>
  <c r="I3" i="3" s="1"/>
  <c r="S16" i="2"/>
  <c r="V9" i="2"/>
  <c r="U4" i="2"/>
  <c r="U7" i="2" s="1"/>
  <c r="T12" i="2"/>
  <c r="T15" i="2"/>
  <c r="G7" i="4" l="1"/>
  <c r="H8" i="8" s="1"/>
  <c r="H7" i="8"/>
  <c r="J5" i="4"/>
  <c r="E24" i="8" s="1"/>
  <c r="J16" i="4"/>
  <c r="E35" i="8" s="1"/>
  <c r="J18" i="4"/>
  <c r="E37" i="8" s="1"/>
  <c r="J14" i="4"/>
  <c r="E33" i="8" s="1"/>
  <c r="F11" i="4"/>
  <c r="G12" i="8" s="1"/>
  <c r="G20" i="8" s="1"/>
  <c r="F9" i="4"/>
  <c r="G10" i="8" s="1"/>
  <c r="P26" i="2"/>
  <c r="P28" i="2" s="1"/>
  <c r="J3" i="3" s="1"/>
  <c r="E19" i="4"/>
  <c r="E12" i="4"/>
  <c r="F13" i="8" s="1"/>
  <c r="K4" i="4"/>
  <c r="F23" i="8" s="1"/>
  <c r="U49" i="1"/>
  <c r="Q22" i="2"/>
  <c r="Q24" i="2" s="1"/>
  <c r="Q25" i="2" s="1"/>
  <c r="G8" i="4"/>
  <c r="H9" i="8" s="1"/>
  <c r="H6" i="4"/>
  <c r="S17" i="2"/>
  <c r="R20" i="2"/>
  <c r="T16" i="2"/>
  <c r="V4" i="2"/>
  <c r="V7" i="2" s="1"/>
  <c r="U12" i="2"/>
  <c r="U15" i="2"/>
  <c r="W9" i="2"/>
  <c r="H7" i="4" l="1"/>
  <c r="C26" i="8" s="1"/>
  <c r="C25" i="8"/>
  <c r="K18" i="4"/>
  <c r="F37" i="8" s="1"/>
  <c r="K5" i="4"/>
  <c r="F24" i="8" s="1"/>
  <c r="K16" i="4"/>
  <c r="F35" i="8" s="1"/>
  <c r="K14" i="4"/>
  <c r="F33" i="8" s="1"/>
  <c r="G11" i="4"/>
  <c r="H12" i="8" s="1"/>
  <c r="H20" i="8" s="1"/>
  <c r="G9" i="4"/>
  <c r="H10" i="8" s="1"/>
  <c r="F19" i="4"/>
  <c r="F12" i="4"/>
  <c r="G13" i="8" s="1"/>
  <c r="R22" i="2"/>
  <c r="R24" i="2" s="1"/>
  <c r="R25" i="2" s="1"/>
  <c r="H8" i="4"/>
  <c r="C27" i="8" s="1"/>
  <c r="Q26" i="2"/>
  <c r="Q28" i="2" s="1"/>
  <c r="K3" i="3" s="1"/>
  <c r="L4" i="4"/>
  <c r="G23" i="8" s="1"/>
  <c r="V49" i="1"/>
  <c r="I6" i="4"/>
  <c r="T17" i="2"/>
  <c r="S20" i="2"/>
  <c r="U16" i="2"/>
  <c r="X9" i="2"/>
  <c r="W4" i="2"/>
  <c r="W7" i="2" s="1"/>
  <c r="V12" i="2"/>
  <c r="V15" i="2"/>
  <c r="I7" i="4" l="1"/>
  <c r="D26" i="8" s="1"/>
  <c r="D25" i="8"/>
  <c r="L16" i="4"/>
  <c r="G35" i="8" s="1"/>
  <c r="L18" i="4"/>
  <c r="G37" i="8" s="1"/>
  <c r="L5" i="4"/>
  <c r="G24" i="8" s="1"/>
  <c r="L14" i="4"/>
  <c r="G33" i="8" s="1"/>
  <c r="H11" i="4"/>
  <c r="C30" i="8" s="1"/>
  <c r="H9" i="4"/>
  <c r="C28" i="8" s="1"/>
  <c r="G19" i="4"/>
  <c r="G12" i="4"/>
  <c r="H13" i="8" s="1"/>
  <c r="S22" i="2"/>
  <c r="S24" i="2" s="1"/>
  <c r="S25" i="2" s="1"/>
  <c r="I8" i="4"/>
  <c r="D27" i="8" s="1"/>
  <c r="W49" i="1"/>
  <c r="M4" i="4"/>
  <c r="H23" i="8" s="1"/>
  <c r="J6" i="4"/>
  <c r="U17" i="2"/>
  <c r="R26" i="2"/>
  <c r="R28" i="2" s="1"/>
  <c r="L3" i="3" s="1"/>
  <c r="T20" i="2"/>
  <c r="X4" i="2"/>
  <c r="X7" i="2" s="1"/>
  <c r="W12" i="2"/>
  <c r="W15" i="2"/>
  <c r="Y9" i="2"/>
  <c r="V16" i="2"/>
  <c r="J7" i="4" l="1"/>
  <c r="E26" i="8" s="1"/>
  <c r="E25" i="8"/>
  <c r="M16" i="4"/>
  <c r="H35" i="8" s="1"/>
  <c r="M18" i="4"/>
  <c r="H37" i="8" s="1"/>
  <c r="M5" i="4"/>
  <c r="H24" i="8" s="1"/>
  <c r="M14" i="4"/>
  <c r="H33" i="8" s="1"/>
  <c r="I11" i="4"/>
  <c r="D30" i="8" s="1"/>
  <c r="I9" i="4"/>
  <c r="D28" i="8" s="1"/>
  <c r="H19" i="4"/>
  <c r="C38" i="8" s="1"/>
  <c r="H12" i="4"/>
  <c r="C31" i="8" s="1"/>
  <c r="K6" i="4"/>
  <c r="N4" i="4"/>
  <c r="C41" i="8" s="1"/>
  <c r="X49" i="1"/>
  <c r="T22" i="2"/>
  <c r="T24" i="2" s="1"/>
  <c r="T25" i="2" s="1"/>
  <c r="J8" i="4"/>
  <c r="E27" i="8" s="1"/>
  <c r="V17" i="2"/>
  <c r="U20" i="2"/>
  <c r="S26" i="2"/>
  <c r="S28" i="2" s="1"/>
  <c r="M3" i="3" s="1"/>
  <c r="W16" i="2"/>
  <c r="Z9" i="2"/>
  <c r="Y4" i="2"/>
  <c r="Y7" i="2" s="1"/>
  <c r="X12" i="2"/>
  <c r="X15" i="2"/>
  <c r="K7" i="4" l="1"/>
  <c r="F26" i="8" s="1"/>
  <c r="F25" i="8"/>
  <c r="N5" i="4"/>
  <c r="C42" i="8" s="1"/>
  <c r="N16" i="4"/>
  <c r="C53" i="8" s="1"/>
  <c r="N18" i="4"/>
  <c r="C55" i="8" s="1"/>
  <c r="N14" i="4"/>
  <c r="C51" i="8" s="1"/>
  <c r="J11" i="4"/>
  <c r="E30" i="8" s="1"/>
  <c r="J9" i="4"/>
  <c r="E28" i="8" s="1"/>
  <c r="I19" i="4"/>
  <c r="I12" i="4"/>
  <c r="D31" i="8" s="1"/>
  <c r="O4" i="4"/>
  <c r="D41" i="8" s="1"/>
  <c r="Y49" i="1"/>
  <c r="U22" i="2"/>
  <c r="U24" i="2" s="1"/>
  <c r="U25" i="2" s="1"/>
  <c r="K8" i="4"/>
  <c r="F27" i="8" s="1"/>
  <c r="L6" i="4"/>
  <c r="W17" i="2"/>
  <c r="T26" i="2"/>
  <c r="T28" i="2" s="1"/>
  <c r="N3" i="3" s="1"/>
  <c r="V20" i="2"/>
  <c r="X16" i="2"/>
  <c r="AA9" i="2"/>
  <c r="Z4" i="2"/>
  <c r="Z7" i="2" s="1"/>
  <c r="Y12" i="2"/>
  <c r="Y15" i="2"/>
  <c r="L7" i="4" l="1"/>
  <c r="G26" i="8" s="1"/>
  <c r="G25" i="8"/>
  <c r="I24" i="4"/>
  <c r="D38" i="8"/>
  <c r="O18" i="4"/>
  <c r="D55" i="8" s="1"/>
  <c r="O5" i="4"/>
  <c r="D42" i="8" s="1"/>
  <c r="O16" i="4"/>
  <c r="D53" i="8" s="1"/>
  <c r="O14" i="4"/>
  <c r="D51" i="8" s="1"/>
  <c r="K11" i="4"/>
  <c r="F30" i="8" s="1"/>
  <c r="K9" i="4"/>
  <c r="F28" i="8" s="1"/>
  <c r="J19" i="4"/>
  <c r="J12" i="4"/>
  <c r="E31" i="8" s="1"/>
  <c r="V22" i="2"/>
  <c r="V24" i="2" s="1"/>
  <c r="V25" i="2" s="1"/>
  <c r="L8" i="4"/>
  <c r="G27" i="8" s="1"/>
  <c r="P4" i="4"/>
  <c r="E41" i="8" s="1"/>
  <c r="Z49" i="1"/>
  <c r="M6" i="4"/>
  <c r="U26" i="2"/>
  <c r="U28" i="2" s="1"/>
  <c r="O3" i="3" s="1"/>
  <c r="W20" i="2"/>
  <c r="X17" i="2"/>
  <c r="Y16" i="2"/>
  <c r="AA4" i="2"/>
  <c r="AA7" i="2" s="1"/>
  <c r="Z15" i="2"/>
  <c r="Z12" i="2"/>
  <c r="AB9" i="2"/>
  <c r="J24" i="4" l="1"/>
  <c r="E38" i="8"/>
  <c r="M7" i="4"/>
  <c r="H26" i="8" s="1"/>
  <c r="H25" i="8"/>
  <c r="P16" i="4"/>
  <c r="E53" i="8" s="1"/>
  <c r="P18" i="4"/>
  <c r="E55" i="8" s="1"/>
  <c r="P5" i="4"/>
  <c r="E42" i="8" s="1"/>
  <c r="P14" i="4"/>
  <c r="E51" i="8" s="1"/>
  <c r="L11" i="4"/>
  <c r="G30" i="8" s="1"/>
  <c r="L9" i="4"/>
  <c r="G28" i="8" s="1"/>
  <c r="K19" i="4"/>
  <c r="K12" i="4"/>
  <c r="F31" i="8" s="1"/>
  <c r="N6" i="4"/>
  <c r="W22" i="2"/>
  <c r="W24" i="2" s="1"/>
  <c r="W25" i="2" s="1"/>
  <c r="M8" i="4"/>
  <c r="H27" i="8" s="1"/>
  <c r="AA49" i="1"/>
  <c r="Q4" i="4"/>
  <c r="F41" i="8" s="1"/>
  <c r="X20" i="2"/>
  <c r="V26" i="2"/>
  <c r="V28" i="2" s="1"/>
  <c r="P3" i="3" s="1"/>
  <c r="Y17" i="2"/>
  <c r="AC9" i="2"/>
  <c r="AB4" i="2"/>
  <c r="AB7" i="2" s="1"/>
  <c r="AA12" i="2"/>
  <c r="AA15" i="2"/>
  <c r="Z16" i="2"/>
  <c r="N7" i="4" l="1"/>
  <c r="C44" i="8" s="1"/>
  <c r="C43" i="8"/>
  <c r="K24" i="4"/>
  <c r="F38" i="8"/>
  <c r="Q16" i="4"/>
  <c r="F53" i="8" s="1"/>
  <c r="Q18" i="4"/>
  <c r="F55" i="8" s="1"/>
  <c r="Q5" i="4"/>
  <c r="F42" i="8" s="1"/>
  <c r="Q14" i="4"/>
  <c r="F51" i="8" s="1"/>
  <c r="M11" i="4"/>
  <c r="H30" i="8" s="1"/>
  <c r="M9" i="4"/>
  <c r="H28" i="8" s="1"/>
  <c r="L19" i="4"/>
  <c r="L12" i="4"/>
  <c r="G31" i="8" s="1"/>
  <c r="O6" i="4"/>
  <c r="R4" i="4"/>
  <c r="G41" i="8" s="1"/>
  <c r="AB49" i="1"/>
  <c r="X22" i="2"/>
  <c r="X24" i="2" s="1"/>
  <c r="X25" i="2" s="1"/>
  <c r="N8" i="4"/>
  <c r="C45" i="8" s="1"/>
  <c r="Y20" i="2"/>
  <c r="Z17" i="2"/>
  <c r="W26" i="2"/>
  <c r="W28" i="2" s="1"/>
  <c r="Q3" i="3" s="1"/>
  <c r="AA16" i="2"/>
  <c r="AC4" i="2"/>
  <c r="AC7" i="2" s="1"/>
  <c r="AB12" i="2"/>
  <c r="AB15" i="2"/>
  <c r="AD9" i="2"/>
  <c r="O7" i="4" l="1"/>
  <c r="D44" i="8" s="1"/>
  <c r="D43" i="8"/>
  <c r="L24" i="4"/>
  <c r="G38" i="8"/>
  <c r="R5" i="4"/>
  <c r="G42" i="8" s="1"/>
  <c r="R16" i="4"/>
  <c r="G53" i="8" s="1"/>
  <c r="R18" i="4"/>
  <c r="G55" i="8" s="1"/>
  <c r="R14" i="4"/>
  <c r="G51" i="8" s="1"/>
  <c r="N11" i="4"/>
  <c r="C48" i="8" s="1"/>
  <c r="N9" i="4"/>
  <c r="C46" i="8" s="1"/>
  <c r="M19" i="4"/>
  <c r="M12" i="4"/>
  <c r="H31" i="8" s="1"/>
  <c r="S4" i="4"/>
  <c r="H41" i="8" s="1"/>
  <c r="AC49" i="1"/>
  <c r="P6" i="4"/>
  <c r="X26" i="2"/>
  <c r="X28" i="2" s="1"/>
  <c r="R3" i="3" s="1"/>
  <c r="Y22" i="2"/>
  <c r="Y24" i="2" s="1"/>
  <c r="Y25" i="2" s="1"/>
  <c r="O8" i="4"/>
  <c r="D45" i="8" s="1"/>
  <c r="AA17" i="2"/>
  <c r="Z20" i="2"/>
  <c r="AB16" i="2"/>
  <c r="AE9" i="2"/>
  <c r="AF9" i="2" s="1"/>
  <c r="AD4" i="2"/>
  <c r="AD7" i="2" s="1"/>
  <c r="AC12" i="2"/>
  <c r="AC15" i="2"/>
  <c r="P7" i="4" l="1"/>
  <c r="E44" i="8" s="1"/>
  <c r="E43" i="8"/>
  <c r="M24" i="4"/>
  <c r="H38" i="8"/>
  <c r="S18" i="4"/>
  <c r="H55" i="8" s="1"/>
  <c r="S5" i="4"/>
  <c r="H42" i="8" s="1"/>
  <c r="S16" i="4"/>
  <c r="H53" i="8" s="1"/>
  <c r="S14" i="4"/>
  <c r="H51" i="8" s="1"/>
  <c r="O11" i="4"/>
  <c r="D48" i="8" s="1"/>
  <c r="O9" i="4"/>
  <c r="D46" i="8" s="1"/>
  <c r="N19" i="4"/>
  <c r="N12" i="4"/>
  <c r="C49" i="8" s="1"/>
  <c r="Z22" i="2"/>
  <c r="Z24" i="2" s="1"/>
  <c r="Z25" i="2" s="1"/>
  <c r="P8" i="4"/>
  <c r="E45" i="8" s="1"/>
  <c r="T4" i="4"/>
  <c r="C59" i="8" s="1"/>
  <c r="AD49" i="1"/>
  <c r="Q6" i="4"/>
  <c r="Y26" i="2"/>
  <c r="Y28" i="2" s="1"/>
  <c r="S3" i="3" s="1"/>
  <c r="AG9" i="2"/>
  <c r="AB17" i="2"/>
  <c r="AA20" i="2"/>
  <c r="AE4" i="2"/>
  <c r="AD12" i="2"/>
  <c r="AD15" i="2"/>
  <c r="AC16" i="2"/>
  <c r="N24" i="4" l="1"/>
  <c r="C56" i="8"/>
  <c r="Q7" i="4"/>
  <c r="F44" i="8" s="1"/>
  <c r="F43" i="8"/>
  <c r="T16" i="4"/>
  <c r="C71" i="8" s="1"/>
  <c r="T18" i="4"/>
  <c r="C73" i="8" s="1"/>
  <c r="T5" i="4"/>
  <c r="C60" i="8" s="1"/>
  <c r="T14" i="4"/>
  <c r="C69" i="8" s="1"/>
  <c r="P11" i="4"/>
  <c r="E48" i="8" s="1"/>
  <c r="P9" i="4"/>
  <c r="E46" i="8" s="1"/>
  <c r="O19" i="4"/>
  <c r="O12" i="4"/>
  <c r="D49" i="8" s="1"/>
  <c r="R6" i="4"/>
  <c r="AA22" i="2"/>
  <c r="AA24" i="2" s="1"/>
  <c r="AA25" i="2" s="1"/>
  <c r="Q8" i="4"/>
  <c r="F45" i="8" s="1"/>
  <c r="AE7" i="2"/>
  <c r="AF4" i="2"/>
  <c r="AH9" i="2"/>
  <c r="AC17" i="2"/>
  <c r="Z26" i="2"/>
  <c r="Z28" i="2" s="1"/>
  <c r="T3" i="3" s="1"/>
  <c r="AB20" i="2"/>
  <c r="AD16" i="2"/>
  <c r="AE12" i="2"/>
  <c r="AE15" i="2"/>
  <c r="R7" i="4" l="1"/>
  <c r="G44" i="8" s="1"/>
  <c r="G43" i="8"/>
  <c r="O24" i="4"/>
  <c r="D56" i="8"/>
  <c r="Q11" i="4"/>
  <c r="F48" i="8" s="1"/>
  <c r="Q9" i="4"/>
  <c r="F46" i="8" s="1"/>
  <c r="P19" i="4"/>
  <c r="P12" i="4"/>
  <c r="E49" i="8" s="1"/>
  <c r="AE49" i="1"/>
  <c r="U4" i="4"/>
  <c r="D59" i="8" s="1"/>
  <c r="AB22" i="2"/>
  <c r="AB24" i="2" s="1"/>
  <c r="AB25" i="2" s="1"/>
  <c r="R8" i="4"/>
  <c r="G45" i="8" s="1"/>
  <c r="S6" i="4"/>
  <c r="AF15" i="2"/>
  <c r="AF12" i="2"/>
  <c r="AF16" i="2" s="1"/>
  <c r="AG4" i="2"/>
  <c r="AF7" i="2"/>
  <c r="AD17" i="2"/>
  <c r="AC20" i="2"/>
  <c r="AA26" i="2"/>
  <c r="AA28" i="2" s="1"/>
  <c r="U3" i="3" s="1"/>
  <c r="AE16" i="2"/>
  <c r="F24" i="4"/>
  <c r="G24" i="4"/>
  <c r="D24" i="4"/>
  <c r="E24" i="4"/>
  <c r="C24" i="4"/>
  <c r="S7" i="4" l="1"/>
  <c r="H44" i="8" s="1"/>
  <c r="H43" i="8"/>
  <c r="P24" i="4"/>
  <c r="E56" i="8"/>
  <c r="U16" i="4"/>
  <c r="D71" i="8" s="1"/>
  <c r="U18" i="4"/>
  <c r="D73" i="8" s="1"/>
  <c r="U5" i="4"/>
  <c r="D60" i="8" s="1"/>
  <c r="U14" i="4"/>
  <c r="D69" i="8" s="1"/>
  <c r="R11" i="4"/>
  <c r="G48" i="8" s="1"/>
  <c r="R9" i="4"/>
  <c r="G46" i="8" s="1"/>
  <c r="Q19" i="4"/>
  <c r="Q12" i="4"/>
  <c r="F49" i="8" s="1"/>
  <c r="V4" i="4"/>
  <c r="E59" i="8" s="1"/>
  <c r="AF49" i="1"/>
  <c r="AC22" i="2"/>
  <c r="AC24" i="2" s="1"/>
  <c r="AC25" i="2" s="1"/>
  <c r="S8" i="4"/>
  <c r="H45" i="8" s="1"/>
  <c r="T6" i="4"/>
  <c r="AG7" i="2"/>
  <c r="AH4" i="2"/>
  <c r="AG12" i="2"/>
  <c r="AG15" i="2"/>
  <c r="AF17" i="2"/>
  <c r="AB26" i="2"/>
  <c r="AB28" i="2" s="1"/>
  <c r="V3" i="3" s="1"/>
  <c r="AD20" i="2"/>
  <c r="AE17" i="2"/>
  <c r="H24" i="4"/>
  <c r="Q24" i="4" l="1"/>
  <c r="F56" i="8"/>
  <c r="T7" i="4"/>
  <c r="C62" i="8" s="1"/>
  <c r="C61" i="8"/>
  <c r="V5" i="4"/>
  <c r="E60" i="8" s="1"/>
  <c r="V16" i="4"/>
  <c r="E71" i="8" s="1"/>
  <c r="V18" i="4"/>
  <c r="E73" i="8" s="1"/>
  <c r="V14" i="4"/>
  <c r="E69" i="8" s="1"/>
  <c r="R19" i="4"/>
  <c r="R12" i="4"/>
  <c r="G49" i="8" s="1"/>
  <c r="S11" i="4"/>
  <c r="H48" i="8" s="1"/>
  <c r="S9" i="4"/>
  <c r="H46" i="8" s="1"/>
  <c r="U6" i="4"/>
  <c r="AC26" i="2"/>
  <c r="AC28" i="2" s="1"/>
  <c r="W3" i="3" s="1"/>
  <c r="AD22" i="2"/>
  <c r="AD24" i="2" s="1"/>
  <c r="AD25" i="2" s="1"/>
  <c r="T8" i="4"/>
  <c r="C63" i="8" s="1"/>
  <c r="V6" i="4"/>
  <c r="W4" i="4"/>
  <c r="F59" i="8" s="1"/>
  <c r="AG49" i="1"/>
  <c r="AG16" i="2"/>
  <c r="AG17" i="2" s="1"/>
  <c r="AH15" i="2"/>
  <c r="AH12" i="2"/>
  <c r="AH7" i="2"/>
  <c r="AF20" i="2"/>
  <c r="AE20" i="2"/>
  <c r="U7" i="4" l="1"/>
  <c r="D62" i="8" s="1"/>
  <c r="D61" i="8"/>
  <c r="V7" i="4"/>
  <c r="E62" i="8" s="1"/>
  <c r="E61" i="8"/>
  <c r="R24" i="4"/>
  <c r="G56" i="8"/>
  <c r="W18" i="4"/>
  <c r="F73" i="8" s="1"/>
  <c r="W5" i="4"/>
  <c r="F60" i="8" s="1"/>
  <c r="W16" i="4"/>
  <c r="F71" i="8" s="1"/>
  <c r="W14" i="4"/>
  <c r="F69" i="8" s="1"/>
  <c r="T11" i="4"/>
  <c r="C66" i="8" s="1"/>
  <c r="T9" i="4"/>
  <c r="C64" i="8" s="1"/>
  <c r="S19" i="4"/>
  <c r="S12" i="4"/>
  <c r="H49" i="8" s="1"/>
  <c r="AF22" i="2"/>
  <c r="AF24" i="2" s="1"/>
  <c r="AF25" i="2" s="1"/>
  <c r="AF26" i="2" s="1"/>
  <c r="AF28" i="2" s="1"/>
  <c r="V8" i="4"/>
  <c r="E63" i="8" s="1"/>
  <c r="W6" i="4"/>
  <c r="AH49" i="1"/>
  <c r="X4" i="4"/>
  <c r="G59" i="8" s="1"/>
  <c r="AE22" i="2"/>
  <c r="AE24" i="2" s="1"/>
  <c r="AE25" i="2" s="1"/>
  <c r="U8" i="4"/>
  <c r="D63" i="8" s="1"/>
  <c r="AH16" i="2"/>
  <c r="AH17" i="2" s="1"/>
  <c r="AG20" i="2"/>
  <c r="AD26" i="2"/>
  <c r="AD28" i="2" s="1"/>
  <c r="X3" i="3" s="1"/>
  <c r="S24" i="4" l="1"/>
  <c r="H56" i="8"/>
  <c r="W7" i="4"/>
  <c r="F62" i="8" s="1"/>
  <c r="F61" i="8"/>
  <c r="X16" i="4"/>
  <c r="G71" i="8" s="1"/>
  <c r="X18" i="4"/>
  <c r="G73" i="8" s="1"/>
  <c r="X5" i="4"/>
  <c r="G60" i="8" s="1"/>
  <c r="X14" i="4"/>
  <c r="G69" i="8" s="1"/>
  <c r="V11" i="4"/>
  <c r="E66" i="8" s="1"/>
  <c r="V9" i="4"/>
  <c r="E64" i="8" s="1"/>
  <c r="U11" i="4"/>
  <c r="D66" i="8" s="1"/>
  <c r="U9" i="4"/>
  <c r="D64" i="8" s="1"/>
  <c r="AE26" i="2"/>
  <c r="AE28" i="2" s="1"/>
  <c r="Y3" i="3" s="1"/>
  <c r="T19" i="4"/>
  <c r="T12" i="4"/>
  <c r="C67" i="8" s="1"/>
  <c r="X6" i="4"/>
  <c r="AG22" i="2"/>
  <c r="AG24" i="2" s="1"/>
  <c r="AG25" i="2" s="1"/>
  <c r="AG26" i="2" s="1"/>
  <c r="AG28" i="2" s="1"/>
  <c r="W8" i="4"/>
  <c r="F63" i="8" s="1"/>
  <c r="AH20" i="2"/>
  <c r="X7" i="4" l="1"/>
  <c r="G62" i="8" s="1"/>
  <c r="G61" i="8"/>
  <c r="T24" i="4"/>
  <c r="C74" i="8"/>
  <c r="W11" i="4"/>
  <c r="F66" i="8" s="1"/>
  <c r="W9" i="4"/>
  <c r="F64" i="8" s="1"/>
  <c r="V19" i="4"/>
  <c r="V12" i="4"/>
  <c r="E67" i="8" s="1"/>
  <c r="U19" i="4"/>
  <c r="U12" i="4"/>
  <c r="D67" i="8" s="1"/>
  <c r="AH22" i="2"/>
  <c r="AH24" i="2" s="1"/>
  <c r="X8" i="4"/>
  <c r="G63" i="8" s="1"/>
  <c r="V24" i="4" l="1"/>
  <c r="E74" i="8"/>
  <c r="U24" i="4"/>
  <c r="D74" i="8"/>
  <c r="X11" i="4"/>
  <c r="G66" i="8" s="1"/>
  <c r="X9" i="4"/>
  <c r="G64" i="8" s="1"/>
  <c r="W19" i="4"/>
  <c r="W12" i="4"/>
  <c r="F67" i="8" s="1"/>
  <c r="AH25" i="2"/>
  <c r="AH26" i="2" s="1"/>
  <c r="AH28" i="2" s="1"/>
  <c r="W24" i="4" l="1"/>
  <c r="F74" i="8"/>
  <c r="X19" i="4"/>
  <c r="X12" i="4"/>
  <c r="G67" i="8" s="1"/>
  <c r="X24" i="4" l="1"/>
  <c r="B26" i="4" s="1"/>
  <c r="H27" i="4" s="1"/>
  <c r="G74" i="8"/>
</calcChain>
</file>

<file path=xl/sharedStrings.xml><?xml version="1.0" encoding="utf-8"?>
<sst xmlns="http://schemas.openxmlformats.org/spreadsheetml/2006/main" count="419" uniqueCount="222">
  <si>
    <t>BALANCE SHEET - AOC-4 (Rs. Crore)</t>
  </si>
  <si>
    <t>31 Mar, 2014</t>
  </si>
  <si>
    <t>31 Mar, 2015</t>
  </si>
  <si>
    <t>31 Mar, 2016</t>
  </si>
  <si>
    <t>Equity and Liabilities</t>
  </si>
  <si>
    <t>Equity</t>
  </si>
  <si>
    <t>Share Capital</t>
  </si>
  <si>
    <t>Reserves and Surplus</t>
  </si>
  <si>
    <t>Other Equity</t>
  </si>
  <si>
    <t>Total Equity</t>
  </si>
  <si>
    <t>Liabilities</t>
  </si>
  <si>
    <t>Non-current Liabilities</t>
  </si>
  <si>
    <t>Long Term Borrowings</t>
  </si>
  <si>
    <t>Net Deferred Tax Liabilities</t>
  </si>
  <si>
    <t>-</t>
  </si>
  <si>
    <t>Other Long Term Liabilities</t>
  </si>
  <si>
    <t>Long Term Provisions</t>
  </si>
  <si>
    <t>Total Non-current Liabilities</t>
  </si>
  <si>
    <t>Current Liabilities</t>
  </si>
  <si>
    <t>Short Term Borrowings</t>
  </si>
  <si>
    <t>Trade Payables</t>
  </si>
  <si>
    <t>Other Current Liabilities</t>
  </si>
  <si>
    <t>Short Term Provisions</t>
  </si>
  <si>
    <t>Total Current Liabilities</t>
  </si>
  <si>
    <t>Total Equity and Liabilities</t>
  </si>
  <si>
    <t>Assets</t>
  </si>
  <si>
    <t>Net Fixed Assets</t>
  </si>
  <si>
    <t>Tangible Assets</t>
  </si>
  <si>
    <t>Intangible Assets</t>
  </si>
  <si>
    <t>Total Net Fixed Assets</t>
  </si>
  <si>
    <t>Capital Work-in-progress</t>
  </si>
  <si>
    <t>Other Non-current Assets</t>
  </si>
  <si>
    <t>Non-current Investments</t>
  </si>
  <si>
    <t>Net Deferred Tax Assets</t>
  </si>
  <si>
    <t>Long Term Loans and Advances</t>
  </si>
  <si>
    <t>Total Other Non-current Assets</t>
  </si>
  <si>
    <t>Current Assets</t>
  </si>
  <si>
    <t>Current Investments</t>
  </si>
  <si>
    <t>Inventories</t>
  </si>
  <si>
    <t>Trade Receivables</t>
  </si>
  <si>
    <t>Cash and Bank Balances</t>
  </si>
  <si>
    <t>Short Term Loans and Advances</t>
  </si>
  <si>
    <t>Other Current Assets</t>
  </si>
  <si>
    <t>Total Current Assets</t>
  </si>
  <si>
    <t>Total Assets</t>
  </si>
  <si>
    <t>PROFIT &amp; LOSS - AOC-4 (Rs. Crore)</t>
  </si>
  <si>
    <t>Net Revenue</t>
  </si>
  <si>
    <t>Operating Cost</t>
  </si>
  <si>
    <t>Cost of Materials Consumed</t>
  </si>
  <si>
    <t>Purchases of Stock-in-trade</t>
  </si>
  <si>
    <t>Changes in Inventories / Finished Goods</t>
  </si>
  <si>
    <t>Employee Benefit Expense</t>
  </si>
  <si>
    <t>Other Expenses</t>
  </si>
  <si>
    <t>Total Operating Cost</t>
  </si>
  <si>
    <t>Operating Profit ( EBITDA )</t>
  </si>
  <si>
    <t>Other Income</t>
  </si>
  <si>
    <t>Depreciation and Amortization Expense</t>
  </si>
  <si>
    <t>Profit Before Interest and Tax</t>
  </si>
  <si>
    <t>Finance Costs</t>
  </si>
  <si>
    <t>Profit Before Tax and Exceptional Items Before Tax</t>
  </si>
  <si>
    <t>Exceptional Items Before Tax</t>
  </si>
  <si>
    <t>Profit Before Tax</t>
  </si>
  <si>
    <t>Income Tax</t>
  </si>
  <si>
    <t>Profit for the Period from Continuing Operations</t>
  </si>
  <si>
    <t>Profit from Discontinuing Operations After Tax</t>
  </si>
  <si>
    <t>Profit for the Period</t>
  </si>
  <si>
    <t>RATIOS - AOC-4</t>
  </si>
  <si>
    <t>Revenue Growth (%)</t>
  </si>
  <si>
    <t>EBITDA Margin (%)</t>
  </si>
  <si>
    <t>Net Margin (%)</t>
  </si>
  <si>
    <t>TANTIA SANJAULIPARKINGS PRIVATE LIMITED</t>
  </si>
  <si>
    <t>Rental Revenue</t>
  </si>
  <si>
    <t>sqm</t>
  </si>
  <si>
    <t>Uom</t>
  </si>
  <si>
    <t>Area Capacity</t>
  </si>
  <si>
    <t>6th Floor - Commercial space</t>
  </si>
  <si>
    <t>Sqft</t>
  </si>
  <si>
    <t>7th Floor - Commercial space</t>
  </si>
  <si>
    <t>Utilization</t>
  </si>
  <si>
    <t>Monthly Rent</t>
  </si>
  <si>
    <t>Escalation</t>
  </si>
  <si>
    <t>Rs/ Sq. ft</t>
  </si>
  <si>
    <t>Revenue from Rent</t>
  </si>
  <si>
    <t>Rs. Cr.</t>
  </si>
  <si>
    <t>Revenue from Advertising</t>
  </si>
  <si>
    <t>Expenditure Estimation</t>
  </si>
  <si>
    <t>Expenses</t>
  </si>
  <si>
    <t>FY17</t>
  </si>
  <si>
    <t>FY18</t>
  </si>
  <si>
    <t>Electricity</t>
  </si>
  <si>
    <t>Manpower</t>
  </si>
  <si>
    <t>Government Share</t>
  </si>
  <si>
    <t>Insurance, Repair &amp; Maint. and Misc.</t>
  </si>
  <si>
    <t>Rs. Cr</t>
  </si>
  <si>
    <t>Financial Years</t>
  </si>
  <si>
    <t>Insurance</t>
  </si>
  <si>
    <t>Repair &amp; Maintenance</t>
  </si>
  <si>
    <t>Miscellaneous</t>
  </si>
  <si>
    <t>Increase in Revenue by 5%</t>
  </si>
  <si>
    <t>Decrease in Revenue by 5%</t>
  </si>
  <si>
    <t>Increase in Expenses by 5%</t>
  </si>
  <si>
    <t>Decrease in Expenses by 5%</t>
  </si>
  <si>
    <t>Increase in Interest Rate by 2%</t>
  </si>
  <si>
    <t>Decrease in Interest Rate by 1%</t>
  </si>
  <si>
    <t>CALCULATION OF FREE CASH FLOW TO FIRM (FCFF)</t>
  </si>
  <si>
    <t>Particular</t>
  </si>
  <si>
    <t>Discount Rate (WACC)</t>
  </si>
  <si>
    <t>Period</t>
  </si>
  <si>
    <t>Discount Factor</t>
  </si>
  <si>
    <t>Present Value (PV) of FCFF</t>
  </si>
  <si>
    <t>WACC</t>
  </si>
  <si>
    <t>Discount Rate Change</t>
  </si>
  <si>
    <t>M/S TANTIA SANJAULI PARKINGS PRIVATE LIMITED</t>
  </si>
  <si>
    <t>EBITDA</t>
  </si>
  <si>
    <t>Construction Cost</t>
  </si>
  <si>
    <t>Expected Market Return (Rm) Nifty Fifty 15-year return 2022</t>
  </si>
  <si>
    <t>Enterprise Value at IRR of 11%</t>
  </si>
  <si>
    <t>Enterprise Value at IRR of 12%</t>
  </si>
  <si>
    <t>Enterprise Value at IRR of 13%</t>
  </si>
  <si>
    <t>Enterprise Value at IRR of 10%</t>
  </si>
  <si>
    <t>NPV</t>
  </si>
  <si>
    <t>Total Revenue</t>
  </si>
  <si>
    <t>Cash Flow</t>
  </si>
  <si>
    <t>Net Profit before Tax</t>
  </si>
  <si>
    <t>Add/(Less) Adiustment for :</t>
  </si>
  <si>
    <t>Depreciation</t>
  </si>
  <si>
    <t>Fair valuation of preference share issued</t>
  </si>
  <si>
    <t>Loans &amp; advances</t>
  </si>
  <si>
    <t>Trade payables, Liabilities &amp; Provisions</t>
  </si>
  <si>
    <t>Net Cash From Operating Activities</t>
  </si>
  <si>
    <t>Fixed Assets/CWIP</t>
  </si>
  <si>
    <t>Net Cash used in investing Activities</t>
  </si>
  <si>
    <t>Borrowings</t>
  </si>
  <si>
    <t>Net Cash from financing Activities</t>
  </si>
  <si>
    <t>Net lncrease/(Decrease) in Cash and Cash equivalent</t>
  </si>
  <si>
    <t>Add: Balance at the beginning ofthe Year</t>
  </si>
  <si>
    <t>Cash and Cash equivalentS as the close of the Year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</si>
  <si>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</si>
  <si>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</si>
  <si>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</si>
  <si>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</si>
  <si>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</si>
  <si>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</si>
  <si>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</si>
  <si>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</si>
  <si>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</si>
  <si>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</si>
  <si>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</si>
  <si>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</si>
  <si>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</si>
  <si>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</si>
  <si>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</si>
  <si>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</si>
  <si>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</si>
  <si>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</si>
  <si>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</si>
  <si>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FY41</t>
  </si>
  <si>
    <t>FY42</t>
  </si>
  <si>
    <t>Financial Year</t>
  </si>
  <si>
    <t>Year Counter</t>
  </si>
  <si>
    <t>Month of Operation</t>
  </si>
  <si>
    <t>Annual Concession Fees</t>
  </si>
  <si>
    <t>FY43</t>
  </si>
  <si>
    <t>FY44</t>
  </si>
  <si>
    <t>FY45</t>
  </si>
  <si>
    <t xml:space="preserve">Net Revenue </t>
  </si>
  <si>
    <t>EBIT</t>
  </si>
  <si>
    <t>NOPAT</t>
  </si>
  <si>
    <t>Add: Depreciation</t>
  </si>
  <si>
    <t>Accounts receivable, net</t>
  </si>
  <si>
    <t>Accounts payable</t>
  </si>
  <si>
    <t>AR as a % of Sales</t>
  </si>
  <si>
    <t>Inventories as a % COGS</t>
  </si>
  <si>
    <t>AP as a % of COGS</t>
  </si>
  <si>
    <t>Working Capital Schedule</t>
  </si>
  <si>
    <t xml:space="preserve">Working Capital </t>
  </si>
  <si>
    <t>Change in current assets - Change in current liabilities</t>
  </si>
  <si>
    <t>COGS</t>
  </si>
  <si>
    <t>Less: Taxes</t>
  </si>
  <si>
    <t>Less: Change in working capital</t>
  </si>
  <si>
    <t>Less: Construction Cost</t>
  </si>
  <si>
    <t>Free Cash Flow to the firm (FCFF)</t>
  </si>
  <si>
    <t>% Growth</t>
  </si>
  <si>
    <t>% Sales</t>
  </si>
  <si>
    <t>O&amp;M Performance Security</t>
  </si>
  <si>
    <t>Enterprise Value at IRR of 9%</t>
  </si>
  <si>
    <t>https://finance.yahoo.com/news/indias-535m-smart-parking-market-123100908.html</t>
  </si>
  <si>
    <t>CAGR of 11.11%</t>
  </si>
  <si>
    <t>Scenario 1 12.5% Rs. 14.73</t>
  </si>
  <si>
    <t>Scenario 2 13% Rs. 13.68</t>
  </si>
  <si>
    <t>Scenario 3 14% Rs. 11.80</t>
  </si>
  <si>
    <t>1st year</t>
  </si>
  <si>
    <t>2nd year</t>
  </si>
  <si>
    <t>Discount Rate</t>
  </si>
  <si>
    <t>Scenario</t>
  </si>
  <si>
    <t xml:space="preserve">- </t>
  </si>
  <si>
    <t xml:space="preserve">Civil &amp; Structural Work </t>
  </si>
  <si>
    <t xml:space="preserve">Plant &amp; Machinery </t>
  </si>
  <si>
    <t xml:space="preserve">Electricals </t>
  </si>
  <si>
    <t xml:space="preserve">Contingencies </t>
  </si>
  <si>
    <t xml:space="preserve">Pre-operative/
Administration expenses </t>
  </si>
  <si>
    <t xml:space="preserve">Financial Cost </t>
  </si>
  <si>
    <t xml:space="preserve">Land &amp; Site
Development </t>
  </si>
  <si>
    <t>Total-A</t>
  </si>
  <si>
    <t>Total-B</t>
  </si>
  <si>
    <t>Grand Total (A+B)</t>
  </si>
  <si>
    <t>P&amp;M</t>
  </si>
  <si>
    <t>Furniture</t>
  </si>
  <si>
    <t>Computer &amp; Printers</t>
  </si>
  <si>
    <t>Office Equipments</t>
  </si>
  <si>
    <t>S. No.</t>
  </si>
  <si>
    <t>Originally Envisaged</t>
  </si>
  <si>
    <t>(in Rs. Cr.)</t>
  </si>
  <si>
    <t xml:space="preserve">Incurred till </t>
  </si>
  <si>
    <t>Land &amp; Site Development</t>
  </si>
  <si>
    <t>Civil &amp; Structural Work</t>
  </si>
  <si>
    <t>Plant &amp; Machinery</t>
  </si>
  <si>
    <t>Electricals</t>
  </si>
  <si>
    <t>Contingencies</t>
  </si>
  <si>
    <t>Pre-operative/ Administration expenses</t>
  </si>
  <si>
    <t>Financial Cost</t>
  </si>
  <si>
    <t xml:space="preserve">NPV (in ₹ Cr.)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</si>
</sst>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.00_);_(* \(#,##0.00\);_(* &quot;-&quot;??_);_(@_)"/>
    <numFmt numFmtId="165" formatCode="d\-mmm\-yyyy"/>
    <numFmt numFmtId="166" formatCode="0.0"/>
    <numFmt numFmtId="167" formatCode="000000"/>
    <numFmt numFmtId="168" formatCode="0.0%"/>
    <numFmt numFmtId="169" formatCode="&quot;FY&quot;\ 0\ &quot;A&quot;"/>
    <numFmt numFmtId="170" formatCode="&quot;FY&quot;\ 0\ &quot;E&quot;"/>
    <numFmt numFmtId="171" formatCode="_-* #,##0_-;\-* #,##0_-;_-* &quot;-&quot;??_-;_-@_-"/>
    <numFmt numFmtId="172" formatCode="_-* #,##0.00_-;\-* #,##0.00_-;_-* &quot;-&quot;??_-;_-@_-"/>
    <numFmt numFmtId="173" formatCode="#,##0.000"/>
    <numFmt numFmtId="174" formatCode="#,##0.0000"/>
    <numFmt numFmtId="175" formatCode="_(* #,##0.000_);_(* \(#,##0.000\);_(* &quot;-&quot;??_);_(@_)"/>
    <numFmt numFmtId="176" formatCode="_(* #,##0_);_(* \(#,##0\);_(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0"/>
      <color rgb="FF0000CC"/>
      <name val="Arial"/>
      <charset val="134"/>
    </font>
    <font>
      <sz val="10"/>
      <name val="Arial"/>
      <charset val="134"/>
    </font>
    <font>
      <b/>
      <sz val="10"/>
      <color theme="0"/>
      <name val="Arial"/>
      <charset val="134"/>
    </font>
    <font>
      <sz val="10"/>
      <color theme="1"/>
      <name val="Arial"/>
      <family val="2"/>
    </font>
    <font>
      <sz val="10"/>
      <color rgb="FF0000CC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1"/>
      <color theme="1"/>
      <name val="Arial"/>
      <family val="2"/>
    </font>
    <font>
      <sz val="11"/>
      <color rgb="FF1D2228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rgb="FFC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5" fillId="0" borderId="0"/>
    <xf numFmtId="43" fontId="1" fillId="0" borderId="0" applyFont="0" applyFill="0" applyBorder="0" applyAlignment="0" applyProtection="0"/>
  </cellStyleXfs>
  <cellXfs count="227">
    <xf numFmtId="0" fontId="0" fillId="0" borderId="0" xfId="0"/>
    <xf numFmtId="165" fontId="4" fillId="0" borderId="0" xfId="0" applyNumberFormat="1" applyFont="1" applyAlignment="1">
      <alignment horizontal="right" wrapText="1"/>
    </xf>
    <xf numFmtId="4" fontId="5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66" fontId="5" fillId="0" borderId="0" xfId="0" applyNumberFormat="1" applyFont="1" applyAlignment="1">
      <alignment horizontal="right" wrapText="1"/>
    </xf>
    <xf numFmtId="1" fontId="5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167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horizontal="left" wrapText="1"/>
    </xf>
    <xf numFmtId="167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NumberFormat="1" applyFont="1" applyFill="1" applyBorder="1" applyAlignment="1">
      <alignment horizontal="left" wrapText="1"/>
    </xf>
    <xf numFmtId="168" fontId="5" fillId="0" borderId="0" xfId="1" applyNumberFormat="1" applyFont="1" applyAlignment="1">
      <alignment horizontal="right" wrapText="1"/>
    </xf>
    <xf numFmtId="168" fontId="0" fillId="0" borderId="0" xfId="0" applyNumberFormat="1"/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 wrapText="1" indent="1"/>
    </xf>
    <xf numFmtId="0" fontId="3" fillId="0" borderId="0" xfId="0" applyNumberFormat="1" applyFont="1" applyFill="1" applyBorder="1" applyAlignment="1">
      <alignment horizontal="left" wrapText="1" indent="1"/>
    </xf>
    <xf numFmtId="0" fontId="4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 indent="2"/>
    </xf>
    <xf numFmtId="10" fontId="5" fillId="2" borderId="0" xfId="0" applyNumberFormat="1" applyFont="1" applyFill="1" applyBorder="1" applyAlignment="1"/>
    <xf numFmtId="168" fontId="6" fillId="0" borderId="0" xfId="0" applyNumberFormat="1" applyFont="1"/>
    <xf numFmtId="169" fontId="4" fillId="0" borderId="0" xfId="0" applyNumberFormat="1" applyFont="1" applyAlignment="1">
      <alignment horizontal="right" wrapText="1"/>
    </xf>
    <xf numFmtId="170" fontId="4" fillId="0" borderId="0" xfId="0" applyNumberFormat="1" applyFont="1" applyAlignment="1">
      <alignment horizontal="right" wrapText="1"/>
    </xf>
    <xf numFmtId="2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168" fontId="0" fillId="0" borderId="0" xfId="1" applyNumberFormat="1" applyFont="1"/>
    <xf numFmtId="4" fontId="2" fillId="0" borderId="0" xfId="0" applyNumberFormat="1" applyFont="1"/>
    <xf numFmtId="2" fontId="2" fillId="0" borderId="0" xfId="0" applyNumberFormat="1" applyFont="1"/>
    <xf numFmtId="0" fontId="7" fillId="3" borderId="0" xfId="0" applyFont="1" applyFill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Fill="1" applyBorder="1"/>
    <xf numFmtId="171" fontId="9" fillId="0" borderId="1" xfId="2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71" fontId="9" fillId="4" borderId="1" xfId="2" applyNumberFormat="1" applyFont="1" applyFill="1" applyBorder="1" applyAlignment="1">
      <alignment horizontal="center"/>
    </xf>
    <xf numFmtId="171" fontId="8" fillId="0" borderId="1" xfId="0" applyNumberFormat="1" applyFont="1" applyBorder="1"/>
    <xf numFmtId="0" fontId="8" fillId="0" borderId="3" xfId="0" applyFont="1" applyBorder="1"/>
    <xf numFmtId="0" fontId="8" fillId="0" borderId="2" xfId="0" applyFont="1" applyBorder="1"/>
    <xf numFmtId="9" fontId="9" fillId="4" borderId="1" xfId="1" applyFont="1" applyFill="1" applyBorder="1" applyAlignment="1">
      <alignment horizontal="center"/>
    </xf>
    <xf numFmtId="9" fontId="8" fillId="4" borderId="1" xfId="1" applyFont="1" applyFill="1" applyBorder="1" applyAlignment="1">
      <alignment horizontal="center"/>
    </xf>
    <xf numFmtId="0" fontId="8" fillId="0" borderId="4" xfId="0" applyFont="1" applyBorder="1"/>
    <xf numFmtId="171" fontId="10" fillId="4" borderId="1" xfId="2" applyNumberFormat="1" applyFont="1" applyFill="1" applyBorder="1" applyAlignment="1">
      <alignment horizontal="center"/>
    </xf>
    <xf numFmtId="0" fontId="7" fillId="5" borderId="1" xfId="0" applyFont="1" applyFill="1" applyBorder="1"/>
    <xf numFmtId="164" fontId="7" fillId="5" borderId="1" xfId="0" applyNumberFormat="1" applyFont="1" applyFill="1" applyBorder="1"/>
    <xf numFmtId="10" fontId="9" fillId="4" borderId="1" xfId="1" applyNumberFormat="1" applyFont="1" applyFill="1" applyBorder="1" applyAlignment="1">
      <alignment horizontal="center"/>
    </xf>
    <xf numFmtId="0" fontId="11" fillId="6" borderId="0" xfId="0" applyFont="1" applyFill="1"/>
    <xf numFmtId="9" fontId="8" fillId="0" borderId="1" xfId="0" applyNumberFormat="1" applyFont="1" applyBorder="1"/>
    <xf numFmtId="9" fontId="10" fillId="4" borderId="1" xfId="1" applyFont="1" applyFill="1" applyBorder="1" applyAlignment="1">
      <alignment horizontal="center"/>
    </xf>
    <xf numFmtId="9" fontId="10" fillId="4" borderId="1" xfId="1" applyNumberFormat="1" applyFont="1" applyFill="1" applyBorder="1" applyAlignment="1">
      <alignment horizontal="right"/>
    </xf>
    <xf numFmtId="0" fontId="8" fillId="5" borderId="1" xfId="0" applyFont="1" applyFill="1" applyBorder="1"/>
    <xf numFmtId="172" fontId="9" fillId="4" borderId="2" xfId="2" applyNumberFormat="1" applyFont="1" applyFill="1" applyBorder="1" applyAlignment="1">
      <alignment horizontal="center"/>
    </xf>
    <xf numFmtId="172" fontId="9" fillId="4" borderId="1" xfId="2" applyNumberFormat="1" applyFont="1" applyFill="1" applyBorder="1" applyAlignment="1">
      <alignment horizontal="center"/>
    </xf>
    <xf numFmtId="2" fontId="8" fillId="5" borderId="1" xfId="0" applyNumberFormat="1" applyFont="1" applyFill="1" applyBorder="1"/>
    <xf numFmtId="171" fontId="9" fillId="4" borderId="2" xfId="2" applyNumberFormat="1" applyFont="1" applyFill="1" applyBorder="1" applyAlignment="1">
      <alignment horizontal="center"/>
    </xf>
    <xf numFmtId="172" fontId="8" fillId="4" borderId="2" xfId="2" applyNumberFormat="1" applyFont="1" applyFill="1" applyBorder="1" applyAlignment="1">
      <alignment horizontal="center"/>
    </xf>
    <xf numFmtId="169" fontId="7" fillId="0" borderId="1" xfId="0" applyNumberFormat="1" applyFont="1" applyBorder="1" applyAlignment="1">
      <alignment horizontal="center"/>
    </xf>
    <xf numFmtId="0" fontId="2" fillId="0" borderId="0" xfId="0" applyFont="1"/>
    <xf numFmtId="0" fontId="12" fillId="5" borderId="0" xfId="0" applyFont="1" applyFill="1" applyBorder="1"/>
    <xf numFmtId="0" fontId="12" fillId="0" borderId="0" xfId="0" applyFont="1"/>
    <xf numFmtId="172" fontId="13" fillId="4" borderId="1" xfId="2" applyNumberFormat="1" applyFont="1" applyFill="1" applyBorder="1" applyAlignment="1">
      <alignment horizontal="center"/>
    </xf>
    <xf numFmtId="0" fontId="14" fillId="0" borderId="0" xfId="0" applyFont="1" applyFill="1" applyBorder="1"/>
    <xf numFmtId="164" fontId="14" fillId="0" borderId="0" xfId="0" applyNumberFormat="1" applyFont="1" applyFill="1" applyBorder="1"/>
    <xf numFmtId="10" fontId="14" fillId="0" borderId="0" xfId="0" applyNumberFormat="1" applyFont="1" applyFill="1" applyBorder="1"/>
    <xf numFmtId="173" fontId="0" fillId="0" borderId="0" xfId="0" applyNumberFormat="1"/>
    <xf numFmtId="164" fontId="0" fillId="0" borderId="0" xfId="2" applyNumberFormat="1" applyFont="1"/>
    <xf numFmtId="174" fontId="0" fillId="0" borderId="0" xfId="0" applyNumberFormat="1"/>
    <xf numFmtId="175" fontId="0" fillId="0" borderId="0" xfId="2" applyNumberFormat="1" applyFont="1"/>
    <xf numFmtId="164" fontId="2" fillId="0" borderId="0" xfId="0" applyNumberFormat="1" applyFont="1"/>
    <xf numFmtId="175" fontId="2" fillId="0" borderId="0" xfId="0" applyNumberFormat="1" applyFont="1"/>
    <xf numFmtId="175" fontId="0" fillId="0" borderId="0" xfId="0" applyNumberFormat="1"/>
    <xf numFmtId="0" fontId="17" fillId="0" borderId="1" xfId="0" applyFont="1" applyBorder="1"/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Fill="1" applyBorder="1"/>
    <xf numFmtId="171" fontId="13" fillId="0" borderId="1" xfId="5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171" fontId="13" fillId="4" borderId="1" xfId="5" applyNumberFormat="1" applyFont="1" applyFill="1" applyBorder="1" applyAlignment="1">
      <alignment horizontal="center"/>
    </xf>
    <xf numFmtId="171" fontId="12" fillId="0" borderId="1" xfId="0" applyNumberFormat="1" applyFont="1" applyBorder="1"/>
    <xf numFmtId="171" fontId="12" fillId="0" borderId="0" xfId="0" applyNumberFormat="1" applyFont="1"/>
    <xf numFmtId="0" fontId="12" fillId="0" borderId="3" xfId="0" applyFont="1" applyBorder="1"/>
    <xf numFmtId="0" fontId="12" fillId="0" borderId="2" xfId="0" applyFont="1" applyBorder="1"/>
    <xf numFmtId="9" fontId="13" fillId="4" borderId="1" xfId="1" applyFont="1" applyFill="1" applyBorder="1" applyAlignment="1">
      <alignment horizontal="center"/>
    </xf>
    <xf numFmtId="9" fontId="12" fillId="4" borderId="1" xfId="1" applyFont="1" applyFill="1" applyBorder="1" applyAlignment="1">
      <alignment horizontal="center"/>
    </xf>
    <xf numFmtId="0" fontId="12" fillId="0" borderId="4" xfId="0" applyFont="1" applyBorder="1"/>
    <xf numFmtId="171" fontId="5" fillId="4" borderId="1" xfId="5" applyNumberFormat="1" applyFont="1" applyFill="1" applyBorder="1" applyAlignment="1">
      <alignment horizontal="center"/>
    </xf>
    <xf numFmtId="43" fontId="0" fillId="0" borderId="0" xfId="5" applyFont="1"/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71" fontId="13" fillId="4" borderId="3" xfId="5" applyNumberFormat="1" applyFont="1" applyFill="1" applyBorder="1" applyAlignment="1">
      <alignment horizontal="center"/>
    </xf>
    <xf numFmtId="171" fontId="5" fillId="0" borderId="1" xfId="5" applyNumberFormat="1" applyFont="1" applyFill="1" applyBorder="1" applyAlignment="1">
      <alignment horizontal="center"/>
    </xf>
    <xf numFmtId="0" fontId="16" fillId="7" borderId="0" xfId="0" applyFont="1" applyFill="1"/>
    <xf numFmtId="0" fontId="17" fillId="11" borderId="1" xfId="0" applyFont="1" applyFill="1" applyBorder="1"/>
    <xf numFmtId="164" fontId="17" fillId="11" borderId="1" xfId="0" applyNumberFormat="1" applyFont="1" applyFill="1" applyBorder="1"/>
    <xf numFmtId="43" fontId="17" fillId="11" borderId="1" xfId="5" applyFont="1" applyFill="1" applyBorder="1"/>
    <xf numFmtId="9" fontId="18" fillId="2" borderId="1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/>
    </xf>
    <xf numFmtId="0" fontId="2" fillId="8" borderId="0" xfId="0" applyFont="1" applyFill="1"/>
    <xf numFmtId="4" fontId="5" fillId="0" borderId="0" xfId="0" applyNumberFormat="1" applyFont="1" applyAlignment="1">
      <alignment horizontal="left" wrapText="1"/>
    </xf>
    <xf numFmtId="4" fontId="19" fillId="0" borderId="0" xfId="0" applyNumberFormat="1" applyFont="1"/>
    <xf numFmtId="0" fontId="20" fillId="0" borderId="0" xfId="0" applyFont="1"/>
    <xf numFmtId="0" fontId="19" fillId="0" borderId="0" xfId="0" applyFont="1"/>
    <xf numFmtId="0" fontId="0" fillId="0" borderId="0" xfId="0" applyAlignment="1"/>
    <xf numFmtId="3" fontId="19" fillId="0" borderId="0" xfId="0" applyNumberFormat="1" applyFont="1" applyAlignment="1"/>
    <xf numFmtId="4" fontId="19" fillId="0" borderId="0" xfId="0" applyNumberFormat="1" applyFont="1" applyAlignment="1"/>
    <xf numFmtId="176" fontId="0" fillId="0" borderId="0" xfId="2" applyNumberFormat="1" applyFont="1" applyAlignment="1"/>
    <xf numFmtId="9" fontId="0" fillId="0" borderId="0" xfId="0" applyNumberFormat="1" applyAlignment="1"/>
    <xf numFmtId="10" fontId="0" fillId="0" borderId="0" xfId="1" applyNumberFormat="1" applyFont="1" applyAlignment="1"/>
    <xf numFmtId="3" fontId="0" fillId="0" borderId="0" xfId="0" applyNumberFormat="1" applyAlignment="1"/>
    <xf numFmtId="164" fontId="0" fillId="0" borderId="0" xfId="2" applyFont="1" applyAlignment="1"/>
    <xf numFmtId="176" fontId="2" fillId="0" borderId="0" xfId="2" applyNumberFormat="1" applyFont="1" applyAlignment="1"/>
    <xf numFmtId="43" fontId="0" fillId="0" borderId="0" xfId="0" applyNumberFormat="1" applyAlignment="1"/>
    <xf numFmtId="164" fontId="0" fillId="0" borderId="0" xfId="0" applyNumberFormat="1" applyAlignment="1"/>
    <xf numFmtId="176" fontId="2" fillId="0" borderId="0" xfId="0" applyNumberFormat="1" applyFont="1" applyAlignment="1"/>
    <xf numFmtId="0" fontId="2" fillId="0" borderId="1" xfId="0" applyFont="1" applyBorder="1" applyAlignment="1"/>
    <xf numFmtId="0" fontId="21" fillId="0" borderId="1" xfId="0" applyFont="1" applyBorder="1" applyAlignment="1"/>
    <xf numFmtId="0" fontId="19" fillId="0" borderId="1" xfId="0" applyFont="1" applyBorder="1" applyAlignment="1"/>
    <xf numFmtId="0" fontId="0" fillId="0" borderId="1" xfId="0" applyBorder="1" applyAlignment="1"/>
    <xf numFmtId="164" fontId="22" fillId="0" borderId="1" xfId="2" applyFont="1" applyBorder="1" applyAlignment="1">
      <alignment vertical="center"/>
    </xf>
    <xf numFmtId="164" fontId="23" fillId="0" borderId="1" xfId="2" applyFont="1" applyBorder="1" applyAlignment="1">
      <alignment vertical="center"/>
    </xf>
    <xf numFmtId="43" fontId="21" fillId="0" borderId="1" xfId="0" applyNumberFormat="1" applyFont="1" applyBorder="1" applyAlignment="1"/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justify" vertical="center"/>
    </xf>
    <xf numFmtId="0" fontId="22" fillId="0" borderId="11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 wrapText="1"/>
    </xf>
    <xf numFmtId="0" fontId="24" fillId="0" borderId="9" xfId="0" applyFont="1" applyBorder="1" applyAlignment="1">
      <alignment vertical="center"/>
    </xf>
    <xf numFmtId="0" fontId="23" fillId="0" borderId="11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/>
    </xf>
    <xf numFmtId="4" fontId="19" fillId="0" borderId="1" xfId="0" applyNumberFormat="1" applyFont="1" applyBorder="1" applyAlignment="1">
      <alignment horizontal="center"/>
    </xf>
    <xf numFmtId="10" fontId="19" fillId="0" borderId="1" xfId="1" applyNumberFormat="1" applyFont="1" applyBorder="1" applyAlignment="1">
      <alignment horizontal="center"/>
    </xf>
    <xf numFmtId="0" fontId="27" fillId="8" borderId="1" xfId="0" applyFont="1" applyFill="1" applyBorder="1"/>
    <xf numFmtId="170" fontId="27" fillId="8" borderId="1" xfId="0" applyNumberFormat="1" applyFont="1" applyFill="1" applyBorder="1" applyAlignment="1">
      <alignment horizontal="center"/>
    </xf>
    <xf numFmtId="0" fontId="19" fillId="0" borderId="1" xfId="0" applyFont="1" applyBorder="1"/>
    <xf numFmtId="2" fontId="1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/>
    </xf>
    <xf numFmtId="9" fontId="19" fillId="0" borderId="1" xfId="1" applyFont="1" applyBorder="1" applyAlignment="1">
      <alignment horizontal="center"/>
    </xf>
    <xf numFmtId="9" fontId="19" fillId="0" borderId="1" xfId="0" applyNumberFormat="1" applyFont="1" applyBorder="1" applyAlignment="1">
      <alignment horizontal="center"/>
    </xf>
    <xf numFmtId="4" fontId="19" fillId="0" borderId="1" xfId="0" quotePrefix="1" applyNumberFormat="1" applyFont="1" applyBorder="1" applyAlignment="1">
      <alignment horizontal="center"/>
    </xf>
    <xf numFmtId="0" fontId="26" fillId="7" borderId="1" xfId="0" applyFont="1" applyFill="1" applyBorder="1" applyAlignment="1">
      <alignment vertical="center"/>
    </xf>
    <xf numFmtId="2" fontId="26" fillId="7" borderId="1" xfId="0" applyNumberFormat="1" applyFont="1" applyFill="1" applyBorder="1" applyAlignment="1">
      <alignment horizontal="center" vertical="center"/>
    </xf>
    <xf numFmtId="0" fontId="21" fillId="9" borderId="1" xfId="0" applyFont="1" applyFill="1" applyBorder="1"/>
    <xf numFmtId="10" fontId="21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26" fillId="7" borderId="1" xfId="0" applyFont="1" applyFill="1" applyBorder="1"/>
    <xf numFmtId="2" fontId="26" fillId="7" borderId="1" xfId="0" applyNumberFormat="1" applyFont="1" applyFill="1" applyBorder="1" applyAlignment="1">
      <alignment horizontal="center"/>
    </xf>
    <xf numFmtId="2" fontId="26" fillId="7" borderId="0" xfId="0" applyNumberFormat="1" applyFont="1" applyFill="1" applyBorder="1" applyAlignment="1">
      <alignment horizontal="center"/>
    </xf>
    <xf numFmtId="0" fontId="26" fillId="7" borderId="6" xfId="0" applyFont="1" applyFill="1" applyBorder="1" applyAlignment="1">
      <alignment vertical="center" wrapText="1"/>
    </xf>
    <xf numFmtId="2" fontId="19" fillId="0" borderId="0" xfId="0" applyNumberFormat="1" applyFont="1"/>
    <xf numFmtId="9" fontId="21" fillId="0" borderId="1" xfId="0" applyNumberFormat="1" applyFont="1" applyBorder="1" applyAlignment="1">
      <alignment horizontal="center"/>
    </xf>
    <xf numFmtId="2" fontId="27" fillId="9" borderId="1" xfId="0" applyNumberFormat="1" applyFont="1" applyFill="1" applyBorder="1"/>
    <xf numFmtId="0" fontId="28" fillId="0" borderId="0" xfId="0" applyFont="1" applyFill="1" applyBorder="1"/>
    <xf numFmtId="9" fontId="19" fillId="12" borderId="0" xfId="1" applyFont="1" applyFill="1"/>
    <xf numFmtId="9" fontId="21" fillId="0" borderId="1" xfId="1" applyFont="1" applyBorder="1" applyAlignment="1">
      <alignment horizontal="center"/>
    </xf>
    <xf numFmtId="0" fontId="21" fillId="0" borderId="1" xfId="0" applyFont="1" applyBorder="1"/>
    <xf numFmtId="9" fontId="27" fillId="0" borderId="1" xfId="0" applyNumberFormat="1" applyFont="1" applyBorder="1" applyAlignment="1">
      <alignment horizontal="center"/>
    </xf>
    <xf numFmtId="0" fontId="26" fillId="7" borderId="1" xfId="0" applyFont="1" applyFill="1" applyBorder="1" applyAlignment="1">
      <alignment horizontal="center"/>
    </xf>
    <xf numFmtId="168" fontId="19" fillId="0" borderId="1" xfId="0" applyNumberFormat="1" applyFont="1" applyBorder="1" applyAlignment="1">
      <alignment horizontal="center"/>
    </xf>
    <xf numFmtId="0" fontId="19" fillId="0" borderId="0" xfId="0" applyFont="1" applyFill="1" applyBorder="1"/>
    <xf numFmtId="0" fontId="21" fillId="0" borderId="0" xfId="0" applyFont="1"/>
    <xf numFmtId="176" fontId="19" fillId="0" borderId="0" xfId="2" applyNumberFormat="1" applyFont="1"/>
    <xf numFmtId="9" fontId="19" fillId="0" borderId="0" xfId="1" applyFont="1"/>
    <xf numFmtId="10" fontId="19" fillId="0" borderId="0" xfId="1" applyNumberFormat="1" applyFont="1"/>
    <xf numFmtId="176" fontId="21" fillId="0" borderId="0" xfId="2" applyNumberFormat="1" applyFont="1"/>
    <xf numFmtId="164" fontId="21" fillId="0" borderId="0" xfId="2" applyFont="1"/>
    <xf numFmtId="0" fontId="30" fillId="10" borderId="0" xfId="0" applyFont="1" applyFill="1"/>
    <xf numFmtId="0" fontId="26" fillId="10" borderId="0" xfId="0" applyFont="1" applyFill="1"/>
    <xf numFmtId="0" fontId="26" fillId="0" borderId="0" xfId="0" applyFont="1" applyFill="1" applyBorder="1" applyAlignment="1">
      <alignment vertical="center"/>
    </xf>
    <xf numFmtId="4" fontId="12" fillId="0" borderId="1" xfId="0" applyNumberFormat="1" applyFont="1" applyBorder="1" applyAlignment="1">
      <alignment horizontal="right"/>
    </xf>
    <xf numFmtId="10" fontId="12" fillId="0" borderId="1" xfId="1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4" fontId="31" fillId="0" borderId="1" xfId="0" applyNumberFormat="1" applyFont="1" applyBorder="1" applyAlignment="1">
      <alignment horizontal="center" vertical="center"/>
    </xf>
    <xf numFmtId="10" fontId="31" fillId="0" borderId="1" xfId="1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3" fillId="8" borderId="1" xfId="0" applyFont="1" applyFill="1" applyBorder="1" applyAlignment="1">
      <alignment vertical="center"/>
    </xf>
    <xf numFmtId="170" fontId="33" fillId="8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10" fontId="34" fillId="0" borderId="1" xfId="1" applyNumberFormat="1" applyFont="1" applyBorder="1" applyAlignment="1">
      <alignment horizontal="right" vertical="center"/>
    </xf>
    <xf numFmtId="10" fontId="31" fillId="0" borderId="0" xfId="1" applyNumberFormat="1" applyFont="1" applyAlignment="1">
      <alignment horizontal="right" vertical="center"/>
    </xf>
    <xf numFmtId="0" fontId="32" fillId="7" borderId="1" xfId="0" applyFont="1" applyFill="1" applyBorder="1" applyAlignment="1">
      <alignment vertical="center"/>
    </xf>
    <xf numFmtId="2" fontId="32" fillId="7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Border="1" applyAlignment="1">
      <alignment vertical="center"/>
    </xf>
    <xf numFmtId="10" fontId="34" fillId="0" borderId="1" xfId="1" applyNumberFormat="1" applyFont="1" applyBorder="1" applyAlignment="1">
      <alignment vertical="center"/>
    </xf>
    <xf numFmtId="10" fontId="34" fillId="0" borderId="0" xfId="1" applyNumberFormat="1" applyFont="1" applyAlignment="1">
      <alignment vertical="center"/>
    </xf>
    <xf numFmtId="0" fontId="31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32" fillId="7" borderId="6" xfId="0" applyFont="1" applyFill="1" applyBorder="1" applyAlignment="1">
      <alignment vertical="center" wrapText="1"/>
    </xf>
    <xf numFmtId="0" fontId="31" fillId="0" borderId="0" xfId="0" applyFont="1"/>
    <xf numFmtId="2" fontId="31" fillId="0" borderId="0" xfId="0" applyNumberFormat="1" applyFont="1" applyAlignment="1">
      <alignment wrapText="1"/>
    </xf>
    <xf numFmtId="9" fontId="35" fillId="0" borderId="1" xfId="1" applyFont="1" applyBorder="1" applyAlignment="1">
      <alignment horizontal="center"/>
    </xf>
    <xf numFmtId="164" fontId="33" fillId="9" borderId="1" xfId="2" applyFont="1" applyFill="1" applyBorder="1"/>
    <xf numFmtId="43" fontId="31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 indent="1"/>
    </xf>
    <xf numFmtId="0" fontId="5" fillId="0" borderId="0" xfId="0" applyNumberFormat="1" applyFont="1" applyFill="1" applyBorder="1" applyAlignment="1">
      <alignment horizontal="left" wrapText="1" indent="2"/>
    </xf>
    <xf numFmtId="0" fontId="4" fillId="0" borderId="0" xfId="0" applyNumberFormat="1" applyFont="1" applyFill="1" applyBorder="1" applyAlignment="1">
      <alignment horizontal="left" wrapText="1" indent="2"/>
    </xf>
    <xf numFmtId="0" fontId="5" fillId="0" borderId="0" xfId="0" applyNumberFormat="1" applyFont="1" applyFill="1" applyBorder="1" applyAlignment="1">
      <alignment horizontal="left" wrapText="1" indent="1"/>
    </xf>
    <xf numFmtId="0" fontId="5" fillId="0" borderId="0" xfId="0" applyNumberFormat="1" applyFont="1" applyFill="1" applyBorder="1" applyAlignment="1">
      <alignment horizontal="left" wrapText="1" indent="3"/>
    </xf>
    <xf numFmtId="0" fontId="4" fillId="0" borderId="0" xfId="0" applyNumberFormat="1" applyFont="1" applyFill="1" applyBorder="1" applyAlignment="1">
      <alignment horizontal="left" wrapText="1" indent="3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 indent="2"/>
    </xf>
    <xf numFmtId="0" fontId="26" fillId="7" borderId="1" xfId="0" applyFont="1" applyFill="1" applyBorder="1" applyAlignment="1">
      <alignment horizontal="center"/>
    </xf>
    <xf numFmtId="0" fontId="26" fillId="7" borderId="5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168" fontId="29" fillId="0" borderId="5" xfId="0" applyNumberFormat="1" applyFont="1" applyBorder="1" applyAlignment="1">
      <alignment horizontal="center" vertical="center"/>
    </xf>
    <xf numFmtId="168" fontId="29" fillId="0" borderId="7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justify" vertical="center"/>
    </xf>
    <xf numFmtId="0" fontId="23" fillId="0" borderId="9" xfId="0" applyFont="1" applyBorder="1" applyAlignment="1">
      <alignment horizontal="justify" vertical="center"/>
    </xf>
    <xf numFmtId="0" fontId="22" fillId="0" borderId="8" xfId="0" applyFont="1" applyBorder="1" applyAlignment="1">
      <alignment horizontal="right" vertical="center" wrapText="1"/>
    </xf>
    <xf numFmtId="0" fontId="22" fillId="0" borderId="9" xfId="0" applyFont="1" applyBorder="1" applyAlignment="1">
      <alignment horizontal="right" vertical="center" wrapText="1"/>
    </xf>
    <xf numFmtId="0" fontId="32" fillId="7" borderId="1" xfId="0" applyFont="1" applyFill="1" applyBorder="1" applyAlignment="1">
      <alignment horizontal="center" vertical="center"/>
    </xf>
  </cellXfs>
  <cellStyles count="6">
    <cellStyle name="Comma" xfId="2" builtinId="3"/>
    <cellStyle name="Comma 2" xfId="5"/>
    <cellStyle name="Normal" xfId="0" builtinId="0"/>
    <cellStyle name="Normal 14" xfId="4"/>
    <cellStyle name="Normal 78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NPV and Discount Range Series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Sheet3!$G$81</c:f>
              <c:strCache>
                <c:ptCount val="1"/>
                <c:pt idx="0">
                  <c:v>NPV (in ₹ Cr.)
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Sheet3!$F$82:$F$86</c:f>
              <c:numCache>
                <c:formatCode>0%</c:formatCode>
                <c:ptCount val="5"/>
                <c:pt idx="0">
                  <c:v>9.0000000000000011E-2</c:v>
                </c:pt>
                <c:pt idx="1">
                  <c:v>0.1</c:v>
                </c:pt>
                <c:pt idx="2">
                  <c:v>0.11</c:v>
                </c:pt>
                <c:pt idx="3">
                  <c:v>0.12</c:v>
                </c:pt>
                <c:pt idx="4">
                  <c:v>0.13</c:v>
                </c:pt>
              </c:numCache>
            </c:numRef>
          </c:cat>
          <c:val>
            <c:numRef>
              <c:f>Sheet3!$G$82:$G$86</c:f>
              <c:numCache>
                <c:formatCode>_(* #,##0.00_);_(* \(#,##0.00\);_(* "-"??_);_(@_)</c:formatCode>
                <c:ptCount val="5"/>
                <c:pt idx="0">
                  <c:v>23.924776846615234</c:v>
                </c:pt>
                <c:pt idx="1">
                  <c:v>21.612792201911137</c:v>
                </c:pt>
                <c:pt idx="2">
                  <c:v>19.610754054152615</c:v>
                </c:pt>
                <c:pt idx="3">
                  <c:v>17.869905313510319</c:v>
                </c:pt>
                <c:pt idx="4">
                  <c:v>16.349952201911556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306025472"/>
        <c:axId val="306022728"/>
      </c:lineChart>
      <c:catAx>
        <c:axId val="306025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Discount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022728"/>
        <c:crosses val="autoZero"/>
        <c:auto val="1"/>
        <c:lblAlgn val="ctr"/>
        <c:lblOffset val="100"/>
        <c:noMultiLvlLbl val="0"/>
      </c:catAx>
      <c:valAx>
        <c:axId val="30602272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NPV (in ₹ Cr.)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crossAx val="30602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Lines="2" dropStyle="combo" dx="16" fmlaLink="$C$113" fmlaRange="$X$8:$X$9" noThreeD="1" sel="0" val="0"/>
</file>

<file path=xl/ctrlProps/ctrlProp2.xml><?xml version="1.0" encoding="utf-8"?>
<formControlPr xmlns="http://schemas.microsoft.com/office/spreadsheetml/2009/9/main" objectType="Drop" dropLines="2" dropStyle="combo" dx="16" fmlaLink="$C$114" fmlaRange="$X$8:$X$9" noThreeD="1" sel="0" val="0"/>
</file>

<file path=xl/ctrlProps/ctrlProp3.xml><?xml version="1.0" encoding="utf-8"?>
<formControlPr xmlns="http://schemas.microsoft.com/office/spreadsheetml/2009/9/main" objectType="Drop" dropLines="2" dropStyle="combo" dx="16" fmlaLink="$C$115" fmlaRange="$X$8:$X$9" noThreeD="1" sel="0" val="0"/>
</file>

<file path=xl/ctrlProps/ctrlProp4.xml><?xml version="1.0" encoding="utf-8"?>
<formControlPr xmlns="http://schemas.microsoft.com/office/spreadsheetml/2009/9/main" objectType="Drop" dropLines="2" dropStyle="combo" dx="16" fmlaLink="$C$116" fmlaRange="$X$8:$X$9" noThreeD="1" sel="0" val="0"/>
</file>

<file path=xl/ctrlProps/ctrlProp5.xml><?xml version="1.0" encoding="utf-8"?>
<formControlPr xmlns="http://schemas.microsoft.com/office/spreadsheetml/2009/9/main" objectType="Drop" dropLines="2" dropStyle="combo" dx="16" fmlaLink="$C$100" fmlaRange="$X$8:$X$9" noThreeD="1" sel="2" val="0"/>
</file>

<file path=xl/ctrlProps/ctrlProp6.xml><?xml version="1.0" encoding="utf-8"?>
<formControlPr xmlns="http://schemas.microsoft.com/office/spreadsheetml/2009/9/main" objectType="Drop" dropLines="2" dropStyle="combo" dx="16" fmlaLink="$C$133" fmlaRange="$X$8:$X$9" noThreeD="1" sel="0" val="0"/>
</file>

<file path=xl/ctrlProps/ctrlProp7.xml><?xml version="1.0" encoding="utf-8"?>
<formControlPr xmlns="http://schemas.microsoft.com/office/spreadsheetml/2009/9/main" objectType="Drop" dropLines="2" dropStyle="combo" dx="16" fmlaLink="$C$133" fmlaRange="$X$8:$X$9" noThreeD="1" sel="0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9525</xdr:rowOff>
        </xdr:from>
        <xdr:to>
          <xdr:col>1</xdr:col>
          <xdr:colOff>828675</xdr:colOff>
          <xdr:row>81</xdr:row>
          <xdr:rowOff>114300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9525</xdr:rowOff>
        </xdr:from>
        <xdr:to>
          <xdr:col>1</xdr:col>
          <xdr:colOff>828675</xdr:colOff>
          <xdr:row>82</xdr:row>
          <xdr:rowOff>114300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83</xdr:row>
          <xdr:rowOff>9525</xdr:rowOff>
        </xdr:from>
        <xdr:to>
          <xdr:col>1</xdr:col>
          <xdr:colOff>828675</xdr:colOff>
          <xdr:row>83</xdr:row>
          <xdr:rowOff>114300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9525</xdr:rowOff>
        </xdr:from>
        <xdr:to>
          <xdr:col>1</xdr:col>
          <xdr:colOff>828675</xdr:colOff>
          <xdr:row>84</xdr:row>
          <xdr:rowOff>114300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9525</xdr:rowOff>
        </xdr:from>
        <xdr:to>
          <xdr:col>1</xdr:col>
          <xdr:colOff>828675</xdr:colOff>
          <xdr:row>68</xdr:row>
          <xdr:rowOff>171450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828675</xdr:colOff>
          <xdr:row>95</xdr:row>
          <xdr:rowOff>104775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828675</xdr:colOff>
          <xdr:row>95</xdr:row>
          <xdr:rowOff>104775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481012</xdr:colOff>
      <xdr:row>68</xdr:row>
      <xdr:rowOff>138112</xdr:rowOff>
    </xdr:from>
    <xdr:to>
      <xdr:col>18</xdr:col>
      <xdr:colOff>195262</xdr:colOff>
      <xdr:row>81</xdr:row>
      <xdr:rowOff>109537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9"/>
  <sheetViews>
    <sheetView workbookViewId="0">
      <selection activeCell="K23" sqref="K23"/>
    </sheetView>
  </sheetViews>
  <sheetFormatPr defaultRowHeight="15"/>
  <cols>
    <col min="1" max="2" width="28.7109375" style="9" customWidth="1"/>
    <col min="3" max="3" width="28.7109375" style="10" hidden="1" customWidth="1"/>
    <col min="4" max="5" width="28.7109375" style="9" hidden="1" customWidth="1"/>
    <col min="6" max="6" width="10.5703125" style="9" customWidth="1"/>
    <col min="7" max="10" width="9.5703125" style="9" bestFit="1" customWidth="1"/>
    <col min="11" max="16" width="9.5703125" bestFit="1" customWidth="1"/>
    <col min="17" max="17" width="10" customWidth="1"/>
    <col min="18" max="18" width="9.7109375" customWidth="1"/>
    <col min="19" max="19" width="10.7109375" customWidth="1"/>
    <col min="20" max="20" width="9.7109375" customWidth="1"/>
    <col min="21" max="21" width="10.140625" customWidth="1"/>
    <col min="22" max="22" width="9.7109375" customWidth="1"/>
    <col min="23" max="23" width="10.140625" customWidth="1"/>
    <col min="24" max="24" width="9.85546875" customWidth="1"/>
    <col min="25" max="26" width="10.28515625" customWidth="1"/>
    <col min="27" max="27" width="10.140625" customWidth="1"/>
    <col min="28" max="29" width="10.28515625" customWidth="1"/>
    <col min="30" max="30" width="9.85546875" customWidth="1"/>
    <col min="31" max="31" width="9.7109375" customWidth="1"/>
  </cols>
  <sheetData>
    <row r="1" spans="1:31">
      <c r="A1" s="11" t="s">
        <v>70</v>
      </c>
    </row>
    <row r="3" spans="1:31">
      <c r="A3" s="213" t="s">
        <v>0</v>
      </c>
      <c r="B3" s="213"/>
      <c r="C3" s="1" t="s">
        <v>1</v>
      </c>
      <c r="D3" s="1" t="s">
        <v>2</v>
      </c>
      <c r="E3" s="1" t="s">
        <v>3</v>
      </c>
      <c r="F3" s="22">
        <v>2017</v>
      </c>
      <c r="G3" s="22">
        <v>2018</v>
      </c>
      <c r="H3" s="22">
        <v>2019</v>
      </c>
      <c r="I3" s="22">
        <v>2020</v>
      </c>
      <c r="J3" s="22">
        <v>2021</v>
      </c>
      <c r="K3" s="23">
        <v>2022</v>
      </c>
      <c r="L3" s="23">
        <v>2023</v>
      </c>
      <c r="M3" s="23">
        <v>2024</v>
      </c>
      <c r="N3" s="23">
        <v>2025</v>
      </c>
      <c r="O3" s="23">
        <v>2026</v>
      </c>
      <c r="P3" s="23">
        <v>2027</v>
      </c>
      <c r="Q3" s="23">
        <v>2028</v>
      </c>
      <c r="R3" s="23">
        <v>2029</v>
      </c>
      <c r="S3" s="23">
        <v>2030</v>
      </c>
      <c r="T3" s="23">
        <v>2031</v>
      </c>
      <c r="U3" s="23">
        <v>2032</v>
      </c>
      <c r="V3" s="23">
        <v>2033</v>
      </c>
      <c r="W3" s="23">
        <v>2034</v>
      </c>
      <c r="X3" s="23">
        <v>2035</v>
      </c>
      <c r="Y3" s="23">
        <v>2036</v>
      </c>
      <c r="Z3" s="23">
        <v>2037</v>
      </c>
      <c r="AA3" s="23">
        <v>2038</v>
      </c>
      <c r="AB3" s="23">
        <v>2039</v>
      </c>
      <c r="AC3" s="23">
        <v>2040</v>
      </c>
      <c r="AD3" s="23">
        <v>2041</v>
      </c>
      <c r="AE3" s="23">
        <v>2042</v>
      </c>
    </row>
    <row r="4" spans="1:31">
      <c r="A4" s="213" t="s">
        <v>4</v>
      </c>
      <c r="B4" s="213"/>
      <c r="C4" s="2"/>
      <c r="D4" s="2"/>
      <c r="E4" s="2"/>
      <c r="F4" s="2"/>
      <c r="G4" s="2"/>
      <c r="H4" s="2"/>
      <c r="I4" s="2"/>
      <c r="J4" s="2"/>
    </row>
    <row r="5" spans="1:31">
      <c r="A5" s="207" t="s">
        <v>5</v>
      </c>
      <c r="B5" s="207"/>
      <c r="C5" s="2"/>
      <c r="D5" s="2"/>
      <c r="E5" s="2"/>
      <c r="F5" s="2"/>
      <c r="G5" s="2"/>
      <c r="H5" s="2"/>
      <c r="I5" s="2"/>
      <c r="J5" s="2"/>
    </row>
    <row r="6" spans="1:31">
      <c r="A6" s="208" t="s">
        <v>6</v>
      </c>
      <c r="B6" s="208"/>
      <c r="C6" s="2">
        <v>1.75</v>
      </c>
      <c r="D6" s="2">
        <v>1.75</v>
      </c>
      <c r="E6" s="2">
        <v>1.75</v>
      </c>
      <c r="F6" s="2">
        <v>1</v>
      </c>
      <c r="G6" s="2">
        <v>1</v>
      </c>
      <c r="H6" s="2">
        <v>2.87</v>
      </c>
      <c r="I6" s="2">
        <v>2.87</v>
      </c>
      <c r="J6" s="2">
        <v>2.87</v>
      </c>
      <c r="K6" s="25">
        <f>J6</f>
        <v>2.87</v>
      </c>
      <c r="L6" s="25">
        <f t="shared" ref="L6:AE6" si="0">K6</f>
        <v>2.87</v>
      </c>
      <c r="M6" s="25">
        <f t="shared" si="0"/>
        <v>2.87</v>
      </c>
      <c r="N6" s="25">
        <f t="shared" si="0"/>
        <v>2.87</v>
      </c>
      <c r="O6" s="25">
        <f t="shared" si="0"/>
        <v>2.87</v>
      </c>
      <c r="P6" s="25">
        <f t="shared" si="0"/>
        <v>2.87</v>
      </c>
      <c r="Q6" s="25">
        <f t="shared" si="0"/>
        <v>2.87</v>
      </c>
      <c r="R6" s="25">
        <f t="shared" si="0"/>
        <v>2.87</v>
      </c>
      <c r="S6" s="25">
        <f t="shared" si="0"/>
        <v>2.87</v>
      </c>
      <c r="T6" s="25">
        <f t="shared" si="0"/>
        <v>2.87</v>
      </c>
      <c r="U6" s="25">
        <f t="shared" si="0"/>
        <v>2.87</v>
      </c>
      <c r="V6" s="25">
        <f t="shared" si="0"/>
        <v>2.87</v>
      </c>
      <c r="W6" s="25">
        <f t="shared" si="0"/>
        <v>2.87</v>
      </c>
      <c r="X6" s="25">
        <f t="shared" si="0"/>
        <v>2.87</v>
      </c>
      <c r="Y6" s="25">
        <f t="shared" si="0"/>
        <v>2.87</v>
      </c>
      <c r="Z6" s="25">
        <f t="shared" si="0"/>
        <v>2.87</v>
      </c>
      <c r="AA6" s="25">
        <f t="shared" si="0"/>
        <v>2.87</v>
      </c>
      <c r="AB6" s="25">
        <f t="shared" si="0"/>
        <v>2.87</v>
      </c>
      <c r="AC6" s="25">
        <f t="shared" si="0"/>
        <v>2.87</v>
      </c>
      <c r="AD6" s="25">
        <f t="shared" si="0"/>
        <v>2.87</v>
      </c>
      <c r="AE6" s="25">
        <f t="shared" si="0"/>
        <v>2.87</v>
      </c>
    </row>
    <row r="7" spans="1:31">
      <c r="A7" s="208" t="s">
        <v>7</v>
      </c>
      <c r="B7" s="208"/>
      <c r="C7" s="2">
        <v>6.74</v>
      </c>
      <c r="D7" s="2">
        <v>6.74</v>
      </c>
      <c r="E7" s="2">
        <v>6.74</v>
      </c>
      <c r="F7" s="2">
        <v>5.89</v>
      </c>
      <c r="G7" s="2">
        <v>5.22</v>
      </c>
      <c r="H7" s="2">
        <v>4.6100000000000003</v>
      </c>
      <c r="I7" s="2">
        <v>4.09</v>
      </c>
      <c r="J7" s="2">
        <v>3.38</v>
      </c>
    </row>
    <row r="8" spans="1:31">
      <c r="A8" s="208" t="s">
        <v>8</v>
      </c>
      <c r="B8" s="208"/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</row>
    <row r="9" spans="1:31">
      <c r="A9" s="209" t="s">
        <v>9</v>
      </c>
      <c r="B9" s="209"/>
      <c r="C9" s="3">
        <v>8.49</v>
      </c>
      <c r="D9" s="3">
        <v>8.49</v>
      </c>
      <c r="E9" s="3">
        <v>8.49</v>
      </c>
      <c r="F9" s="3">
        <v>6.89</v>
      </c>
      <c r="G9" s="3">
        <v>6.22</v>
      </c>
      <c r="H9" s="3">
        <v>7.48</v>
      </c>
      <c r="I9" s="3">
        <v>6.96</v>
      </c>
      <c r="J9" s="3">
        <v>6.25</v>
      </c>
    </row>
    <row r="10" spans="1:31">
      <c r="A10" s="207" t="s">
        <v>10</v>
      </c>
      <c r="B10" s="207"/>
      <c r="C10" s="3"/>
      <c r="D10" s="3"/>
      <c r="E10" s="3"/>
      <c r="F10" s="3"/>
      <c r="G10" s="3"/>
      <c r="H10" s="3"/>
      <c r="I10" s="3"/>
      <c r="J10" s="3"/>
    </row>
    <row r="11" spans="1:31">
      <c r="A11" s="214" t="s">
        <v>11</v>
      </c>
      <c r="B11" s="214"/>
      <c r="C11" s="2"/>
      <c r="D11" s="2"/>
      <c r="E11" s="2"/>
      <c r="F11" s="2"/>
      <c r="G11" s="2"/>
      <c r="H11" s="2"/>
      <c r="I11" s="2"/>
      <c r="J11" s="2"/>
    </row>
    <row r="12" spans="1:31">
      <c r="A12" s="211" t="s">
        <v>12</v>
      </c>
      <c r="B12" s="211"/>
      <c r="C12" s="2">
        <v>14.3</v>
      </c>
      <c r="D12" s="2">
        <v>17.43</v>
      </c>
      <c r="E12" s="2">
        <v>18.66</v>
      </c>
      <c r="F12" s="2">
        <v>21.57</v>
      </c>
      <c r="G12" s="2">
        <v>22.24</v>
      </c>
      <c r="H12" s="2">
        <v>22.25</v>
      </c>
      <c r="I12" s="2">
        <v>21.68</v>
      </c>
      <c r="J12" s="2">
        <v>21.45</v>
      </c>
    </row>
    <row r="13" spans="1:31">
      <c r="A13" s="211" t="s">
        <v>13</v>
      </c>
      <c r="B13" s="211"/>
      <c r="C13" s="2" t="s">
        <v>14</v>
      </c>
      <c r="D13" s="2" t="s">
        <v>14</v>
      </c>
      <c r="E13" s="2" t="s">
        <v>14</v>
      </c>
      <c r="F13" s="2" t="s">
        <v>14</v>
      </c>
      <c r="G13" s="2">
        <v>0</v>
      </c>
      <c r="H13" s="2" t="s">
        <v>14</v>
      </c>
      <c r="I13" s="2" t="s">
        <v>14</v>
      </c>
      <c r="J13" s="2" t="s">
        <v>14</v>
      </c>
    </row>
    <row r="14" spans="1:31">
      <c r="A14" s="211" t="s">
        <v>15</v>
      </c>
      <c r="B14" s="211"/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</row>
    <row r="15" spans="1:31">
      <c r="A15" s="211" t="s">
        <v>16</v>
      </c>
      <c r="B15" s="211"/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</row>
    <row r="16" spans="1:31">
      <c r="A16" s="212" t="s">
        <v>17</v>
      </c>
      <c r="B16" s="212"/>
      <c r="C16" s="3">
        <v>14.3</v>
      </c>
      <c r="D16" s="3">
        <v>17.43</v>
      </c>
      <c r="E16" s="3">
        <v>18.66</v>
      </c>
      <c r="F16" s="3">
        <v>21.57</v>
      </c>
      <c r="G16" s="3">
        <v>22.24</v>
      </c>
      <c r="H16" s="3">
        <v>22.25</v>
      </c>
      <c r="I16" s="3">
        <v>21.68</v>
      </c>
      <c r="J16" s="3">
        <v>21.45</v>
      </c>
    </row>
    <row r="17" spans="1:31">
      <c r="A17" s="214" t="s">
        <v>18</v>
      </c>
      <c r="B17" s="214"/>
      <c r="C17" s="2"/>
      <c r="D17" s="2"/>
      <c r="E17" s="2"/>
      <c r="F17" s="2"/>
      <c r="G17" s="2"/>
      <c r="H17" s="2"/>
      <c r="I17" s="2"/>
      <c r="J17" s="2"/>
    </row>
    <row r="18" spans="1:31">
      <c r="A18" s="211" t="s">
        <v>19</v>
      </c>
      <c r="B18" s="211"/>
      <c r="C18" s="2">
        <v>0.03</v>
      </c>
      <c r="D18" s="2">
        <v>2.9</v>
      </c>
      <c r="E18" s="2">
        <v>3.73</v>
      </c>
      <c r="F18" s="2">
        <v>3.73</v>
      </c>
      <c r="G18" s="2">
        <v>3.69</v>
      </c>
      <c r="H18" s="2">
        <v>0.88</v>
      </c>
      <c r="I18" s="2">
        <v>0.88</v>
      </c>
      <c r="J18" s="2">
        <v>0.34</v>
      </c>
      <c r="K18" s="25">
        <f>J18</f>
        <v>0.34</v>
      </c>
      <c r="L18" s="25">
        <f t="shared" ref="L18:AE18" si="1">K18</f>
        <v>0.34</v>
      </c>
      <c r="M18" s="25">
        <f t="shared" si="1"/>
        <v>0.34</v>
      </c>
      <c r="N18" s="25">
        <f t="shared" si="1"/>
        <v>0.34</v>
      </c>
      <c r="O18" s="25">
        <f t="shared" si="1"/>
        <v>0.34</v>
      </c>
      <c r="P18" s="25">
        <f t="shared" si="1"/>
        <v>0.34</v>
      </c>
      <c r="Q18" s="25">
        <f t="shared" si="1"/>
        <v>0.34</v>
      </c>
      <c r="R18" s="25">
        <f t="shared" si="1"/>
        <v>0.34</v>
      </c>
      <c r="S18" s="25">
        <f t="shared" si="1"/>
        <v>0.34</v>
      </c>
      <c r="T18" s="25">
        <f t="shared" si="1"/>
        <v>0.34</v>
      </c>
      <c r="U18" s="25">
        <f t="shared" si="1"/>
        <v>0.34</v>
      </c>
      <c r="V18" s="25">
        <f t="shared" si="1"/>
        <v>0.34</v>
      </c>
      <c r="W18" s="25">
        <f t="shared" si="1"/>
        <v>0.34</v>
      </c>
      <c r="X18" s="25">
        <f t="shared" si="1"/>
        <v>0.34</v>
      </c>
      <c r="Y18" s="25">
        <f t="shared" si="1"/>
        <v>0.34</v>
      </c>
      <c r="Z18" s="25">
        <f t="shared" si="1"/>
        <v>0.34</v>
      </c>
      <c r="AA18" s="25">
        <f t="shared" si="1"/>
        <v>0.34</v>
      </c>
      <c r="AB18" s="25">
        <f t="shared" si="1"/>
        <v>0.34</v>
      </c>
      <c r="AC18" s="25">
        <f t="shared" si="1"/>
        <v>0.34</v>
      </c>
      <c r="AD18" s="25">
        <f t="shared" si="1"/>
        <v>0.34</v>
      </c>
      <c r="AE18" s="25">
        <f t="shared" si="1"/>
        <v>0.34</v>
      </c>
    </row>
    <row r="19" spans="1:31">
      <c r="A19" s="211" t="s">
        <v>20</v>
      </c>
      <c r="B19" s="211"/>
      <c r="C19" s="2">
        <v>0</v>
      </c>
      <c r="D19" s="2">
        <v>0</v>
      </c>
      <c r="E19" s="2">
        <v>0</v>
      </c>
      <c r="F19" s="2">
        <v>0.02</v>
      </c>
      <c r="G19" s="2">
        <v>0.06</v>
      </c>
      <c r="H19" s="2">
        <v>0.1</v>
      </c>
      <c r="I19" s="2">
        <v>0.09</v>
      </c>
      <c r="J19" s="2">
        <v>7.0000000000000007E-2</v>
      </c>
    </row>
    <row r="20" spans="1:31">
      <c r="A20" s="211" t="s">
        <v>21</v>
      </c>
      <c r="B20" s="211"/>
      <c r="C20" s="2">
        <v>1.71</v>
      </c>
      <c r="D20" s="2">
        <v>3.6</v>
      </c>
      <c r="E20" s="2">
        <v>3.91</v>
      </c>
      <c r="F20" s="2">
        <v>4.63</v>
      </c>
      <c r="G20" s="2">
        <v>6.07</v>
      </c>
      <c r="H20" s="2">
        <v>0.55000000000000004</v>
      </c>
      <c r="I20" s="2">
        <v>0.37</v>
      </c>
      <c r="J20" s="2">
        <v>0.37</v>
      </c>
    </row>
    <row r="21" spans="1:31">
      <c r="A21" s="211" t="s">
        <v>22</v>
      </c>
      <c r="B21" s="211"/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</row>
    <row r="22" spans="1:31">
      <c r="A22" s="212" t="s">
        <v>23</v>
      </c>
      <c r="B22" s="212"/>
      <c r="C22" s="3">
        <v>1.74</v>
      </c>
      <c r="D22" s="3">
        <v>6.5</v>
      </c>
      <c r="E22" s="3">
        <v>7.63</v>
      </c>
      <c r="F22" s="3">
        <v>8.3800000000000008</v>
      </c>
      <c r="G22" s="3">
        <v>9.83</v>
      </c>
      <c r="H22" s="3">
        <v>1.52</v>
      </c>
      <c r="I22" s="3">
        <v>1.34</v>
      </c>
      <c r="J22" s="3">
        <v>0.78</v>
      </c>
    </row>
    <row r="23" spans="1:31">
      <c r="A23" s="207" t="s">
        <v>24</v>
      </c>
      <c r="B23" s="207"/>
      <c r="C23" s="3">
        <v>24.54</v>
      </c>
      <c r="D23" s="3">
        <v>32.42</v>
      </c>
      <c r="E23" s="3">
        <v>34.79</v>
      </c>
      <c r="F23" s="3">
        <v>36.85</v>
      </c>
      <c r="G23" s="3">
        <v>38.29</v>
      </c>
      <c r="H23" s="3">
        <v>31.25</v>
      </c>
      <c r="I23" s="3">
        <v>29.98</v>
      </c>
      <c r="J23" s="3">
        <v>28.48</v>
      </c>
    </row>
    <row r="24" spans="1:31">
      <c r="A24" s="208"/>
      <c r="B24" s="208"/>
      <c r="C24" s="2"/>
      <c r="D24" s="2"/>
      <c r="E24" s="2"/>
      <c r="F24" s="2"/>
      <c r="G24" s="2"/>
      <c r="H24" s="2"/>
      <c r="I24" s="2"/>
      <c r="J24" s="2"/>
    </row>
    <row r="25" spans="1:31">
      <c r="A25" s="213" t="s">
        <v>25</v>
      </c>
      <c r="B25" s="213"/>
      <c r="C25" s="2"/>
      <c r="D25" s="2"/>
      <c r="E25" s="2"/>
      <c r="F25" s="2"/>
      <c r="G25" s="2"/>
      <c r="H25" s="2"/>
      <c r="I25" s="2"/>
      <c r="J25" s="2"/>
    </row>
    <row r="26" spans="1:31">
      <c r="A26" s="207" t="s">
        <v>26</v>
      </c>
      <c r="B26" s="207"/>
      <c r="C26" s="2"/>
      <c r="D26" s="2"/>
      <c r="E26" s="2"/>
      <c r="F26" s="2"/>
      <c r="G26" s="2"/>
      <c r="H26" s="2"/>
      <c r="I26" s="2"/>
      <c r="J26" s="2"/>
    </row>
    <row r="27" spans="1:31">
      <c r="A27" s="208" t="s">
        <v>27</v>
      </c>
      <c r="B27" s="208"/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0.02</v>
      </c>
      <c r="J27" s="2">
        <v>0.02</v>
      </c>
    </row>
    <row r="28" spans="1:31">
      <c r="A28" s="208" t="s">
        <v>28</v>
      </c>
      <c r="B28" s="208"/>
      <c r="C28" s="2">
        <v>0</v>
      </c>
      <c r="D28" s="2">
        <v>0</v>
      </c>
      <c r="E28" s="2">
        <v>0</v>
      </c>
      <c r="F28" s="2">
        <v>25.96</v>
      </c>
      <c r="G28" s="2">
        <v>24.59</v>
      </c>
      <c r="H28" s="2">
        <v>23.22</v>
      </c>
      <c r="I28" s="2">
        <v>21.86</v>
      </c>
      <c r="J28" s="2">
        <v>20.49</v>
      </c>
    </row>
    <row r="29" spans="1:31">
      <c r="A29" s="209" t="s">
        <v>29</v>
      </c>
      <c r="B29" s="209"/>
      <c r="C29" s="3">
        <v>0</v>
      </c>
      <c r="D29" s="3">
        <v>0</v>
      </c>
      <c r="E29" s="3">
        <v>0</v>
      </c>
      <c r="F29" s="3">
        <v>25.96</v>
      </c>
      <c r="G29" s="3">
        <v>24.59</v>
      </c>
      <c r="H29" s="3">
        <v>23.22</v>
      </c>
      <c r="I29" s="3">
        <v>21.88</v>
      </c>
      <c r="J29" s="3">
        <v>20.51</v>
      </c>
    </row>
    <row r="30" spans="1:31">
      <c r="A30" s="210" t="s">
        <v>30</v>
      </c>
      <c r="B30" s="210"/>
      <c r="C30" s="2">
        <v>21.91</v>
      </c>
      <c r="D30" s="2">
        <v>29.74</v>
      </c>
      <c r="E30" s="2">
        <v>33.44</v>
      </c>
      <c r="F30" s="2">
        <v>9.14</v>
      </c>
      <c r="G30" s="2">
        <v>12.18</v>
      </c>
      <c r="H30" s="2">
        <v>5.18</v>
      </c>
      <c r="I30" s="2">
        <v>5.93</v>
      </c>
      <c r="J30" s="2">
        <v>6.5</v>
      </c>
    </row>
    <row r="31" spans="1:31">
      <c r="A31" s="207" t="s">
        <v>31</v>
      </c>
      <c r="B31" s="207"/>
      <c r="C31" s="2"/>
      <c r="D31" s="2"/>
      <c r="E31" s="2"/>
      <c r="F31" s="2"/>
      <c r="G31" s="2"/>
      <c r="H31" s="2"/>
      <c r="I31" s="2"/>
      <c r="J31" s="2"/>
    </row>
    <row r="32" spans="1:31">
      <c r="A32" s="208" t="s">
        <v>32</v>
      </c>
      <c r="B32" s="208"/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</row>
    <row r="33" spans="1:10">
      <c r="A33" s="208" t="s">
        <v>33</v>
      </c>
      <c r="B33" s="208"/>
      <c r="C33" s="2" t="s">
        <v>14</v>
      </c>
      <c r="D33" s="2" t="s">
        <v>14</v>
      </c>
      <c r="E33" s="2" t="s">
        <v>14</v>
      </c>
      <c r="F33" s="2">
        <v>0.16</v>
      </c>
      <c r="G33" s="2">
        <v>0.19</v>
      </c>
      <c r="H33" s="2">
        <v>0.23</v>
      </c>
      <c r="I33" s="2">
        <v>0.26</v>
      </c>
      <c r="J33" s="2">
        <v>0.28999999999999998</v>
      </c>
    </row>
    <row r="34" spans="1:10">
      <c r="A34" s="208" t="s">
        <v>34</v>
      </c>
      <c r="B34" s="208"/>
      <c r="C34" s="2">
        <v>0.9</v>
      </c>
      <c r="D34" s="2">
        <v>1.17</v>
      </c>
      <c r="E34" s="2">
        <v>1.27</v>
      </c>
      <c r="F34" s="2">
        <v>0</v>
      </c>
      <c r="G34" s="2">
        <v>1.29</v>
      </c>
      <c r="H34" s="2">
        <v>2.4300000000000002</v>
      </c>
      <c r="I34" s="2">
        <v>0.67</v>
      </c>
      <c r="J34" s="2">
        <v>0.67</v>
      </c>
    </row>
    <row r="35" spans="1:10">
      <c r="A35" s="208" t="s">
        <v>31</v>
      </c>
      <c r="B35" s="208"/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0.04</v>
      </c>
      <c r="J35" s="2">
        <v>0.04</v>
      </c>
    </row>
    <row r="36" spans="1:10">
      <c r="A36" s="209" t="s">
        <v>35</v>
      </c>
      <c r="B36" s="209"/>
      <c r="C36" s="3">
        <v>0.91</v>
      </c>
      <c r="D36" s="3">
        <v>1.17</v>
      </c>
      <c r="E36" s="3">
        <v>1.27</v>
      </c>
      <c r="F36" s="3">
        <v>0.16</v>
      </c>
      <c r="G36" s="3">
        <v>1.48</v>
      </c>
      <c r="H36" s="3">
        <v>2.66</v>
      </c>
      <c r="I36" s="3">
        <v>0.96</v>
      </c>
      <c r="J36" s="3">
        <v>0.99</v>
      </c>
    </row>
    <row r="37" spans="1:10">
      <c r="A37" s="207" t="s">
        <v>36</v>
      </c>
      <c r="B37" s="207"/>
      <c r="C37" s="2"/>
      <c r="D37" s="2"/>
      <c r="E37" s="2"/>
      <c r="F37" s="2"/>
      <c r="G37" s="2"/>
      <c r="H37" s="2"/>
      <c r="I37" s="2"/>
      <c r="J37" s="2"/>
    </row>
    <row r="38" spans="1:10">
      <c r="A38" s="208" t="s">
        <v>37</v>
      </c>
      <c r="B38" s="208"/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</row>
    <row r="39" spans="1:10">
      <c r="A39" s="208" t="s">
        <v>38</v>
      </c>
      <c r="B39" s="208"/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</row>
    <row r="40" spans="1:10">
      <c r="A40" s="208" t="s">
        <v>39</v>
      </c>
      <c r="B40" s="208"/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</row>
    <row r="41" spans="1:10">
      <c r="A41" s="208" t="s">
        <v>40</v>
      </c>
      <c r="B41" s="208"/>
      <c r="C41" s="2">
        <v>0.01</v>
      </c>
      <c r="D41" s="2">
        <v>0.01</v>
      </c>
      <c r="E41" s="2">
        <v>0.08</v>
      </c>
      <c r="F41" s="2">
        <v>0.09</v>
      </c>
      <c r="G41" s="2">
        <v>0.02</v>
      </c>
      <c r="H41" s="2">
        <v>0.16</v>
      </c>
      <c r="I41" s="2">
        <v>0.03</v>
      </c>
      <c r="J41" s="2">
        <v>0.05</v>
      </c>
    </row>
    <row r="42" spans="1:10">
      <c r="A42" s="208" t="s">
        <v>41</v>
      </c>
      <c r="B42" s="208"/>
      <c r="C42" s="2">
        <v>1.71</v>
      </c>
      <c r="D42" s="2">
        <v>1.5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</row>
    <row r="43" spans="1:10">
      <c r="A43" s="208" t="s">
        <v>42</v>
      </c>
      <c r="B43" s="208"/>
      <c r="C43" s="2">
        <v>0</v>
      </c>
      <c r="D43" s="2">
        <v>0</v>
      </c>
      <c r="E43" s="2" t="s">
        <v>14</v>
      </c>
      <c r="F43" s="2">
        <v>1.51</v>
      </c>
      <c r="G43" s="2">
        <v>0.02</v>
      </c>
      <c r="H43" s="2">
        <v>0.02</v>
      </c>
      <c r="I43" s="2">
        <v>1.18</v>
      </c>
      <c r="J43" s="2">
        <v>0.43</v>
      </c>
    </row>
    <row r="44" spans="1:10">
      <c r="A44" s="209" t="s">
        <v>43</v>
      </c>
      <c r="B44" s="209"/>
      <c r="C44" s="3">
        <v>1.72</v>
      </c>
      <c r="D44" s="3">
        <v>1.51</v>
      </c>
      <c r="E44" s="3">
        <v>0.08</v>
      </c>
      <c r="F44" s="3">
        <v>1.59</v>
      </c>
      <c r="G44" s="3">
        <v>0.04</v>
      </c>
      <c r="H44" s="3">
        <v>0.19</v>
      </c>
      <c r="I44" s="3">
        <v>1.21</v>
      </c>
      <c r="J44" s="3">
        <v>0.48</v>
      </c>
    </row>
    <row r="45" spans="1:10">
      <c r="A45" s="207" t="s">
        <v>44</v>
      </c>
      <c r="B45" s="207"/>
      <c r="C45" s="3">
        <v>24.54</v>
      </c>
      <c r="D45" s="3">
        <v>32.42</v>
      </c>
      <c r="E45" s="3">
        <v>34.79</v>
      </c>
      <c r="F45" s="3">
        <v>36.85</v>
      </c>
      <c r="G45" s="3">
        <v>38.29</v>
      </c>
      <c r="H45" s="3">
        <v>31.25</v>
      </c>
      <c r="I45" s="3">
        <v>29.98</v>
      </c>
      <c r="J45" s="3">
        <v>28.48</v>
      </c>
    </row>
    <row r="46" spans="1:10">
      <c r="A46" s="208"/>
      <c r="B46" s="208"/>
      <c r="C46" s="2"/>
      <c r="D46" s="2"/>
      <c r="E46" s="2"/>
      <c r="F46" s="2"/>
      <c r="G46" s="2"/>
      <c r="H46" s="2"/>
      <c r="I46" s="2"/>
      <c r="J46" s="2"/>
    </row>
    <row r="49" spans="1:38">
      <c r="A49" s="12" t="s">
        <v>121</v>
      </c>
      <c r="F49" s="107">
        <f>'P&amp;L'!F7</f>
        <v>1.1000000000000001</v>
      </c>
      <c r="G49" s="107">
        <f>'P&amp;L'!G7</f>
        <v>1.17</v>
      </c>
      <c r="H49" s="107">
        <f>'P&amp;L'!H7</f>
        <v>1.26</v>
      </c>
      <c r="I49" s="107">
        <f>'P&amp;L'!I7</f>
        <v>1.37</v>
      </c>
      <c r="J49" s="107">
        <f>'P&amp;L'!J7</f>
        <v>1.1499999999999999</v>
      </c>
      <c r="K49" s="107">
        <f>'P&amp;L'!K7</f>
        <v>1.2373467273467273</v>
      </c>
      <c r="L49" s="107">
        <f>'P&amp;L'!L7</f>
        <v>2.6305327597179624</v>
      </c>
      <c r="M49" s="107">
        <f>'P&amp;L'!M7</f>
        <v>3.9308569969677141</v>
      </c>
      <c r="N49" s="107">
        <f>'P&amp;L'!N7</f>
        <v>4.1645771119962163</v>
      </c>
      <c r="O49" s="107">
        <f>'P&amp;L'!O7</f>
        <v>4.2816404577284777</v>
      </c>
      <c r="P49" s="107">
        <f>'P&amp;L'!P7</f>
        <v>4.5553448194658248</v>
      </c>
      <c r="Q49" s="107">
        <f>'P&amp;L'!Q7</f>
        <v>4.7101343072332327</v>
      </c>
      <c r="R49" s="107">
        <f>'P&amp;L'!R7</f>
        <v>5.0159533717232367</v>
      </c>
      <c r="S49" s="107">
        <f>'P&amp;L'!S7</f>
        <v>5.1984959004977593</v>
      </c>
      <c r="T49" s="107">
        <f>'P&amp;L'!T7</f>
        <v>5.5413397244508316</v>
      </c>
      <c r="U49" s="107">
        <f>'P&amp;L'!U7</f>
        <v>5.7816563539852028</v>
      </c>
      <c r="V49" s="107">
        <f>'P&amp;L'!V7</f>
        <v>6.1968738960193201</v>
      </c>
      <c r="W49" s="107">
        <f>'P&amp;L'!W7</f>
        <v>6.485521674692194</v>
      </c>
      <c r="X49" s="107">
        <f>'P&amp;L'!X7</f>
        <v>6.9612999997128737</v>
      </c>
      <c r="Y49" s="107">
        <f>'P&amp;L'!Y7</f>
        <v>7.3079990204765126</v>
      </c>
      <c r="Z49" s="107">
        <f>'P&amp;L'!Z7</f>
        <v>7.8949694109164872</v>
      </c>
      <c r="AA49" s="107">
        <f>'P&amp;L'!AA7</f>
        <v>8.3589888350688373</v>
      </c>
      <c r="AB49" s="107">
        <f>'P&amp;L'!AB7</f>
        <v>9.0479485112724696</v>
      </c>
      <c r="AC49" s="107">
        <f>'P&amp;L'!AC7</f>
        <v>9.6155062290814968</v>
      </c>
      <c r="AD49" s="107">
        <f>'P&amp;L'!AD7</f>
        <v>10.427763246174122</v>
      </c>
      <c r="AE49" s="107">
        <f>'P&amp;L'!AE7</f>
        <v>11.187481216121942</v>
      </c>
      <c r="AF49" s="107">
        <f>'P&amp;L'!AF7</f>
        <v>12.229083973777422</v>
      </c>
      <c r="AG49" s="107">
        <f>'P&amp;L'!AG7</f>
        <v>13.175200728141361</v>
      </c>
      <c r="AH49" s="107">
        <f>'P&amp;L'!AH7</f>
        <v>14.434505529279509</v>
      </c>
      <c r="AI49" s="107"/>
      <c r="AJ49" s="107"/>
      <c r="AK49" s="107"/>
      <c r="AL49" s="107"/>
    </row>
    <row r="50" spans="1:38">
      <c r="A50" s="9" t="s">
        <v>177</v>
      </c>
      <c r="F50" s="107">
        <f>'P&amp;L'!F9</f>
        <v>0</v>
      </c>
      <c r="G50" s="107">
        <f>'P&amp;L'!G9</f>
        <v>0</v>
      </c>
      <c r="H50" s="107">
        <f>'P&amp;L'!H9</f>
        <v>0</v>
      </c>
      <c r="I50" s="107">
        <f>'P&amp;L'!I9</f>
        <v>0</v>
      </c>
      <c r="J50" s="107">
        <f>'P&amp;L'!J9</f>
        <v>0</v>
      </c>
      <c r="K50" s="107">
        <f>'P&amp;L'!K9</f>
        <v>0</v>
      </c>
      <c r="L50" s="107">
        <f>'P&amp;L'!L9</f>
        <v>0</v>
      </c>
      <c r="M50" s="107">
        <f>'P&amp;L'!M9</f>
        <v>0</v>
      </c>
      <c r="N50" s="107">
        <f>'P&amp;L'!N9</f>
        <v>0</v>
      </c>
      <c r="O50" s="107">
        <f>'P&amp;L'!O9</f>
        <v>0</v>
      </c>
      <c r="P50" s="107">
        <f>'P&amp;L'!P9</f>
        <v>0</v>
      </c>
      <c r="Q50" s="107">
        <f>'P&amp;L'!Q9</f>
        <v>0</v>
      </c>
      <c r="R50" s="107">
        <f>'P&amp;L'!R9</f>
        <v>0</v>
      </c>
      <c r="S50" s="107">
        <f>'P&amp;L'!S9</f>
        <v>0</v>
      </c>
      <c r="T50" s="107">
        <f>'P&amp;L'!T9</f>
        <v>0</v>
      </c>
      <c r="U50" s="107">
        <f>'P&amp;L'!U9</f>
        <v>0</v>
      </c>
      <c r="V50" s="107">
        <f>'P&amp;L'!V9</f>
        <v>0</v>
      </c>
      <c r="W50" s="107">
        <f>'P&amp;L'!W9</f>
        <v>0</v>
      </c>
      <c r="X50" s="107">
        <f>'P&amp;L'!X9</f>
        <v>0</v>
      </c>
      <c r="Y50" s="107">
        <f>'P&amp;L'!Y9</f>
        <v>0</v>
      </c>
      <c r="Z50" s="107">
        <f>'P&amp;L'!Z9</f>
        <v>0</v>
      </c>
      <c r="AA50" s="107">
        <f>'P&amp;L'!AA9</f>
        <v>0</v>
      </c>
      <c r="AB50" s="107">
        <f>'P&amp;L'!AB9</f>
        <v>0</v>
      </c>
      <c r="AC50" s="107">
        <f>'P&amp;L'!AC9</f>
        <v>0</v>
      </c>
      <c r="AD50" s="107">
        <f>'P&amp;L'!AD9</f>
        <v>0</v>
      </c>
      <c r="AE50" s="107">
        <f>'P&amp;L'!AE9</f>
        <v>0</v>
      </c>
      <c r="AF50" s="107">
        <f>'P&amp;L'!AF9</f>
        <v>0</v>
      </c>
      <c r="AG50" s="107">
        <f>'P&amp;L'!AG9</f>
        <v>0</v>
      </c>
      <c r="AH50" s="107">
        <f>'P&amp;L'!AH9</f>
        <v>0</v>
      </c>
    </row>
    <row r="51" spans="1:38">
      <c r="A51" t="s">
        <v>169</v>
      </c>
      <c r="B51"/>
      <c r="C51" s="5"/>
      <c r="D51" s="5"/>
      <c r="E51" s="5"/>
      <c r="F51" s="107">
        <f>F40</f>
        <v>0</v>
      </c>
      <c r="G51" s="107">
        <f t="shared" ref="G51:AH51" si="2">G40</f>
        <v>0</v>
      </c>
      <c r="H51" s="107">
        <f t="shared" si="2"/>
        <v>0</v>
      </c>
      <c r="I51" s="107">
        <f t="shared" si="2"/>
        <v>0</v>
      </c>
      <c r="J51" s="107">
        <f t="shared" si="2"/>
        <v>0</v>
      </c>
      <c r="K51" s="107">
        <f t="shared" si="2"/>
        <v>0</v>
      </c>
      <c r="L51" s="107">
        <f t="shared" si="2"/>
        <v>0</v>
      </c>
      <c r="M51" s="107">
        <f t="shared" si="2"/>
        <v>0</v>
      </c>
      <c r="N51" s="107">
        <f t="shared" si="2"/>
        <v>0</v>
      </c>
      <c r="O51" s="107">
        <f t="shared" si="2"/>
        <v>0</v>
      </c>
      <c r="P51" s="107">
        <f t="shared" si="2"/>
        <v>0</v>
      </c>
      <c r="Q51" s="107">
        <f t="shared" si="2"/>
        <v>0</v>
      </c>
      <c r="R51" s="107">
        <f t="shared" si="2"/>
        <v>0</v>
      </c>
      <c r="S51" s="107">
        <f t="shared" si="2"/>
        <v>0</v>
      </c>
      <c r="T51" s="107">
        <f t="shared" si="2"/>
        <v>0</v>
      </c>
      <c r="U51" s="107">
        <f t="shared" si="2"/>
        <v>0</v>
      </c>
      <c r="V51" s="107">
        <f t="shared" si="2"/>
        <v>0</v>
      </c>
      <c r="W51" s="107">
        <f t="shared" si="2"/>
        <v>0</v>
      </c>
      <c r="X51" s="107">
        <f t="shared" si="2"/>
        <v>0</v>
      </c>
      <c r="Y51" s="107">
        <f t="shared" si="2"/>
        <v>0</v>
      </c>
      <c r="Z51" s="107">
        <f t="shared" si="2"/>
        <v>0</v>
      </c>
      <c r="AA51" s="107">
        <f t="shared" si="2"/>
        <v>0</v>
      </c>
      <c r="AB51" s="107">
        <f t="shared" si="2"/>
        <v>0</v>
      </c>
      <c r="AC51" s="107">
        <f t="shared" si="2"/>
        <v>0</v>
      </c>
      <c r="AD51" s="107">
        <f t="shared" si="2"/>
        <v>0</v>
      </c>
      <c r="AE51" s="107">
        <f t="shared" si="2"/>
        <v>0</v>
      </c>
      <c r="AF51" s="107">
        <f t="shared" si="2"/>
        <v>0</v>
      </c>
      <c r="AG51" s="107">
        <f t="shared" si="2"/>
        <v>0</v>
      </c>
      <c r="AH51" s="107">
        <f t="shared" si="2"/>
        <v>0</v>
      </c>
    </row>
    <row r="52" spans="1:38">
      <c r="A52" t="s">
        <v>38</v>
      </c>
      <c r="B52"/>
      <c r="C52" s="7"/>
      <c r="D52" s="6"/>
      <c r="E52" s="8"/>
      <c r="F52" s="107">
        <f>F39</f>
        <v>0</v>
      </c>
      <c r="G52" s="107">
        <f t="shared" ref="G52:AH52" si="3">G39</f>
        <v>0</v>
      </c>
      <c r="H52" s="107">
        <f t="shared" si="3"/>
        <v>0</v>
      </c>
      <c r="I52" s="107">
        <f t="shared" si="3"/>
        <v>0</v>
      </c>
      <c r="J52" s="107">
        <f t="shared" si="3"/>
        <v>0</v>
      </c>
      <c r="K52" s="107">
        <f t="shared" si="3"/>
        <v>0</v>
      </c>
      <c r="L52" s="107">
        <f t="shared" si="3"/>
        <v>0</v>
      </c>
      <c r="M52" s="107">
        <f t="shared" si="3"/>
        <v>0</v>
      </c>
      <c r="N52" s="107">
        <f t="shared" si="3"/>
        <v>0</v>
      </c>
      <c r="O52" s="107">
        <f t="shared" si="3"/>
        <v>0</v>
      </c>
      <c r="P52" s="107">
        <f t="shared" si="3"/>
        <v>0</v>
      </c>
      <c r="Q52" s="107">
        <f t="shared" si="3"/>
        <v>0</v>
      </c>
      <c r="R52" s="107">
        <f t="shared" si="3"/>
        <v>0</v>
      </c>
      <c r="S52" s="107">
        <f t="shared" si="3"/>
        <v>0</v>
      </c>
      <c r="T52" s="107">
        <f t="shared" si="3"/>
        <v>0</v>
      </c>
      <c r="U52" s="107">
        <f t="shared" si="3"/>
        <v>0</v>
      </c>
      <c r="V52" s="107">
        <f t="shared" si="3"/>
        <v>0</v>
      </c>
      <c r="W52" s="107">
        <f t="shared" si="3"/>
        <v>0</v>
      </c>
      <c r="X52" s="107">
        <f t="shared" si="3"/>
        <v>0</v>
      </c>
      <c r="Y52" s="107">
        <f t="shared" si="3"/>
        <v>0</v>
      </c>
      <c r="Z52" s="107">
        <f t="shared" si="3"/>
        <v>0</v>
      </c>
      <c r="AA52" s="107">
        <f t="shared" si="3"/>
        <v>0</v>
      </c>
      <c r="AB52" s="107">
        <f t="shared" si="3"/>
        <v>0</v>
      </c>
      <c r="AC52" s="107">
        <f t="shared" si="3"/>
        <v>0</v>
      </c>
      <c r="AD52" s="107">
        <f t="shared" si="3"/>
        <v>0</v>
      </c>
      <c r="AE52" s="107">
        <f t="shared" si="3"/>
        <v>0</v>
      </c>
      <c r="AF52" s="107">
        <f t="shared" si="3"/>
        <v>0</v>
      </c>
      <c r="AG52" s="107">
        <f t="shared" si="3"/>
        <v>0</v>
      </c>
      <c r="AH52" s="107">
        <f t="shared" si="3"/>
        <v>0</v>
      </c>
    </row>
    <row r="53" spans="1:38">
      <c r="A53" t="s">
        <v>170</v>
      </c>
      <c r="B53"/>
      <c r="F53" s="107">
        <f>F19</f>
        <v>0.02</v>
      </c>
      <c r="G53" s="107">
        <f t="shared" ref="G53:J53" si="4">G19</f>
        <v>0.06</v>
      </c>
      <c r="H53" s="107">
        <f t="shared" si="4"/>
        <v>0.1</v>
      </c>
      <c r="I53" s="107">
        <f t="shared" si="4"/>
        <v>0.09</v>
      </c>
      <c r="J53" s="107">
        <f t="shared" si="4"/>
        <v>7.0000000000000007E-2</v>
      </c>
    </row>
    <row r="54" spans="1:38">
      <c r="A54"/>
      <c r="B54"/>
      <c r="G54" s="206"/>
      <c r="H54" s="206"/>
    </row>
    <row r="55" spans="1:38">
      <c r="A55" t="s">
        <v>171</v>
      </c>
      <c r="B55"/>
      <c r="G55" s="206"/>
      <c r="H55" s="206"/>
    </row>
    <row r="56" spans="1:38">
      <c r="A56" t="s">
        <v>172</v>
      </c>
      <c r="B56"/>
      <c r="G56" s="206"/>
      <c r="H56" s="206"/>
    </row>
    <row r="57" spans="1:38">
      <c r="A57" t="s">
        <v>173</v>
      </c>
      <c r="B57"/>
      <c r="G57" s="206"/>
      <c r="H57" s="206"/>
    </row>
    <row r="58" spans="1:38">
      <c r="G58" s="206"/>
      <c r="H58" s="206"/>
    </row>
    <row r="59" spans="1:38">
      <c r="A59" t="s">
        <v>174</v>
      </c>
      <c r="G59" s="206"/>
      <c r="H59" s="206"/>
    </row>
    <row r="60" spans="1:38">
      <c r="A60" s="106" t="s">
        <v>43</v>
      </c>
      <c r="G60" s="206"/>
      <c r="H60" s="206"/>
    </row>
    <row r="61" spans="1:38">
      <c r="A61" s="62" t="s">
        <v>23</v>
      </c>
      <c r="G61" s="206"/>
      <c r="H61" s="206"/>
    </row>
    <row r="62" spans="1:38">
      <c r="G62" s="206"/>
      <c r="H62" s="206"/>
    </row>
    <row r="63" spans="1:38">
      <c r="A63" t="s">
        <v>175</v>
      </c>
      <c r="G63" s="206"/>
      <c r="H63" s="206"/>
    </row>
    <row r="64" spans="1:38">
      <c r="A64" t="s">
        <v>176</v>
      </c>
      <c r="G64" s="206"/>
      <c r="H64" s="206"/>
    </row>
    <row r="65" spans="7:8">
      <c r="G65" s="206"/>
      <c r="H65" s="206"/>
    </row>
    <row r="66" spans="7:8">
      <c r="G66" s="206"/>
      <c r="H66" s="206"/>
    </row>
    <row r="67" spans="7:8">
      <c r="G67" s="206"/>
      <c r="H67" s="206"/>
    </row>
    <row r="68" spans="7:8">
      <c r="G68" s="206"/>
      <c r="H68" s="206"/>
    </row>
    <row r="69" spans="7:8">
      <c r="G69" s="206"/>
      <c r="H69" s="206"/>
    </row>
    <row r="70" spans="7:8">
      <c r="G70" s="206"/>
      <c r="H70" s="206"/>
    </row>
    <row r="71" spans="7:8">
      <c r="G71" s="206"/>
      <c r="H71" s="206"/>
    </row>
    <row r="72" spans="7:8">
      <c r="G72" s="206"/>
      <c r="H72" s="206"/>
    </row>
    <row r="73" spans="7:8">
      <c r="G73" s="206"/>
      <c r="H73" s="206"/>
    </row>
    <row r="74" spans="7:8">
      <c r="G74" s="206"/>
      <c r="H74" s="206"/>
    </row>
    <row r="75" spans="7:8">
      <c r="G75" s="206"/>
      <c r="H75" s="206"/>
    </row>
    <row r="76" spans="7:8">
      <c r="G76" s="206"/>
      <c r="H76" s="206"/>
    </row>
    <row r="77" spans="7:8">
      <c r="G77" s="206"/>
      <c r="H77" s="206"/>
    </row>
    <row r="78" spans="7:8">
      <c r="G78" s="206"/>
      <c r="H78" s="206"/>
    </row>
    <row r="79" spans="7:8">
      <c r="G79" s="206"/>
      <c r="H79" s="206"/>
    </row>
    <row r="80" spans="7:8">
      <c r="G80" s="206"/>
      <c r="H80" s="206"/>
    </row>
    <row r="81" spans="7:8">
      <c r="G81" s="206"/>
      <c r="H81" s="206"/>
    </row>
    <row r="82" spans="7:8">
      <c r="G82" s="206"/>
      <c r="H82" s="206"/>
    </row>
    <row r="83" spans="7:8">
      <c r="G83" s="206"/>
      <c r="H83" s="206"/>
    </row>
    <row r="84" spans="7:8">
      <c r="G84" s="206"/>
      <c r="H84" s="206"/>
    </row>
    <row r="85" spans="7:8">
      <c r="G85" s="206"/>
      <c r="H85" s="206"/>
    </row>
    <row r="86" spans="7:8">
      <c r="G86" s="206"/>
      <c r="H86" s="206"/>
    </row>
    <row r="87" spans="7:8">
      <c r="G87" s="206"/>
      <c r="H87" s="206"/>
    </row>
    <row r="88" spans="7:8">
      <c r="G88" s="206"/>
      <c r="H88" s="206"/>
    </row>
    <row r="89" spans="7:8">
      <c r="G89" s="206"/>
      <c r="H89" s="206"/>
    </row>
    <row r="90" spans="7:8">
      <c r="G90" s="206"/>
      <c r="H90" s="206"/>
    </row>
    <row r="91" spans="7:8">
      <c r="G91" s="206"/>
      <c r="H91" s="206"/>
    </row>
    <row r="92" spans="7:8">
      <c r="G92" s="206"/>
      <c r="H92" s="206"/>
    </row>
    <row r="93" spans="7:8">
      <c r="G93" s="206"/>
      <c r="H93" s="206"/>
    </row>
    <row r="94" spans="7:8">
      <c r="G94" s="206"/>
      <c r="H94" s="206"/>
    </row>
    <row r="95" spans="7:8">
      <c r="G95" s="206"/>
      <c r="H95" s="206"/>
    </row>
    <row r="96" spans="7:8">
      <c r="G96" s="206"/>
      <c r="H96" s="206"/>
    </row>
    <row r="97" spans="7:8">
      <c r="G97" s="206"/>
      <c r="H97" s="206"/>
    </row>
    <row r="98" spans="7:8">
      <c r="G98" s="206"/>
      <c r="H98" s="206"/>
    </row>
    <row r="99" spans="7:8">
      <c r="G99" s="206"/>
      <c r="H99" s="206"/>
    </row>
    <row r="100" spans="7:8">
      <c r="G100" s="206"/>
      <c r="H100" s="206"/>
    </row>
    <row r="101" spans="7:8">
      <c r="G101" s="206"/>
      <c r="H101" s="206"/>
    </row>
    <row r="102" spans="7:8">
      <c r="G102" s="206"/>
      <c r="H102" s="206"/>
    </row>
    <row r="103" spans="7:8">
      <c r="G103" s="206"/>
      <c r="H103" s="206"/>
    </row>
    <row r="104" spans="7:8">
      <c r="G104" s="206"/>
      <c r="H104" s="206"/>
    </row>
    <row r="105" spans="7:8">
      <c r="G105" s="206"/>
      <c r="H105" s="206"/>
    </row>
    <row r="106" spans="7:8">
      <c r="G106" s="206"/>
      <c r="H106" s="206"/>
    </row>
    <row r="107" spans="7:8">
      <c r="G107" s="206"/>
      <c r="H107" s="206"/>
    </row>
    <row r="108" spans="7:8">
      <c r="G108" s="206"/>
      <c r="H108" s="206"/>
    </row>
    <row r="109" spans="7:8">
      <c r="G109" s="206"/>
      <c r="H109" s="206"/>
    </row>
    <row r="110" spans="7:8">
      <c r="G110" s="206"/>
      <c r="H110" s="206"/>
    </row>
    <row r="111" spans="7:8">
      <c r="G111" s="206"/>
      <c r="H111" s="206"/>
    </row>
    <row r="112" spans="7:8">
      <c r="G112" s="206"/>
      <c r="H112" s="206"/>
    </row>
    <row r="113" spans="7:8">
      <c r="G113" s="206"/>
      <c r="H113" s="206"/>
    </row>
    <row r="114" spans="7:8">
      <c r="G114" s="206"/>
      <c r="H114" s="206"/>
    </row>
    <row r="115" spans="7:8">
      <c r="G115" s="206"/>
      <c r="H115" s="206"/>
    </row>
    <row r="116" spans="7:8">
      <c r="G116" s="206"/>
      <c r="H116" s="206"/>
    </row>
    <row r="117" spans="7:8">
      <c r="G117" s="206"/>
      <c r="H117" s="206"/>
    </row>
    <row r="118" spans="7:8">
      <c r="G118" s="206"/>
      <c r="H118" s="206"/>
    </row>
    <row r="119" spans="7:8">
      <c r="G119" s="206"/>
      <c r="H119" s="206"/>
    </row>
    <row r="120" spans="7:8">
      <c r="G120" s="206"/>
      <c r="H120" s="206"/>
    </row>
    <row r="121" spans="7:8">
      <c r="G121" s="206"/>
      <c r="H121" s="206"/>
    </row>
    <row r="122" spans="7:8">
      <c r="G122" s="206"/>
      <c r="H122" s="206"/>
    </row>
    <row r="123" spans="7:8">
      <c r="G123" s="206"/>
      <c r="H123" s="206"/>
    </row>
    <row r="124" spans="7:8">
      <c r="G124" s="206"/>
      <c r="H124" s="206"/>
    </row>
    <row r="125" spans="7:8">
      <c r="G125" s="206"/>
      <c r="H125" s="206"/>
    </row>
    <row r="126" spans="7:8">
      <c r="G126" s="206"/>
      <c r="H126" s="206"/>
    </row>
    <row r="127" spans="7:8">
      <c r="G127" s="206"/>
      <c r="H127" s="206"/>
    </row>
    <row r="128" spans="7:8">
      <c r="G128" s="206"/>
      <c r="H128" s="206"/>
    </row>
    <row r="129" spans="7:8">
      <c r="G129" s="206"/>
      <c r="H129" s="206"/>
    </row>
    <row r="130" spans="7:8">
      <c r="G130" s="206"/>
      <c r="H130" s="206"/>
    </row>
    <row r="131" spans="7:8">
      <c r="G131" s="206"/>
      <c r="H131" s="206"/>
    </row>
    <row r="132" spans="7:8">
      <c r="G132" s="206"/>
      <c r="H132" s="206"/>
    </row>
    <row r="133" spans="7:8">
      <c r="G133" s="206"/>
      <c r="H133" s="206"/>
    </row>
    <row r="134" spans="7:8">
      <c r="G134" s="206"/>
      <c r="H134" s="206"/>
    </row>
    <row r="135" spans="7:8">
      <c r="G135" s="206"/>
      <c r="H135" s="206"/>
    </row>
    <row r="136" spans="7:8">
      <c r="G136" s="206"/>
      <c r="H136" s="206"/>
    </row>
    <row r="137" spans="7:8">
      <c r="G137" s="206"/>
      <c r="H137" s="206"/>
    </row>
    <row r="138" spans="7:8">
      <c r="G138" s="206"/>
      <c r="H138" s="206"/>
    </row>
    <row r="139" spans="7:8">
      <c r="G139" s="206"/>
      <c r="H139" s="206"/>
    </row>
    <row r="140" spans="7:8">
      <c r="G140" s="206"/>
      <c r="H140" s="206"/>
    </row>
    <row r="141" spans="7:8">
      <c r="G141" s="206"/>
      <c r="H141" s="206"/>
    </row>
    <row r="142" spans="7:8">
      <c r="G142" s="206"/>
      <c r="H142" s="206"/>
    </row>
    <row r="143" spans="7:8">
      <c r="G143" s="206"/>
      <c r="H143" s="206"/>
    </row>
    <row r="144" spans="7:8">
      <c r="G144" s="206"/>
      <c r="H144" s="206"/>
    </row>
    <row r="145" spans="7:8">
      <c r="G145" s="206"/>
      <c r="H145" s="206"/>
    </row>
    <row r="146" spans="7:8">
      <c r="G146" s="206"/>
      <c r="H146" s="206"/>
    </row>
    <row r="147" spans="7:8">
      <c r="G147" s="206"/>
      <c r="H147" s="206"/>
    </row>
    <row r="148" spans="7:8">
      <c r="G148" s="206"/>
      <c r="H148" s="206"/>
    </row>
    <row r="149" spans="7:8">
      <c r="G149" s="206"/>
      <c r="H149" s="206"/>
    </row>
    <row r="150" spans="7:8">
      <c r="G150" s="206"/>
      <c r="H150" s="206"/>
    </row>
    <row r="151" spans="7:8">
      <c r="G151" s="206"/>
      <c r="H151" s="206"/>
    </row>
    <row r="152" spans="7:8">
      <c r="G152" s="206"/>
      <c r="H152" s="206"/>
    </row>
    <row r="153" spans="7:8">
      <c r="G153" s="206"/>
      <c r="H153" s="206"/>
    </row>
    <row r="154" spans="7:8">
      <c r="G154" s="206"/>
      <c r="H154" s="206"/>
    </row>
    <row r="155" spans="7:8">
      <c r="G155" s="206"/>
      <c r="H155" s="206"/>
    </row>
    <row r="156" spans="7:8">
      <c r="G156" s="206"/>
      <c r="H156" s="206"/>
    </row>
    <row r="157" spans="7:8">
      <c r="G157" s="206"/>
      <c r="H157" s="206"/>
    </row>
    <row r="158" spans="7:8">
      <c r="G158" s="206"/>
      <c r="H158" s="206"/>
    </row>
    <row r="159" spans="7:8">
      <c r="G159" s="206"/>
      <c r="H159" s="206"/>
    </row>
    <row r="160" spans="7:8">
      <c r="G160" s="206"/>
      <c r="H160" s="206"/>
    </row>
    <row r="161" spans="7:8">
      <c r="G161" s="206"/>
      <c r="H161" s="206"/>
    </row>
    <row r="162" spans="7:8">
      <c r="G162" s="206"/>
      <c r="H162" s="206"/>
    </row>
    <row r="163" spans="7:8">
      <c r="G163" s="206"/>
      <c r="H163" s="206"/>
    </row>
    <row r="164" spans="7:8">
      <c r="G164" s="206"/>
      <c r="H164" s="206"/>
    </row>
    <row r="165" spans="7:8">
      <c r="G165" s="206"/>
      <c r="H165" s="206"/>
    </row>
    <row r="166" spans="7:8">
      <c r="G166" s="206"/>
      <c r="H166" s="206"/>
    </row>
    <row r="167" spans="7:8">
      <c r="G167" s="206"/>
      <c r="H167" s="206"/>
    </row>
    <row r="168" spans="7:8">
      <c r="G168" s="206"/>
      <c r="H168" s="206"/>
    </row>
    <row r="169" spans="7:8">
      <c r="G169" s="206"/>
      <c r="H169" s="206"/>
    </row>
    <row r="170" spans="7:8">
      <c r="G170" s="206"/>
      <c r="H170" s="206"/>
    </row>
    <row r="171" spans="7:8">
      <c r="G171" s="206"/>
      <c r="H171" s="206"/>
    </row>
    <row r="172" spans="7:8">
      <c r="G172" s="206"/>
      <c r="H172" s="206"/>
    </row>
    <row r="173" spans="7:8">
      <c r="G173" s="206"/>
      <c r="H173" s="206"/>
    </row>
    <row r="174" spans="7:8">
      <c r="G174" s="206"/>
      <c r="H174" s="206"/>
    </row>
    <row r="175" spans="7:8">
      <c r="G175" s="206"/>
      <c r="H175" s="206"/>
    </row>
    <row r="176" spans="7:8">
      <c r="G176" s="206"/>
      <c r="H176" s="206"/>
    </row>
    <row r="177" spans="7:8">
      <c r="G177" s="206"/>
      <c r="H177" s="206"/>
    </row>
    <row r="178" spans="7:8">
      <c r="G178" s="206"/>
      <c r="H178" s="206"/>
    </row>
    <row r="179" spans="7:8">
      <c r="G179" s="206"/>
      <c r="H179" s="206"/>
    </row>
    <row r="180" spans="7:8">
      <c r="G180" s="206"/>
      <c r="H180" s="206"/>
    </row>
    <row r="181" spans="7:8">
      <c r="G181" s="206"/>
      <c r="H181" s="206"/>
    </row>
    <row r="182" spans="7:8">
      <c r="G182" s="206"/>
      <c r="H182" s="206"/>
    </row>
    <row r="183" spans="7:8">
      <c r="G183" s="206"/>
      <c r="H183" s="206"/>
    </row>
    <row r="184" spans="7:8">
      <c r="G184" s="206"/>
      <c r="H184" s="206"/>
    </row>
    <row r="185" spans="7:8">
      <c r="G185" s="206"/>
      <c r="H185" s="206"/>
    </row>
    <row r="186" spans="7:8">
      <c r="G186" s="206"/>
      <c r="H186" s="206"/>
    </row>
    <row r="187" spans="7:8">
      <c r="G187" s="206"/>
      <c r="H187" s="206"/>
    </row>
    <row r="188" spans="7:8">
      <c r="G188" s="206"/>
      <c r="H188" s="206"/>
    </row>
    <row r="189" spans="7:8">
      <c r="G189" s="206"/>
      <c r="H189" s="206"/>
    </row>
    <row r="190" spans="7:8">
      <c r="G190" s="206"/>
      <c r="H190" s="206"/>
    </row>
    <row r="191" spans="7:8">
      <c r="G191" s="206"/>
      <c r="H191" s="206"/>
    </row>
    <row r="192" spans="7:8">
      <c r="G192" s="206"/>
      <c r="H192" s="206"/>
    </row>
    <row r="193" spans="7:8">
      <c r="G193" s="206"/>
      <c r="H193" s="206"/>
    </row>
    <row r="194" spans="7:8">
      <c r="G194" s="206"/>
      <c r="H194" s="206"/>
    </row>
    <row r="195" spans="7:8">
      <c r="G195" s="206"/>
      <c r="H195" s="206"/>
    </row>
    <row r="196" spans="7:8">
      <c r="G196" s="206"/>
      <c r="H196" s="206"/>
    </row>
    <row r="197" spans="7:8">
      <c r="G197" s="206"/>
      <c r="H197" s="206"/>
    </row>
    <row r="198" spans="7:8">
      <c r="G198" s="206"/>
      <c r="H198" s="206"/>
    </row>
    <row r="199" spans="7:8">
      <c r="G199" s="206"/>
      <c r="H199" s="206"/>
    </row>
    <row r="200" spans="7:8">
      <c r="G200" s="206"/>
      <c r="H200" s="206"/>
    </row>
    <row r="201" spans="7:8">
      <c r="G201" s="206"/>
      <c r="H201" s="206"/>
    </row>
    <row r="202" spans="7:8">
      <c r="G202" s="206"/>
      <c r="H202" s="206"/>
    </row>
    <row r="203" spans="7:8">
      <c r="G203" s="206"/>
      <c r="H203" s="206"/>
    </row>
    <row r="204" spans="7:8">
      <c r="G204" s="206"/>
      <c r="H204" s="206"/>
    </row>
    <row r="205" spans="7:8">
      <c r="G205" s="206"/>
      <c r="H205" s="206"/>
    </row>
    <row r="206" spans="7:8">
      <c r="G206" s="206"/>
      <c r="H206" s="206"/>
    </row>
    <row r="207" spans="7:8">
      <c r="G207" s="206"/>
      <c r="H207" s="206"/>
    </row>
    <row r="208" spans="7:8">
      <c r="G208" s="206"/>
      <c r="H208" s="206"/>
    </row>
    <row r="209" spans="7:8">
      <c r="G209" s="206"/>
      <c r="H209" s="206"/>
    </row>
    <row r="210" spans="7:8">
      <c r="G210" s="206"/>
      <c r="H210" s="206"/>
    </row>
    <row r="211" spans="7:8">
      <c r="G211" s="206"/>
      <c r="H211" s="206"/>
    </row>
    <row r="212" spans="7:8">
      <c r="G212" s="206"/>
      <c r="H212" s="206"/>
    </row>
    <row r="213" spans="7:8">
      <c r="G213" s="206"/>
      <c r="H213" s="206"/>
    </row>
    <row r="214" spans="7:8">
      <c r="G214" s="206"/>
      <c r="H214" s="206"/>
    </row>
    <row r="215" spans="7:8">
      <c r="G215" s="206"/>
      <c r="H215" s="206"/>
    </row>
    <row r="216" spans="7:8">
      <c r="G216" s="206"/>
      <c r="H216" s="206"/>
    </row>
    <row r="217" spans="7:8">
      <c r="G217" s="206"/>
      <c r="H217" s="206"/>
    </row>
    <row r="218" spans="7:8">
      <c r="G218" s="206"/>
      <c r="H218" s="206"/>
    </row>
    <row r="219" spans="7:8">
      <c r="G219" s="206"/>
      <c r="H219" s="206"/>
    </row>
    <row r="220" spans="7:8">
      <c r="G220" s="206"/>
      <c r="H220" s="206"/>
    </row>
    <row r="221" spans="7:8">
      <c r="G221" s="206"/>
      <c r="H221" s="206"/>
    </row>
    <row r="222" spans="7:8">
      <c r="G222" s="206"/>
      <c r="H222" s="206"/>
    </row>
    <row r="223" spans="7:8">
      <c r="G223" s="206"/>
      <c r="H223" s="206"/>
    </row>
    <row r="224" spans="7:8">
      <c r="G224" s="206"/>
      <c r="H224" s="206"/>
    </row>
    <row r="225" spans="7:8">
      <c r="G225" s="206"/>
      <c r="H225" s="206"/>
    </row>
    <row r="226" spans="7:8">
      <c r="G226" s="206"/>
      <c r="H226" s="206"/>
    </row>
    <row r="227" spans="7:8">
      <c r="G227" s="206"/>
      <c r="H227" s="206"/>
    </row>
    <row r="228" spans="7:8">
      <c r="G228" s="206"/>
      <c r="H228" s="206"/>
    </row>
    <row r="229" spans="7:8">
      <c r="G229" s="206"/>
      <c r="H229" s="206"/>
    </row>
    <row r="230" spans="7:8">
      <c r="G230" s="206"/>
      <c r="H230" s="206"/>
    </row>
    <row r="231" spans="7:8">
      <c r="G231" s="206"/>
      <c r="H231" s="206"/>
    </row>
    <row r="232" spans="7:8">
      <c r="G232" s="206"/>
      <c r="H232" s="206"/>
    </row>
    <row r="233" spans="7:8">
      <c r="G233" s="206"/>
      <c r="H233" s="206"/>
    </row>
    <row r="234" spans="7:8">
      <c r="G234" s="206"/>
      <c r="H234" s="206"/>
    </row>
    <row r="235" spans="7:8">
      <c r="G235" s="206"/>
      <c r="H235" s="206"/>
    </row>
    <row r="236" spans="7:8">
      <c r="G236" s="206"/>
      <c r="H236" s="206"/>
    </row>
    <row r="237" spans="7:8">
      <c r="G237" s="206"/>
      <c r="H237" s="206"/>
    </row>
    <row r="238" spans="7:8">
      <c r="G238" s="206"/>
      <c r="H238" s="206"/>
    </row>
    <row r="239" spans="7:8">
      <c r="G239" s="206"/>
      <c r="H239" s="206"/>
    </row>
    <row r="240" spans="7:8">
      <c r="G240" s="206"/>
      <c r="H240" s="206"/>
    </row>
    <row r="241" spans="7:8">
      <c r="G241" s="206"/>
      <c r="H241" s="206"/>
    </row>
    <row r="242" spans="7:8">
      <c r="G242" s="206"/>
      <c r="H242" s="206"/>
    </row>
    <row r="243" spans="7:8">
      <c r="G243" s="206"/>
      <c r="H243" s="206"/>
    </row>
    <row r="244" spans="7:8">
      <c r="G244" s="206"/>
      <c r="H244" s="206"/>
    </row>
    <row r="245" spans="7:8">
      <c r="G245" s="206"/>
      <c r="H245" s="206"/>
    </row>
    <row r="246" spans="7:8">
      <c r="G246" s="206"/>
      <c r="H246" s="206"/>
    </row>
    <row r="247" spans="7:8">
      <c r="G247" s="206"/>
      <c r="H247" s="206"/>
    </row>
    <row r="248" spans="7:8">
      <c r="G248" s="206"/>
      <c r="H248" s="206"/>
    </row>
    <row r="249" spans="7:8">
      <c r="G249" s="206"/>
      <c r="H249" s="206"/>
    </row>
    <row r="250" spans="7:8">
      <c r="G250" s="206"/>
      <c r="H250" s="206"/>
    </row>
    <row r="251" spans="7:8">
      <c r="G251" s="206"/>
      <c r="H251" s="206"/>
    </row>
    <row r="252" spans="7:8">
      <c r="G252" s="206"/>
      <c r="H252" s="206"/>
    </row>
    <row r="253" spans="7:8">
      <c r="G253" s="206"/>
      <c r="H253" s="206"/>
    </row>
    <row r="254" spans="7:8">
      <c r="G254" s="206"/>
      <c r="H254" s="206"/>
    </row>
    <row r="255" spans="7:8">
      <c r="G255" s="206"/>
      <c r="H255" s="206"/>
    </row>
    <row r="256" spans="7:8">
      <c r="G256" s="206"/>
      <c r="H256" s="206"/>
    </row>
    <row r="257" spans="7:8">
      <c r="G257" s="206"/>
      <c r="H257" s="206"/>
    </row>
    <row r="258" spans="7:8">
      <c r="G258" s="206"/>
      <c r="H258" s="206"/>
    </row>
    <row r="259" spans="7:8">
      <c r="G259" s="206"/>
      <c r="H259" s="206"/>
    </row>
    <row r="260" spans="7:8">
      <c r="G260" s="206"/>
      <c r="H260" s="206"/>
    </row>
    <row r="261" spans="7:8">
      <c r="G261" s="206"/>
      <c r="H261" s="206"/>
    </row>
    <row r="262" spans="7:8">
      <c r="G262" s="206"/>
      <c r="H262" s="206"/>
    </row>
    <row r="263" spans="7:8">
      <c r="G263" s="206"/>
      <c r="H263" s="206"/>
    </row>
    <row r="264" spans="7:8">
      <c r="G264" s="206"/>
      <c r="H264" s="206"/>
    </row>
    <row r="265" spans="7:8">
      <c r="G265" s="206"/>
      <c r="H265" s="206"/>
    </row>
    <row r="266" spans="7:8">
      <c r="G266" s="206"/>
      <c r="H266" s="206"/>
    </row>
    <row r="267" spans="7:8">
      <c r="G267" s="206"/>
      <c r="H267" s="206"/>
    </row>
    <row r="268" spans="7:8">
      <c r="G268" s="206"/>
      <c r="H268" s="206"/>
    </row>
    <row r="269" spans="7:8">
      <c r="G269" s="206"/>
      <c r="H269" s="206"/>
    </row>
    <row r="270" spans="7:8">
      <c r="G270" s="206"/>
      <c r="H270" s="206"/>
    </row>
    <row r="271" spans="7:8">
      <c r="G271" s="206"/>
      <c r="H271" s="206"/>
    </row>
    <row r="272" spans="7:8">
      <c r="G272" s="206"/>
      <c r="H272" s="206"/>
    </row>
    <row r="273" spans="7:8">
      <c r="G273" s="206"/>
      <c r="H273" s="206"/>
    </row>
    <row r="274" spans="7:8">
      <c r="G274" s="206"/>
      <c r="H274" s="206"/>
    </row>
    <row r="275" spans="7:8">
      <c r="G275" s="206"/>
      <c r="H275" s="206"/>
    </row>
    <row r="276" spans="7:8">
      <c r="G276" s="206"/>
      <c r="H276" s="206"/>
    </row>
    <row r="277" spans="7:8">
      <c r="G277" s="206"/>
      <c r="H277" s="206"/>
    </row>
    <row r="369" spans="1:10">
      <c r="A369" s="8"/>
      <c r="B369" s="8"/>
      <c r="C369" s="8"/>
      <c r="D369" s="8"/>
      <c r="E369" s="8"/>
      <c r="F369" s="8"/>
      <c r="G369" s="8"/>
      <c r="H369" s="8"/>
      <c r="I369" s="8"/>
      <c r="J369" s="8"/>
    </row>
  </sheetData>
  <mergeCells count="268">
    <mergeCell ref="A3:B3"/>
    <mergeCell ref="A4:B4"/>
    <mergeCell ref="A5:B5"/>
    <mergeCell ref="A6:B6"/>
    <mergeCell ref="A7:B7"/>
    <mergeCell ref="A8:B8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45:B45"/>
    <mergeCell ref="A46:B46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G57:H57"/>
    <mergeCell ref="G58:H58"/>
    <mergeCell ref="G59:H59"/>
    <mergeCell ref="G60:H60"/>
    <mergeCell ref="G61:H61"/>
    <mergeCell ref="G62:H62"/>
    <mergeCell ref="G54:H54"/>
    <mergeCell ref="G55:H55"/>
    <mergeCell ref="G56:H56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73:H273"/>
    <mergeCell ref="G274:H274"/>
    <mergeCell ref="G275:H275"/>
    <mergeCell ref="G276:H276"/>
    <mergeCell ref="G277:H277"/>
    <mergeCell ref="G267:H267"/>
    <mergeCell ref="G268:H268"/>
    <mergeCell ref="G269:H269"/>
    <mergeCell ref="G270:H270"/>
    <mergeCell ref="G271:H271"/>
    <mergeCell ref="G272:H27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21"/>
  <sheetViews>
    <sheetView topLeftCell="M13" workbookViewId="0">
      <selection activeCell="AE31" sqref="AE31"/>
    </sheetView>
  </sheetViews>
  <sheetFormatPr defaultRowHeight="15"/>
  <cols>
    <col min="1" max="1" width="43.140625" bestFit="1" customWidth="1"/>
    <col min="2" max="2" width="21.42578125" customWidth="1"/>
    <col min="3" max="3" width="12" customWidth="1"/>
    <col min="4" max="4" width="13.42578125" customWidth="1"/>
    <col min="5" max="5" width="13.7109375" customWidth="1"/>
    <col min="6" max="6" width="13.140625" customWidth="1"/>
    <col min="7" max="7" width="13.7109375" customWidth="1"/>
    <col min="8" max="8" width="12.28515625" customWidth="1"/>
    <col min="9" max="9" width="11.7109375" customWidth="1"/>
    <col min="10" max="10" width="12.28515625" customWidth="1"/>
    <col min="11" max="11" width="9.5703125" bestFit="1" customWidth="1"/>
    <col min="12" max="12" width="10.28515625" customWidth="1"/>
    <col min="13" max="15" width="9.5703125" bestFit="1" customWidth="1"/>
    <col min="16" max="16" width="10.140625" customWidth="1"/>
    <col min="17" max="20" width="9.5703125" bestFit="1" customWidth="1"/>
    <col min="21" max="21" width="10.85546875" customWidth="1"/>
    <col min="22" max="25" width="9.5703125" bestFit="1" customWidth="1"/>
    <col min="26" max="26" width="9.28515625" customWidth="1"/>
    <col min="27" max="34" width="9.5703125" bestFit="1" customWidth="1"/>
  </cols>
  <sheetData>
    <row r="1" spans="1:35">
      <c r="A1" s="11" t="s">
        <v>70</v>
      </c>
    </row>
    <row r="3" spans="1:35" ht="16.149999999999999" customHeight="1">
      <c r="A3" s="6" t="s">
        <v>45</v>
      </c>
      <c r="B3" s="6"/>
      <c r="C3" s="22">
        <v>2014</v>
      </c>
      <c r="D3" s="22">
        <v>2015</v>
      </c>
      <c r="E3" s="22">
        <v>2016</v>
      </c>
      <c r="F3" s="22">
        <v>2017</v>
      </c>
      <c r="G3" s="22">
        <v>2018</v>
      </c>
      <c r="H3" s="22">
        <v>2019</v>
      </c>
      <c r="I3" s="22">
        <v>2020</v>
      </c>
      <c r="J3" s="22">
        <v>2021</v>
      </c>
      <c r="K3" s="23">
        <v>2022</v>
      </c>
      <c r="L3" s="23">
        <v>2023</v>
      </c>
      <c r="M3" s="23">
        <v>2024</v>
      </c>
      <c r="N3" s="23">
        <v>2025</v>
      </c>
      <c r="O3" s="23">
        <v>2026</v>
      </c>
      <c r="P3" s="23">
        <v>2027</v>
      </c>
      <c r="Q3" s="23">
        <v>2028</v>
      </c>
      <c r="R3" s="23">
        <v>2029</v>
      </c>
      <c r="S3" s="23">
        <v>2030</v>
      </c>
      <c r="T3" s="23">
        <v>2031</v>
      </c>
      <c r="U3" s="23">
        <v>2032</v>
      </c>
      <c r="V3" s="23">
        <v>2033</v>
      </c>
      <c r="W3" s="23">
        <v>2034</v>
      </c>
      <c r="X3" s="23">
        <v>2035</v>
      </c>
      <c r="Y3" s="23">
        <v>2036</v>
      </c>
      <c r="Z3" s="23">
        <v>2037</v>
      </c>
      <c r="AA3" s="23">
        <v>2038</v>
      </c>
      <c r="AB3" s="23">
        <v>2039</v>
      </c>
      <c r="AC3" s="23">
        <v>2040</v>
      </c>
      <c r="AD3" s="23">
        <v>2041</v>
      </c>
      <c r="AE3" s="23">
        <v>2042</v>
      </c>
      <c r="AF3" s="23">
        <v>2043</v>
      </c>
      <c r="AG3" s="23">
        <v>2044</v>
      </c>
      <c r="AH3" s="23">
        <v>2045</v>
      </c>
    </row>
    <row r="4" spans="1:35" ht="14.45" customHeight="1">
      <c r="A4" s="12" t="s">
        <v>46</v>
      </c>
      <c r="B4" s="12"/>
      <c r="C4" s="2">
        <v>0</v>
      </c>
      <c r="D4" s="2">
        <v>0</v>
      </c>
      <c r="E4" s="2">
        <v>0</v>
      </c>
      <c r="F4" s="2">
        <v>1.1000000000000001</v>
      </c>
      <c r="G4" s="2">
        <v>1.17</v>
      </c>
      <c r="H4" s="2">
        <v>1.26</v>
      </c>
      <c r="I4" s="2">
        <v>1.37</v>
      </c>
      <c r="J4" s="2">
        <v>1.1499999999999999</v>
      </c>
      <c r="K4" s="24">
        <f t="shared" ref="K4:AH4" si="0">J4*(1+K31)</f>
        <v>1.2373467273467273</v>
      </c>
      <c r="L4" s="24">
        <f t="shared" si="0"/>
        <v>1.3313277597179622</v>
      </c>
      <c r="M4" s="24">
        <f t="shared" si="0"/>
        <v>1.4324469969677138</v>
      </c>
      <c r="N4" s="24">
        <f t="shared" si="0"/>
        <v>1.541246611996216</v>
      </c>
      <c r="O4" s="24">
        <f t="shared" si="0"/>
        <v>1.6583099577284777</v>
      </c>
      <c r="P4" s="24">
        <f t="shared" si="0"/>
        <v>1.8008477944658254</v>
      </c>
      <c r="Q4" s="24">
        <f t="shared" si="0"/>
        <v>1.9556372822332333</v>
      </c>
      <c r="R4" s="24">
        <f t="shared" si="0"/>
        <v>2.1237314954732365</v>
      </c>
      <c r="S4" s="24">
        <f t="shared" si="0"/>
        <v>2.3062740242477591</v>
      </c>
      <c r="T4" s="24">
        <f t="shared" si="0"/>
        <v>2.5045067543883315</v>
      </c>
      <c r="U4" s="24">
        <f t="shared" si="0"/>
        <v>2.7448233839227023</v>
      </c>
      <c r="V4" s="24">
        <f t="shared" si="0"/>
        <v>3.0081992774536941</v>
      </c>
      <c r="W4" s="24">
        <f t="shared" si="0"/>
        <v>3.2968470561265684</v>
      </c>
      <c r="X4" s="24">
        <f t="shared" si="0"/>
        <v>3.613191650218968</v>
      </c>
      <c r="Y4" s="24">
        <f t="shared" si="0"/>
        <v>3.9598906709826069</v>
      </c>
      <c r="Z4" s="24">
        <f t="shared" si="0"/>
        <v>4.3794556439478836</v>
      </c>
      <c r="AA4" s="24">
        <f t="shared" si="0"/>
        <v>4.8434750681002354</v>
      </c>
      <c r="AB4" s="24">
        <f t="shared" si="0"/>
        <v>5.3566590559554372</v>
      </c>
      <c r="AC4" s="24">
        <f t="shared" si="0"/>
        <v>5.9242167737644644</v>
      </c>
      <c r="AD4" s="24">
        <f t="shared" si="0"/>
        <v>6.5519093180912371</v>
      </c>
      <c r="AE4" s="24">
        <f t="shared" si="0"/>
        <v>7.311627288039058</v>
      </c>
      <c r="AF4" s="24">
        <f t="shared" si="0"/>
        <v>8.1594373492903927</v>
      </c>
      <c r="AG4" s="24">
        <f t="shared" si="0"/>
        <v>9.105554103654331</v>
      </c>
      <c r="AH4" s="24">
        <f t="shared" si="0"/>
        <v>10.161376573568129</v>
      </c>
    </row>
    <row r="5" spans="1:35" ht="14.45" customHeight="1">
      <c r="A5" s="12" t="s">
        <v>82</v>
      </c>
      <c r="B5" s="12"/>
      <c r="C5" s="2"/>
      <c r="D5" s="2"/>
      <c r="E5" s="2"/>
      <c r="F5" s="2"/>
      <c r="G5" s="2"/>
      <c r="H5" s="2"/>
      <c r="I5" s="2"/>
      <c r="J5" s="2"/>
      <c r="K5" s="24"/>
      <c r="L5" s="24">
        <f>'Other Revenue '!G21</f>
        <v>1.1992050000000001</v>
      </c>
      <c r="M5" s="24">
        <f>'Other Revenue '!H21</f>
        <v>2.3984100000000002</v>
      </c>
      <c r="N5" s="24">
        <f>'Other Revenue '!I21</f>
        <v>2.5183304999999998</v>
      </c>
      <c r="O5" s="24">
        <f>'Other Revenue '!J21</f>
        <v>2.5183304999999998</v>
      </c>
      <c r="P5" s="24">
        <f>'Other Revenue '!K21</f>
        <v>2.6442470249999999</v>
      </c>
      <c r="Q5" s="24">
        <f>'Other Revenue '!L21</f>
        <v>2.6442470249999999</v>
      </c>
      <c r="R5" s="24">
        <f>'Other Revenue '!M21</f>
        <v>2.7764593762500005</v>
      </c>
      <c r="S5" s="24">
        <f>'Other Revenue '!N21</f>
        <v>2.7764593762500005</v>
      </c>
      <c r="T5" s="24">
        <f>'Other Revenue '!O21</f>
        <v>2.9152823450625003</v>
      </c>
      <c r="U5" s="24">
        <f>'Other Revenue '!P21</f>
        <v>2.9152823450625003</v>
      </c>
      <c r="V5" s="24">
        <f>'Other Revenue '!Q21</f>
        <v>3.0610464623156255</v>
      </c>
      <c r="W5" s="24">
        <f>'Other Revenue '!R21</f>
        <v>3.0610464623156255</v>
      </c>
      <c r="X5" s="24">
        <f>'Other Revenue '!S21</f>
        <v>3.2140987854314065</v>
      </c>
      <c r="Y5" s="24">
        <f>'Other Revenue '!T21</f>
        <v>3.2140987854314065</v>
      </c>
      <c r="Z5" s="24">
        <f>'Other Revenue '!U21</f>
        <v>3.3748037247029781</v>
      </c>
      <c r="AA5" s="24">
        <f>'Other Revenue '!V21</f>
        <v>3.3748037247029781</v>
      </c>
      <c r="AB5" s="24">
        <f>'Other Revenue '!W21</f>
        <v>3.5435439109381264</v>
      </c>
      <c r="AC5" s="24">
        <f>'Other Revenue '!X21</f>
        <v>3.5435439109381264</v>
      </c>
      <c r="AD5" s="24">
        <f>'Other Revenue '!Y21</f>
        <v>3.720721106485033</v>
      </c>
      <c r="AE5" s="24">
        <f>'Other Revenue '!Z21</f>
        <v>3.720721106485033</v>
      </c>
      <c r="AF5" s="24">
        <f>'Other Revenue '!AA21</f>
        <v>3.9067571618092845</v>
      </c>
      <c r="AG5" s="24">
        <f>'Other Revenue '!AB21</f>
        <v>3.9067571618092845</v>
      </c>
      <c r="AH5" s="24">
        <f>'Other Revenue '!AC21</f>
        <v>4.1020950198997488</v>
      </c>
    </row>
    <row r="6" spans="1:35" ht="14.45" customHeight="1">
      <c r="A6" s="12" t="s">
        <v>84</v>
      </c>
      <c r="B6" s="12"/>
      <c r="C6" s="2"/>
      <c r="D6" s="2"/>
      <c r="E6" s="2"/>
      <c r="F6" s="2"/>
      <c r="G6" s="2"/>
      <c r="H6" s="2"/>
      <c r="I6" s="2"/>
      <c r="J6" s="2"/>
      <c r="K6" s="24"/>
      <c r="L6" s="24">
        <f>'Other Revenue '!G23</f>
        <v>0.1</v>
      </c>
      <c r="M6" s="24">
        <f>'Other Revenue '!H23</f>
        <v>0.1</v>
      </c>
      <c r="N6" s="24">
        <f>'Other Revenue '!I23</f>
        <v>0.10500000000000001</v>
      </c>
      <c r="O6" s="24">
        <f>'Other Revenue '!J23</f>
        <v>0.10500000000000001</v>
      </c>
      <c r="P6" s="24">
        <f>'Other Revenue '!K23</f>
        <v>0.11025000000000001</v>
      </c>
      <c r="Q6" s="24">
        <f>'Other Revenue '!L23</f>
        <v>0.11025000000000001</v>
      </c>
      <c r="R6" s="24">
        <f>'Other Revenue '!M23</f>
        <v>0.11576250000000002</v>
      </c>
      <c r="S6" s="24">
        <f>'Other Revenue '!N23</f>
        <v>0.11576250000000002</v>
      </c>
      <c r="T6" s="24">
        <f>'Other Revenue '!O23</f>
        <v>0.12155062500000002</v>
      </c>
      <c r="U6" s="24">
        <f>'Other Revenue '!P23</f>
        <v>0.12155062500000002</v>
      </c>
      <c r="V6" s="24">
        <f>'Other Revenue '!Q23</f>
        <v>0.12762815625000004</v>
      </c>
      <c r="W6" s="24">
        <f>'Other Revenue '!R23</f>
        <v>0.12762815625000004</v>
      </c>
      <c r="X6" s="24">
        <f>'Other Revenue '!S23</f>
        <v>0.13400956406250006</v>
      </c>
      <c r="Y6" s="24">
        <f>'Other Revenue '!T23</f>
        <v>0.13400956406250006</v>
      </c>
      <c r="Z6" s="24">
        <f>'Other Revenue '!U23</f>
        <v>0.14071004226562506</v>
      </c>
      <c r="AA6" s="24">
        <f>'Other Revenue '!V23</f>
        <v>0.14071004226562506</v>
      </c>
      <c r="AB6" s="24">
        <f>'Other Revenue '!W23</f>
        <v>0.14774554437890633</v>
      </c>
      <c r="AC6" s="24">
        <f>'Other Revenue '!X23</f>
        <v>0.14774554437890633</v>
      </c>
      <c r="AD6" s="24">
        <f>'Other Revenue '!Y23</f>
        <v>0.15513282159785166</v>
      </c>
      <c r="AE6" s="24">
        <f>'Other Revenue '!Z23</f>
        <v>0.15513282159785166</v>
      </c>
      <c r="AF6" s="24">
        <f>'Other Revenue '!AA23</f>
        <v>0.16288946267774426</v>
      </c>
      <c r="AG6" s="24">
        <f>'Other Revenue '!AB23</f>
        <v>0.16288946267774426</v>
      </c>
      <c r="AH6" s="24">
        <f>'Other Revenue '!AC23</f>
        <v>0.17103393581163148</v>
      </c>
    </row>
    <row r="7" spans="1:35" ht="14.45" customHeight="1">
      <c r="A7" s="12" t="s">
        <v>121</v>
      </c>
      <c r="B7" s="12"/>
      <c r="C7" s="2">
        <f>SUM(C4:C6)</f>
        <v>0</v>
      </c>
      <c r="D7" s="2">
        <f t="shared" ref="D7:AE7" si="1">SUM(D4:D6)</f>
        <v>0</v>
      </c>
      <c r="E7" s="2">
        <f t="shared" si="1"/>
        <v>0</v>
      </c>
      <c r="F7" s="2">
        <f t="shared" si="1"/>
        <v>1.1000000000000001</v>
      </c>
      <c r="G7" s="2">
        <f t="shared" si="1"/>
        <v>1.17</v>
      </c>
      <c r="H7" s="2">
        <f t="shared" si="1"/>
        <v>1.26</v>
      </c>
      <c r="I7" s="2">
        <f t="shared" si="1"/>
        <v>1.37</v>
      </c>
      <c r="J7" s="2">
        <f t="shared" si="1"/>
        <v>1.1499999999999999</v>
      </c>
      <c r="K7" s="2">
        <f t="shared" si="1"/>
        <v>1.2373467273467273</v>
      </c>
      <c r="L7" s="2">
        <f t="shared" si="1"/>
        <v>2.6305327597179624</v>
      </c>
      <c r="M7" s="2">
        <f t="shared" si="1"/>
        <v>3.9308569969677141</v>
      </c>
      <c r="N7" s="2">
        <f t="shared" si="1"/>
        <v>4.1645771119962163</v>
      </c>
      <c r="O7" s="2">
        <f t="shared" si="1"/>
        <v>4.2816404577284777</v>
      </c>
      <c r="P7" s="2">
        <f t="shared" si="1"/>
        <v>4.5553448194658248</v>
      </c>
      <c r="Q7" s="2">
        <f t="shared" si="1"/>
        <v>4.7101343072332327</v>
      </c>
      <c r="R7" s="2">
        <f t="shared" si="1"/>
        <v>5.0159533717232367</v>
      </c>
      <c r="S7" s="2">
        <f t="shared" si="1"/>
        <v>5.1984959004977593</v>
      </c>
      <c r="T7" s="2">
        <f t="shared" si="1"/>
        <v>5.5413397244508316</v>
      </c>
      <c r="U7" s="2">
        <f t="shared" si="1"/>
        <v>5.7816563539852028</v>
      </c>
      <c r="V7" s="2">
        <f t="shared" si="1"/>
        <v>6.1968738960193201</v>
      </c>
      <c r="W7" s="2">
        <f t="shared" si="1"/>
        <v>6.485521674692194</v>
      </c>
      <c r="X7" s="2">
        <f t="shared" si="1"/>
        <v>6.9612999997128737</v>
      </c>
      <c r="Y7" s="2">
        <f t="shared" si="1"/>
        <v>7.3079990204765126</v>
      </c>
      <c r="Z7" s="2">
        <f t="shared" si="1"/>
        <v>7.8949694109164872</v>
      </c>
      <c r="AA7" s="2">
        <f t="shared" si="1"/>
        <v>8.3589888350688373</v>
      </c>
      <c r="AB7" s="2">
        <f t="shared" si="1"/>
        <v>9.0479485112724696</v>
      </c>
      <c r="AC7" s="2">
        <f t="shared" si="1"/>
        <v>9.6155062290814968</v>
      </c>
      <c r="AD7" s="2">
        <f t="shared" si="1"/>
        <v>10.427763246174122</v>
      </c>
      <c r="AE7" s="2">
        <f t="shared" si="1"/>
        <v>11.187481216121942</v>
      </c>
      <c r="AF7" s="2">
        <f t="shared" ref="AF7:AH7" si="2">SUM(AF4:AF6)</f>
        <v>12.229083973777422</v>
      </c>
      <c r="AG7" s="2">
        <f t="shared" si="2"/>
        <v>13.175200728141361</v>
      </c>
      <c r="AH7" s="2">
        <f t="shared" si="2"/>
        <v>14.434505529279509</v>
      </c>
    </row>
    <row r="8" spans="1:35" ht="14.45" customHeight="1">
      <c r="A8" s="6" t="s">
        <v>47</v>
      </c>
      <c r="B8" s="6"/>
      <c r="C8" s="3"/>
      <c r="D8" s="3"/>
      <c r="E8" s="3"/>
      <c r="F8" s="3"/>
      <c r="G8" s="3"/>
      <c r="H8" s="3"/>
      <c r="I8" s="3"/>
      <c r="J8" s="3"/>
    </row>
    <row r="9" spans="1:35" ht="14.45" customHeight="1">
      <c r="A9" s="104" t="s">
        <v>48</v>
      </c>
      <c r="B9" s="16"/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5">
        <f>J9</f>
        <v>0</v>
      </c>
      <c r="L9" s="25">
        <f t="shared" ref="L9:AE9" si="3">K9</f>
        <v>0</v>
      </c>
      <c r="M9" s="25">
        <f t="shared" si="3"/>
        <v>0</v>
      </c>
      <c r="N9" s="25">
        <f t="shared" si="3"/>
        <v>0</v>
      </c>
      <c r="O9" s="25">
        <f t="shared" si="3"/>
        <v>0</v>
      </c>
      <c r="P9" s="25">
        <f t="shared" si="3"/>
        <v>0</v>
      </c>
      <c r="Q9" s="25">
        <f t="shared" si="3"/>
        <v>0</v>
      </c>
      <c r="R9" s="25">
        <f t="shared" si="3"/>
        <v>0</v>
      </c>
      <c r="S9" s="25">
        <f t="shared" si="3"/>
        <v>0</v>
      </c>
      <c r="T9" s="25">
        <f t="shared" si="3"/>
        <v>0</v>
      </c>
      <c r="U9" s="25">
        <f t="shared" si="3"/>
        <v>0</v>
      </c>
      <c r="V9" s="25">
        <f t="shared" si="3"/>
        <v>0</v>
      </c>
      <c r="W9" s="25">
        <f t="shared" si="3"/>
        <v>0</v>
      </c>
      <c r="X9" s="25">
        <f t="shared" si="3"/>
        <v>0</v>
      </c>
      <c r="Y9" s="25">
        <f t="shared" si="3"/>
        <v>0</v>
      </c>
      <c r="Z9" s="25">
        <f t="shared" si="3"/>
        <v>0</v>
      </c>
      <c r="AA9" s="25">
        <f t="shared" si="3"/>
        <v>0</v>
      </c>
      <c r="AB9" s="25">
        <f t="shared" si="3"/>
        <v>0</v>
      </c>
      <c r="AC9" s="25">
        <f t="shared" si="3"/>
        <v>0</v>
      </c>
      <c r="AD9" s="25">
        <f t="shared" si="3"/>
        <v>0</v>
      </c>
      <c r="AE9" s="25">
        <f t="shared" si="3"/>
        <v>0</v>
      </c>
      <c r="AF9" s="25">
        <f t="shared" ref="AF9" si="4">AE9</f>
        <v>0</v>
      </c>
      <c r="AG9" s="25">
        <f t="shared" ref="AG9" si="5">AF9</f>
        <v>0</v>
      </c>
      <c r="AH9" s="25">
        <f t="shared" ref="AH9" si="6">AG9</f>
        <v>0</v>
      </c>
    </row>
    <row r="10" spans="1:35" ht="14.45" customHeight="1">
      <c r="A10" s="104" t="s">
        <v>49</v>
      </c>
      <c r="B10" s="16"/>
      <c r="C10" s="2" t="s">
        <v>14</v>
      </c>
      <c r="D10" s="2">
        <v>0</v>
      </c>
      <c r="E10" s="2">
        <v>0</v>
      </c>
      <c r="F10" s="2" t="s">
        <v>14</v>
      </c>
      <c r="G10" s="2">
        <v>0</v>
      </c>
      <c r="H10" s="2" t="s">
        <v>14</v>
      </c>
      <c r="I10" s="2" t="s">
        <v>14</v>
      </c>
      <c r="J10" s="2" t="s">
        <v>14</v>
      </c>
      <c r="K10" s="26" t="str">
        <f>J10</f>
        <v>-</v>
      </c>
      <c r="L10" s="26" t="str">
        <f t="shared" ref="L10:AE10" si="7">K10</f>
        <v>-</v>
      </c>
      <c r="M10" s="26" t="str">
        <f t="shared" si="7"/>
        <v>-</v>
      </c>
      <c r="N10" s="26" t="str">
        <f t="shared" si="7"/>
        <v>-</v>
      </c>
      <c r="O10" s="26" t="str">
        <f t="shared" si="7"/>
        <v>-</v>
      </c>
      <c r="P10" s="26" t="str">
        <f t="shared" si="7"/>
        <v>-</v>
      </c>
      <c r="Q10" s="26" t="str">
        <f t="shared" si="7"/>
        <v>-</v>
      </c>
      <c r="R10" s="26" t="str">
        <f t="shared" si="7"/>
        <v>-</v>
      </c>
      <c r="S10" s="26" t="str">
        <f t="shared" si="7"/>
        <v>-</v>
      </c>
      <c r="T10" s="26" t="str">
        <f t="shared" si="7"/>
        <v>-</v>
      </c>
      <c r="U10" s="26" t="str">
        <f t="shared" si="7"/>
        <v>-</v>
      </c>
      <c r="V10" s="26" t="str">
        <f t="shared" si="7"/>
        <v>-</v>
      </c>
      <c r="W10" s="26" t="str">
        <f t="shared" si="7"/>
        <v>-</v>
      </c>
      <c r="X10" s="26" t="str">
        <f t="shared" si="7"/>
        <v>-</v>
      </c>
      <c r="Y10" s="26" t="str">
        <f t="shared" si="7"/>
        <v>-</v>
      </c>
      <c r="Z10" s="26" t="str">
        <f t="shared" si="7"/>
        <v>-</v>
      </c>
      <c r="AA10" s="26" t="str">
        <f t="shared" si="7"/>
        <v>-</v>
      </c>
      <c r="AB10" s="26" t="str">
        <f t="shared" si="7"/>
        <v>-</v>
      </c>
      <c r="AC10" s="26" t="str">
        <f t="shared" si="7"/>
        <v>-</v>
      </c>
      <c r="AD10" s="26" t="str">
        <f t="shared" si="7"/>
        <v>-</v>
      </c>
      <c r="AE10" s="26" t="str">
        <f t="shared" si="7"/>
        <v>-</v>
      </c>
    </row>
    <row r="11" spans="1:35" ht="14.45" customHeight="1">
      <c r="A11" s="104" t="s">
        <v>50</v>
      </c>
      <c r="B11" s="16"/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5">
        <f>J11</f>
        <v>0</v>
      </c>
      <c r="L11" s="25">
        <f t="shared" ref="L11:AE11" si="8">K11</f>
        <v>0</v>
      </c>
      <c r="M11" s="25">
        <f t="shared" si="8"/>
        <v>0</v>
      </c>
      <c r="N11" s="25">
        <f t="shared" si="8"/>
        <v>0</v>
      </c>
      <c r="O11" s="25">
        <f t="shared" si="8"/>
        <v>0</v>
      </c>
      <c r="P11" s="25">
        <f t="shared" si="8"/>
        <v>0</v>
      </c>
      <c r="Q11" s="25">
        <f t="shared" si="8"/>
        <v>0</v>
      </c>
      <c r="R11" s="25">
        <f t="shared" si="8"/>
        <v>0</v>
      </c>
      <c r="S11" s="25">
        <f t="shared" si="8"/>
        <v>0</v>
      </c>
      <c r="T11" s="25">
        <f t="shared" si="8"/>
        <v>0</v>
      </c>
      <c r="U11" s="25">
        <f t="shared" si="8"/>
        <v>0</v>
      </c>
      <c r="V11" s="25">
        <f t="shared" si="8"/>
        <v>0</v>
      </c>
      <c r="W11" s="25">
        <f t="shared" si="8"/>
        <v>0</v>
      </c>
      <c r="X11" s="25">
        <f t="shared" si="8"/>
        <v>0</v>
      </c>
      <c r="Y11" s="25">
        <f t="shared" si="8"/>
        <v>0</v>
      </c>
      <c r="Z11" s="25">
        <f t="shared" si="8"/>
        <v>0</v>
      </c>
      <c r="AA11" s="25">
        <f t="shared" si="8"/>
        <v>0</v>
      </c>
      <c r="AB11" s="25">
        <f t="shared" si="8"/>
        <v>0</v>
      </c>
      <c r="AC11" s="25">
        <f t="shared" si="8"/>
        <v>0</v>
      </c>
      <c r="AD11" s="25">
        <f t="shared" si="8"/>
        <v>0</v>
      </c>
      <c r="AE11" s="25">
        <f t="shared" si="8"/>
        <v>0</v>
      </c>
      <c r="AF11" s="25">
        <f t="shared" ref="AF11" si="9">AE11</f>
        <v>0</v>
      </c>
      <c r="AG11" s="25">
        <f t="shared" ref="AG11" si="10">AF11</f>
        <v>0</v>
      </c>
      <c r="AH11" s="25">
        <f t="shared" ref="AH11" si="11">AG11</f>
        <v>0</v>
      </c>
    </row>
    <row r="12" spans="1:35" ht="14.45" customHeight="1">
      <c r="A12" s="104" t="s">
        <v>51</v>
      </c>
      <c r="B12" s="16"/>
      <c r="C12" s="2">
        <v>0</v>
      </c>
      <c r="D12" s="2">
        <v>0</v>
      </c>
      <c r="E12" s="2">
        <v>0</v>
      </c>
      <c r="F12" s="2">
        <v>0.09</v>
      </c>
      <c r="G12" s="2">
        <v>0.23</v>
      </c>
      <c r="H12" s="2">
        <v>0.24</v>
      </c>
      <c r="I12" s="2">
        <v>0.24</v>
      </c>
      <c r="J12" s="2">
        <v>0.23</v>
      </c>
      <c r="K12" s="24">
        <f t="shared" ref="K12:AH12" si="12">K4*K35</f>
        <v>0.19923078029127958</v>
      </c>
      <c r="L12" s="24">
        <f t="shared" si="12"/>
        <v>0.21436309041752147</v>
      </c>
      <c r="M12" s="24">
        <f t="shared" si="12"/>
        <v>0.23064475512352245</v>
      </c>
      <c r="N12" s="24">
        <f t="shared" si="12"/>
        <v>0.24816307211458946</v>
      </c>
      <c r="O12" s="24">
        <f t="shared" si="12"/>
        <v>0.26701196967764973</v>
      </c>
      <c r="P12" s="24">
        <f t="shared" si="12"/>
        <v>0.28996262999507522</v>
      </c>
      <c r="Q12" s="24">
        <f t="shared" si="12"/>
        <v>0.31488598393234757</v>
      </c>
      <c r="R12" s="24">
        <f t="shared" si="12"/>
        <v>0.34195159175762302</v>
      </c>
      <c r="S12" s="24">
        <f t="shared" si="12"/>
        <v>0.37134358806740153</v>
      </c>
      <c r="T12" s="24">
        <f t="shared" si="12"/>
        <v>0.4032619345036223</v>
      </c>
      <c r="U12" s="24">
        <f t="shared" si="12"/>
        <v>0.44195639949143545</v>
      </c>
      <c r="V12" s="24">
        <f t="shared" si="12"/>
        <v>0.48436374063389004</v>
      </c>
      <c r="W12" s="24">
        <f t="shared" si="12"/>
        <v>0.5308402220463847</v>
      </c>
      <c r="X12" s="24">
        <f t="shared" si="12"/>
        <v>0.581776292695801</v>
      </c>
      <c r="Y12" s="24">
        <f t="shared" si="12"/>
        <v>0.63759986656266487</v>
      </c>
      <c r="Z12" s="24">
        <f t="shared" si="12"/>
        <v>0.70515591621255269</v>
      </c>
      <c r="AA12" s="24">
        <f t="shared" si="12"/>
        <v>0.77986977765575505</v>
      </c>
      <c r="AB12" s="24">
        <f t="shared" si="12"/>
        <v>0.86249984736355834</v>
      </c>
      <c r="AC12" s="24">
        <f t="shared" si="12"/>
        <v>0.95388487670121203</v>
      </c>
      <c r="AD12" s="24">
        <f t="shared" si="12"/>
        <v>1.0549524858243244</v>
      </c>
      <c r="AE12" s="24">
        <f t="shared" si="12"/>
        <v>1.177278104512123</v>
      </c>
      <c r="AF12" s="24">
        <f t="shared" si="12"/>
        <v>0</v>
      </c>
      <c r="AG12" s="24">
        <f t="shared" si="12"/>
        <v>0</v>
      </c>
      <c r="AH12" s="24">
        <f t="shared" si="12"/>
        <v>0</v>
      </c>
    </row>
    <row r="13" spans="1:35">
      <c r="A13" s="104" t="s">
        <v>161</v>
      </c>
      <c r="L13" s="24"/>
      <c r="M13" s="24"/>
      <c r="N13" s="24">
        <v>0.95</v>
      </c>
      <c r="O13" s="24">
        <f>N13</f>
        <v>0.95</v>
      </c>
      <c r="P13" s="24">
        <f>O13*1.1</f>
        <v>1.0449999999999999</v>
      </c>
      <c r="Q13" s="24">
        <f>P13</f>
        <v>1.0449999999999999</v>
      </c>
      <c r="R13" s="24">
        <f>Q13*1.1</f>
        <v>1.1495</v>
      </c>
      <c r="S13" s="24">
        <f>R13</f>
        <v>1.1495</v>
      </c>
      <c r="T13" s="24">
        <f>S13*1.1</f>
        <v>1.2644500000000001</v>
      </c>
      <c r="U13" s="24">
        <f>T13</f>
        <v>1.2644500000000001</v>
      </c>
      <c r="V13" s="24">
        <f>U13*1.1</f>
        <v>1.3908950000000002</v>
      </c>
      <c r="W13" s="24">
        <f>V13</f>
        <v>1.3908950000000002</v>
      </c>
      <c r="X13" s="24">
        <f>W13*1.1</f>
        <v>1.5299845000000003</v>
      </c>
      <c r="Y13" s="24">
        <f>X13</f>
        <v>1.5299845000000003</v>
      </c>
      <c r="Z13" s="24">
        <f>Y13*1.1</f>
        <v>1.6829829500000004</v>
      </c>
      <c r="AA13" s="24">
        <f>Z13</f>
        <v>1.6829829500000004</v>
      </c>
      <c r="AB13" s="24">
        <f>AA13*1.1</f>
        <v>1.8512812450000007</v>
      </c>
      <c r="AC13" s="24">
        <f>AB13</f>
        <v>1.8512812450000007</v>
      </c>
      <c r="AD13" s="24">
        <f>AC13*1.1</f>
        <v>2.0364093695000007</v>
      </c>
      <c r="AE13" s="24">
        <f>AD13</f>
        <v>2.0364093695000007</v>
      </c>
      <c r="AF13" s="24">
        <f>AE13</f>
        <v>2.0364093695000007</v>
      </c>
      <c r="AG13" s="24">
        <f>AF13</f>
        <v>2.0364093695000007</v>
      </c>
      <c r="AH13" s="24">
        <f>AG13</f>
        <v>2.0364093695000007</v>
      </c>
      <c r="AI13" s="24"/>
    </row>
    <row r="14" spans="1:35">
      <c r="A14" s="104" t="s">
        <v>184</v>
      </c>
      <c r="L14" s="24"/>
      <c r="M14" s="24"/>
      <c r="N14" s="24">
        <v>0.4</v>
      </c>
      <c r="O14" s="24">
        <f>N14*(1+10%)</f>
        <v>0.44000000000000006</v>
      </c>
      <c r="P14" s="24">
        <f>O14</f>
        <v>0.44000000000000006</v>
      </c>
      <c r="Q14" s="24">
        <f>P14*(1+10%)</f>
        <v>0.4840000000000001</v>
      </c>
      <c r="R14" s="24">
        <f>Q14</f>
        <v>0.4840000000000001</v>
      </c>
      <c r="S14" s="24">
        <f>R14*(1+10%)</f>
        <v>0.5324000000000001</v>
      </c>
      <c r="T14" s="24">
        <f>S14</f>
        <v>0.5324000000000001</v>
      </c>
      <c r="U14" s="24">
        <f>T14*(1+10%)</f>
        <v>0.58564000000000016</v>
      </c>
      <c r="V14" s="24">
        <f>U14</f>
        <v>0.58564000000000016</v>
      </c>
      <c r="W14" s="24">
        <f>V14*(1+10%)</f>
        <v>0.64420400000000022</v>
      </c>
      <c r="X14" s="24">
        <f>W14</f>
        <v>0.64420400000000022</v>
      </c>
      <c r="Y14" s="24">
        <f>X14*(1+10%)</f>
        <v>0.70862440000000027</v>
      </c>
      <c r="Z14" s="24">
        <f>Y14</f>
        <v>0.70862440000000027</v>
      </c>
      <c r="AA14" s="24">
        <f>Z14*(1+10%)</f>
        <v>0.77948684000000035</v>
      </c>
      <c r="AB14" s="24">
        <f>AA14</f>
        <v>0.77948684000000035</v>
      </c>
      <c r="AC14" s="24">
        <f>AB14*(1+10%)</f>
        <v>0.85743552400000045</v>
      </c>
      <c r="AD14" s="24">
        <f>AC14</f>
        <v>0.85743552400000045</v>
      </c>
      <c r="AE14" s="24">
        <f>AD14*(1+10%)</f>
        <v>0.94317907640000054</v>
      </c>
      <c r="AF14" s="24">
        <f>AE14</f>
        <v>0.94317907640000054</v>
      </c>
      <c r="AG14" s="24">
        <f>AF14*(1+10%)</f>
        <v>1.0374969840400006</v>
      </c>
      <c r="AH14" s="24">
        <f>AG14</f>
        <v>1.0374969840400006</v>
      </c>
      <c r="AI14" s="24"/>
    </row>
    <row r="15" spans="1:35" ht="14.45" customHeight="1">
      <c r="A15" s="104" t="s">
        <v>52</v>
      </c>
      <c r="B15" s="16"/>
      <c r="C15" s="2">
        <v>0</v>
      </c>
      <c r="D15" s="2">
        <v>0</v>
      </c>
      <c r="E15" s="2">
        <v>0</v>
      </c>
      <c r="F15" s="2">
        <v>0.21</v>
      </c>
      <c r="G15" s="2">
        <v>0.28999999999999998</v>
      </c>
      <c r="H15" s="2">
        <v>0.28999999999999998</v>
      </c>
      <c r="I15" s="2">
        <v>0.37</v>
      </c>
      <c r="J15" s="2">
        <v>0.3</v>
      </c>
      <c r="K15" s="24">
        <f t="shared" ref="K15:AH15" si="13">K4*K36</f>
        <v>0.29046840065634771</v>
      </c>
      <c r="L15" s="24">
        <f t="shared" si="13"/>
        <v>0.31253054343458253</v>
      </c>
      <c r="M15" s="24">
        <f t="shared" si="13"/>
        <v>0.33626838705623907</v>
      </c>
      <c r="N15" s="24">
        <f t="shared" si="13"/>
        <v>0.36180920716017401</v>
      </c>
      <c r="O15" s="24">
        <f t="shared" si="13"/>
        <v>0.38928994643787429</v>
      </c>
      <c r="P15" s="24">
        <f t="shared" si="13"/>
        <v>0.42275084834601923</v>
      </c>
      <c r="Q15" s="24">
        <f t="shared" si="13"/>
        <v>0.45908783777389467</v>
      </c>
      <c r="R15" s="24">
        <f t="shared" si="13"/>
        <v>0.49854812501618584</v>
      </c>
      <c r="S15" s="24">
        <f t="shared" si="13"/>
        <v>0.54140016900113985</v>
      </c>
      <c r="T15" s="24">
        <f t="shared" si="13"/>
        <v>0.58793550368872927</v>
      </c>
      <c r="U15" s="24">
        <f t="shared" si="13"/>
        <v>0.64435007649133891</v>
      </c>
      <c r="V15" s="24">
        <f t="shared" si="13"/>
        <v>0.70617783493171538</v>
      </c>
      <c r="W15" s="24">
        <f t="shared" si="13"/>
        <v>0.77393819407042164</v>
      </c>
      <c r="X15" s="24">
        <f t="shared" si="13"/>
        <v>0.84820040875242819</v>
      </c>
      <c r="Y15" s="24">
        <f t="shared" si="13"/>
        <v>0.92958835591763422</v>
      </c>
      <c r="Z15" s="24">
        <f t="shared" si="13"/>
        <v>1.0280816593508419</v>
      </c>
      <c r="AA15" s="24">
        <f t="shared" si="13"/>
        <v>1.1370106903396187</v>
      </c>
      <c r="AB15" s="24">
        <f t="shared" si="13"/>
        <v>1.2574811525797283</v>
      </c>
      <c r="AC15" s="24">
        <f t="shared" si="13"/>
        <v>1.3907159031380159</v>
      </c>
      <c r="AD15" s="24">
        <f t="shared" si="13"/>
        <v>1.5380673652827253</v>
      </c>
      <c r="AE15" s="24">
        <f t="shared" si="13"/>
        <v>1.7164119301516425</v>
      </c>
      <c r="AF15" s="24">
        <f t="shared" si="13"/>
        <v>0</v>
      </c>
      <c r="AG15" s="24">
        <f t="shared" si="13"/>
        <v>0</v>
      </c>
      <c r="AH15" s="24">
        <f t="shared" si="13"/>
        <v>0</v>
      </c>
    </row>
    <row r="16" spans="1:35" ht="14.45" customHeight="1">
      <c r="A16" s="105" t="s">
        <v>53</v>
      </c>
      <c r="B16" s="17"/>
      <c r="C16" s="3">
        <v>0</v>
      </c>
      <c r="D16" s="3">
        <v>0</v>
      </c>
      <c r="E16" s="3">
        <v>0</v>
      </c>
      <c r="F16" s="3">
        <v>0.3</v>
      </c>
      <c r="G16" s="3">
        <v>0.51</v>
      </c>
      <c r="H16" s="3">
        <v>0.53</v>
      </c>
      <c r="I16" s="3">
        <v>0.61</v>
      </c>
      <c r="J16" s="3">
        <v>0.54</v>
      </c>
      <c r="K16" s="28">
        <f t="shared" ref="K16:AH16" si="14">SUM(K9:K15)</f>
        <v>0.48969918094762732</v>
      </c>
      <c r="L16" s="28">
        <f t="shared" si="14"/>
        <v>0.52689363385210397</v>
      </c>
      <c r="M16" s="28">
        <f t="shared" si="14"/>
        <v>0.56691314217976152</v>
      </c>
      <c r="N16" s="28">
        <f t="shared" si="14"/>
        <v>1.9599722792747634</v>
      </c>
      <c r="O16" s="28">
        <f t="shared" si="14"/>
        <v>2.0463019161155236</v>
      </c>
      <c r="P16" s="28">
        <f t="shared" si="14"/>
        <v>2.1977134783410945</v>
      </c>
      <c r="Q16" s="28">
        <f t="shared" si="14"/>
        <v>2.3029738217062419</v>
      </c>
      <c r="R16" s="28">
        <f t="shared" si="14"/>
        <v>2.4739997167738088</v>
      </c>
      <c r="S16" s="28">
        <f t="shared" si="14"/>
        <v>2.5946437570685417</v>
      </c>
      <c r="T16" s="28">
        <f t="shared" si="14"/>
        <v>2.7880474381923519</v>
      </c>
      <c r="U16" s="28">
        <f t="shared" si="14"/>
        <v>2.9363964759827743</v>
      </c>
      <c r="V16" s="28">
        <f t="shared" si="14"/>
        <v>3.1670765755656056</v>
      </c>
      <c r="W16" s="28">
        <f t="shared" si="14"/>
        <v>3.3398774161168068</v>
      </c>
      <c r="X16" s="28">
        <f t="shared" si="14"/>
        <v>3.6041652014482297</v>
      </c>
      <c r="Y16" s="28">
        <f t="shared" si="14"/>
        <v>3.8057971224802998</v>
      </c>
      <c r="Z16" s="28">
        <f t="shared" si="14"/>
        <v>4.1248449255633952</v>
      </c>
      <c r="AA16" s="28">
        <f t="shared" si="14"/>
        <v>4.379350257995374</v>
      </c>
      <c r="AB16" s="28">
        <f t="shared" si="14"/>
        <v>4.750749084943287</v>
      </c>
      <c r="AC16" s="28">
        <f t="shared" si="14"/>
        <v>5.053317548839229</v>
      </c>
      <c r="AD16" s="28">
        <f t="shared" si="14"/>
        <v>5.4868647446070504</v>
      </c>
      <c r="AE16" s="28">
        <f t="shared" si="14"/>
        <v>5.8732784805637674</v>
      </c>
      <c r="AF16" s="28">
        <f t="shared" si="14"/>
        <v>2.979588445900001</v>
      </c>
      <c r="AG16" s="28">
        <f t="shared" si="14"/>
        <v>3.0739063535400013</v>
      </c>
      <c r="AH16" s="28">
        <f t="shared" si="14"/>
        <v>3.0739063535400013</v>
      </c>
    </row>
    <row r="17" spans="1:34" ht="14.45" customHeight="1">
      <c r="A17" s="18" t="s">
        <v>54</v>
      </c>
      <c r="B17" s="18"/>
      <c r="C17" s="3">
        <v>0</v>
      </c>
      <c r="D17" s="3">
        <v>0</v>
      </c>
      <c r="E17" s="3">
        <v>0</v>
      </c>
      <c r="F17" s="3">
        <v>0.8</v>
      </c>
      <c r="G17" s="3">
        <v>0.66</v>
      </c>
      <c r="H17" s="3">
        <v>0.73</v>
      </c>
      <c r="I17" s="3">
        <v>0.77</v>
      </c>
      <c r="J17" s="3">
        <v>0.61</v>
      </c>
      <c r="K17" s="29">
        <f t="shared" ref="K17:AH17" si="15">K7-K16</f>
        <v>0.74764754639910003</v>
      </c>
      <c r="L17" s="29">
        <f t="shared" si="15"/>
        <v>2.1036391258658584</v>
      </c>
      <c r="M17" s="29">
        <f t="shared" si="15"/>
        <v>3.3639438547879523</v>
      </c>
      <c r="N17" s="29">
        <f t="shared" si="15"/>
        <v>2.2046048327214529</v>
      </c>
      <c r="O17" s="29">
        <f t="shared" si="15"/>
        <v>2.2353385416129541</v>
      </c>
      <c r="P17" s="29">
        <f t="shared" si="15"/>
        <v>2.3576313411247303</v>
      </c>
      <c r="Q17" s="29">
        <f t="shared" si="15"/>
        <v>2.4071604855269908</v>
      </c>
      <c r="R17" s="29">
        <f t="shared" si="15"/>
        <v>2.5419536549494279</v>
      </c>
      <c r="S17" s="29">
        <f t="shared" si="15"/>
        <v>2.6038521434292177</v>
      </c>
      <c r="T17" s="29">
        <f t="shared" si="15"/>
        <v>2.7532922862584797</v>
      </c>
      <c r="U17" s="29">
        <f t="shared" si="15"/>
        <v>2.8452598780024285</v>
      </c>
      <c r="V17" s="29">
        <f t="shared" si="15"/>
        <v>3.0297973204537145</v>
      </c>
      <c r="W17" s="29">
        <f t="shared" si="15"/>
        <v>3.1456442585753872</v>
      </c>
      <c r="X17" s="29">
        <f t="shared" si="15"/>
        <v>3.357134798264644</v>
      </c>
      <c r="Y17" s="29">
        <f t="shared" si="15"/>
        <v>3.5022018979962128</v>
      </c>
      <c r="Z17" s="29">
        <f t="shared" si="15"/>
        <v>3.770124485353092</v>
      </c>
      <c r="AA17" s="29">
        <f t="shared" si="15"/>
        <v>3.9796385770734632</v>
      </c>
      <c r="AB17" s="29">
        <f t="shared" si="15"/>
        <v>4.2971994263291826</v>
      </c>
      <c r="AC17" s="29">
        <f t="shared" si="15"/>
        <v>4.5621886802422678</v>
      </c>
      <c r="AD17" s="29">
        <f t="shared" si="15"/>
        <v>4.9408985015670712</v>
      </c>
      <c r="AE17" s="29">
        <f t="shared" si="15"/>
        <v>5.3142027355581742</v>
      </c>
      <c r="AF17" s="29">
        <f t="shared" si="15"/>
        <v>9.2494955278774214</v>
      </c>
      <c r="AG17" s="29">
        <f t="shared" si="15"/>
        <v>10.101294374601359</v>
      </c>
      <c r="AH17" s="29">
        <f t="shared" si="15"/>
        <v>11.360599175739507</v>
      </c>
    </row>
    <row r="18" spans="1:34" ht="14.45" customHeight="1">
      <c r="A18" s="12" t="s">
        <v>55</v>
      </c>
      <c r="B18" s="12"/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0.05</v>
      </c>
      <c r="J18" s="2">
        <v>0.02</v>
      </c>
      <c r="K18" s="25">
        <f>J18</f>
        <v>0.02</v>
      </c>
      <c r="L18" s="25">
        <f t="shared" ref="L18:AE18" si="16">K18</f>
        <v>0.02</v>
      </c>
      <c r="M18" s="25">
        <f t="shared" si="16"/>
        <v>0.02</v>
      </c>
      <c r="N18" s="25">
        <f t="shared" si="16"/>
        <v>0.02</v>
      </c>
      <c r="O18" s="25">
        <f t="shared" si="16"/>
        <v>0.02</v>
      </c>
      <c r="P18" s="25">
        <f t="shared" si="16"/>
        <v>0.02</v>
      </c>
      <c r="Q18" s="25">
        <f t="shared" si="16"/>
        <v>0.02</v>
      </c>
      <c r="R18" s="25">
        <f t="shared" si="16"/>
        <v>0.02</v>
      </c>
      <c r="S18" s="25">
        <f t="shared" si="16"/>
        <v>0.02</v>
      </c>
      <c r="T18" s="25">
        <f t="shared" si="16"/>
        <v>0.02</v>
      </c>
      <c r="U18" s="25">
        <f t="shared" si="16"/>
        <v>0.02</v>
      </c>
      <c r="V18" s="25">
        <f t="shared" si="16"/>
        <v>0.02</v>
      </c>
      <c r="W18" s="25">
        <f t="shared" si="16"/>
        <v>0.02</v>
      </c>
      <c r="X18" s="25">
        <f t="shared" si="16"/>
        <v>0.02</v>
      </c>
      <c r="Y18" s="25">
        <f t="shared" si="16"/>
        <v>0.02</v>
      </c>
      <c r="Z18" s="25">
        <f t="shared" si="16"/>
        <v>0.02</v>
      </c>
      <c r="AA18" s="25">
        <f t="shared" si="16"/>
        <v>0.02</v>
      </c>
      <c r="AB18" s="25">
        <f t="shared" si="16"/>
        <v>0.02</v>
      </c>
      <c r="AC18" s="25">
        <f t="shared" si="16"/>
        <v>0.02</v>
      </c>
      <c r="AD18" s="25">
        <f t="shared" si="16"/>
        <v>0.02</v>
      </c>
      <c r="AE18" s="25">
        <f t="shared" si="16"/>
        <v>0.02</v>
      </c>
      <c r="AF18" s="25">
        <f t="shared" ref="AF18:AF19" si="17">AE18</f>
        <v>0.02</v>
      </c>
      <c r="AG18" s="25">
        <f t="shared" ref="AG18:AG19" si="18">AF18</f>
        <v>0.02</v>
      </c>
      <c r="AH18" s="25">
        <f t="shared" ref="AH18:AH19" si="19">AG18</f>
        <v>0.02</v>
      </c>
    </row>
    <row r="19" spans="1:34" ht="14.45" customHeight="1">
      <c r="A19" s="12" t="s">
        <v>56</v>
      </c>
      <c r="B19" s="12"/>
      <c r="C19" s="2" t="s">
        <v>14</v>
      </c>
      <c r="D19" s="2">
        <v>0</v>
      </c>
      <c r="E19" s="2">
        <v>0</v>
      </c>
      <c r="F19" s="2">
        <v>1.37</v>
      </c>
      <c r="G19" s="2">
        <v>1.37</v>
      </c>
      <c r="H19" s="2">
        <v>1.37</v>
      </c>
      <c r="I19" s="2">
        <v>1.37</v>
      </c>
      <c r="J19" s="2">
        <v>1.37</v>
      </c>
      <c r="K19" s="25">
        <f>J19</f>
        <v>1.37</v>
      </c>
      <c r="L19" s="25">
        <f t="shared" ref="L19:AE19" si="20">K19</f>
        <v>1.37</v>
      </c>
      <c r="M19" s="25">
        <f t="shared" si="20"/>
        <v>1.37</v>
      </c>
      <c r="N19" s="25">
        <f t="shared" si="20"/>
        <v>1.37</v>
      </c>
      <c r="O19" s="25">
        <f t="shared" si="20"/>
        <v>1.37</v>
      </c>
      <c r="P19" s="25">
        <f t="shared" si="20"/>
        <v>1.37</v>
      </c>
      <c r="Q19" s="25">
        <f t="shared" si="20"/>
        <v>1.37</v>
      </c>
      <c r="R19" s="25">
        <f t="shared" si="20"/>
        <v>1.37</v>
      </c>
      <c r="S19" s="25">
        <f t="shared" si="20"/>
        <v>1.37</v>
      </c>
      <c r="T19" s="25">
        <f t="shared" si="20"/>
        <v>1.37</v>
      </c>
      <c r="U19" s="25">
        <f t="shared" si="20"/>
        <v>1.37</v>
      </c>
      <c r="V19" s="25">
        <f t="shared" si="20"/>
        <v>1.37</v>
      </c>
      <c r="W19" s="25">
        <f t="shared" si="20"/>
        <v>1.37</v>
      </c>
      <c r="X19" s="25">
        <f t="shared" si="20"/>
        <v>1.37</v>
      </c>
      <c r="Y19" s="25">
        <f t="shared" si="20"/>
        <v>1.37</v>
      </c>
      <c r="Z19" s="25">
        <f t="shared" si="20"/>
        <v>1.37</v>
      </c>
      <c r="AA19" s="25">
        <f t="shared" si="20"/>
        <v>1.37</v>
      </c>
      <c r="AB19" s="25">
        <f t="shared" si="20"/>
        <v>1.37</v>
      </c>
      <c r="AC19" s="25">
        <f t="shared" si="20"/>
        <v>1.37</v>
      </c>
      <c r="AD19" s="25">
        <f t="shared" si="20"/>
        <v>1.37</v>
      </c>
      <c r="AE19" s="25">
        <f t="shared" si="20"/>
        <v>1.37</v>
      </c>
      <c r="AF19" s="25">
        <f t="shared" si="17"/>
        <v>1.37</v>
      </c>
      <c r="AG19" s="25">
        <f t="shared" si="18"/>
        <v>1.37</v>
      </c>
      <c r="AH19" s="25">
        <f t="shared" si="19"/>
        <v>1.37</v>
      </c>
    </row>
    <row r="20" spans="1:34" ht="14.45" customHeight="1">
      <c r="A20" s="12" t="s">
        <v>57</v>
      </c>
      <c r="B20" s="12"/>
      <c r="C20" s="2">
        <v>0</v>
      </c>
      <c r="D20" s="2">
        <v>0</v>
      </c>
      <c r="E20" s="2">
        <v>0</v>
      </c>
      <c r="F20" s="2">
        <v>-0.56000000000000005</v>
      </c>
      <c r="G20" s="2">
        <v>-0.7</v>
      </c>
      <c r="H20" s="2">
        <v>-0.63</v>
      </c>
      <c r="I20" s="2">
        <v>-0.55000000000000004</v>
      </c>
      <c r="J20" s="2">
        <v>-0.74</v>
      </c>
      <c r="K20" s="24">
        <f>K17+K18-K19</f>
        <v>-0.60235245360090006</v>
      </c>
      <c r="L20" s="24">
        <f>L17+L18-L19</f>
        <v>0.75363912586585835</v>
      </c>
      <c r="M20" s="24">
        <f t="shared" ref="M20:AE20" si="21">M17+M18-M19</f>
        <v>2.0139438547879522</v>
      </c>
      <c r="N20" s="24">
        <f t="shared" si="21"/>
        <v>0.85460483272145282</v>
      </c>
      <c r="O20" s="24">
        <f t="shared" si="21"/>
        <v>0.885338541612954</v>
      </c>
      <c r="P20" s="24">
        <f t="shared" si="21"/>
        <v>1.0076313411247302</v>
      </c>
      <c r="Q20" s="24">
        <f t="shared" si="21"/>
        <v>1.0571604855269907</v>
      </c>
      <c r="R20" s="24">
        <f t="shared" si="21"/>
        <v>1.1919536549494278</v>
      </c>
      <c r="S20" s="24">
        <f t="shared" si="21"/>
        <v>1.2538521434292176</v>
      </c>
      <c r="T20" s="24">
        <f t="shared" si="21"/>
        <v>1.4032922862584796</v>
      </c>
      <c r="U20" s="24">
        <f t="shared" si="21"/>
        <v>1.4952598780024284</v>
      </c>
      <c r="V20" s="24">
        <f t="shared" si="21"/>
        <v>1.6797973204537144</v>
      </c>
      <c r="W20" s="24">
        <f t="shared" si="21"/>
        <v>1.7956442585753871</v>
      </c>
      <c r="X20" s="24">
        <f t="shared" si="21"/>
        <v>2.0071347982646439</v>
      </c>
      <c r="Y20" s="24">
        <f t="shared" si="21"/>
        <v>2.1522018979962128</v>
      </c>
      <c r="Z20" s="24">
        <f t="shared" si="21"/>
        <v>2.4201244853530919</v>
      </c>
      <c r="AA20" s="24">
        <f t="shared" si="21"/>
        <v>2.6296385770734632</v>
      </c>
      <c r="AB20" s="24">
        <f t="shared" si="21"/>
        <v>2.9471994263291821</v>
      </c>
      <c r="AC20" s="24">
        <f t="shared" si="21"/>
        <v>3.2121886802422672</v>
      </c>
      <c r="AD20" s="24">
        <f t="shared" si="21"/>
        <v>3.5908985015670707</v>
      </c>
      <c r="AE20" s="24">
        <f t="shared" si="21"/>
        <v>3.9642027355581737</v>
      </c>
      <c r="AF20" s="24">
        <f t="shared" ref="AF20:AH20" si="22">AF17+AF18-AF19</f>
        <v>7.8994955278774208</v>
      </c>
      <c r="AG20" s="24">
        <f t="shared" si="22"/>
        <v>8.7512943746013576</v>
      </c>
      <c r="AH20" s="24">
        <f t="shared" si="22"/>
        <v>10.010599175739507</v>
      </c>
    </row>
    <row r="21" spans="1:34" ht="14.45" customHeight="1">
      <c r="A21" s="12" t="s">
        <v>58</v>
      </c>
      <c r="B21" s="12"/>
      <c r="C21" s="2">
        <v>0</v>
      </c>
      <c r="D21" s="2">
        <v>0</v>
      </c>
      <c r="E21" s="2">
        <v>0</v>
      </c>
      <c r="F21" s="2">
        <v>0.05</v>
      </c>
      <c r="G21" s="2">
        <v>0</v>
      </c>
      <c r="H21" s="2">
        <v>0.01</v>
      </c>
      <c r="I21" s="2">
        <v>0</v>
      </c>
      <c r="J21" s="2">
        <v>0.01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</row>
    <row r="22" spans="1:34" ht="14.45" customHeight="1">
      <c r="A22" s="12" t="s">
        <v>59</v>
      </c>
      <c r="B22" s="12"/>
      <c r="C22" s="2">
        <v>0</v>
      </c>
      <c r="D22" s="2">
        <v>0</v>
      </c>
      <c r="E22" s="2">
        <v>0</v>
      </c>
      <c r="F22" s="2">
        <v>-0.61</v>
      </c>
      <c r="G22" s="2">
        <v>-0.7</v>
      </c>
      <c r="H22" s="2">
        <v>-0.65</v>
      </c>
      <c r="I22" s="2">
        <v>-0.55000000000000004</v>
      </c>
      <c r="J22" s="2">
        <v>-0.74</v>
      </c>
      <c r="K22" s="24">
        <f>K20-K21</f>
        <v>-0.60235245360090006</v>
      </c>
      <c r="L22" s="24">
        <f>L20-L21</f>
        <v>0.75363912586585835</v>
      </c>
      <c r="M22" s="24">
        <f t="shared" ref="M22:AE22" si="23">M20-M21</f>
        <v>2.0139438547879522</v>
      </c>
      <c r="N22" s="24">
        <f t="shared" si="23"/>
        <v>0.85460483272145282</v>
      </c>
      <c r="O22" s="24">
        <f t="shared" si="23"/>
        <v>0.885338541612954</v>
      </c>
      <c r="P22" s="24">
        <f t="shared" si="23"/>
        <v>1.0076313411247302</v>
      </c>
      <c r="Q22" s="24">
        <f t="shared" si="23"/>
        <v>1.0571604855269907</v>
      </c>
      <c r="R22" s="24">
        <f t="shared" si="23"/>
        <v>1.1919536549494278</v>
      </c>
      <c r="S22" s="24">
        <f t="shared" si="23"/>
        <v>1.2538521434292176</v>
      </c>
      <c r="T22" s="24">
        <f t="shared" si="23"/>
        <v>1.4032922862584796</v>
      </c>
      <c r="U22" s="24">
        <f t="shared" si="23"/>
        <v>1.4952598780024284</v>
      </c>
      <c r="V22" s="24">
        <f t="shared" si="23"/>
        <v>1.6797973204537144</v>
      </c>
      <c r="W22" s="24">
        <f t="shared" si="23"/>
        <v>1.7956442585753871</v>
      </c>
      <c r="X22" s="24">
        <f t="shared" si="23"/>
        <v>2.0071347982646439</v>
      </c>
      <c r="Y22" s="24">
        <f t="shared" si="23"/>
        <v>2.1522018979962128</v>
      </c>
      <c r="Z22" s="24">
        <f t="shared" si="23"/>
        <v>2.4201244853530919</v>
      </c>
      <c r="AA22" s="24">
        <f t="shared" si="23"/>
        <v>2.6296385770734632</v>
      </c>
      <c r="AB22" s="24">
        <f t="shared" si="23"/>
        <v>2.9471994263291821</v>
      </c>
      <c r="AC22" s="24">
        <f t="shared" si="23"/>
        <v>3.2121886802422672</v>
      </c>
      <c r="AD22" s="24">
        <f t="shared" si="23"/>
        <v>3.5908985015670707</v>
      </c>
      <c r="AE22" s="24">
        <f t="shared" si="23"/>
        <v>3.9642027355581737</v>
      </c>
      <c r="AF22" s="24">
        <f t="shared" ref="AF22:AH22" si="24">AF20-AF21</f>
        <v>7.8994955278774208</v>
      </c>
      <c r="AG22" s="24">
        <f t="shared" si="24"/>
        <v>8.7512943746013576</v>
      </c>
      <c r="AH22" s="24">
        <f t="shared" si="24"/>
        <v>10.010599175739507</v>
      </c>
    </row>
    <row r="23" spans="1:34" ht="14.45" customHeight="1">
      <c r="A23" s="12" t="s">
        <v>60</v>
      </c>
      <c r="B23" s="12"/>
      <c r="C23" s="2" t="s">
        <v>14</v>
      </c>
      <c r="D23" s="2">
        <v>0</v>
      </c>
      <c r="E23" s="2">
        <v>0</v>
      </c>
      <c r="F23" s="2" t="s">
        <v>14</v>
      </c>
      <c r="G23" s="2">
        <v>0</v>
      </c>
      <c r="H23" s="2" t="s">
        <v>14</v>
      </c>
      <c r="I23" s="2" t="s">
        <v>14</v>
      </c>
      <c r="J23" s="2" t="s">
        <v>14</v>
      </c>
      <c r="K23" s="26" t="str">
        <f>J23</f>
        <v>-</v>
      </c>
      <c r="L23" s="26" t="str">
        <f t="shared" ref="L23:AE23" si="25">K23</f>
        <v>-</v>
      </c>
      <c r="M23" s="26" t="str">
        <f t="shared" si="25"/>
        <v>-</v>
      </c>
      <c r="N23" s="26" t="str">
        <f t="shared" si="25"/>
        <v>-</v>
      </c>
      <c r="O23" s="26" t="str">
        <f t="shared" si="25"/>
        <v>-</v>
      </c>
      <c r="P23" s="26" t="str">
        <f t="shared" si="25"/>
        <v>-</v>
      </c>
      <c r="Q23" s="26" t="str">
        <f t="shared" si="25"/>
        <v>-</v>
      </c>
      <c r="R23" s="26" t="str">
        <f t="shared" si="25"/>
        <v>-</v>
      </c>
      <c r="S23" s="26" t="str">
        <f t="shared" si="25"/>
        <v>-</v>
      </c>
      <c r="T23" s="26" t="str">
        <f t="shared" si="25"/>
        <v>-</v>
      </c>
      <c r="U23" s="26" t="str">
        <f t="shared" si="25"/>
        <v>-</v>
      </c>
      <c r="V23" s="26" t="str">
        <f t="shared" si="25"/>
        <v>-</v>
      </c>
      <c r="W23" s="26" t="str">
        <f t="shared" si="25"/>
        <v>-</v>
      </c>
      <c r="X23" s="26" t="str">
        <f t="shared" si="25"/>
        <v>-</v>
      </c>
      <c r="Y23" s="26" t="str">
        <f t="shared" si="25"/>
        <v>-</v>
      </c>
      <c r="Z23" s="26" t="str">
        <f t="shared" si="25"/>
        <v>-</v>
      </c>
      <c r="AA23" s="26" t="str">
        <f t="shared" si="25"/>
        <v>-</v>
      </c>
      <c r="AB23" s="26" t="str">
        <f t="shared" si="25"/>
        <v>-</v>
      </c>
      <c r="AC23" s="26" t="str">
        <f t="shared" si="25"/>
        <v>-</v>
      </c>
      <c r="AD23" s="26" t="str">
        <f t="shared" si="25"/>
        <v>-</v>
      </c>
      <c r="AE23" s="26" t="str">
        <f t="shared" si="25"/>
        <v>-</v>
      </c>
      <c r="AF23" s="26" t="str">
        <f t="shared" ref="AF23" si="26">AE23</f>
        <v>-</v>
      </c>
      <c r="AG23" s="26" t="str">
        <f t="shared" ref="AG23" si="27">AF23</f>
        <v>-</v>
      </c>
      <c r="AH23" s="26" t="str">
        <f t="shared" ref="AH23" si="28">AG23</f>
        <v>-</v>
      </c>
    </row>
    <row r="24" spans="1:34" ht="14.45" customHeight="1">
      <c r="A24" s="12" t="s">
        <v>61</v>
      </c>
      <c r="B24" s="12"/>
      <c r="C24" s="2">
        <v>0</v>
      </c>
      <c r="D24" s="2">
        <v>0</v>
      </c>
      <c r="E24" s="2">
        <v>0</v>
      </c>
      <c r="F24" s="2">
        <v>-0.61</v>
      </c>
      <c r="G24" s="2">
        <v>-0.7</v>
      </c>
      <c r="H24" s="2">
        <v>-0.65</v>
      </c>
      <c r="I24" s="2">
        <v>-0.55000000000000004</v>
      </c>
      <c r="J24" s="2">
        <v>-0.74</v>
      </c>
      <c r="K24" s="24">
        <f>K22</f>
        <v>-0.60235245360090006</v>
      </c>
      <c r="L24" s="24">
        <f>L22</f>
        <v>0.75363912586585835</v>
      </c>
      <c r="M24" s="24">
        <f t="shared" ref="M24:AE24" si="29">M22</f>
        <v>2.0139438547879522</v>
      </c>
      <c r="N24" s="24">
        <f t="shared" si="29"/>
        <v>0.85460483272145282</v>
      </c>
      <c r="O24" s="24">
        <f t="shared" si="29"/>
        <v>0.885338541612954</v>
      </c>
      <c r="P24" s="24">
        <f t="shared" si="29"/>
        <v>1.0076313411247302</v>
      </c>
      <c r="Q24" s="24">
        <f t="shared" si="29"/>
        <v>1.0571604855269907</v>
      </c>
      <c r="R24" s="24">
        <f t="shared" si="29"/>
        <v>1.1919536549494278</v>
      </c>
      <c r="S24" s="24">
        <f t="shared" si="29"/>
        <v>1.2538521434292176</v>
      </c>
      <c r="T24" s="24">
        <f t="shared" si="29"/>
        <v>1.4032922862584796</v>
      </c>
      <c r="U24" s="24">
        <f t="shared" si="29"/>
        <v>1.4952598780024284</v>
      </c>
      <c r="V24" s="24">
        <f t="shared" si="29"/>
        <v>1.6797973204537144</v>
      </c>
      <c r="W24" s="24">
        <f t="shared" si="29"/>
        <v>1.7956442585753871</v>
      </c>
      <c r="X24" s="24">
        <f t="shared" si="29"/>
        <v>2.0071347982646439</v>
      </c>
      <c r="Y24" s="24">
        <f t="shared" si="29"/>
        <v>2.1522018979962128</v>
      </c>
      <c r="Z24" s="24">
        <f t="shared" si="29"/>
        <v>2.4201244853530919</v>
      </c>
      <c r="AA24" s="24">
        <f t="shared" si="29"/>
        <v>2.6296385770734632</v>
      </c>
      <c r="AB24" s="24">
        <f t="shared" si="29"/>
        <v>2.9471994263291821</v>
      </c>
      <c r="AC24" s="24">
        <f t="shared" si="29"/>
        <v>3.2121886802422672</v>
      </c>
      <c r="AD24" s="24">
        <f t="shared" si="29"/>
        <v>3.5908985015670707</v>
      </c>
      <c r="AE24" s="24">
        <f t="shared" si="29"/>
        <v>3.9642027355581737</v>
      </c>
      <c r="AF24" s="24">
        <f t="shared" ref="AF24:AH24" si="30">AF22</f>
        <v>7.8994955278774208</v>
      </c>
      <c r="AG24" s="24">
        <f t="shared" si="30"/>
        <v>8.7512943746013576</v>
      </c>
      <c r="AH24" s="24">
        <f t="shared" si="30"/>
        <v>10.010599175739507</v>
      </c>
    </row>
    <row r="25" spans="1:34" ht="14.45" customHeight="1">
      <c r="A25" s="12" t="s">
        <v>62</v>
      </c>
      <c r="B25" s="12"/>
      <c r="C25" s="2" t="s">
        <v>14</v>
      </c>
      <c r="D25" s="2">
        <v>0</v>
      </c>
      <c r="E25" s="2">
        <v>0</v>
      </c>
      <c r="F25" s="2">
        <v>-0.04</v>
      </c>
      <c r="G25" s="2">
        <v>-0.04</v>
      </c>
      <c r="H25" s="2">
        <v>-0.03</v>
      </c>
      <c r="I25" s="2">
        <v>-0.03</v>
      </c>
      <c r="J25" s="2">
        <v>-0.03</v>
      </c>
      <c r="K25" s="24">
        <f>0</f>
        <v>0</v>
      </c>
      <c r="L25" s="24">
        <f>L24*26%</f>
        <v>0.19594617272512319</v>
      </c>
      <c r="M25" s="24">
        <f>M24*26%</f>
        <v>0.52362540224486764</v>
      </c>
      <c r="N25" s="24">
        <f>N24*27.82%</f>
        <v>0.23775106446310817</v>
      </c>
      <c r="O25" s="24">
        <f t="shared" ref="O25:P25" si="31">O24*27.82%</f>
        <v>0.24630118227672382</v>
      </c>
      <c r="P25" s="24">
        <f t="shared" si="31"/>
        <v>0.28032303910089995</v>
      </c>
      <c r="Q25" s="24">
        <f>Q24*27.82%</f>
        <v>0.29410204707360882</v>
      </c>
      <c r="R25" s="24">
        <f t="shared" ref="R25:AE25" si="32">R24*27.82%</f>
        <v>0.33160150680693085</v>
      </c>
      <c r="S25" s="24">
        <f t="shared" si="32"/>
        <v>0.34882166630200834</v>
      </c>
      <c r="T25" s="24">
        <f t="shared" si="32"/>
        <v>0.39039591403710899</v>
      </c>
      <c r="U25" s="24">
        <f t="shared" si="32"/>
        <v>0.41598129806027562</v>
      </c>
      <c r="V25" s="24">
        <f t="shared" si="32"/>
        <v>0.46731961455022336</v>
      </c>
      <c r="W25" s="24">
        <f t="shared" si="32"/>
        <v>0.49954823273567273</v>
      </c>
      <c r="X25" s="24">
        <f t="shared" si="32"/>
        <v>0.55838490087722392</v>
      </c>
      <c r="Y25" s="24">
        <f t="shared" si="32"/>
        <v>0.59874256802254644</v>
      </c>
      <c r="Z25" s="24">
        <f t="shared" si="32"/>
        <v>0.67327863182523018</v>
      </c>
      <c r="AA25" s="24">
        <f t="shared" si="32"/>
        <v>0.73156545214183744</v>
      </c>
      <c r="AB25" s="24">
        <f t="shared" si="32"/>
        <v>0.81991088040477844</v>
      </c>
      <c r="AC25" s="24">
        <f t="shared" si="32"/>
        <v>0.89363089084339875</v>
      </c>
      <c r="AD25" s="24">
        <f t="shared" si="32"/>
        <v>0.99898796313595906</v>
      </c>
      <c r="AE25" s="24">
        <f t="shared" si="32"/>
        <v>1.1028412010322839</v>
      </c>
      <c r="AF25" s="24">
        <f t="shared" ref="AF25" si="33">AF24*27.82%</f>
        <v>2.1976396558554985</v>
      </c>
      <c r="AG25" s="24">
        <f t="shared" ref="AG25" si="34">AG24*27.82%</f>
        <v>2.4346100950140976</v>
      </c>
      <c r="AH25" s="24">
        <f t="shared" ref="AH25" si="35">AH24*27.82%</f>
        <v>2.7849486906907308</v>
      </c>
    </row>
    <row r="26" spans="1:34" ht="14.45" customHeight="1">
      <c r="A26" s="12" t="s">
        <v>63</v>
      </c>
      <c r="B26" s="12"/>
      <c r="C26" s="2">
        <v>0</v>
      </c>
      <c r="D26" s="2">
        <v>0</v>
      </c>
      <c r="E26" s="2">
        <v>0</v>
      </c>
      <c r="F26" s="2">
        <v>-0.57999999999999996</v>
      </c>
      <c r="G26" s="2">
        <v>-0.67</v>
      </c>
      <c r="H26" s="2">
        <v>-0.61</v>
      </c>
      <c r="I26" s="2">
        <v>-0.52</v>
      </c>
      <c r="J26" s="2">
        <v>-0.71</v>
      </c>
      <c r="K26" s="24">
        <f>K24</f>
        <v>-0.60235245360090006</v>
      </c>
      <c r="L26" s="24">
        <f>L24-L25</f>
        <v>0.55769295314073519</v>
      </c>
      <c r="M26" s="24">
        <f t="shared" ref="M26:AE26" si="36">M24-M25</f>
        <v>1.4903184525430846</v>
      </c>
      <c r="N26" s="24">
        <f t="shared" si="36"/>
        <v>0.61685376825834459</v>
      </c>
      <c r="O26" s="24">
        <f t="shared" si="36"/>
        <v>0.63903735933623018</v>
      </c>
      <c r="P26" s="24">
        <f t="shared" si="36"/>
        <v>0.72730830202383023</v>
      </c>
      <c r="Q26" s="24">
        <f t="shared" si="36"/>
        <v>0.76305843845338184</v>
      </c>
      <c r="R26" s="24">
        <f t="shared" si="36"/>
        <v>0.86035214814249694</v>
      </c>
      <c r="S26" s="24">
        <f t="shared" si="36"/>
        <v>0.9050304771272093</v>
      </c>
      <c r="T26" s="24">
        <f t="shared" si="36"/>
        <v>1.0128963722213706</v>
      </c>
      <c r="U26" s="24">
        <f t="shared" si="36"/>
        <v>1.0792785799421529</v>
      </c>
      <c r="V26" s="24">
        <f t="shared" si="36"/>
        <v>1.212477705903491</v>
      </c>
      <c r="W26" s="24">
        <f t="shared" si="36"/>
        <v>1.2960960258397143</v>
      </c>
      <c r="X26" s="24">
        <f t="shared" si="36"/>
        <v>1.44874989738742</v>
      </c>
      <c r="Y26" s="24">
        <f t="shared" si="36"/>
        <v>1.5534593299736663</v>
      </c>
      <c r="Z26" s="24">
        <f t="shared" si="36"/>
        <v>1.7468458535278617</v>
      </c>
      <c r="AA26" s="24">
        <f t="shared" si="36"/>
        <v>1.8980731249316256</v>
      </c>
      <c r="AB26" s="24">
        <f t="shared" si="36"/>
        <v>2.1272885459244035</v>
      </c>
      <c r="AC26" s="24">
        <f t="shared" si="36"/>
        <v>2.3185577893988683</v>
      </c>
      <c r="AD26" s="24">
        <f t="shared" si="36"/>
        <v>2.5919105384311116</v>
      </c>
      <c r="AE26" s="24">
        <f t="shared" si="36"/>
        <v>2.8613615345258898</v>
      </c>
      <c r="AF26" s="24">
        <f t="shared" ref="AF26:AH26" si="37">AF24-AF25</f>
        <v>5.7018558720219223</v>
      </c>
      <c r="AG26" s="24">
        <f t="shared" si="37"/>
        <v>6.3166842795872604</v>
      </c>
      <c r="AH26" s="24">
        <f t="shared" si="37"/>
        <v>7.2256504850487762</v>
      </c>
    </row>
    <row r="27" spans="1:34" ht="14.45" customHeight="1">
      <c r="A27" s="12" t="s">
        <v>64</v>
      </c>
      <c r="B27" s="12"/>
      <c r="C27" s="2" t="s">
        <v>14</v>
      </c>
      <c r="D27" s="2">
        <v>0</v>
      </c>
      <c r="E27" s="2">
        <v>0</v>
      </c>
      <c r="F27" s="2" t="s">
        <v>14</v>
      </c>
      <c r="G27" s="2">
        <v>0</v>
      </c>
      <c r="H27" s="2" t="s">
        <v>14</v>
      </c>
      <c r="I27" s="2" t="s">
        <v>14</v>
      </c>
      <c r="J27" s="2" t="s">
        <v>14</v>
      </c>
    </row>
    <row r="28" spans="1:34" ht="14.45" customHeight="1">
      <c r="A28" s="18" t="s">
        <v>65</v>
      </c>
      <c r="B28" s="18"/>
      <c r="C28" s="3">
        <v>0</v>
      </c>
      <c r="D28" s="3">
        <v>0</v>
      </c>
      <c r="E28" s="3">
        <v>0</v>
      </c>
      <c r="F28" s="3">
        <v>-0.57999999999999996</v>
      </c>
      <c r="G28" s="3">
        <v>-0.67</v>
      </c>
      <c r="H28" s="3">
        <v>-0.61</v>
      </c>
      <c r="I28" s="3">
        <v>-0.52</v>
      </c>
      <c r="J28" s="3">
        <v>-0.71</v>
      </c>
      <c r="K28" s="24">
        <f>K26</f>
        <v>-0.60235245360090006</v>
      </c>
      <c r="L28" s="24">
        <f t="shared" ref="L28:AE28" si="38">L26</f>
        <v>0.55769295314073519</v>
      </c>
      <c r="M28" s="24">
        <f t="shared" si="38"/>
        <v>1.4903184525430846</v>
      </c>
      <c r="N28" s="24">
        <f t="shared" si="38"/>
        <v>0.61685376825834459</v>
      </c>
      <c r="O28" s="24">
        <f t="shared" si="38"/>
        <v>0.63903735933623018</v>
      </c>
      <c r="P28" s="24">
        <f t="shared" si="38"/>
        <v>0.72730830202383023</v>
      </c>
      <c r="Q28" s="24">
        <f t="shared" si="38"/>
        <v>0.76305843845338184</v>
      </c>
      <c r="R28" s="24">
        <f t="shared" si="38"/>
        <v>0.86035214814249694</v>
      </c>
      <c r="S28" s="24">
        <f t="shared" si="38"/>
        <v>0.9050304771272093</v>
      </c>
      <c r="T28" s="24">
        <f t="shared" si="38"/>
        <v>1.0128963722213706</v>
      </c>
      <c r="U28" s="24">
        <f t="shared" si="38"/>
        <v>1.0792785799421529</v>
      </c>
      <c r="V28" s="24">
        <f t="shared" si="38"/>
        <v>1.212477705903491</v>
      </c>
      <c r="W28" s="24">
        <f t="shared" si="38"/>
        <v>1.2960960258397143</v>
      </c>
      <c r="X28" s="24">
        <f t="shared" si="38"/>
        <v>1.44874989738742</v>
      </c>
      <c r="Y28" s="24">
        <f t="shared" si="38"/>
        <v>1.5534593299736663</v>
      </c>
      <c r="Z28" s="24">
        <f t="shared" si="38"/>
        <v>1.7468458535278617</v>
      </c>
      <c r="AA28" s="24">
        <f t="shared" si="38"/>
        <v>1.8980731249316256</v>
      </c>
      <c r="AB28" s="24">
        <f t="shared" si="38"/>
        <v>2.1272885459244035</v>
      </c>
      <c r="AC28" s="24">
        <f t="shared" si="38"/>
        <v>2.3185577893988683</v>
      </c>
      <c r="AD28" s="24">
        <f t="shared" si="38"/>
        <v>2.5919105384311116</v>
      </c>
      <c r="AE28" s="24">
        <f t="shared" si="38"/>
        <v>2.8613615345258898</v>
      </c>
      <c r="AF28" s="24">
        <f t="shared" ref="AF28:AH28" si="39">AF26</f>
        <v>5.7018558720219223</v>
      </c>
      <c r="AG28" s="24">
        <f t="shared" si="39"/>
        <v>6.3166842795872604</v>
      </c>
      <c r="AH28" s="24">
        <f t="shared" si="39"/>
        <v>7.2256504850487762</v>
      </c>
    </row>
    <row r="29" spans="1:34">
      <c r="A29" s="19"/>
      <c r="B29" s="19"/>
      <c r="C29" s="2"/>
      <c r="D29" s="2"/>
      <c r="E29" s="2"/>
      <c r="F29" s="2"/>
      <c r="G29" s="2"/>
      <c r="H29" s="2"/>
      <c r="I29" s="2"/>
      <c r="J29" s="2"/>
    </row>
    <row r="30" spans="1:34">
      <c r="A30" s="6" t="s">
        <v>66</v>
      </c>
      <c r="B30" s="6"/>
      <c r="C30" s="22">
        <v>2014</v>
      </c>
      <c r="D30" s="22">
        <v>2015</v>
      </c>
      <c r="E30" s="22">
        <v>2016</v>
      </c>
      <c r="F30" s="22">
        <v>2017</v>
      </c>
      <c r="G30" s="22">
        <v>2018</v>
      </c>
      <c r="H30" s="22">
        <v>2019</v>
      </c>
      <c r="I30" s="22">
        <v>2020</v>
      </c>
      <c r="J30" s="22">
        <v>2021</v>
      </c>
    </row>
    <row r="31" spans="1:34">
      <c r="A31" s="15" t="s">
        <v>67</v>
      </c>
      <c r="B31" s="20"/>
      <c r="C31" s="4" t="s">
        <v>14</v>
      </c>
      <c r="D31" s="4" t="s">
        <v>14</v>
      </c>
      <c r="E31" s="4" t="s">
        <v>14</v>
      </c>
      <c r="F31" s="4" t="s">
        <v>14</v>
      </c>
      <c r="G31" s="13">
        <f>G4/F4-1</f>
        <v>6.3636363636363491E-2</v>
      </c>
      <c r="H31" s="13">
        <f>H4/G4-1</f>
        <v>7.6923076923077094E-2</v>
      </c>
      <c r="I31" s="13">
        <f>I4/H4-1</f>
        <v>8.7301587301587436E-2</v>
      </c>
      <c r="J31" s="13">
        <f>J4/I4-1</f>
        <v>-0.16058394160583955</v>
      </c>
      <c r="K31" s="21">
        <f>AVERAGE(F31:I31)</f>
        <v>7.5953675953676011E-2</v>
      </c>
      <c r="L31" s="14">
        <f>K31</f>
        <v>7.5953675953676011E-2</v>
      </c>
      <c r="M31" s="14">
        <f t="shared" ref="M31:AD31" si="40">L31</f>
        <v>7.5953675953676011E-2</v>
      </c>
      <c r="N31" s="14">
        <f t="shared" si="40"/>
        <v>7.5953675953676011E-2</v>
      </c>
      <c r="O31" s="14">
        <f t="shared" si="40"/>
        <v>7.5953675953676011E-2</v>
      </c>
      <c r="P31" s="27">
        <f>O31+1%</f>
        <v>8.5953675953676006E-2</v>
      </c>
      <c r="Q31" s="14">
        <f t="shared" si="40"/>
        <v>8.5953675953676006E-2</v>
      </c>
      <c r="R31" s="14">
        <f t="shared" si="40"/>
        <v>8.5953675953676006E-2</v>
      </c>
      <c r="S31" s="14">
        <f t="shared" si="40"/>
        <v>8.5953675953676006E-2</v>
      </c>
      <c r="T31" s="14">
        <f t="shared" si="40"/>
        <v>8.5953675953676006E-2</v>
      </c>
      <c r="U31" s="14">
        <f>T31+1%</f>
        <v>9.5953675953676001E-2</v>
      </c>
      <c r="V31" s="14">
        <f t="shared" si="40"/>
        <v>9.5953675953676001E-2</v>
      </c>
      <c r="W31" s="14">
        <f t="shared" si="40"/>
        <v>9.5953675953676001E-2</v>
      </c>
      <c r="X31" s="14">
        <f t="shared" si="40"/>
        <v>9.5953675953676001E-2</v>
      </c>
      <c r="Y31" s="14">
        <f t="shared" si="40"/>
        <v>9.5953675953676001E-2</v>
      </c>
      <c r="Z31" s="14">
        <f>Y31+1%</f>
        <v>0.105953675953676</v>
      </c>
      <c r="AA31" s="14">
        <f t="shared" si="40"/>
        <v>0.105953675953676</v>
      </c>
      <c r="AB31" s="14">
        <f t="shared" si="40"/>
        <v>0.105953675953676</v>
      </c>
      <c r="AC31" s="14">
        <f t="shared" si="40"/>
        <v>0.105953675953676</v>
      </c>
      <c r="AD31" s="14">
        <f t="shared" si="40"/>
        <v>0.105953675953676</v>
      </c>
      <c r="AE31" s="14">
        <f>AD31+1%</f>
        <v>0.11595367595367599</v>
      </c>
      <c r="AF31" s="14">
        <f t="shared" ref="AF31" si="41">AE31</f>
        <v>0.11595367595367599</v>
      </c>
      <c r="AG31" s="14">
        <f t="shared" ref="AG31" si="42">AF31</f>
        <v>0.11595367595367599</v>
      </c>
      <c r="AH31" s="14">
        <f t="shared" ref="AH31" si="43">AG31</f>
        <v>0.11595367595367599</v>
      </c>
    </row>
    <row r="32" spans="1:34" ht="14.45" customHeight="1">
      <c r="A32" s="12" t="s">
        <v>68</v>
      </c>
      <c r="B32" s="12"/>
      <c r="C32" s="4" t="s">
        <v>14</v>
      </c>
      <c r="D32" s="4" t="s">
        <v>14</v>
      </c>
      <c r="E32" s="4" t="s">
        <v>14</v>
      </c>
      <c r="F32" s="13">
        <f>F17/F4</f>
        <v>0.72727272727272729</v>
      </c>
      <c r="G32" s="13">
        <f>G17/G4</f>
        <v>0.56410256410256421</v>
      </c>
      <c r="H32" s="13">
        <f>H17/H4</f>
        <v>0.57936507936507931</v>
      </c>
      <c r="I32" s="13">
        <f>I17/I4</f>
        <v>0.56204379562043794</v>
      </c>
      <c r="J32" s="13">
        <f>J17/J4</f>
        <v>0.5304347826086957</v>
      </c>
      <c r="K32" s="21">
        <f>AVERAGE(F32:I32)</f>
        <v>0.60819604159020213</v>
      </c>
    </row>
    <row r="33" spans="1:31" ht="14.45" customHeight="1">
      <c r="A33" s="12" t="s">
        <v>69</v>
      </c>
      <c r="B33" s="12"/>
      <c r="C33" s="4" t="s">
        <v>14</v>
      </c>
      <c r="D33" s="4" t="s">
        <v>14</v>
      </c>
      <c r="E33" s="4" t="s">
        <v>14</v>
      </c>
      <c r="F33" s="13">
        <f>F28/F4</f>
        <v>-0.52727272727272723</v>
      </c>
      <c r="G33" s="13">
        <f>G28/G4</f>
        <v>-0.57264957264957272</v>
      </c>
      <c r="H33" s="13">
        <f>H28/H4</f>
        <v>-0.48412698412698413</v>
      </c>
      <c r="I33" s="13">
        <f>I28/I4</f>
        <v>-0.37956204379562042</v>
      </c>
      <c r="J33" s="13">
        <f>J28/J4</f>
        <v>-0.61739130434782608</v>
      </c>
      <c r="K33" s="21">
        <f>AVERAGE(F33:I33)</f>
        <v>-0.49090283196122614</v>
      </c>
    </row>
    <row r="35" spans="1:31">
      <c r="A35" s="16" t="s">
        <v>51</v>
      </c>
      <c r="F35" s="27">
        <f>F12/F4</f>
        <v>8.1818181818181804E-2</v>
      </c>
      <c r="G35" s="27">
        <f>G12/G4</f>
        <v>0.1965811965811966</v>
      </c>
      <c r="H35" s="27">
        <f>H12/H4</f>
        <v>0.19047619047619047</v>
      </c>
      <c r="I35" s="27">
        <f>I12/I4</f>
        <v>0.1751824817518248</v>
      </c>
      <c r="J35" s="27">
        <f>J12/J4</f>
        <v>0.2</v>
      </c>
      <c r="K35" s="21">
        <f>AVERAGE(F35:I35)</f>
        <v>0.16101451265684841</v>
      </c>
      <c r="L35" s="14">
        <f>K35</f>
        <v>0.16101451265684841</v>
      </c>
      <c r="M35" s="14">
        <f t="shared" ref="M35:AE35" si="44">L35</f>
        <v>0.16101451265684841</v>
      </c>
      <c r="N35" s="14">
        <f t="shared" si="44"/>
        <v>0.16101451265684841</v>
      </c>
      <c r="O35" s="14">
        <f t="shared" si="44"/>
        <v>0.16101451265684841</v>
      </c>
      <c r="P35" s="14">
        <f t="shared" si="44"/>
        <v>0.16101451265684841</v>
      </c>
      <c r="Q35" s="14">
        <f t="shared" si="44"/>
        <v>0.16101451265684841</v>
      </c>
      <c r="R35" s="14">
        <f t="shared" si="44"/>
        <v>0.16101451265684841</v>
      </c>
      <c r="S35" s="14">
        <f t="shared" si="44"/>
        <v>0.16101451265684841</v>
      </c>
      <c r="T35" s="14">
        <f t="shared" si="44"/>
        <v>0.16101451265684841</v>
      </c>
      <c r="U35" s="14">
        <f t="shared" si="44"/>
        <v>0.16101451265684841</v>
      </c>
      <c r="V35" s="14">
        <f t="shared" si="44"/>
        <v>0.16101451265684841</v>
      </c>
      <c r="W35" s="14">
        <f t="shared" si="44"/>
        <v>0.16101451265684841</v>
      </c>
      <c r="X35" s="14">
        <f t="shared" si="44"/>
        <v>0.16101451265684841</v>
      </c>
      <c r="Y35" s="14">
        <f t="shared" si="44"/>
        <v>0.16101451265684841</v>
      </c>
      <c r="Z35" s="14">
        <f t="shared" si="44"/>
        <v>0.16101451265684841</v>
      </c>
      <c r="AA35" s="14">
        <f t="shared" si="44"/>
        <v>0.16101451265684841</v>
      </c>
      <c r="AB35" s="14">
        <f t="shared" si="44"/>
        <v>0.16101451265684841</v>
      </c>
      <c r="AC35" s="14">
        <f t="shared" si="44"/>
        <v>0.16101451265684841</v>
      </c>
      <c r="AD35" s="14">
        <f t="shared" si="44"/>
        <v>0.16101451265684841</v>
      </c>
      <c r="AE35" s="14">
        <f t="shared" si="44"/>
        <v>0.16101451265684841</v>
      </c>
    </row>
    <row r="36" spans="1:31">
      <c r="A36" s="16" t="s">
        <v>52</v>
      </c>
      <c r="F36" s="27">
        <f>F15/F4</f>
        <v>0.19090909090909089</v>
      </c>
      <c r="G36" s="27">
        <f>G15/G4</f>
        <v>0.24786324786324787</v>
      </c>
      <c r="H36" s="27">
        <f>H15/H4</f>
        <v>0.23015873015873015</v>
      </c>
      <c r="I36" s="27">
        <f>I15/I4</f>
        <v>0.27007299270072993</v>
      </c>
      <c r="J36" s="27">
        <f>J15/J4</f>
        <v>0.2608695652173913</v>
      </c>
      <c r="K36" s="21">
        <f>AVERAGE(F36:I36)</f>
        <v>0.23475101540794971</v>
      </c>
      <c r="L36" s="14">
        <f>K36</f>
        <v>0.23475101540794971</v>
      </c>
      <c r="M36" s="14">
        <f t="shared" ref="M36:AE36" si="45">L36</f>
        <v>0.23475101540794971</v>
      </c>
      <c r="N36" s="14">
        <f t="shared" si="45"/>
        <v>0.23475101540794971</v>
      </c>
      <c r="O36" s="14">
        <f t="shared" si="45"/>
        <v>0.23475101540794971</v>
      </c>
      <c r="P36" s="14">
        <f t="shared" si="45"/>
        <v>0.23475101540794971</v>
      </c>
      <c r="Q36" s="14">
        <f t="shared" si="45"/>
        <v>0.23475101540794971</v>
      </c>
      <c r="R36" s="14">
        <f t="shared" si="45"/>
        <v>0.23475101540794971</v>
      </c>
      <c r="S36" s="14">
        <f t="shared" si="45"/>
        <v>0.23475101540794971</v>
      </c>
      <c r="T36" s="14">
        <f t="shared" si="45"/>
        <v>0.23475101540794971</v>
      </c>
      <c r="U36" s="14">
        <f t="shared" si="45"/>
        <v>0.23475101540794971</v>
      </c>
      <c r="V36" s="14">
        <f t="shared" si="45"/>
        <v>0.23475101540794971</v>
      </c>
      <c r="W36" s="14">
        <f t="shared" si="45"/>
        <v>0.23475101540794971</v>
      </c>
      <c r="X36" s="14">
        <f t="shared" si="45"/>
        <v>0.23475101540794971</v>
      </c>
      <c r="Y36" s="14">
        <f t="shared" si="45"/>
        <v>0.23475101540794971</v>
      </c>
      <c r="Z36" s="14">
        <f t="shared" si="45"/>
        <v>0.23475101540794971</v>
      </c>
      <c r="AA36" s="14">
        <f t="shared" si="45"/>
        <v>0.23475101540794971</v>
      </c>
      <c r="AB36" s="14">
        <f t="shared" si="45"/>
        <v>0.23475101540794971</v>
      </c>
      <c r="AC36" s="14">
        <f t="shared" si="45"/>
        <v>0.23475101540794971</v>
      </c>
      <c r="AD36" s="14">
        <f t="shared" si="45"/>
        <v>0.23475101540794971</v>
      </c>
      <c r="AE36" s="14">
        <f t="shared" si="45"/>
        <v>0.23475101540794971</v>
      </c>
    </row>
    <row r="40" spans="1:31">
      <c r="D40" s="62" t="s">
        <v>114</v>
      </c>
    </row>
    <row r="41" spans="1:31">
      <c r="D41" s="64">
        <v>2.3E-2</v>
      </c>
    </row>
    <row r="42" spans="1:31">
      <c r="D42" s="64">
        <v>2.09</v>
      </c>
    </row>
    <row r="43" spans="1:31">
      <c r="D43" s="64">
        <v>1.56</v>
      </c>
    </row>
    <row r="44" spans="1:31">
      <c r="D44" s="64">
        <f>SUM(D41:D43)</f>
        <v>3.673</v>
      </c>
    </row>
    <row r="45" spans="1:31">
      <c r="D45" s="64">
        <f>D44/2</f>
        <v>1.8365</v>
      </c>
    </row>
    <row r="56" spans="1:34">
      <c r="A56" s="30" t="s">
        <v>71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</row>
    <row r="57" spans="1:34">
      <c r="A57" s="31" t="s">
        <v>94</v>
      </c>
      <c r="B57" s="32" t="s">
        <v>72</v>
      </c>
      <c r="C57" s="33" t="s">
        <v>73</v>
      </c>
      <c r="D57" s="61">
        <f t="shared" ref="D57:AH57" si="46">J3</f>
        <v>2021</v>
      </c>
      <c r="E57" s="61">
        <f t="shared" si="46"/>
        <v>2022</v>
      </c>
      <c r="F57" s="61">
        <f t="shared" si="46"/>
        <v>2023</v>
      </c>
      <c r="G57" s="61">
        <f t="shared" si="46"/>
        <v>2024</v>
      </c>
      <c r="H57" s="61">
        <f t="shared" si="46"/>
        <v>2025</v>
      </c>
      <c r="I57" s="61">
        <f t="shared" si="46"/>
        <v>2026</v>
      </c>
      <c r="J57" s="61">
        <f t="shared" si="46"/>
        <v>2027</v>
      </c>
      <c r="K57" s="61">
        <f t="shared" si="46"/>
        <v>2028</v>
      </c>
      <c r="L57" s="61">
        <f t="shared" si="46"/>
        <v>2029</v>
      </c>
      <c r="M57" s="61">
        <f t="shared" si="46"/>
        <v>2030</v>
      </c>
      <c r="N57" s="61">
        <f t="shared" si="46"/>
        <v>2031</v>
      </c>
      <c r="O57" s="61">
        <f t="shared" si="46"/>
        <v>2032</v>
      </c>
      <c r="P57" s="61">
        <f t="shared" si="46"/>
        <v>2033</v>
      </c>
      <c r="Q57" s="61">
        <f t="shared" si="46"/>
        <v>2034</v>
      </c>
      <c r="R57" s="61">
        <f t="shared" si="46"/>
        <v>2035</v>
      </c>
      <c r="S57" s="61">
        <f t="shared" si="46"/>
        <v>2036</v>
      </c>
      <c r="T57" s="61">
        <f t="shared" si="46"/>
        <v>2037</v>
      </c>
      <c r="U57" s="61">
        <f t="shared" si="46"/>
        <v>2038</v>
      </c>
      <c r="V57" s="61">
        <f t="shared" si="46"/>
        <v>2039</v>
      </c>
      <c r="W57" s="61">
        <f t="shared" si="46"/>
        <v>2040</v>
      </c>
      <c r="X57" s="61">
        <f t="shared" si="46"/>
        <v>2041</v>
      </c>
      <c r="Y57" s="61">
        <f t="shared" si="46"/>
        <v>2042</v>
      </c>
      <c r="Z57" s="61">
        <f t="shared" si="46"/>
        <v>2043</v>
      </c>
      <c r="AA57" s="61">
        <f t="shared" si="46"/>
        <v>2044</v>
      </c>
      <c r="AB57" s="61">
        <f t="shared" si="46"/>
        <v>2045</v>
      </c>
      <c r="AC57" s="61">
        <f t="shared" si="46"/>
        <v>0</v>
      </c>
      <c r="AD57" s="61">
        <f t="shared" si="46"/>
        <v>0</v>
      </c>
      <c r="AE57" s="61">
        <f t="shared" si="46"/>
        <v>0</v>
      </c>
      <c r="AF57" s="61">
        <f t="shared" si="46"/>
        <v>0</v>
      </c>
      <c r="AG57" s="61">
        <f t="shared" si="46"/>
        <v>0</v>
      </c>
      <c r="AH57" s="61">
        <f t="shared" si="46"/>
        <v>0</v>
      </c>
    </row>
    <row r="58" spans="1:34">
      <c r="A58" s="34" t="s">
        <v>74</v>
      </c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</row>
    <row r="59" spans="1:34">
      <c r="A59" s="37" t="s">
        <v>75</v>
      </c>
      <c r="B59" s="38">
        <v>1966</v>
      </c>
      <c r="C59" s="39" t="s">
        <v>76</v>
      </c>
      <c r="D59" s="40">
        <v>20000</v>
      </c>
      <c r="E59" s="41">
        <f t="shared" ref="E59:T60" si="47">D59</f>
        <v>20000</v>
      </c>
      <c r="F59" s="41">
        <f t="shared" si="47"/>
        <v>20000</v>
      </c>
      <c r="G59" s="41">
        <f t="shared" si="47"/>
        <v>20000</v>
      </c>
      <c r="H59" s="41">
        <f t="shared" si="47"/>
        <v>20000</v>
      </c>
      <c r="I59" s="41">
        <f t="shared" si="47"/>
        <v>20000</v>
      </c>
      <c r="J59" s="41">
        <f t="shared" si="47"/>
        <v>20000</v>
      </c>
      <c r="K59" s="41">
        <f t="shared" si="47"/>
        <v>20000</v>
      </c>
      <c r="L59" s="41">
        <f t="shared" si="47"/>
        <v>20000</v>
      </c>
      <c r="M59" s="41">
        <f t="shared" si="47"/>
        <v>20000</v>
      </c>
      <c r="N59" s="41">
        <f t="shared" si="47"/>
        <v>20000</v>
      </c>
      <c r="O59" s="41">
        <f t="shared" si="47"/>
        <v>20000</v>
      </c>
      <c r="P59" s="41">
        <f t="shared" si="47"/>
        <v>20000</v>
      </c>
      <c r="Q59" s="41">
        <f t="shared" si="47"/>
        <v>20000</v>
      </c>
      <c r="R59" s="41">
        <f t="shared" si="47"/>
        <v>20000</v>
      </c>
      <c r="S59" s="41">
        <f t="shared" si="47"/>
        <v>20000</v>
      </c>
      <c r="T59" s="41">
        <f t="shared" si="47"/>
        <v>20000</v>
      </c>
      <c r="U59" s="41">
        <f t="shared" ref="U59:AH60" si="48">T59</f>
        <v>20000</v>
      </c>
      <c r="V59" s="41">
        <f t="shared" si="48"/>
        <v>20000</v>
      </c>
      <c r="W59" s="41">
        <f t="shared" si="48"/>
        <v>20000</v>
      </c>
      <c r="X59" s="41">
        <f t="shared" si="48"/>
        <v>20000</v>
      </c>
      <c r="Y59" s="41">
        <f t="shared" si="48"/>
        <v>20000</v>
      </c>
      <c r="Z59" s="41">
        <f t="shared" si="48"/>
        <v>20000</v>
      </c>
      <c r="AA59" s="41">
        <f t="shared" si="48"/>
        <v>20000</v>
      </c>
      <c r="AB59" s="41">
        <f t="shared" si="48"/>
        <v>20000</v>
      </c>
      <c r="AC59" s="41">
        <f t="shared" si="48"/>
        <v>20000</v>
      </c>
      <c r="AD59" s="41">
        <f t="shared" si="48"/>
        <v>20000</v>
      </c>
      <c r="AE59" s="41">
        <f t="shared" si="48"/>
        <v>20000</v>
      </c>
      <c r="AF59" s="41">
        <f t="shared" si="48"/>
        <v>20000</v>
      </c>
      <c r="AG59" s="41">
        <f t="shared" si="48"/>
        <v>20000</v>
      </c>
      <c r="AH59" s="41">
        <f t="shared" si="48"/>
        <v>20000</v>
      </c>
    </row>
    <row r="60" spans="1:34">
      <c r="A60" s="37" t="s">
        <v>77</v>
      </c>
      <c r="B60" s="38">
        <f>1749+271</f>
        <v>2020</v>
      </c>
      <c r="C60" s="39" t="s">
        <v>76</v>
      </c>
      <c r="D60" s="40">
        <f>20000</f>
        <v>20000</v>
      </c>
      <c r="E60" s="41">
        <f t="shared" si="47"/>
        <v>20000</v>
      </c>
      <c r="F60" s="41">
        <f t="shared" si="47"/>
        <v>20000</v>
      </c>
      <c r="G60" s="41">
        <f t="shared" si="47"/>
        <v>20000</v>
      </c>
      <c r="H60" s="41">
        <f t="shared" si="47"/>
        <v>20000</v>
      </c>
      <c r="I60" s="41">
        <f t="shared" si="47"/>
        <v>20000</v>
      </c>
      <c r="J60" s="41">
        <f t="shared" si="47"/>
        <v>20000</v>
      </c>
      <c r="K60" s="41">
        <f t="shared" si="47"/>
        <v>20000</v>
      </c>
      <c r="L60" s="41">
        <f t="shared" si="47"/>
        <v>20000</v>
      </c>
      <c r="M60" s="41">
        <f t="shared" si="47"/>
        <v>20000</v>
      </c>
      <c r="N60" s="41">
        <f t="shared" si="47"/>
        <v>20000</v>
      </c>
      <c r="O60" s="41">
        <f t="shared" si="47"/>
        <v>20000</v>
      </c>
      <c r="P60" s="41">
        <f t="shared" si="47"/>
        <v>20000</v>
      </c>
      <c r="Q60" s="41">
        <f t="shared" si="47"/>
        <v>20000</v>
      </c>
      <c r="R60" s="41">
        <f t="shared" si="47"/>
        <v>20000</v>
      </c>
      <c r="S60" s="41">
        <f t="shared" si="47"/>
        <v>20000</v>
      </c>
      <c r="T60" s="41">
        <f t="shared" si="47"/>
        <v>20000</v>
      </c>
      <c r="U60" s="41">
        <f t="shared" si="48"/>
        <v>20000</v>
      </c>
      <c r="V60" s="41">
        <f t="shared" si="48"/>
        <v>20000</v>
      </c>
      <c r="W60" s="41">
        <f t="shared" si="48"/>
        <v>20000</v>
      </c>
      <c r="X60" s="41">
        <f t="shared" si="48"/>
        <v>20000</v>
      </c>
      <c r="Y60" s="41">
        <f t="shared" si="48"/>
        <v>20000</v>
      </c>
      <c r="Z60" s="41">
        <f t="shared" si="48"/>
        <v>20000</v>
      </c>
      <c r="AA60" s="41">
        <f t="shared" si="48"/>
        <v>20000</v>
      </c>
      <c r="AB60" s="41">
        <f t="shared" si="48"/>
        <v>20000</v>
      </c>
      <c r="AC60" s="41">
        <f t="shared" si="48"/>
        <v>20000</v>
      </c>
      <c r="AD60" s="41">
        <f t="shared" si="48"/>
        <v>20000</v>
      </c>
      <c r="AE60" s="41">
        <f t="shared" si="48"/>
        <v>20000</v>
      </c>
      <c r="AF60" s="41">
        <f t="shared" si="48"/>
        <v>20000</v>
      </c>
      <c r="AG60" s="41">
        <f t="shared" si="48"/>
        <v>20000</v>
      </c>
      <c r="AH60" s="41">
        <f t="shared" si="48"/>
        <v>20000</v>
      </c>
    </row>
    <row r="61" spans="1:34">
      <c r="A61" s="37"/>
      <c r="B61" s="38"/>
      <c r="C61" s="39"/>
      <c r="D61" s="40"/>
      <c r="E61" s="40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</row>
    <row r="62" spans="1:34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</row>
    <row r="63" spans="1:34">
      <c r="A63" s="34" t="s">
        <v>78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</row>
    <row r="64" spans="1:34">
      <c r="A64" s="37" t="s">
        <v>75</v>
      </c>
      <c r="B64" s="42"/>
      <c r="C64" s="43"/>
      <c r="D64" s="44">
        <v>0.5</v>
      </c>
      <c r="E64" s="44">
        <v>0.5</v>
      </c>
      <c r="F64" s="44">
        <v>0.9</v>
      </c>
      <c r="G64" s="44">
        <f>F64</f>
        <v>0.9</v>
      </c>
      <c r="H64" s="45">
        <f t="shared" ref="H64:W65" si="49">G64</f>
        <v>0.9</v>
      </c>
      <c r="I64" s="45">
        <f t="shared" si="49"/>
        <v>0.9</v>
      </c>
      <c r="J64" s="45">
        <f t="shared" si="49"/>
        <v>0.9</v>
      </c>
      <c r="K64" s="45">
        <f t="shared" si="49"/>
        <v>0.9</v>
      </c>
      <c r="L64" s="45">
        <f t="shared" si="49"/>
        <v>0.9</v>
      </c>
      <c r="M64" s="45">
        <f t="shared" si="49"/>
        <v>0.9</v>
      </c>
      <c r="N64" s="45">
        <f t="shared" si="49"/>
        <v>0.9</v>
      </c>
      <c r="O64" s="45">
        <f t="shared" si="49"/>
        <v>0.9</v>
      </c>
      <c r="P64" s="45">
        <f t="shared" si="49"/>
        <v>0.9</v>
      </c>
      <c r="Q64" s="45">
        <f t="shared" si="49"/>
        <v>0.9</v>
      </c>
      <c r="R64" s="45">
        <f t="shared" si="49"/>
        <v>0.9</v>
      </c>
      <c r="S64" s="45">
        <f t="shared" si="49"/>
        <v>0.9</v>
      </c>
      <c r="T64" s="45">
        <f t="shared" si="49"/>
        <v>0.9</v>
      </c>
      <c r="U64" s="45">
        <f t="shared" si="49"/>
        <v>0.9</v>
      </c>
      <c r="V64" s="45">
        <f t="shared" si="49"/>
        <v>0.9</v>
      </c>
      <c r="W64" s="45">
        <f t="shared" si="49"/>
        <v>0.9</v>
      </c>
      <c r="X64" s="45">
        <f t="shared" ref="X64:AH65" si="50">W64</f>
        <v>0.9</v>
      </c>
      <c r="Y64" s="45">
        <f t="shared" si="50"/>
        <v>0.9</v>
      </c>
      <c r="Z64" s="45">
        <f t="shared" si="50"/>
        <v>0.9</v>
      </c>
      <c r="AA64" s="45">
        <f t="shared" si="50"/>
        <v>0.9</v>
      </c>
      <c r="AB64" s="45">
        <f t="shared" si="50"/>
        <v>0.9</v>
      </c>
      <c r="AC64" s="45">
        <f t="shared" si="50"/>
        <v>0.9</v>
      </c>
      <c r="AD64" s="45">
        <f t="shared" si="50"/>
        <v>0.9</v>
      </c>
      <c r="AE64" s="45">
        <f t="shared" si="50"/>
        <v>0.9</v>
      </c>
      <c r="AF64" s="45">
        <f t="shared" si="50"/>
        <v>0.9</v>
      </c>
      <c r="AG64" s="45">
        <f t="shared" si="50"/>
        <v>0.9</v>
      </c>
      <c r="AH64" s="45">
        <f t="shared" si="50"/>
        <v>0.9</v>
      </c>
    </row>
    <row r="65" spans="1:34">
      <c r="A65" s="37" t="s">
        <v>77</v>
      </c>
      <c r="B65" s="42"/>
      <c r="C65" s="43"/>
      <c r="D65" s="45">
        <f>D64</f>
        <v>0.5</v>
      </c>
      <c r="E65" s="45">
        <f>E64</f>
        <v>0.5</v>
      </c>
      <c r="F65" s="45">
        <f>F64</f>
        <v>0.9</v>
      </c>
      <c r="G65" s="45">
        <f>G64</f>
        <v>0.9</v>
      </c>
      <c r="H65" s="45">
        <f t="shared" si="49"/>
        <v>0.9</v>
      </c>
      <c r="I65" s="45">
        <f t="shared" si="49"/>
        <v>0.9</v>
      </c>
      <c r="J65" s="45">
        <f t="shared" si="49"/>
        <v>0.9</v>
      </c>
      <c r="K65" s="45">
        <f t="shared" si="49"/>
        <v>0.9</v>
      </c>
      <c r="L65" s="45">
        <f t="shared" si="49"/>
        <v>0.9</v>
      </c>
      <c r="M65" s="45">
        <f t="shared" si="49"/>
        <v>0.9</v>
      </c>
      <c r="N65" s="45">
        <f t="shared" si="49"/>
        <v>0.9</v>
      </c>
      <c r="O65" s="45">
        <f t="shared" si="49"/>
        <v>0.9</v>
      </c>
      <c r="P65" s="45">
        <f t="shared" si="49"/>
        <v>0.9</v>
      </c>
      <c r="Q65" s="45">
        <f t="shared" si="49"/>
        <v>0.9</v>
      </c>
      <c r="R65" s="45">
        <f t="shared" si="49"/>
        <v>0.9</v>
      </c>
      <c r="S65" s="45">
        <f t="shared" si="49"/>
        <v>0.9</v>
      </c>
      <c r="T65" s="45">
        <f t="shared" si="49"/>
        <v>0.9</v>
      </c>
      <c r="U65" s="45">
        <f t="shared" si="49"/>
        <v>0.9</v>
      </c>
      <c r="V65" s="45">
        <f t="shared" si="49"/>
        <v>0.9</v>
      </c>
      <c r="W65" s="45">
        <f t="shared" si="49"/>
        <v>0.9</v>
      </c>
      <c r="X65" s="45">
        <f t="shared" si="50"/>
        <v>0.9</v>
      </c>
      <c r="Y65" s="45">
        <f t="shared" si="50"/>
        <v>0.9</v>
      </c>
      <c r="Z65" s="45">
        <f t="shared" si="50"/>
        <v>0.9</v>
      </c>
      <c r="AA65" s="45">
        <f t="shared" si="50"/>
        <v>0.9</v>
      </c>
      <c r="AB65" s="45">
        <f t="shared" si="50"/>
        <v>0.9</v>
      </c>
      <c r="AC65" s="45">
        <f t="shared" si="50"/>
        <v>0.9</v>
      </c>
      <c r="AD65" s="45">
        <f t="shared" si="50"/>
        <v>0.9</v>
      </c>
      <c r="AE65" s="45">
        <f t="shared" si="50"/>
        <v>0.9</v>
      </c>
      <c r="AF65" s="45">
        <f t="shared" si="50"/>
        <v>0.9</v>
      </c>
      <c r="AG65" s="45">
        <f t="shared" si="50"/>
        <v>0.9</v>
      </c>
      <c r="AH65" s="45">
        <f t="shared" si="50"/>
        <v>0.9</v>
      </c>
    </row>
    <row r="66" spans="1:34">
      <c r="A66" s="37"/>
      <c r="B66" s="42"/>
      <c r="C66" s="43"/>
      <c r="D66" s="44"/>
      <c r="E66" s="44"/>
      <c r="F66" s="44"/>
      <c r="G66" s="44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1:34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</row>
    <row r="68" spans="1:34">
      <c r="A68" s="34" t="s">
        <v>79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</row>
    <row r="69" spans="1:34">
      <c r="A69" s="42" t="s">
        <v>80</v>
      </c>
      <c r="B69" s="46">
        <v>1</v>
      </c>
      <c r="C69" s="43"/>
      <c r="D69" s="44" t="e">
        <f>IF($C$100=1,0,0)*#REF!</f>
        <v>#REF!</v>
      </c>
      <c r="E69" s="44" t="e">
        <f>IF($C$100=1,0,0)*#REF!</f>
        <v>#REF!</v>
      </c>
      <c r="F69" s="44" t="e">
        <f>IF($C$100=1,5%,0)*#REF!</f>
        <v>#REF!</v>
      </c>
      <c r="G69" s="45" t="e">
        <f t="shared" ref="G69:AH69" si="51">E69</f>
        <v>#REF!</v>
      </c>
      <c r="H69" s="45" t="e">
        <f t="shared" si="51"/>
        <v>#REF!</v>
      </c>
      <c r="I69" s="45" t="e">
        <f t="shared" si="51"/>
        <v>#REF!</v>
      </c>
      <c r="J69" s="45" t="e">
        <f t="shared" si="51"/>
        <v>#REF!</v>
      </c>
      <c r="K69" s="45" t="e">
        <f t="shared" si="51"/>
        <v>#REF!</v>
      </c>
      <c r="L69" s="45" t="e">
        <f t="shared" si="51"/>
        <v>#REF!</v>
      </c>
      <c r="M69" s="45" t="e">
        <f t="shared" si="51"/>
        <v>#REF!</v>
      </c>
      <c r="N69" s="45" t="e">
        <f t="shared" si="51"/>
        <v>#REF!</v>
      </c>
      <c r="O69" s="45" t="e">
        <f t="shared" si="51"/>
        <v>#REF!</v>
      </c>
      <c r="P69" s="45" t="e">
        <f t="shared" si="51"/>
        <v>#REF!</v>
      </c>
      <c r="Q69" s="45" t="e">
        <f t="shared" si="51"/>
        <v>#REF!</v>
      </c>
      <c r="R69" s="45" t="e">
        <f t="shared" si="51"/>
        <v>#REF!</v>
      </c>
      <c r="S69" s="45" t="e">
        <f t="shared" si="51"/>
        <v>#REF!</v>
      </c>
      <c r="T69" s="45" t="e">
        <f t="shared" si="51"/>
        <v>#REF!</v>
      </c>
      <c r="U69" s="45" t="e">
        <f t="shared" si="51"/>
        <v>#REF!</v>
      </c>
      <c r="V69" s="45" t="e">
        <f t="shared" si="51"/>
        <v>#REF!</v>
      </c>
      <c r="W69" s="45" t="e">
        <f t="shared" si="51"/>
        <v>#REF!</v>
      </c>
      <c r="X69" s="45" t="e">
        <f t="shared" si="51"/>
        <v>#REF!</v>
      </c>
      <c r="Y69" s="45" t="e">
        <f t="shared" si="51"/>
        <v>#REF!</v>
      </c>
      <c r="Z69" s="45" t="e">
        <f t="shared" si="51"/>
        <v>#REF!</v>
      </c>
      <c r="AA69" s="45" t="e">
        <f t="shared" si="51"/>
        <v>#REF!</v>
      </c>
      <c r="AB69" s="45" t="e">
        <f t="shared" si="51"/>
        <v>#REF!</v>
      </c>
      <c r="AC69" s="45" t="e">
        <f t="shared" si="51"/>
        <v>#REF!</v>
      </c>
      <c r="AD69" s="45" t="e">
        <f t="shared" si="51"/>
        <v>#REF!</v>
      </c>
      <c r="AE69" s="45" t="e">
        <f t="shared" si="51"/>
        <v>#REF!</v>
      </c>
      <c r="AF69" s="45" t="e">
        <f t="shared" si="51"/>
        <v>#REF!</v>
      </c>
      <c r="AG69" s="45" t="e">
        <f t="shared" si="51"/>
        <v>#REF!</v>
      </c>
      <c r="AH69" s="45" t="e">
        <f t="shared" si="51"/>
        <v>#REF!</v>
      </c>
    </row>
    <row r="70" spans="1:34">
      <c r="A70" s="37" t="s">
        <v>75</v>
      </c>
      <c r="B70" s="42"/>
      <c r="C70" s="43" t="s">
        <v>81</v>
      </c>
      <c r="D70" s="40">
        <v>70</v>
      </c>
      <c r="E70" s="41">
        <f t="shared" ref="E70:AH70" si="52">D70*(1+E$100)</f>
        <v>149.6925308158028</v>
      </c>
      <c r="F70" s="41">
        <f t="shared" si="52"/>
        <v>149.6925308158028</v>
      </c>
      <c r="G70" s="41">
        <f t="shared" si="52"/>
        <v>149.6925308158028</v>
      </c>
      <c r="H70" s="41">
        <f t="shared" si="52"/>
        <v>149.6925308158028</v>
      </c>
      <c r="I70" s="41">
        <f t="shared" si="52"/>
        <v>149.6925308158028</v>
      </c>
      <c r="J70" s="41">
        <f t="shared" si="52"/>
        <v>149.6925308158028</v>
      </c>
      <c r="K70" s="41">
        <f t="shared" si="52"/>
        <v>149.6925308158028</v>
      </c>
      <c r="L70" s="41">
        <f t="shared" si="52"/>
        <v>149.6925308158028</v>
      </c>
      <c r="M70" s="41">
        <f t="shared" si="52"/>
        <v>149.6925308158028</v>
      </c>
      <c r="N70" s="41">
        <f t="shared" si="52"/>
        <v>149.6925308158028</v>
      </c>
      <c r="O70" s="41">
        <f t="shared" si="52"/>
        <v>149.6925308158028</v>
      </c>
      <c r="P70" s="41">
        <f t="shared" si="52"/>
        <v>149.6925308158028</v>
      </c>
      <c r="Q70" s="41">
        <f t="shared" si="52"/>
        <v>149.6925308158028</v>
      </c>
      <c r="R70" s="41">
        <f t="shared" si="52"/>
        <v>149.6925308158028</v>
      </c>
      <c r="S70" s="41">
        <f t="shared" si="52"/>
        <v>149.6925308158028</v>
      </c>
      <c r="T70" s="41">
        <f t="shared" si="52"/>
        <v>149.6925308158028</v>
      </c>
      <c r="U70" s="41">
        <f t="shared" si="52"/>
        <v>149.6925308158028</v>
      </c>
      <c r="V70" s="41">
        <f t="shared" si="52"/>
        <v>149.6925308158028</v>
      </c>
      <c r="W70" s="41">
        <f t="shared" si="52"/>
        <v>149.6925308158028</v>
      </c>
      <c r="X70" s="41">
        <f t="shared" si="52"/>
        <v>149.6925308158028</v>
      </c>
      <c r="Y70" s="41">
        <f t="shared" si="52"/>
        <v>149.6925308158028</v>
      </c>
      <c r="Z70" s="41">
        <f t="shared" si="52"/>
        <v>149.6925308158028</v>
      </c>
      <c r="AA70" s="41">
        <f t="shared" si="52"/>
        <v>149.6925308158028</v>
      </c>
      <c r="AB70" s="41">
        <f t="shared" si="52"/>
        <v>149.6925308158028</v>
      </c>
      <c r="AC70" s="41">
        <f t="shared" si="52"/>
        <v>149.6925308158028</v>
      </c>
      <c r="AD70" s="41">
        <f t="shared" si="52"/>
        <v>149.6925308158028</v>
      </c>
      <c r="AE70" s="41">
        <f t="shared" si="52"/>
        <v>149.6925308158028</v>
      </c>
      <c r="AF70" s="41">
        <f t="shared" si="52"/>
        <v>149.6925308158028</v>
      </c>
      <c r="AG70" s="41">
        <f t="shared" si="52"/>
        <v>149.6925308158028</v>
      </c>
      <c r="AH70" s="41">
        <f t="shared" si="52"/>
        <v>149.6925308158028</v>
      </c>
    </row>
    <row r="71" spans="1:34">
      <c r="A71" s="37" t="s">
        <v>77</v>
      </c>
      <c r="B71" s="42"/>
      <c r="C71" s="43" t="s">
        <v>81</v>
      </c>
      <c r="D71" s="47">
        <f>D70</f>
        <v>70</v>
      </c>
      <c r="E71" s="41">
        <f t="shared" ref="E71:AH71" si="53">D71*(1+E$100)</f>
        <v>149.6925308158028</v>
      </c>
      <c r="F71" s="41">
        <f t="shared" si="53"/>
        <v>149.6925308158028</v>
      </c>
      <c r="G71" s="41">
        <f t="shared" si="53"/>
        <v>149.6925308158028</v>
      </c>
      <c r="H71" s="41">
        <f t="shared" si="53"/>
        <v>149.6925308158028</v>
      </c>
      <c r="I71" s="41">
        <f t="shared" si="53"/>
        <v>149.6925308158028</v>
      </c>
      <c r="J71" s="41">
        <f t="shared" si="53"/>
        <v>149.6925308158028</v>
      </c>
      <c r="K71" s="41">
        <f t="shared" si="53"/>
        <v>149.6925308158028</v>
      </c>
      <c r="L71" s="41">
        <f t="shared" si="53"/>
        <v>149.6925308158028</v>
      </c>
      <c r="M71" s="41">
        <f t="shared" si="53"/>
        <v>149.6925308158028</v>
      </c>
      <c r="N71" s="41">
        <f t="shared" si="53"/>
        <v>149.6925308158028</v>
      </c>
      <c r="O71" s="41">
        <f t="shared" si="53"/>
        <v>149.6925308158028</v>
      </c>
      <c r="P71" s="41">
        <f t="shared" si="53"/>
        <v>149.6925308158028</v>
      </c>
      <c r="Q71" s="41">
        <f t="shared" si="53"/>
        <v>149.6925308158028</v>
      </c>
      <c r="R71" s="41">
        <f t="shared" si="53"/>
        <v>149.6925308158028</v>
      </c>
      <c r="S71" s="41">
        <f t="shared" si="53"/>
        <v>149.6925308158028</v>
      </c>
      <c r="T71" s="41">
        <f t="shared" si="53"/>
        <v>149.6925308158028</v>
      </c>
      <c r="U71" s="41">
        <f t="shared" si="53"/>
        <v>149.6925308158028</v>
      </c>
      <c r="V71" s="41">
        <f t="shared" si="53"/>
        <v>149.6925308158028</v>
      </c>
      <c r="W71" s="41">
        <f t="shared" si="53"/>
        <v>149.6925308158028</v>
      </c>
      <c r="X71" s="41">
        <f t="shared" si="53"/>
        <v>149.6925308158028</v>
      </c>
      <c r="Y71" s="41">
        <f t="shared" si="53"/>
        <v>149.6925308158028</v>
      </c>
      <c r="Z71" s="41">
        <f t="shared" si="53"/>
        <v>149.6925308158028</v>
      </c>
      <c r="AA71" s="41">
        <f t="shared" si="53"/>
        <v>149.6925308158028</v>
      </c>
      <c r="AB71" s="41">
        <f t="shared" si="53"/>
        <v>149.6925308158028</v>
      </c>
      <c r="AC71" s="41">
        <f t="shared" si="53"/>
        <v>149.6925308158028</v>
      </c>
      <c r="AD71" s="41">
        <f t="shared" si="53"/>
        <v>149.6925308158028</v>
      </c>
      <c r="AE71" s="41">
        <f t="shared" si="53"/>
        <v>149.6925308158028</v>
      </c>
      <c r="AF71" s="41">
        <f t="shared" si="53"/>
        <v>149.6925308158028</v>
      </c>
      <c r="AG71" s="41">
        <f t="shared" si="53"/>
        <v>149.6925308158028</v>
      </c>
      <c r="AH71" s="41">
        <f t="shared" si="53"/>
        <v>149.6925308158028</v>
      </c>
    </row>
    <row r="72" spans="1:34">
      <c r="A72" s="37"/>
      <c r="B72" s="42"/>
      <c r="C72" s="43"/>
      <c r="D72" s="47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</row>
    <row r="73" spans="1:34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</row>
    <row r="74" spans="1:34">
      <c r="A74" s="48" t="s">
        <v>82</v>
      </c>
      <c r="B74" s="48" t="s">
        <v>83</v>
      </c>
      <c r="C74" s="49">
        <f>SUMPRODUCT(C59:C61,C64:C66,C70:C72)/10^7</f>
        <v>0</v>
      </c>
      <c r="D74" s="49" t="e">
        <f t="shared" ref="D74" si="54">SUMPRODUCT(D59:D61,D64:D66,D70:D72)*#REF!/10^7</f>
        <v>#REF!</v>
      </c>
      <c r="E74" s="49" t="e">
        <f t="shared" ref="E74" si="55">SUMPRODUCT(E59:E61,E64:E66,E70:E72)*#REF!/10^7</f>
        <v>#REF!</v>
      </c>
      <c r="F74" s="49" t="e">
        <f t="shared" ref="F74" si="56">SUMPRODUCT(F59:F61,F64:F66,F70:F72)*#REF!/10^7</f>
        <v>#REF!</v>
      </c>
      <c r="G74" s="49" t="e">
        <f t="shared" ref="G74" si="57">SUMPRODUCT(G59:G61,G64:G66,G70:G72)*#REF!/10^7</f>
        <v>#REF!</v>
      </c>
      <c r="H74" s="49" t="e">
        <f t="shared" ref="H74" si="58">SUMPRODUCT(H59:H61,H64:H66,H70:H72)*#REF!/10^7</f>
        <v>#REF!</v>
      </c>
      <c r="I74" s="49" t="e">
        <f t="shared" ref="I74" si="59">SUMPRODUCT(I59:I61,I64:I66,I70:I72)*#REF!/10^7</f>
        <v>#REF!</v>
      </c>
      <c r="J74" s="49" t="e">
        <f t="shared" ref="J74" si="60">SUMPRODUCT(J59:J61,J64:J66,J70:J72)*#REF!/10^7</f>
        <v>#REF!</v>
      </c>
      <c r="K74" s="49" t="e">
        <f t="shared" ref="K74" si="61">SUMPRODUCT(K59:K61,K64:K66,K70:K72)*#REF!/10^7</f>
        <v>#REF!</v>
      </c>
      <c r="L74" s="49" t="e">
        <f t="shared" ref="L74" si="62">SUMPRODUCT(L59:L61,L64:L66,L70:L72)*#REF!/10^7</f>
        <v>#REF!</v>
      </c>
      <c r="M74" s="49" t="e">
        <f t="shared" ref="M74" si="63">SUMPRODUCT(M59:M61,M64:M66,M70:M72)*#REF!/10^7</f>
        <v>#REF!</v>
      </c>
      <c r="N74" s="49" t="e">
        <f t="shared" ref="N74" si="64">SUMPRODUCT(N59:N61,N64:N66,N70:N72)*#REF!/10^7</f>
        <v>#REF!</v>
      </c>
      <c r="O74" s="49" t="e">
        <f t="shared" ref="O74" si="65">SUMPRODUCT(O59:O61,O64:O66,O70:O72)*#REF!/10^7</f>
        <v>#REF!</v>
      </c>
      <c r="P74" s="49" t="e">
        <f t="shared" ref="P74" si="66">SUMPRODUCT(P59:P61,P64:P66,P70:P72)*#REF!/10^7</f>
        <v>#REF!</v>
      </c>
      <c r="Q74" s="49" t="e">
        <f t="shared" ref="Q74" si="67">SUMPRODUCT(Q59:Q61,Q64:Q66,Q70:Q72)*#REF!/10^7</f>
        <v>#REF!</v>
      </c>
      <c r="R74" s="49" t="e">
        <f t="shared" ref="R74" si="68">SUMPRODUCT(R59:R61,R64:R66,R70:R72)*#REF!/10^7</f>
        <v>#REF!</v>
      </c>
      <c r="S74" s="49" t="e">
        <f t="shared" ref="S74" si="69">SUMPRODUCT(S59:S61,S64:S66,S70:S72)*#REF!/10^7</f>
        <v>#REF!</v>
      </c>
      <c r="T74" s="49" t="e">
        <f t="shared" ref="T74" si="70">SUMPRODUCT(T59:T61,T64:T66,T70:T72)*#REF!/10^7</f>
        <v>#REF!</v>
      </c>
      <c r="U74" s="49" t="e">
        <f t="shared" ref="U74" si="71">SUMPRODUCT(U59:U61,U64:U66,U70:U72)*#REF!/10^7</f>
        <v>#REF!</v>
      </c>
      <c r="V74" s="49" t="e">
        <f t="shared" ref="V74" si="72">SUMPRODUCT(V59:V61,V64:V66,V70:V72)*#REF!/10^7</f>
        <v>#REF!</v>
      </c>
      <c r="W74" s="49" t="e">
        <f t="shared" ref="W74" si="73">SUMPRODUCT(W59:W61,W64:W66,W70:W72)*#REF!/10^7</f>
        <v>#REF!</v>
      </c>
      <c r="X74" s="49" t="e">
        <f t="shared" ref="X74" si="74">SUMPRODUCT(X59:X61,X64:X66,X70:X72)*#REF!/10^7</f>
        <v>#REF!</v>
      </c>
      <c r="Y74" s="49" t="e">
        <f t="shared" ref="Y74" si="75">SUMPRODUCT(Y59:Y61,Y64:Y66,Y70:Y72)*#REF!/10^7</f>
        <v>#REF!</v>
      </c>
      <c r="Z74" s="49" t="e">
        <f t="shared" ref="Z74" si="76">SUMPRODUCT(Z59:Z61,Z64:Z66,Z70:Z72)*#REF!/10^7</f>
        <v>#REF!</v>
      </c>
      <c r="AA74" s="49" t="e">
        <f t="shared" ref="AA74" si="77">SUMPRODUCT(AA59:AA61,AA64:AA66,AA70:AA72)*#REF!/10^7</f>
        <v>#REF!</v>
      </c>
      <c r="AB74" s="49" t="e">
        <f t="shared" ref="AB74" si="78">SUMPRODUCT(AB59:AB61,AB64:AB66,AB70:AB72)*#REF!/10^7</f>
        <v>#REF!</v>
      </c>
      <c r="AC74" s="49" t="e">
        <f t="shared" ref="AC74" si="79">SUMPRODUCT(AC59:AC61,AC64:AC66,AC70:AC72)*#REF!/10^7</f>
        <v>#REF!</v>
      </c>
      <c r="AD74" s="49" t="e">
        <f t="shared" ref="AD74" si="80">SUMPRODUCT(AD59:AD61,AD64:AD66,AD70:AD72)*#REF!/10^7</f>
        <v>#REF!</v>
      </c>
      <c r="AE74" s="49" t="e">
        <f t="shared" ref="AE74" si="81">SUMPRODUCT(AE59:AE61,AE64:AE66,AE70:AE72)*#REF!/10^7</f>
        <v>#REF!</v>
      </c>
      <c r="AF74" s="49" t="e">
        <f t="shared" ref="AF74" si="82">SUMPRODUCT(AF59:AF61,AF64:AF66,AF70:AF72)*#REF!/10^7</f>
        <v>#REF!</v>
      </c>
      <c r="AG74" s="49" t="e">
        <f t="shared" ref="AG74" si="83">SUMPRODUCT(AG59:AG61,AG64:AG66,AG70:AG72)*#REF!/10^7</f>
        <v>#REF!</v>
      </c>
      <c r="AH74" s="49" t="e">
        <f t="shared" ref="AH74" si="84">SUMPRODUCT(AH59:AH61,AH64:AH66,AH70:AH72)*#REF!/10^7</f>
        <v>#REF!</v>
      </c>
    </row>
    <row r="75" spans="1:34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1:34">
      <c r="A76" s="48" t="s">
        <v>84</v>
      </c>
      <c r="B76" s="50">
        <v>0.05</v>
      </c>
      <c r="C76" s="49">
        <f t="shared" ref="C76:AH76" si="85">C74*$C$107</f>
        <v>0</v>
      </c>
      <c r="D76" s="49" t="e">
        <f t="shared" si="85"/>
        <v>#REF!</v>
      </c>
      <c r="E76" s="49" t="e">
        <f t="shared" si="85"/>
        <v>#REF!</v>
      </c>
      <c r="F76" s="49" t="e">
        <f t="shared" si="85"/>
        <v>#REF!</v>
      </c>
      <c r="G76" s="49" t="e">
        <f t="shared" si="85"/>
        <v>#REF!</v>
      </c>
      <c r="H76" s="49" t="e">
        <f t="shared" si="85"/>
        <v>#REF!</v>
      </c>
      <c r="I76" s="49" t="e">
        <f t="shared" si="85"/>
        <v>#REF!</v>
      </c>
      <c r="J76" s="49" t="e">
        <f t="shared" si="85"/>
        <v>#REF!</v>
      </c>
      <c r="K76" s="49" t="e">
        <f t="shared" si="85"/>
        <v>#REF!</v>
      </c>
      <c r="L76" s="49" t="e">
        <f t="shared" si="85"/>
        <v>#REF!</v>
      </c>
      <c r="M76" s="49" t="e">
        <f t="shared" si="85"/>
        <v>#REF!</v>
      </c>
      <c r="N76" s="49" t="e">
        <f t="shared" si="85"/>
        <v>#REF!</v>
      </c>
      <c r="O76" s="49" t="e">
        <f t="shared" si="85"/>
        <v>#REF!</v>
      </c>
      <c r="P76" s="49" t="e">
        <f t="shared" si="85"/>
        <v>#REF!</v>
      </c>
      <c r="Q76" s="49" t="e">
        <f t="shared" si="85"/>
        <v>#REF!</v>
      </c>
      <c r="R76" s="49" t="e">
        <f t="shared" si="85"/>
        <v>#REF!</v>
      </c>
      <c r="S76" s="49" t="e">
        <f t="shared" si="85"/>
        <v>#REF!</v>
      </c>
      <c r="T76" s="49" t="e">
        <f t="shared" si="85"/>
        <v>#REF!</v>
      </c>
      <c r="U76" s="49" t="e">
        <f t="shared" si="85"/>
        <v>#REF!</v>
      </c>
      <c r="V76" s="49" t="e">
        <f t="shared" si="85"/>
        <v>#REF!</v>
      </c>
      <c r="W76" s="49" t="e">
        <f t="shared" si="85"/>
        <v>#REF!</v>
      </c>
      <c r="X76" s="49" t="e">
        <f t="shared" si="85"/>
        <v>#REF!</v>
      </c>
      <c r="Y76" s="49" t="e">
        <f t="shared" si="85"/>
        <v>#REF!</v>
      </c>
      <c r="Z76" s="49" t="e">
        <f t="shared" si="85"/>
        <v>#REF!</v>
      </c>
      <c r="AA76" s="49" t="e">
        <f t="shared" si="85"/>
        <v>#REF!</v>
      </c>
      <c r="AB76" s="49" t="e">
        <f t="shared" si="85"/>
        <v>#REF!</v>
      </c>
      <c r="AC76" s="49" t="e">
        <f t="shared" si="85"/>
        <v>#REF!</v>
      </c>
      <c r="AD76" s="49" t="e">
        <f t="shared" si="85"/>
        <v>#REF!</v>
      </c>
      <c r="AE76" s="49" t="e">
        <f t="shared" si="85"/>
        <v>#REF!</v>
      </c>
      <c r="AF76" s="49" t="e">
        <f t="shared" si="85"/>
        <v>#REF!</v>
      </c>
      <c r="AG76" s="49" t="e">
        <f t="shared" si="85"/>
        <v>#REF!</v>
      </c>
      <c r="AH76" s="49" t="e">
        <f t="shared" si="85"/>
        <v>#REF!</v>
      </c>
    </row>
    <row r="77" spans="1:34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</row>
    <row r="78" spans="1:34">
      <c r="A78" s="51" t="s">
        <v>85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</row>
    <row r="79" spans="1:34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</row>
    <row r="80" spans="1:34">
      <c r="A80" s="31" t="s">
        <v>86</v>
      </c>
      <c r="B80" s="33" t="s">
        <v>87</v>
      </c>
      <c r="C80" s="33" t="s">
        <v>88</v>
      </c>
      <c r="D80" s="33">
        <f t="shared" ref="D80:AH80" si="86">D57</f>
        <v>2021</v>
      </c>
      <c r="E80" s="33">
        <f t="shared" si="86"/>
        <v>2022</v>
      </c>
      <c r="F80" s="33">
        <f t="shared" si="86"/>
        <v>2023</v>
      </c>
      <c r="G80" s="33">
        <f t="shared" si="86"/>
        <v>2024</v>
      </c>
      <c r="H80" s="33">
        <f t="shared" si="86"/>
        <v>2025</v>
      </c>
      <c r="I80" s="33">
        <f t="shared" si="86"/>
        <v>2026</v>
      </c>
      <c r="J80" s="33">
        <f t="shared" si="86"/>
        <v>2027</v>
      </c>
      <c r="K80" s="33">
        <f t="shared" si="86"/>
        <v>2028</v>
      </c>
      <c r="L80" s="33">
        <f t="shared" si="86"/>
        <v>2029</v>
      </c>
      <c r="M80" s="33">
        <f t="shared" si="86"/>
        <v>2030</v>
      </c>
      <c r="N80" s="33">
        <f t="shared" si="86"/>
        <v>2031</v>
      </c>
      <c r="O80" s="33">
        <f t="shared" si="86"/>
        <v>2032</v>
      </c>
      <c r="P80" s="33">
        <f t="shared" si="86"/>
        <v>2033</v>
      </c>
      <c r="Q80" s="33">
        <f t="shared" si="86"/>
        <v>2034</v>
      </c>
      <c r="R80" s="33">
        <f t="shared" si="86"/>
        <v>2035</v>
      </c>
      <c r="S80" s="33">
        <f t="shared" si="86"/>
        <v>2036</v>
      </c>
      <c r="T80" s="33">
        <f t="shared" si="86"/>
        <v>2037</v>
      </c>
      <c r="U80" s="33">
        <f t="shared" si="86"/>
        <v>2038</v>
      </c>
      <c r="V80" s="33">
        <f t="shared" si="86"/>
        <v>2039</v>
      </c>
      <c r="W80" s="33">
        <f t="shared" si="86"/>
        <v>2040</v>
      </c>
      <c r="X80" s="33">
        <f t="shared" si="86"/>
        <v>2041</v>
      </c>
      <c r="Y80" s="33">
        <f t="shared" si="86"/>
        <v>2042</v>
      </c>
      <c r="Z80" s="33">
        <f t="shared" si="86"/>
        <v>2043</v>
      </c>
      <c r="AA80" s="33">
        <f t="shared" si="86"/>
        <v>2044</v>
      </c>
      <c r="AB80" s="33">
        <f t="shared" si="86"/>
        <v>2045</v>
      </c>
      <c r="AC80" s="33">
        <f t="shared" si="86"/>
        <v>0</v>
      </c>
      <c r="AD80" s="33">
        <f t="shared" si="86"/>
        <v>0</v>
      </c>
      <c r="AE80" s="33">
        <f t="shared" si="86"/>
        <v>0</v>
      </c>
      <c r="AF80" s="33">
        <f t="shared" si="86"/>
        <v>0</v>
      </c>
      <c r="AG80" s="33">
        <f t="shared" si="86"/>
        <v>0</v>
      </c>
      <c r="AH80" s="33">
        <f t="shared" si="86"/>
        <v>0</v>
      </c>
    </row>
    <row r="81" spans="1:34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</row>
    <row r="82" spans="1:34">
      <c r="A82" s="42" t="s">
        <v>89</v>
      </c>
      <c r="B82" s="46">
        <v>1</v>
      </c>
      <c r="C82" s="43"/>
      <c r="D82" s="44"/>
      <c r="E82" s="44">
        <v>0.05</v>
      </c>
      <c r="F82" s="52">
        <f t="shared" ref="F82:U83" si="87">E82</f>
        <v>0.05</v>
      </c>
      <c r="G82" s="52">
        <f t="shared" si="87"/>
        <v>0.05</v>
      </c>
      <c r="H82" s="52">
        <f t="shared" si="87"/>
        <v>0.05</v>
      </c>
      <c r="I82" s="52">
        <f t="shared" si="87"/>
        <v>0.05</v>
      </c>
      <c r="J82" s="52">
        <f t="shared" si="87"/>
        <v>0.05</v>
      </c>
      <c r="K82" s="52">
        <f t="shared" si="87"/>
        <v>0.05</v>
      </c>
      <c r="L82" s="52">
        <f t="shared" si="87"/>
        <v>0.05</v>
      </c>
      <c r="M82" s="52">
        <f t="shared" si="87"/>
        <v>0.05</v>
      </c>
      <c r="N82" s="52">
        <f t="shared" si="87"/>
        <v>0.05</v>
      </c>
      <c r="O82" s="52">
        <f t="shared" si="87"/>
        <v>0.05</v>
      </c>
      <c r="P82" s="52">
        <f t="shared" si="87"/>
        <v>0.05</v>
      </c>
      <c r="Q82" s="52">
        <f t="shared" si="87"/>
        <v>0.05</v>
      </c>
      <c r="R82" s="52">
        <f t="shared" si="87"/>
        <v>0.05</v>
      </c>
      <c r="S82" s="52">
        <f t="shared" si="87"/>
        <v>0.05</v>
      </c>
      <c r="T82" s="52">
        <f t="shared" si="87"/>
        <v>0.05</v>
      </c>
      <c r="U82" s="52">
        <f t="shared" si="87"/>
        <v>0.05</v>
      </c>
      <c r="V82" s="52">
        <f t="shared" ref="V82:AH83" si="88">U82</f>
        <v>0.05</v>
      </c>
      <c r="W82" s="52">
        <f t="shared" si="88"/>
        <v>0.05</v>
      </c>
      <c r="X82" s="52">
        <f t="shared" si="88"/>
        <v>0.05</v>
      </c>
      <c r="Y82" s="52">
        <f t="shared" si="88"/>
        <v>0.05</v>
      </c>
      <c r="Z82" s="52">
        <f t="shared" si="88"/>
        <v>0.05</v>
      </c>
      <c r="AA82" s="52">
        <f t="shared" si="88"/>
        <v>0.05</v>
      </c>
      <c r="AB82" s="52">
        <f t="shared" si="88"/>
        <v>0.05</v>
      </c>
      <c r="AC82" s="52">
        <f t="shared" si="88"/>
        <v>0.05</v>
      </c>
      <c r="AD82" s="52">
        <f t="shared" si="88"/>
        <v>0.05</v>
      </c>
      <c r="AE82" s="52">
        <f t="shared" si="88"/>
        <v>0.05</v>
      </c>
      <c r="AF82" s="52">
        <f t="shared" si="88"/>
        <v>0.05</v>
      </c>
      <c r="AG82" s="52">
        <f t="shared" si="88"/>
        <v>0.05</v>
      </c>
      <c r="AH82" s="52">
        <f t="shared" si="88"/>
        <v>0.05</v>
      </c>
    </row>
    <row r="83" spans="1:34">
      <c r="A83" s="42" t="s">
        <v>90</v>
      </c>
      <c r="B83" s="46">
        <v>1</v>
      </c>
      <c r="C83" s="43"/>
      <c r="D83" s="44"/>
      <c r="E83" s="44">
        <v>0.05</v>
      </c>
      <c r="F83" s="52">
        <f t="shared" si="87"/>
        <v>0.05</v>
      </c>
      <c r="G83" s="52">
        <f t="shared" si="87"/>
        <v>0.05</v>
      </c>
      <c r="H83" s="52">
        <f t="shared" si="87"/>
        <v>0.05</v>
      </c>
      <c r="I83" s="52">
        <f t="shared" si="87"/>
        <v>0.05</v>
      </c>
      <c r="J83" s="52">
        <f t="shared" si="87"/>
        <v>0.05</v>
      </c>
      <c r="K83" s="52">
        <f t="shared" si="87"/>
        <v>0.05</v>
      </c>
      <c r="L83" s="52">
        <f t="shared" si="87"/>
        <v>0.05</v>
      </c>
      <c r="M83" s="52">
        <f t="shared" si="87"/>
        <v>0.05</v>
      </c>
      <c r="N83" s="52">
        <f t="shared" si="87"/>
        <v>0.05</v>
      </c>
      <c r="O83" s="52">
        <f t="shared" si="87"/>
        <v>0.05</v>
      </c>
      <c r="P83" s="52">
        <f t="shared" si="87"/>
        <v>0.05</v>
      </c>
      <c r="Q83" s="52">
        <f t="shared" si="87"/>
        <v>0.05</v>
      </c>
      <c r="R83" s="52">
        <f t="shared" si="87"/>
        <v>0.05</v>
      </c>
      <c r="S83" s="52">
        <f t="shared" si="87"/>
        <v>0.05</v>
      </c>
      <c r="T83" s="52">
        <f t="shared" si="87"/>
        <v>0.05</v>
      </c>
      <c r="U83" s="52">
        <f t="shared" si="87"/>
        <v>0.05</v>
      </c>
      <c r="V83" s="52">
        <f t="shared" si="88"/>
        <v>0.05</v>
      </c>
      <c r="W83" s="52">
        <f t="shared" si="88"/>
        <v>0.05</v>
      </c>
      <c r="X83" s="52">
        <f t="shared" si="88"/>
        <v>0.05</v>
      </c>
      <c r="Y83" s="52">
        <f t="shared" si="88"/>
        <v>0.05</v>
      </c>
      <c r="Z83" s="52">
        <f t="shared" si="88"/>
        <v>0.05</v>
      </c>
      <c r="AA83" s="52">
        <f t="shared" si="88"/>
        <v>0.05</v>
      </c>
      <c r="AB83" s="52">
        <f t="shared" si="88"/>
        <v>0.05</v>
      </c>
      <c r="AC83" s="52">
        <f t="shared" si="88"/>
        <v>0.05</v>
      </c>
      <c r="AD83" s="52">
        <f t="shared" si="88"/>
        <v>0.05</v>
      </c>
      <c r="AE83" s="52">
        <f t="shared" si="88"/>
        <v>0.05</v>
      </c>
      <c r="AF83" s="52">
        <f t="shared" si="88"/>
        <v>0.05</v>
      </c>
      <c r="AG83" s="52">
        <f t="shared" si="88"/>
        <v>0.05</v>
      </c>
      <c r="AH83" s="52">
        <f t="shared" si="88"/>
        <v>0.05</v>
      </c>
    </row>
    <row r="84" spans="1:34">
      <c r="A84" s="42" t="s">
        <v>91</v>
      </c>
      <c r="B84" s="46">
        <v>1</v>
      </c>
      <c r="C84" s="43"/>
      <c r="D84" s="53" t="e">
        <f>D69</f>
        <v>#REF!</v>
      </c>
      <c r="E84" s="53" t="e">
        <f t="shared" ref="E84" si="89">E69</f>
        <v>#REF!</v>
      </c>
      <c r="F84" s="54">
        <v>0.1</v>
      </c>
      <c r="G84" s="52" t="e">
        <f t="shared" ref="G84:AH84" si="90">E84</f>
        <v>#REF!</v>
      </c>
      <c r="H84" s="52">
        <f t="shared" si="90"/>
        <v>0.1</v>
      </c>
      <c r="I84" s="52" t="e">
        <f t="shared" si="90"/>
        <v>#REF!</v>
      </c>
      <c r="J84" s="52">
        <f t="shared" si="90"/>
        <v>0.1</v>
      </c>
      <c r="K84" s="52" t="e">
        <f t="shared" si="90"/>
        <v>#REF!</v>
      </c>
      <c r="L84" s="52">
        <f t="shared" si="90"/>
        <v>0.1</v>
      </c>
      <c r="M84" s="52" t="e">
        <f t="shared" si="90"/>
        <v>#REF!</v>
      </c>
      <c r="N84" s="52">
        <f t="shared" si="90"/>
        <v>0.1</v>
      </c>
      <c r="O84" s="52" t="e">
        <f t="shared" si="90"/>
        <v>#REF!</v>
      </c>
      <c r="P84" s="52">
        <f t="shared" si="90"/>
        <v>0.1</v>
      </c>
      <c r="Q84" s="52" t="e">
        <f t="shared" si="90"/>
        <v>#REF!</v>
      </c>
      <c r="R84" s="52">
        <f t="shared" si="90"/>
        <v>0.1</v>
      </c>
      <c r="S84" s="52" t="e">
        <f t="shared" si="90"/>
        <v>#REF!</v>
      </c>
      <c r="T84" s="52">
        <f t="shared" si="90"/>
        <v>0.1</v>
      </c>
      <c r="U84" s="52" t="e">
        <f t="shared" si="90"/>
        <v>#REF!</v>
      </c>
      <c r="V84" s="52">
        <f t="shared" si="90"/>
        <v>0.1</v>
      </c>
      <c r="W84" s="52" t="e">
        <f t="shared" si="90"/>
        <v>#REF!</v>
      </c>
      <c r="X84" s="52">
        <f t="shared" si="90"/>
        <v>0.1</v>
      </c>
      <c r="Y84" s="52" t="e">
        <f t="shared" si="90"/>
        <v>#REF!</v>
      </c>
      <c r="Z84" s="52">
        <f t="shared" si="90"/>
        <v>0.1</v>
      </c>
      <c r="AA84" s="52" t="e">
        <f t="shared" si="90"/>
        <v>#REF!</v>
      </c>
      <c r="AB84" s="52">
        <f t="shared" si="90"/>
        <v>0.1</v>
      </c>
      <c r="AC84" s="52" t="e">
        <f t="shared" si="90"/>
        <v>#REF!</v>
      </c>
      <c r="AD84" s="52">
        <f t="shared" si="90"/>
        <v>0.1</v>
      </c>
      <c r="AE84" s="52" t="e">
        <f t="shared" si="90"/>
        <v>#REF!</v>
      </c>
      <c r="AF84" s="52">
        <f t="shared" si="90"/>
        <v>0.1</v>
      </c>
      <c r="AG84" s="52" t="e">
        <f t="shared" si="90"/>
        <v>#REF!</v>
      </c>
      <c r="AH84" s="52">
        <f t="shared" si="90"/>
        <v>0.1</v>
      </c>
    </row>
    <row r="85" spans="1:34">
      <c r="A85" s="42" t="s">
        <v>92</v>
      </c>
      <c r="B85" s="46">
        <v>1</v>
      </c>
      <c r="C85" s="43"/>
      <c r="D85" s="44"/>
      <c r="E85" s="44">
        <v>0.05</v>
      </c>
      <c r="F85" s="52">
        <f t="shared" ref="F85:AH85" si="91">E85</f>
        <v>0.05</v>
      </c>
      <c r="G85" s="52">
        <f t="shared" si="91"/>
        <v>0.05</v>
      </c>
      <c r="H85" s="52">
        <f t="shared" si="91"/>
        <v>0.05</v>
      </c>
      <c r="I85" s="52">
        <f t="shared" si="91"/>
        <v>0.05</v>
      </c>
      <c r="J85" s="52">
        <f t="shared" si="91"/>
        <v>0.05</v>
      </c>
      <c r="K85" s="52">
        <f t="shared" si="91"/>
        <v>0.05</v>
      </c>
      <c r="L85" s="52">
        <f t="shared" si="91"/>
        <v>0.05</v>
      </c>
      <c r="M85" s="52">
        <f t="shared" si="91"/>
        <v>0.05</v>
      </c>
      <c r="N85" s="52">
        <f t="shared" si="91"/>
        <v>0.05</v>
      </c>
      <c r="O85" s="52">
        <f t="shared" si="91"/>
        <v>0.05</v>
      </c>
      <c r="P85" s="52">
        <f t="shared" si="91"/>
        <v>0.05</v>
      </c>
      <c r="Q85" s="52">
        <f t="shared" si="91"/>
        <v>0.05</v>
      </c>
      <c r="R85" s="52">
        <f t="shared" si="91"/>
        <v>0.05</v>
      </c>
      <c r="S85" s="52">
        <f t="shared" si="91"/>
        <v>0.05</v>
      </c>
      <c r="T85" s="52">
        <f t="shared" si="91"/>
        <v>0.05</v>
      </c>
      <c r="U85" s="52">
        <f t="shared" si="91"/>
        <v>0.05</v>
      </c>
      <c r="V85" s="52">
        <f t="shared" si="91"/>
        <v>0.05</v>
      </c>
      <c r="W85" s="52">
        <f t="shared" si="91"/>
        <v>0.05</v>
      </c>
      <c r="X85" s="52">
        <f t="shared" si="91"/>
        <v>0.05</v>
      </c>
      <c r="Y85" s="52">
        <f t="shared" si="91"/>
        <v>0.05</v>
      </c>
      <c r="Z85" s="52">
        <f t="shared" si="91"/>
        <v>0.05</v>
      </c>
      <c r="AA85" s="52">
        <f t="shared" si="91"/>
        <v>0.05</v>
      </c>
      <c r="AB85" s="52">
        <f t="shared" si="91"/>
        <v>0.05</v>
      </c>
      <c r="AC85" s="52">
        <f t="shared" si="91"/>
        <v>0.05</v>
      </c>
      <c r="AD85" s="52">
        <f t="shared" si="91"/>
        <v>0.05</v>
      </c>
      <c r="AE85" s="52">
        <f t="shared" si="91"/>
        <v>0.05</v>
      </c>
      <c r="AF85" s="52">
        <f t="shared" si="91"/>
        <v>0.05</v>
      </c>
      <c r="AG85" s="52">
        <f t="shared" si="91"/>
        <v>0.05</v>
      </c>
      <c r="AH85" s="52">
        <f t="shared" si="91"/>
        <v>0.05</v>
      </c>
    </row>
    <row r="86" spans="1:34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</row>
    <row r="87" spans="1:34">
      <c r="A87" s="55" t="s">
        <v>89</v>
      </c>
      <c r="B87" s="55" t="s">
        <v>93</v>
      </c>
      <c r="C87" s="56"/>
      <c r="D87" s="57">
        <v>0.05</v>
      </c>
      <c r="E87" s="57">
        <v>0.1</v>
      </c>
      <c r="F87" s="58">
        <f>E87*(1+F82)</f>
        <v>0.10500000000000001</v>
      </c>
      <c r="G87" s="58">
        <f t="shared" ref="G87:AH90" si="92">F87*(1+G82)</f>
        <v>0.11025000000000001</v>
      </c>
      <c r="H87" s="58">
        <f t="shared" si="92"/>
        <v>0.11576250000000002</v>
      </c>
      <c r="I87" s="58">
        <f t="shared" si="92"/>
        <v>0.12155062500000002</v>
      </c>
      <c r="J87" s="58">
        <f t="shared" si="92"/>
        <v>0.12762815625000004</v>
      </c>
      <c r="K87" s="58">
        <f t="shared" si="92"/>
        <v>0.13400956406250006</v>
      </c>
      <c r="L87" s="58">
        <f t="shared" si="92"/>
        <v>0.14071004226562506</v>
      </c>
      <c r="M87" s="58">
        <f t="shared" si="92"/>
        <v>0.14774554437890633</v>
      </c>
      <c r="N87" s="58">
        <f t="shared" si="92"/>
        <v>0.15513282159785166</v>
      </c>
      <c r="O87" s="58">
        <f t="shared" si="92"/>
        <v>0.16288946267774426</v>
      </c>
      <c r="P87" s="58">
        <f t="shared" si="92"/>
        <v>0.17103393581163148</v>
      </c>
      <c r="Q87" s="58">
        <f t="shared" si="92"/>
        <v>0.17958563260221305</v>
      </c>
      <c r="R87" s="58">
        <f t="shared" si="92"/>
        <v>0.18856491423232372</v>
      </c>
      <c r="S87" s="58">
        <f t="shared" si="92"/>
        <v>0.1979931599439399</v>
      </c>
      <c r="T87" s="58">
        <f t="shared" si="92"/>
        <v>0.2078928179411369</v>
      </c>
      <c r="U87" s="58">
        <f t="shared" si="92"/>
        <v>0.21828745883819375</v>
      </c>
      <c r="V87" s="58">
        <f t="shared" si="92"/>
        <v>0.22920183178010345</v>
      </c>
      <c r="W87" s="58">
        <f t="shared" si="92"/>
        <v>0.24066192336910863</v>
      </c>
      <c r="X87" s="58">
        <f t="shared" si="92"/>
        <v>0.25269501953756407</v>
      </c>
      <c r="Y87" s="58">
        <f t="shared" si="92"/>
        <v>0.26532977051444229</v>
      </c>
      <c r="Z87" s="58">
        <f t="shared" si="92"/>
        <v>0.27859625904016444</v>
      </c>
      <c r="AA87" s="58">
        <f t="shared" si="92"/>
        <v>0.29252607199217268</v>
      </c>
      <c r="AB87" s="58">
        <f t="shared" si="92"/>
        <v>0.30715237559178132</v>
      </c>
      <c r="AC87" s="58">
        <f t="shared" si="92"/>
        <v>0.3225099943713704</v>
      </c>
      <c r="AD87" s="58">
        <f t="shared" si="92"/>
        <v>0.33863549408993893</v>
      </c>
      <c r="AE87" s="58">
        <f t="shared" si="92"/>
        <v>0.3555672687944359</v>
      </c>
      <c r="AF87" s="58">
        <f t="shared" si="92"/>
        <v>0.37334563223415773</v>
      </c>
      <c r="AG87" s="58">
        <f t="shared" si="92"/>
        <v>0.39201291384586562</v>
      </c>
      <c r="AH87" s="58">
        <f t="shared" si="92"/>
        <v>0.41161355953815892</v>
      </c>
    </row>
    <row r="88" spans="1:34">
      <c r="A88" s="55" t="s">
        <v>90</v>
      </c>
      <c r="B88" s="55" t="s">
        <v>93</v>
      </c>
      <c r="C88" s="56"/>
      <c r="D88" s="57">
        <v>0.24</v>
      </c>
      <c r="E88" s="58">
        <v>0.252</v>
      </c>
      <c r="F88" s="58">
        <f>E88*(1+F83)</f>
        <v>0.2646</v>
      </c>
      <c r="G88" s="58">
        <f t="shared" si="92"/>
        <v>0.27783000000000002</v>
      </c>
      <c r="H88" s="58">
        <f t="shared" si="92"/>
        <v>0.29172150000000002</v>
      </c>
      <c r="I88" s="58">
        <f t="shared" si="92"/>
        <v>0.30630757500000005</v>
      </c>
      <c r="J88" s="58">
        <f t="shared" si="92"/>
        <v>0.32162295375000005</v>
      </c>
      <c r="K88" s="58">
        <f t="shared" si="92"/>
        <v>0.33770410143750007</v>
      </c>
      <c r="L88" s="58">
        <f t="shared" si="92"/>
        <v>0.35458930650937509</v>
      </c>
      <c r="M88" s="58">
        <f t="shared" si="92"/>
        <v>0.37231877183484385</v>
      </c>
      <c r="N88" s="58">
        <f t="shared" si="92"/>
        <v>0.39093471042658606</v>
      </c>
      <c r="O88" s="58">
        <f t="shared" si="92"/>
        <v>0.41048144594791536</v>
      </c>
      <c r="P88" s="58">
        <f t="shared" si="92"/>
        <v>0.43100551824531114</v>
      </c>
      <c r="Q88" s="58">
        <f t="shared" si="92"/>
        <v>0.45255579415757669</v>
      </c>
      <c r="R88" s="58">
        <f t="shared" si="92"/>
        <v>0.47518358386545556</v>
      </c>
      <c r="S88" s="58">
        <f t="shared" si="92"/>
        <v>0.49894276305872837</v>
      </c>
      <c r="T88" s="58">
        <f t="shared" si="92"/>
        <v>0.52388990121166479</v>
      </c>
      <c r="U88" s="58">
        <f t="shared" si="92"/>
        <v>0.55008439627224803</v>
      </c>
      <c r="V88" s="58">
        <f t="shared" si="92"/>
        <v>0.57758861608586043</v>
      </c>
      <c r="W88" s="58">
        <f t="shared" si="92"/>
        <v>0.60646804689015343</v>
      </c>
      <c r="X88" s="58">
        <f t="shared" si="92"/>
        <v>0.63679144923466113</v>
      </c>
      <c r="Y88" s="58">
        <f t="shared" si="92"/>
        <v>0.66863102169639421</v>
      </c>
      <c r="Z88" s="58">
        <f t="shared" si="92"/>
        <v>0.70206257278121398</v>
      </c>
      <c r="AA88" s="58">
        <f t="shared" si="92"/>
        <v>0.73716570142027471</v>
      </c>
      <c r="AB88" s="58">
        <f t="shared" si="92"/>
        <v>0.77402398649128845</v>
      </c>
      <c r="AC88" s="58">
        <f t="shared" si="92"/>
        <v>0.81272518581585296</v>
      </c>
      <c r="AD88" s="58">
        <f t="shared" si="92"/>
        <v>0.85336144510664569</v>
      </c>
      <c r="AE88" s="58">
        <f t="shared" si="92"/>
        <v>0.896029517361978</v>
      </c>
      <c r="AF88" s="58">
        <f t="shared" si="92"/>
        <v>0.94083099323007691</v>
      </c>
      <c r="AG88" s="58">
        <f t="shared" si="92"/>
        <v>0.98787254289158077</v>
      </c>
      <c r="AH88" s="58">
        <f t="shared" si="92"/>
        <v>1.0372661700361598</v>
      </c>
    </row>
    <row r="89" spans="1:34">
      <c r="A89" s="55" t="s">
        <v>91</v>
      </c>
      <c r="B89" s="55" t="s">
        <v>93</v>
      </c>
      <c r="C89" s="59"/>
      <c r="D89" s="57">
        <v>0</v>
      </c>
      <c r="E89" s="57">
        <v>1.1499999999999999</v>
      </c>
      <c r="F89" s="58">
        <f>E89*(1+F84)</f>
        <v>1.2649999999999999</v>
      </c>
      <c r="G89" s="58" t="e">
        <f t="shared" si="92"/>
        <v>#REF!</v>
      </c>
      <c r="H89" s="58" t="e">
        <f t="shared" si="92"/>
        <v>#REF!</v>
      </c>
      <c r="I89" s="58" t="e">
        <f t="shared" si="92"/>
        <v>#REF!</v>
      </c>
      <c r="J89" s="58" t="e">
        <f t="shared" si="92"/>
        <v>#REF!</v>
      </c>
      <c r="K89" s="58" t="e">
        <f t="shared" si="92"/>
        <v>#REF!</v>
      </c>
      <c r="L89" s="58" t="e">
        <f t="shared" si="92"/>
        <v>#REF!</v>
      </c>
      <c r="M89" s="58" t="e">
        <f t="shared" si="92"/>
        <v>#REF!</v>
      </c>
      <c r="N89" s="58" t="e">
        <f t="shared" si="92"/>
        <v>#REF!</v>
      </c>
      <c r="O89" s="58" t="e">
        <f t="shared" si="92"/>
        <v>#REF!</v>
      </c>
      <c r="P89" s="58" t="e">
        <f t="shared" si="92"/>
        <v>#REF!</v>
      </c>
      <c r="Q89" s="58" t="e">
        <f t="shared" si="92"/>
        <v>#REF!</v>
      </c>
      <c r="R89" s="58" t="e">
        <f t="shared" si="92"/>
        <v>#REF!</v>
      </c>
      <c r="S89" s="58" t="e">
        <f t="shared" si="92"/>
        <v>#REF!</v>
      </c>
      <c r="T89" s="58" t="e">
        <f t="shared" si="92"/>
        <v>#REF!</v>
      </c>
      <c r="U89" s="58" t="e">
        <f t="shared" si="92"/>
        <v>#REF!</v>
      </c>
      <c r="V89" s="58" t="e">
        <f t="shared" si="92"/>
        <v>#REF!</v>
      </c>
      <c r="W89" s="58" t="e">
        <f t="shared" si="92"/>
        <v>#REF!</v>
      </c>
      <c r="X89" s="58" t="e">
        <f t="shared" si="92"/>
        <v>#REF!</v>
      </c>
      <c r="Y89" s="58" t="e">
        <f t="shared" si="92"/>
        <v>#REF!</v>
      </c>
      <c r="Z89" s="58" t="e">
        <f t="shared" si="92"/>
        <v>#REF!</v>
      </c>
      <c r="AA89" s="58" t="e">
        <f t="shared" si="92"/>
        <v>#REF!</v>
      </c>
      <c r="AB89" s="58" t="e">
        <f t="shared" si="92"/>
        <v>#REF!</v>
      </c>
      <c r="AC89" s="58" t="e">
        <f t="shared" si="92"/>
        <v>#REF!</v>
      </c>
      <c r="AD89" s="58" t="e">
        <f t="shared" si="92"/>
        <v>#REF!</v>
      </c>
      <c r="AE89" s="58" t="e">
        <f t="shared" si="92"/>
        <v>#REF!</v>
      </c>
      <c r="AF89" s="58" t="e">
        <f t="shared" si="92"/>
        <v>#REF!</v>
      </c>
      <c r="AG89" s="58" t="e">
        <f t="shared" si="92"/>
        <v>#REF!</v>
      </c>
      <c r="AH89" s="58" t="e">
        <f t="shared" si="92"/>
        <v>#REF!</v>
      </c>
    </row>
    <row r="90" spans="1:34">
      <c r="A90" s="55" t="str">
        <f>A85</f>
        <v>Insurance, Repair &amp; Maint. and Misc.</v>
      </c>
      <c r="B90" s="55" t="s">
        <v>93</v>
      </c>
      <c r="C90" s="60">
        <v>0.06</v>
      </c>
      <c r="D90" s="60">
        <v>0.16</v>
      </c>
      <c r="E90" s="60">
        <v>0.2</v>
      </c>
      <c r="F90" s="58">
        <f>E90*(1+F85)</f>
        <v>0.21000000000000002</v>
      </c>
      <c r="G90" s="58">
        <f t="shared" si="92"/>
        <v>0.22050000000000003</v>
      </c>
      <c r="H90" s="58">
        <f t="shared" si="92"/>
        <v>0.23152500000000004</v>
      </c>
      <c r="I90" s="58">
        <f t="shared" si="92"/>
        <v>0.24310125000000005</v>
      </c>
      <c r="J90" s="58">
        <f t="shared" si="92"/>
        <v>0.25525631250000008</v>
      </c>
      <c r="K90" s="58">
        <f t="shared" si="92"/>
        <v>0.26801912812500012</v>
      </c>
      <c r="L90" s="58">
        <f t="shared" si="92"/>
        <v>0.28142008453125011</v>
      </c>
      <c r="M90" s="58">
        <f t="shared" si="92"/>
        <v>0.29549108875781266</v>
      </c>
      <c r="N90" s="58">
        <f t="shared" si="92"/>
        <v>0.31026564319570332</v>
      </c>
      <c r="O90" s="58">
        <f t="shared" si="92"/>
        <v>0.32577892535548852</v>
      </c>
      <c r="P90" s="58">
        <f t="shared" si="92"/>
        <v>0.34206787162326296</v>
      </c>
      <c r="Q90" s="58">
        <f t="shared" si="92"/>
        <v>0.3591712652044261</v>
      </c>
      <c r="R90" s="58">
        <f t="shared" si="92"/>
        <v>0.37712982846464743</v>
      </c>
      <c r="S90" s="58">
        <f t="shared" si="92"/>
        <v>0.3959863198878798</v>
      </c>
      <c r="T90" s="58">
        <f t="shared" si="92"/>
        <v>0.4157856358822738</v>
      </c>
      <c r="U90" s="58">
        <f t="shared" si="92"/>
        <v>0.43657491767638751</v>
      </c>
      <c r="V90" s="58">
        <f t="shared" si="92"/>
        <v>0.4584036635602069</v>
      </c>
      <c r="W90" s="58">
        <f t="shared" si="92"/>
        <v>0.48132384673821726</v>
      </c>
      <c r="X90" s="58">
        <f t="shared" si="92"/>
        <v>0.50539003907512814</v>
      </c>
      <c r="Y90" s="58">
        <f t="shared" si="92"/>
        <v>0.53065954102888457</v>
      </c>
      <c r="Z90" s="58">
        <f t="shared" si="92"/>
        <v>0.55719251808032888</v>
      </c>
      <c r="AA90" s="58">
        <f t="shared" si="92"/>
        <v>0.58505214398434535</v>
      </c>
      <c r="AB90" s="58">
        <f t="shared" si="92"/>
        <v>0.61430475118356265</v>
      </c>
      <c r="AC90" s="58">
        <f t="shared" si="92"/>
        <v>0.6450199887427408</v>
      </c>
      <c r="AD90" s="58">
        <f t="shared" si="92"/>
        <v>0.67727098817987785</v>
      </c>
      <c r="AE90" s="58">
        <f t="shared" si="92"/>
        <v>0.7111345375888718</v>
      </c>
      <c r="AF90" s="58">
        <f t="shared" si="92"/>
        <v>0.74669126446831546</v>
      </c>
      <c r="AG90" s="58">
        <f t="shared" si="92"/>
        <v>0.78402582769173124</v>
      </c>
      <c r="AH90" s="58">
        <f t="shared" si="92"/>
        <v>0.82322711907631785</v>
      </c>
    </row>
    <row r="92" spans="1:34">
      <c r="A92" s="63" t="s">
        <v>95</v>
      </c>
      <c r="B92" s="64"/>
      <c r="C92" s="65">
        <f>0.02</f>
        <v>0.02</v>
      </c>
      <c r="D92" s="65">
        <f>0.03</f>
        <v>0.03</v>
      </c>
      <c r="E92" s="65">
        <f>0.03</f>
        <v>0.03</v>
      </c>
    </row>
    <row r="93" spans="1:34">
      <c r="A93" s="63" t="s">
        <v>96</v>
      </c>
      <c r="B93" s="64"/>
      <c r="C93" s="65"/>
      <c r="D93" s="65">
        <f>0.01</f>
        <v>0.01</v>
      </c>
      <c r="E93" s="65">
        <f>0.05</f>
        <v>0.05</v>
      </c>
    </row>
    <row r="94" spans="1:34">
      <c r="A94" s="63" t="s">
        <v>97</v>
      </c>
      <c r="B94" s="64"/>
      <c r="C94" s="65">
        <f>0.04</f>
        <v>0.04</v>
      </c>
      <c r="D94" s="65">
        <v>0.12</v>
      </c>
      <c r="E94" s="65">
        <v>0.12</v>
      </c>
    </row>
    <row r="95" spans="1:34">
      <c r="A95" s="64"/>
      <c r="B95" s="64"/>
      <c r="C95" s="64"/>
      <c r="D95" s="64"/>
      <c r="E95" s="64"/>
    </row>
    <row r="96" spans="1:34">
      <c r="A96" s="66" t="s">
        <v>98</v>
      </c>
      <c r="B96" s="68">
        <v>0.11600848119976601</v>
      </c>
      <c r="C96" s="67">
        <v>1.4012802946915499</v>
      </c>
      <c r="D96" s="67">
        <v>1.0736824748126701</v>
      </c>
      <c r="E96" s="67">
        <v>1.28359320793596</v>
      </c>
    </row>
    <row r="97" spans="1:5">
      <c r="A97" s="66" t="s">
        <v>99</v>
      </c>
      <c r="B97" s="68">
        <v>0.10569804155404</v>
      </c>
      <c r="C97" s="67">
        <v>1.2596801329454901</v>
      </c>
      <c r="D97" s="67">
        <v>0.97454749476077296</v>
      </c>
      <c r="E97" s="67">
        <v>1.1528690636321</v>
      </c>
    </row>
    <row r="98" spans="1:5">
      <c r="A98" s="66" t="s">
        <v>100</v>
      </c>
      <c r="B98" s="68">
        <v>0.110013685059713</v>
      </c>
      <c r="C98" s="67">
        <v>1.3182296913902301</v>
      </c>
      <c r="D98" s="67">
        <v>1.0144679686993101</v>
      </c>
      <c r="E98" s="67">
        <v>1.20598061335574</v>
      </c>
    </row>
    <row r="99" spans="1:5">
      <c r="A99" s="66" t="s">
        <v>101</v>
      </c>
      <c r="B99" s="68">
        <v>0.111895081548741</v>
      </c>
      <c r="C99" s="67">
        <v>1.3438766381109799</v>
      </c>
      <c r="D99" s="67">
        <v>1.0337620008741399</v>
      </c>
      <c r="E99" s="67">
        <v>1.2316275600764901</v>
      </c>
    </row>
    <row r="100" spans="1:5">
      <c r="A100" s="66" t="s">
        <v>102</v>
      </c>
      <c r="B100" s="68">
        <v>0.1107632253202</v>
      </c>
      <c r="C100" s="67">
        <v>2</v>
      </c>
      <c r="D100" s="67">
        <v>0.94529257826302304</v>
      </c>
      <c r="E100" s="67">
        <v>1.13846472594004</v>
      </c>
    </row>
    <row r="101" spans="1:5">
      <c r="A101" s="66" t="s">
        <v>103</v>
      </c>
      <c r="B101" s="68">
        <v>0.111034027289478</v>
      </c>
      <c r="C101" s="67">
        <v>1.38090209864173</v>
      </c>
      <c r="D101" s="67">
        <v>1.0475608176081399</v>
      </c>
      <c r="E101" s="67">
        <v>1.2637567004483401</v>
      </c>
    </row>
    <row r="102" spans="1:5">
      <c r="A102" s="66"/>
      <c r="B102" s="66"/>
      <c r="C102" s="66"/>
      <c r="D102" s="66"/>
      <c r="E102" s="66"/>
    </row>
    <row r="103" spans="1:5">
      <c r="A103" s="66"/>
      <c r="B103" s="66"/>
      <c r="C103" s="66"/>
      <c r="D103" s="66"/>
      <c r="E103" s="66"/>
    </row>
    <row r="104" spans="1:5">
      <c r="A104" s="66"/>
      <c r="B104" s="66"/>
      <c r="C104" s="66"/>
      <c r="D104" s="66"/>
      <c r="E104" s="66"/>
    </row>
    <row r="105" spans="1:5">
      <c r="A105" s="66"/>
      <c r="B105" s="66"/>
      <c r="C105" s="66"/>
      <c r="D105" s="66"/>
      <c r="E105" s="66"/>
    </row>
    <row r="106" spans="1:5">
      <c r="A106" s="66"/>
      <c r="B106" s="66"/>
      <c r="C106" s="66"/>
      <c r="D106" s="66"/>
      <c r="E106" s="66"/>
    </row>
    <row r="107" spans="1:5">
      <c r="A107" s="66"/>
      <c r="B107" s="66"/>
      <c r="C107" s="66"/>
      <c r="D107" s="66"/>
      <c r="E107" s="66"/>
    </row>
    <row r="108" spans="1:5">
      <c r="A108" s="66"/>
      <c r="B108" s="66"/>
      <c r="C108" s="66"/>
      <c r="D108" s="66"/>
      <c r="E108" s="66"/>
    </row>
    <row r="109" spans="1:5">
      <c r="A109" s="66"/>
      <c r="B109" s="66"/>
      <c r="C109" s="66"/>
      <c r="D109" s="66"/>
      <c r="E109" s="66"/>
    </row>
    <row r="110" spans="1:5">
      <c r="A110" s="66"/>
      <c r="B110" s="66"/>
      <c r="C110" s="66"/>
      <c r="D110" s="66"/>
      <c r="E110" s="66"/>
    </row>
    <row r="111" spans="1:5">
      <c r="A111" s="66"/>
      <c r="B111" s="66"/>
      <c r="C111" s="66"/>
      <c r="D111" s="66"/>
      <c r="E111" s="66"/>
    </row>
    <row r="112" spans="1:5">
      <c r="A112" s="66"/>
      <c r="B112" s="66"/>
      <c r="C112" s="66"/>
      <c r="D112" s="66"/>
      <c r="E112" s="66"/>
    </row>
    <row r="113" spans="1:5">
      <c r="A113" s="66"/>
      <c r="B113" s="66"/>
      <c r="C113" s="66"/>
      <c r="D113" s="66"/>
      <c r="E113" s="66"/>
    </row>
    <row r="114" spans="1:5">
      <c r="A114" s="66"/>
      <c r="B114" s="66"/>
      <c r="C114" s="66"/>
      <c r="D114" s="66"/>
      <c r="E114" s="66"/>
    </row>
    <row r="115" spans="1:5">
      <c r="A115" s="66"/>
      <c r="B115" s="66"/>
      <c r="C115" s="66"/>
      <c r="D115" s="66"/>
      <c r="E115" s="66"/>
    </row>
    <row r="116" spans="1:5">
      <c r="A116" s="66"/>
      <c r="B116" s="66"/>
      <c r="C116" s="66"/>
      <c r="D116" s="66"/>
      <c r="E116" s="66"/>
    </row>
    <row r="117" spans="1:5">
      <c r="A117" s="64"/>
      <c r="B117" s="64"/>
      <c r="C117" s="64"/>
      <c r="D117" s="64"/>
      <c r="E117" s="64"/>
    </row>
    <row r="118" spans="1:5">
      <c r="A118" s="64"/>
      <c r="B118" s="64"/>
      <c r="C118" s="64"/>
      <c r="D118" s="64"/>
      <c r="E118" s="64"/>
    </row>
    <row r="119" spans="1:5">
      <c r="A119" s="64"/>
      <c r="B119" s="64"/>
      <c r="C119" s="64"/>
      <c r="D119" s="64"/>
      <c r="E119" s="64"/>
    </row>
    <row r="120" spans="1:5">
      <c r="A120" s="64"/>
      <c r="B120" s="64"/>
      <c r="C120" s="64"/>
      <c r="D120" s="64"/>
      <c r="E120" s="64"/>
    </row>
    <row r="121" spans="1:5">
      <c r="A121" s="64"/>
      <c r="B121" s="64"/>
      <c r="C121" s="64"/>
      <c r="D121" s="64"/>
      <c r="E121" s="64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Pict="0">
                <anchor moveWithCells="1">
                  <from>
                    <xdr:col>1</xdr:col>
                    <xdr:colOff>0</xdr:colOff>
                    <xdr:row>81</xdr:row>
                    <xdr:rowOff>9525</xdr:rowOff>
                  </from>
                  <to>
                    <xdr:col>1</xdr:col>
                    <xdr:colOff>828675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Pict="0">
                <anchor moveWithCells="1">
                  <from>
                    <xdr:col>1</xdr:col>
                    <xdr:colOff>0</xdr:colOff>
                    <xdr:row>82</xdr:row>
                    <xdr:rowOff>9525</xdr:rowOff>
                  </from>
                  <to>
                    <xdr:col>1</xdr:col>
                    <xdr:colOff>828675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Pict="0">
                <anchor moveWithCells="1">
                  <from>
                    <xdr:col>1</xdr:col>
                    <xdr:colOff>9525</xdr:colOff>
                    <xdr:row>83</xdr:row>
                    <xdr:rowOff>9525</xdr:rowOff>
                  </from>
                  <to>
                    <xdr:col>1</xdr:col>
                    <xdr:colOff>828675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Pict="0">
                <anchor moveWithCells="1">
                  <from>
                    <xdr:col>1</xdr:col>
                    <xdr:colOff>0</xdr:colOff>
                    <xdr:row>84</xdr:row>
                    <xdr:rowOff>9525</xdr:rowOff>
                  </from>
                  <to>
                    <xdr:col>1</xdr:col>
                    <xdr:colOff>828675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Pict="0">
                <anchor moveWithCells="1">
                  <from>
                    <xdr:col>1</xdr:col>
                    <xdr:colOff>0</xdr:colOff>
                    <xdr:row>68</xdr:row>
                    <xdr:rowOff>9525</xdr:rowOff>
                  </from>
                  <to>
                    <xdr:col>1</xdr:col>
                    <xdr:colOff>828675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828675</xdr:colOff>
                    <xdr:row>95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828675</xdr:colOff>
                    <xdr:row>95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1"/>
  <sheetViews>
    <sheetView workbookViewId="0">
      <selection activeCell="J17" sqref="J17"/>
    </sheetView>
  </sheetViews>
  <sheetFormatPr defaultRowHeight="15"/>
  <cols>
    <col min="2" max="2" width="46" bestFit="1" customWidth="1"/>
    <col min="4" max="4" width="13.85546875" customWidth="1"/>
  </cols>
  <sheetData>
    <row r="1" spans="2:25">
      <c r="D1">
        <f>'P&amp;L'!J3</f>
        <v>2021</v>
      </c>
      <c r="E1">
        <f>'P&amp;L'!K3</f>
        <v>2022</v>
      </c>
      <c r="F1">
        <f>'P&amp;L'!L3</f>
        <v>2023</v>
      </c>
      <c r="G1">
        <f>'P&amp;L'!M3</f>
        <v>2024</v>
      </c>
      <c r="H1">
        <f>'P&amp;L'!N3</f>
        <v>2025</v>
      </c>
      <c r="I1">
        <f>'P&amp;L'!O3</f>
        <v>2026</v>
      </c>
      <c r="J1">
        <f>'P&amp;L'!P3</f>
        <v>2027</v>
      </c>
      <c r="K1">
        <f>'P&amp;L'!Q3</f>
        <v>2028</v>
      </c>
      <c r="L1">
        <f>'P&amp;L'!R3</f>
        <v>2029</v>
      </c>
      <c r="M1">
        <f>'P&amp;L'!S3</f>
        <v>2030</v>
      </c>
      <c r="N1">
        <f>'P&amp;L'!T3</f>
        <v>2031</v>
      </c>
      <c r="O1">
        <f>'P&amp;L'!U3</f>
        <v>2032</v>
      </c>
      <c r="P1">
        <f>'P&amp;L'!V3</f>
        <v>2033</v>
      </c>
      <c r="Q1">
        <f>'P&amp;L'!W3</f>
        <v>2034</v>
      </c>
      <c r="R1">
        <f>'P&amp;L'!X3</f>
        <v>2035</v>
      </c>
      <c r="S1">
        <f>'P&amp;L'!Y3</f>
        <v>2036</v>
      </c>
      <c r="T1">
        <f>'P&amp;L'!Z3</f>
        <v>2037</v>
      </c>
      <c r="U1">
        <f>'P&amp;L'!AA3</f>
        <v>2038</v>
      </c>
      <c r="V1">
        <f>'P&amp;L'!AB3</f>
        <v>2039</v>
      </c>
      <c r="W1">
        <f>'P&amp;L'!AC3</f>
        <v>2040</v>
      </c>
      <c r="X1">
        <f>'P&amp;L'!AD3</f>
        <v>2041</v>
      </c>
      <c r="Y1">
        <f>'P&amp;L'!AE3</f>
        <v>2042</v>
      </c>
    </row>
    <row r="2" spans="2:25">
      <c r="B2" s="62" t="s">
        <v>122</v>
      </c>
    </row>
    <row r="3" spans="2:25">
      <c r="B3" t="s">
        <v>123</v>
      </c>
      <c r="D3" s="70">
        <f>-7445853/10^7</f>
        <v>-0.74458530000000001</v>
      </c>
      <c r="E3" s="70">
        <f>'P&amp;L'!K28</f>
        <v>-0.60235245360090006</v>
      </c>
      <c r="F3" s="70">
        <f>'P&amp;L'!L28</f>
        <v>0.55769295314073519</v>
      </c>
      <c r="G3" s="70">
        <f>'P&amp;L'!M28</f>
        <v>1.4903184525430846</v>
      </c>
      <c r="H3" s="70">
        <f>'P&amp;L'!N28</f>
        <v>0.61685376825834459</v>
      </c>
      <c r="I3" s="70">
        <f>'P&amp;L'!O28</f>
        <v>0.63903735933623018</v>
      </c>
      <c r="J3" s="70">
        <f>'P&amp;L'!P28</f>
        <v>0.72730830202383023</v>
      </c>
      <c r="K3" s="70">
        <f>'P&amp;L'!Q28</f>
        <v>0.76305843845338184</v>
      </c>
      <c r="L3" s="70">
        <f>'P&amp;L'!R28</f>
        <v>0.86035214814249694</v>
      </c>
      <c r="M3" s="70">
        <f>'P&amp;L'!S28</f>
        <v>0.9050304771272093</v>
      </c>
      <c r="N3" s="24">
        <f>'P&amp;L'!T28</f>
        <v>1.0128963722213706</v>
      </c>
      <c r="O3" s="24">
        <f>'P&amp;L'!U28</f>
        <v>1.0792785799421529</v>
      </c>
      <c r="P3" s="24">
        <f>'P&amp;L'!V28</f>
        <v>1.212477705903491</v>
      </c>
      <c r="Q3" s="24">
        <f>'P&amp;L'!W28</f>
        <v>1.2960960258397143</v>
      </c>
      <c r="R3" s="24">
        <f>'P&amp;L'!X28</f>
        <v>1.44874989738742</v>
      </c>
      <c r="S3" s="24">
        <f>'P&amp;L'!Y28</f>
        <v>1.5534593299736663</v>
      </c>
      <c r="T3" s="24">
        <f>'P&amp;L'!Z28</f>
        <v>1.7468458535278617</v>
      </c>
      <c r="U3" s="24">
        <f>'P&amp;L'!AA28</f>
        <v>1.8980731249316256</v>
      </c>
      <c r="V3" s="24">
        <f>'P&amp;L'!AB28</f>
        <v>2.1272885459244035</v>
      </c>
      <c r="W3" s="24">
        <f>'P&amp;L'!AC28</f>
        <v>2.3185577893988683</v>
      </c>
      <c r="X3" s="24">
        <f>'P&amp;L'!AD28</f>
        <v>2.5919105384311116</v>
      </c>
      <c r="Y3" s="24">
        <f>'P&amp;L'!AE28</f>
        <v>2.8613615345258898</v>
      </c>
    </row>
    <row r="4" spans="2:25">
      <c r="B4" t="s">
        <v>124</v>
      </c>
    </row>
    <row r="5" spans="2:25">
      <c r="B5" t="s">
        <v>125</v>
      </c>
      <c r="D5" s="24">
        <f>13677732/10^7</f>
        <v>1.3677732</v>
      </c>
    </row>
    <row r="6" spans="2:25">
      <c r="B6" t="s">
        <v>126</v>
      </c>
      <c r="D6" s="24">
        <f>1198400/10^7</f>
        <v>0.11984</v>
      </c>
    </row>
    <row r="7" spans="2:25">
      <c r="B7" t="s">
        <v>127</v>
      </c>
      <c r="D7" s="71">
        <f>25000/10^7</f>
        <v>2.5000000000000001E-3</v>
      </c>
    </row>
    <row r="8" spans="2:25">
      <c r="B8" t="s">
        <v>128</v>
      </c>
      <c r="D8" s="72">
        <f>-166808/10^7</f>
        <v>-1.6680799999999999E-2</v>
      </c>
    </row>
    <row r="9" spans="2:25">
      <c r="B9" t="s">
        <v>42</v>
      </c>
      <c r="D9">
        <f>7536745/10^7</f>
        <v>0.75367450000000002</v>
      </c>
    </row>
    <row r="10" spans="2:25">
      <c r="B10" s="62" t="s">
        <v>129</v>
      </c>
      <c r="C10" s="62"/>
      <c r="D10" s="73">
        <f>SUM(D3:D9)</f>
        <v>1.4825215999999999</v>
      </c>
    </row>
    <row r="12" spans="2:25">
      <c r="B12" t="s">
        <v>130</v>
      </c>
      <c r="D12" s="70">
        <f>-5741704/10^7</f>
        <v>-0.57417039999999997</v>
      </c>
    </row>
    <row r="13" spans="2:25">
      <c r="B13" s="62" t="s">
        <v>131</v>
      </c>
      <c r="C13" s="62"/>
      <c r="D13" s="73">
        <f>D12</f>
        <v>-0.57417039999999997</v>
      </c>
    </row>
    <row r="15" spans="2:25">
      <c r="B15" t="s">
        <v>132</v>
      </c>
      <c r="D15" s="70">
        <f>-8928057/10^7</f>
        <v>-0.89280570000000004</v>
      </c>
    </row>
    <row r="16" spans="2:25">
      <c r="B16" s="62" t="s">
        <v>133</v>
      </c>
      <c r="C16" s="62"/>
      <c r="D16" s="73">
        <f>D15</f>
        <v>-0.89280570000000004</v>
      </c>
    </row>
    <row r="18" spans="2:4">
      <c r="B18" s="62" t="s">
        <v>134</v>
      </c>
      <c r="C18" s="62"/>
      <c r="D18" s="74">
        <f>D10+D13+D16</f>
        <v>1.5545499999999879E-2</v>
      </c>
    </row>
    <row r="20" spans="2:4">
      <c r="B20" t="s">
        <v>135</v>
      </c>
      <c r="D20" s="69">
        <f>334741/10^7</f>
        <v>3.34741E-2</v>
      </c>
    </row>
    <row r="21" spans="2:4">
      <c r="B21" t="s">
        <v>136</v>
      </c>
      <c r="D21" s="75">
        <f>D18+D20</f>
        <v>4.9019599999999879E-2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C28"/>
  <sheetViews>
    <sheetView topLeftCell="A7" workbookViewId="0">
      <selection activeCell="D23" sqref="D23"/>
    </sheetView>
  </sheetViews>
  <sheetFormatPr defaultRowHeight="15"/>
  <cols>
    <col min="3" max="3" width="25.42578125" bestFit="1" customWidth="1"/>
  </cols>
  <sheetData>
    <row r="3" spans="3:29">
      <c r="C3" s="99" t="s">
        <v>71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</row>
    <row r="4" spans="3:29">
      <c r="C4" s="76" t="s">
        <v>158</v>
      </c>
      <c r="D4" s="77" t="s">
        <v>72</v>
      </c>
      <c r="E4" s="78" t="s">
        <v>73</v>
      </c>
      <c r="F4" s="78" t="s">
        <v>137</v>
      </c>
      <c r="G4" s="78" t="s">
        <v>138</v>
      </c>
      <c r="H4" s="78" t="s">
        <v>139</v>
      </c>
      <c r="I4" s="78" t="s">
        <v>140</v>
      </c>
      <c r="J4" s="78" t="s">
        <v>141</v>
      </c>
      <c r="K4" s="78" t="s">
        <v>142</v>
      </c>
      <c r="L4" s="78" t="s">
        <v>143</v>
      </c>
      <c r="M4" s="78" t="s">
        <v>144</v>
      </c>
      <c r="N4" s="78" t="s">
        <v>145</v>
      </c>
      <c r="O4" s="78" t="s">
        <v>146</v>
      </c>
      <c r="P4" s="78" t="s">
        <v>147</v>
      </c>
      <c r="Q4" s="78" t="s">
        <v>148</v>
      </c>
      <c r="R4" s="78" t="s">
        <v>149</v>
      </c>
      <c r="S4" s="78" t="s">
        <v>150</v>
      </c>
      <c r="T4" s="78" t="s">
        <v>151</v>
      </c>
      <c r="U4" s="78" t="s">
        <v>152</v>
      </c>
      <c r="V4" s="78" t="s">
        <v>153</v>
      </c>
      <c r="W4" s="78" t="s">
        <v>154</v>
      </c>
      <c r="X4" s="78" t="s">
        <v>155</v>
      </c>
      <c r="Y4" s="78" t="s">
        <v>156</v>
      </c>
      <c r="Z4" s="78" t="s">
        <v>157</v>
      </c>
      <c r="AA4" s="78" t="s">
        <v>162</v>
      </c>
      <c r="AB4" s="78" t="s">
        <v>163</v>
      </c>
      <c r="AC4" s="78" t="s">
        <v>164</v>
      </c>
    </row>
    <row r="5" spans="3:29">
      <c r="C5" s="79" t="s">
        <v>74</v>
      </c>
      <c r="D5" s="8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3:29">
      <c r="C6" s="81" t="s">
        <v>75</v>
      </c>
      <c r="D6" s="82">
        <v>1966.66</v>
      </c>
      <c r="E6" s="83" t="s">
        <v>76</v>
      </c>
      <c r="F6" s="84">
        <v>21150</v>
      </c>
      <c r="G6" s="85">
        <f t="shared" ref="G6:V7" si="0">F6</f>
        <v>21150</v>
      </c>
      <c r="H6" s="85">
        <f t="shared" si="0"/>
        <v>21150</v>
      </c>
      <c r="I6" s="85">
        <f t="shared" si="0"/>
        <v>21150</v>
      </c>
      <c r="J6" s="85">
        <f t="shared" si="0"/>
        <v>21150</v>
      </c>
      <c r="K6" s="85">
        <f t="shared" si="0"/>
        <v>21150</v>
      </c>
      <c r="L6" s="85">
        <f t="shared" si="0"/>
        <v>21150</v>
      </c>
      <c r="M6" s="85">
        <f t="shared" si="0"/>
        <v>21150</v>
      </c>
      <c r="N6" s="85">
        <f t="shared" si="0"/>
        <v>21150</v>
      </c>
      <c r="O6" s="85">
        <f t="shared" si="0"/>
        <v>21150</v>
      </c>
      <c r="P6" s="85">
        <f t="shared" si="0"/>
        <v>21150</v>
      </c>
      <c r="Q6" s="85">
        <f t="shared" si="0"/>
        <v>21150</v>
      </c>
      <c r="R6" s="85">
        <f t="shared" si="0"/>
        <v>21150</v>
      </c>
      <c r="S6" s="85">
        <f t="shared" si="0"/>
        <v>21150</v>
      </c>
      <c r="T6" s="85">
        <f t="shared" si="0"/>
        <v>21150</v>
      </c>
      <c r="U6" s="85">
        <f t="shared" si="0"/>
        <v>21150</v>
      </c>
      <c r="V6" s="85">
        <f t="shared" si="0"/>
        <v>21150</v>
      </c>
      <c r="W6" s="85">
        <f t="shared" ref="W6:Z7" si="1">V6</f>
        <v>21150</v>
      </c>
      <c r="X6" s="85">
        <f t="shared" si="1"/>
        <v>21150</v>
      </c>
      <c r="Y6" s="85">
        <f t="shared" si="1"/>
        <v>21150</v>
      </c>
      <c r="Z6" s="85">
        <f t="shared" si="1"/>
        <v>21150</v>
      </c>
      <c r="AA6" s="85">
        <f t="shared" ref="AA6:AA7" si="2">Z6</f>
        <v>21150</v>
      </c>
      <c r="AB6" s="85">
        <f t="shared" ref="AB6:AB7" si="3">AA6</f>
        <v>21150</v>
      </c>
      <c r="AC6" s="85">
        <f t="shared" ref="AC6:AC7" si="4">AB6</f>
        <v>21150</v>
      </c>
    </row>
    <row r="7" spans="3:29">
      <c r="C7" s="81" t="s">
        <v>77</v>
      </c>
      <c r="D7" s="82">
        <f>217.27+1749.39</f>
        <v>1966.66</v>
      </c>
      <c r="E7" s="83" t="s">
        <v>76</v>
      </c>
      <c r="F7" s="84">
        <v>21150</v>
      </c>
      <c r="G7" s="85">
        <f t="shared" si="0"/>
        <v>21150</v>
      </c>
      <c r="H7" s="85">
        <f t="shared" si="0"/>
        <v>21150</v>
      </c>
      <c r="I7" s="85">
        <f t="shared" si="0"/>
        <v>21150</v>
      </c>
      <c r="J7" s="85">
        <f t="shared" si="0"/>
        <v>21150</v>
      </c>
      <c r="K7" s="85">
        <f t="shared" si="0"/>
        <v>21150</v>
      </c>
      <c r="L7" s="85">
        <f t="shared" si="0"/>
        <v>21150</v>
      </c>
      <c r="M7" s="85">
        <f t="shared" si="0"/>
        <v>21150</v>
      </c>
      <c r="N7" s="85">
        <f t="shared" si="0"/>
        <v>21150</v>
      </c>
      <c r="O7" s="85">
        <f t="shared" si="0"/>
        <v>21150</v>
      </c>
      <c r="P7" s="85">
        <f t="shared" si="0"/>
        <v>21150</v>
      </c>
      <c r="Q7" s="85">
        <f t="shared" si="0"/>
        <v>21150</v>
      </c>
      <c r="R7" s="85">
        <f t="shared" si="0"/>
        <v>21150</v>
      </c>
      <c r="S7" s="85">
        <f t="shared" si="0"/>
        <v>21150</v>
      </c>
      <c r="T7" s="85">
        <f t="shared" si="0"/>
        <v>21150</v>
      </c>
      <c r="U7" s="85">
        <f t="shared" si="0"/>
        <v>21150</v>
      </c>
      <c r="V7" s="85">
        <f t="shared" si="0"/>
        <v>21150</v>
      </c>
      <c r="W7" s="85">
        <f t="shared" si="1"/>
        <v>21150</v>
      </c>
      <c r="X7" s="85">
        <f t="shared" si="1"/>
        <v>21150</v>
      </c>
      <c r="Y7" s="85">
        <f t="shared" si="1"/>
        <v>21150</v>
      </c>
      <c r="Z7" s="85">
        <f t="shared" si="1"/>
        <v>21150</v>
      </c>
      <c r="AA7" s="85">
        <f t="shared" si="2"/>
        <v>21150</v>
      </c>
      <c r="AB7" s="85">
        <f t="shared" si="3"/>
        <v>21150</v>
      </c>
      <c r="AC7" s="85">
        <f t="shared" si="4"/>
        <v>21150</v>
      </c>
    </row>
    <row r="8" spans="3:29">
      <c r="C8" s="81"/>
      <c r="D8" s="82">
        <f>D6*10.764</f>
        <v>21169.128239999998</v>
      </c>
      <c r="E8" s="83"/>
      <c r="F8" s="84"/>
      <c r="G8" s="84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3:29">
      <c r="C9" s="64"/>
      <c r="D9" s="82">
        <f>D7*10.764</f>
        <v>21169.128239999998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spans="3:29">
      <c r="C10" s="79" t="s">
        <v>78</v>
      </c>
      <c r="D10" s="86">
        <f>SUM(D8:D9)</f>
        <v>42338.256479999996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spans="3:29">
      <c r="C11" s="81" t="s">
        <v>75</v>
      </c>
      <c r="D11" s="87"/>
      <c r="E11" s="88"/>
      <c r="F11" s="89">
        <v>0</v>
      </c>
      <c r="G11" s="89">
        <v>0.5</v>
      </c>
      <c r="H11" s="89">
        <v>1</v>
      </c>
      <c r="I11" s="89">
        <v>1</v>
      </c>
      <c r="J11" s="90">
        <f t="shared" ref="J11:Z12" si="5">I11</f>
        <v>1</v>
      </c>
      <c r="K11" s="90">
        <f t="shared" si="5"/>
        <v>1</v>
      </c>
      <c r="L11" s="90">
        <f t="shared" si="5"/>
        <v>1</v>
      </c>
      <c r="M11" s="90">
        <f t="shared" si="5"/>
        <v>1</v>
      </c>
      <c r="N11" s="90">
        <f t="shared" si="5"/>
        <v>1</v>
      </c>
      <c r="O11" s="90">
        <f t="shared" si="5"/>
        <v>1</v>
      </c>
      <c r="P11" s="90">
        <f t="shared" si="5"/>
        <v>1</v>
      </c>
      <c r="Q11" s="90">
        <f t="shared" si="5"/>
        <v>1</v>
      </c>
      <c r="R11" s="90">
        <f t="shared" si="5"/>
        <v>1</v>
      </c>
      <c r="S11" s="90">
        <f t="shared" si="5"/>
        <v>1</v>
      </c>
      <c r="T11" s="90">
        <f t="shared" si="5"/>
        <v>1</v>
      </c>
      <c r="U11" s="90">
        <f t="shared" si="5"/>
        <v>1</v>
      </c>
      <c r="V11" s="90">
        <f t="shared" si="5"/>
        <v>1</v>
      </c>
      <c r="W11" s="90">
        <f t="shared" si="5"/>
        <v>1</v>
      </c>
      <c r="X11" s="90">
        <f t="shared" si="5"/>
        <v>1</v>
      </c>
      <c r="Y11" s="90">
        <f t="shared" si="5"/>
        <v>1</v>
      </c>
      <c r="Z11" s="90">
        <f t="shared" si="5"/>
        <v>1</v>
      </c>
      <c r="AA11" s="90">
        <f t="shared" ref="AA11:AA12" si="6">Z11</f>
        <v>1</v>
      </c>
      <c r="AB11" s="90">
        <f t="shared" ref="AB11:AB12" si="7">AA11</f>
        <v>1</v>
      </c>
      <c r="AC11" s="90">
        <f t="shared" ref="AC11:AC12" si="8">AB11</f>
        <v>1</v>
      </c>
    </row>
    <row r="12" spans="3:29">
      <c r="C12" s="81" t="s">
        <v>77</v>
      </c>
      <c r="D12" s="87"/>
      <c r="E12" s="88"/>
      <c r="F12" s="90">
        <f>F11</f>
        <v>0</v>
      </c>
      <c r="G12" s="90">
        <f>G11</f>
        <v>0.5</v>
      </c>
      <c r="H12" s="90">
        <f>H11</f>
        <v>1</v>
      </c>
      <c r="I12" s="90">
        <f>I11</f>
        <v>1</v>
      </c>
      <c r="J12" s="90">
        <f t="shared" si="5"/>
        <v>1</v>
      </c>
      <c r="K12" s="90">
        <f t="shared" si="5"/>
        <v>1</v>
      </c>
      <c r="L12" s="90">
        <f t="shared" si="5"/>
        <v>1</v>
      </c>
      <c r="M12" s="90">
        <f t="shared" si="5"/>
        <v>1</v>
      </c>
      <c r="N12" s="90">
        <f t="shared" si="5"/>
        <v>1</v>
      </c>
      <c r="O12" s="90">
        <f t="shared" si="5"/>
        <v>1</v>
      </c>
      <c r="P12" s="90">
        <f t="shared" si="5"/>
        <v>1</v>
      </c>
      <c r="Q12" s="90">
        <f t="shared" si="5"/>
        <v>1</v>
      </c>
      <c r="R12" s="90">
        <f t="shared" si="5"/>
        <v>1</v>
      </c>
      <c r="S12" s="90">
        <f t="shared" si="5"/>
        <v>1</v>
      </c>
      <c r="T12" s="90">
        <f t="shared" si="5"/>
        <v>1</v>
      </c>
      <c r="U12" s="90">
        <f t="shared" si="5"/>
        <v>1</v>
      </c>
      <c r="V12" s="90">
        <f t="shared" si="5"/>
        <v>1</v>
      </c>
      <c r="W12" s="90">
        <f t="shared" si="5"/>
        <v>1</v>
      </c>
      <c r="X12" s="90">
        <f t="shared" si="5"/>
        <v>1</v>
      </c>
      <c r="Y12" s="90">
        <f t="shared" si="5"/>
        <v>1</v>
      </c>
      <c r="Z12" s="90">
        <f t="shared" si="5"/>
        <v>1</v>
      </c>
      <c r="AA12" s="90">
        <f t="shared" si="6"/>
        <v>1</v>
      </c>
      <c r="AB12" s="90">
        <f t="shared" si="7"/>
        <v>1</v>
      </c>
      <c r="AC12" s="90">
        <f t="shared" si="8"/>
        <v>1</v>
      </c>
    </row>
    <row r="13" spans="3:29">
      <c r="C13" s="81"/>
      <c r="D13" s="87"/>
      <c r="E13" s="88"/>
      <c r="F13" s="89"/>
      <c r="G13" s="89"/>
      <c r="H13" s="89"/>
      <c r="I13" s="89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3:29"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</row>
    <row r="15" spans="3:29">
      <c r="C15" s="79" t="s">
        <v>79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</row>
    <row r="16" spans="3:29">
      <c r="C16" s="87" t="s">
        <v>80</v>
      </c>
      <c r="D16" s="91"/>
      <c r="E16" s="88"/>
      <c r="F16" s="89">
        <v>0</v>
      </c>
      <c r="G16" s="89">
        <v>0.05</v>
      </c>
      <c r="H16" s="89">
        <f>IF($C$100=1,5%,0)*E49</f>
        <v>0</v>
      </c>
      <c r="I16" s="90">
        <f t="shared" ref="I16:Z16" si="9">G16</f>
        <v>0.05</v>
      </c>
      <c r="J16" s="90">
        <f t="shared" si="9"/>
        <v>0</v>
      </c>
      <c r="K16" s="90">
        <f t="shared" si="9"/>
        <v>0.05</v>
      </c>
      <c r="L16" s="90">
        <f t="shared" si="9"/>
        <v>0</v>
      </c>
      <c r="M16" s="90">
        <f t="shared" si="9"/>
        <v>0.05</v>
      </c>
      <c r="N16" s="90">
        <f t="shared" si="9"/>
        <v>0</v>
      </c>
      <c r="O16" s="90">
        <f t="shared" si="9"/>
        <v>0.05</v>
      </c>
      <c r="P16" s="90">
        <f t="shared" si="9"/>
        <v>0</v>
      </c>
      <c r="Q16" s="90">
        <f t="shared" si="9"/>
        <v>0.05</v>
      </c>
      <c r="R16" s="90">
        <f t="shared" si="9"/>
        <v>0</v>
      </c>
      <c r="S16" s="90">
        <f t="shared" si="9"/>
        <v>0.05</v>
      </c>
      <c r="T16" s="90">
        <f t="shared" si="9"/>
        <v>0</v>
      </c>
      <c r="U16" s="90">
        <f t="shared" si="9"/>
        <v>0.05</v>
      </c>
      <c r="V16" s="90">
        <f t="shared" si="9"/>
        <v>0</v>
      </c>
      <c r="W16" s="90">
        <f t="shared" si="9"/>
        <v>0.05</v>
      </c>
      <c r="X16" s="90">
        <f t="shared" si="9"/>
        <v>0</v>
      </c>
      <c r="Y16" s="90">
        <f t="shared" si="9"/>
        <v>0.05</v>
      </c>
      <c r="Z16" s="90">
        <f t="shared" si="9"/>
        <v>0</v>
      </c>
      <c r="AA16" s="90">
        <f t="shared" ref="AA16" si="10">Y16</f>
        <v>0.05</v>
      </c>
      <c r="AB16" s="90">
        <f t="shared" ref="AB16" si="11">Z16</f>
        <v>0</v>
      </c>
      <c r="AC16" s="90">
        <f t="shared" ref="AC16" si="12">AA16</f>
        <v>0.05</v>
      </c>
    </row>
    <row r="17" spans="3:29">
      <c r="C17" s="81" t="s">
        <v>75</v>
      </c>
      <c r="D17" s="87"/>
      <c r="E17" s="88" t="s">
        <v>81</v>
      </c>
      <c r="F17" s="84">
        <v>45</v>
      </c>
      <c r="G17" s="85">
        <f>F17*(1+G16)</f>
        <v>47.25</v>
      </c>
      <c r="H17" s="85">
        <f>G17*(1+H16)</f>
        <v>47.25</v>
      </c>
      <c r="I17" s="85">
        <f t="shared" ref="I17:Z17" si="13">(I16*H17)+H17</f>
        <v>49.612499999999997</v>
      </c>
      <c r="J17" s="85">
        <f t="shared" si="13"/>
        <v>49.612499999999997</v>
      </c>
      <c r="K17" s="85">
        <f t="shared" si="13"/>
        <v>52.093125000000001</v>
      </c>
      <c r="L17" s="85">
        <f t="shared" si="13"/>
        <v>52.093125000000001</v>
      </c>
      <c r="M17" s="85">
        <f t="shared" si="13"/>
        <v>54.697781249999998</v>
      </c>
      <c r="N17" s="85">
        <f t="shared" si="13"/>
        <v>54.697781249999998</v>
      </c>
      <c r="O17" s="85">
        <f t="shared" si="13"/>
        <v>57.432670312500001</v>
      </c>
      <c r="P17" s="85">
        <f t="shared" si="13"/>
        <v>57.432670312500001</v>
      </c>
      <c r="Q17" s="85">
        <f t="shared" si="13"/>
        <v>60.304303828125001</v>
      </c>
      <c r="R17" s="85">
        <f t="shared" si="13"/>
        <v>60.304303828125001</v>
      </c>
      <c r="S17" s="85">
        <f t="shared" si="13"/>
        <v>63.319519019531249</v>
      </c>
      <c r="T17" s="85">
        <f t="shared" si="13"/>
        <v>63.319519019531249</v>
      </c>
      <c r="U17" s="85">
        <f t="shared" si="13"/>
        <v>66.485494970507816</v>
      </c>
      <c r="V17" s="85">
        <f t="shared" si="13"/>
        <v>66.485494970507816</v>
      </c>
      <c r="W17" s="85">
        <f t="shared" si="13"/>
        <v>69.809769719033213</v>
      </c>
      <c r="X17" s="85">
        <f t="shared" si="13"/>
        <v>69.809769719033213</v>
      </c>
      <c r="Y17" s="85">
        <f t="shared" si="13"/>
        <v>73.300258204984871</v>
      </c>
      <c r="Z17" s="85">
        <f t="shared" si="13"/>
        <v>73.300258204984871</v>
      </c>
      <c r="AA17" s="85">
        <f t="shared" ref="AA17" si="14">(AA16*Z17)+Z17</f>
        <v>76.965271115234117</v>
      </c>
      <c r="AB17" s="85">
        <f t="shared" ref="AB17" si="15">(AB16*AA17)+AA17</f>
        <v>76.965271115234117</v>
      </c>
      <c r="AC17" s="85">
        <f t="shared" ref="AC17" si="16">(AC16*AB17)+AB17</f>
        <v>80.813534670995821</v>
      </c>
    </row>
    <row r="18" spans="3:29">
      <c r="C18" s="81" t="s">
        <v>77</v>
      </c>
      <c r="D18" s="87"/>
      <c r="E18" s="88" t="s">
        <v>81</v>
      </c>
      <c r="F18" s="92">
        <f>F17</f>
        <v>45</v>
      </c>
      <c r="G18" s="85">
        <f>F18*(1+G16)</f>
        <v>47.25</v>
      </c>
      <c r="H18" s="85">
        <f t="shared" ref="H18:Z18" si="17">G18*(1+H16)</f>
        <v>47.25</v>
      </c>
      <c r="I18" s="85">
        <f t="shared" si="17"/>
        <v>49.612500000000004</v>
      </c>
      <c r="J18" s="85">
        <f t="shared" si="17"/>
        <v>49.612500000000004</v>
      </c>
      <c r="K18" s="85">
        <f t="shared" si="17"/>
        <v>52.093125000000008</v>
      </c>
      <c r="L18" s="85">
        <f t="shared" si="17"/>
        <v>52.093125000000008</v>
      </c>
      <c r="M18" s="85">
        <f t="shared" si="17"/>
        <v>54.697781250000013</v>
      </c>
      <c r="N18" s="85">
        <f t="shared" si="17"/>
        <v>54.697781250000013</v>
      </c>
      <c r="O18" s="85">
        <f t="shared" si="17"/>
        <v>57.432670312500015</v>
      </c>
      <c r="P18" s="85">
        <f t="shared" si="17"/>
        <v>57.432670312500015</v>
      </c>
      <c r="Q18" s="85">
        <f t="shared" si="17"/>
        <v>60.304303828125022</v>
      </c>
      <c r="R18" s="85">
        <f t="shared" si="17"/>
        <v>60.304303828125022</v>
      </c>
      <c r="S18" s="85">
        <f t="shared" si="17"/>
        <v>63.319519019531278</v>
      </c>
      <c r="T18" s="85">
        <f t="shared" si="17"/>
        <v>63.319519019531278</v>
      </c>
      <c r="U18" s="85">
        <f t="shared" si="17"/>
        <v>66.485494970507844</v>
      </c>
      <c r="V18" s="85">
        <f t="shared" si="17"/>
        <v>66.485494970507844</v>
      </c>
      <c r="W18" s="85">
        <f t="shared" si="17"/>
        <v>69.809769719033241</v>
      </c>
      <c r="X18" s="85">
        <f t="shared" si="17"/>
        <v>69.809769719033241</v>
      </c>
      <c r="Y18" s="85">
        <f t="shared" si="17"/>
        <v>73.3002582049849</v>
      </c>
      <c r="Z18" s="85">
        <f t="shared" si="17"/>
        <v>73.3002582049849</v>
      </c>
      <c r="AA18" s="85">
        <f t="shared" ref="AA18" si="18">Z18*(1+AA16)</f>
        <v>76.965271115234145</v>
      </c>
      <c r="AB18" s="85">
        <f t="shared" ref="AB18" si="19">AA18*(1+AB16)</f>
        <v>76.965271115234145</v>
      </c>
      <c r="AC18" s="85">
        <f t="shared" ref="AC18" si="20">AB18*(1+AC16)</f>
        <v>80.81353467099585</v>
      </c>
    </row>
    <row r="19" spans="3:29">
      <c r="C19" s="81"/>
      <c r="D19" s="87"/>
      <c r="E19" s="88"/>
      <c r="F19" s="92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</row>
    <row r="20" spans="3:29"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</row>
    <row r="21" spans="3:29">
      <c r="C21" s="100" t="s">
        <v>82</v>
      </c>
      <c r="D21" s="100" t="s">
        <v>83</v>
      </c>
      <c r="E21" s="101">
        <f>SUMPRODUCT(E6:E8,E11:E13,E17:E19)/10^7</f>
        <v>0</v>
      </c>
      <c r="F21" s="101">
        <f>SUMPRODUCT(F90:F92,F95:F97,F101:F103)*F20/10^7</f>
        <v>0</v>
      </c>
      <c r="G21" s="101">
        <f>SUMPRODUCT(G6:G7,G11:G12,G17:G18)*G28/10^7</f>
        <v>1.1992050000000001</v>
      </c>
      <c r="H21" s="101">
        <f t="shared" ref="H21:Z21" si="21">SUMPRODUCT(H6:H7,H11:H12,H17:H18)*H28/10^7</f>
        <v>2.3984100000000002</v>
      </c>
      <c r="I21" s="101">
        <f t="shared" si="21"/>
        <v>2.5183304999999998</v>
      </c>
      <c r="J21" s="101">
        <f t="shared" si="21"/>
        <v>2.5183304999999998</v>
      </c>
      <c r="K21" s="101">
        <f t="shared" si="21"/>
        <v>2.6442470249999999</v>
      </c>
      <c r="L21" s="101">
        <f t="shared" si="21"/>
        <v>2.6442470249999999</v>
      </c>
      <c r="M21" s="101">
        <f t="shared" si="21"/>
        <v>2.7764593762500005</v>
      </c>
      <c r="N21" s="101">
        <f t="shared" si="21"/>
        <v>2.7764593762500005</v>
      </c>
      <c r="O21" s="101">
        <f t="shared" si="21"/>
        <v>2.9152823450625003</v>
      </c>
      <c r="P21" s="101">
        <f t="shared" si="21"/>
        <v>2.9152823450625003</v>
      </c>
      <c r="Q21" s="101">
        <f t="shared" si="21"/>
        <v>3.0610464623156255</v>
      </c>
      <c r="R21" s="101">
        <f t="shared" si="21"/>
        <v>3.0610464623156255</v>
      </c>
      <c r="S21" s="101">
        <f t="shared" si="21"/>
        <v>3.2140987854314065</v>
      </c>
      <c r="T21" s="101">
        <f t="shared" si="21"/>
        <v>3.2140987854314065</v>
      </c>
      <c r="U21" s="101">
        <f t="shared" si="21"/>
        <v>3.3748037247029781</v>
      </c>
      <c r="V21" s="101">
        <f t="shared" si="21"/>
        <v>3.3748037247029781</v>
      </c>
      <c r="W21" s="101">
        <f t="shared" si="21"/>
        <v>3.5435439109381264</v>
      </c>
      <c r="X21" s="101">
        <f t="shared" si="21"/>
        <v>3.5435439109381264</v>
      </c>
      <c r="Y21" s="101">
        <f t="shared" si="21"/>
        <v>3.720721106485033</v>
      </c>
      <c r="Z21" s="101">
        <f t="shared" si="21"/>
        <v>3.720721106485033</v>
      </c>
      <c r="AA21" s="101">
        <f t="shared" ref="AA21:AC21" si="22">SUMPRODUCT(AA6:AA7,AA11:AA12,AA17:AA18)*AA28/10^7</f>
        <v>3.9067571618092845</v>
      </c>
      <c r="AB21" s="101">
        <f t="shared" si="22"/>
        <v>3.9067571618092845</v>
      </c>
      <c r="AC21" s="101">
        <f t="shared" si="22"/>
        <v>4.1020950198997488</v>
      </c>
    </row>
    <row r="22" spans="3:29"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</row>
    <row r="23" spans="3:29" s="93" customFormat="1">
      <c r="C23" s="102" t="s">
        <v>84</v>
      </c>
      <c r="D23" s="103"/>
      <c r="E23" s="102">
        <f t="shared" ref="E23:F23" si="23">E21*$C$107</f>
        <v>0</v>
      </c>
      <c r="F23" s="102">
        <f t="shared" si="23"/>
        <v>0</v>
      </c>
      <c r="G23" s="102">
        <v>0.1</v>
      </c>
      <c r="H23" s="102">
        <f>G23*(1+H16)</f>
        <v>0.1</v>
      </c>
      <c r="I23" s="102">
        <f t="shared" ref="I23:AC23" si="24">H23*(1+I16)</f>
        <v>0.10500000000000001</v>
      </c>
      <c r="J23" s="102">
        <f t="shared" si="24"/>
        <v>0.10500000000000001</v>
      </c>
      <c r="K23" s="102">
        <f t="shared" si="24"/>
        <v>0.11025000000000001</v>
      </c>
      <c r="L23" s="102">
        <f t="shared" si="24"/>
        <v>0.11025000000000001</v>
      </c>
      <c r="M23" s="102">
        <f t="shared" si="24"/>
        <v>0.11576250000000002</v>
      </c>
      <c r="N23" s="102">
        <f t="shared" si="24"/>
        <v>0.11576250000000002</v>
      </c>
      <c r="O23" s="102">
        <f t="shared" si="24"/>
        <v>0.12155062500000002</v>
      </c>
      <c r="P23" s="102">
        <f t="shared" si="24"/>
        <v>0.12155062500000002</v>
      </c>
      <c r="Q23" s="102">
        <f t="shared" si="24"/>
        <v>0.12762815625000004</v>
      </c>
      <c r="R23" s="102">
        <f t="shared" si="24"/>
        <v>0.12762815625000004</v>
      </c>
      <c r="S23" s="102">
        <f t="shared" si="24"/>
        <v>0.13400956406250006</v>
      </c>
      <c r="T23" s="102">
        <f t="shared" si="24"/>
        <v>0.13400956406250006</v>
      </c>
      <c r="U23" s="102">
        <f t="shared" si="24"/>
        <v>0.14071004226562506</v>
      </c>
      <c r="V23" s="102">
        <f t="shared" si="24"/>
        <v>0.14071004226562506</v>
      </c>
      <c r="W23" s="102">
        <f t="shared" si="24"/>
        <v>0.14774554437890633</v>
      </c>
      <c r="X23" s="102">
        <f t="shared" si="24"/>
        <v>0.14774554437890633</v>
      </c>
      <c r="Y23" s="102">
        <f t="shared" si="24"/>
        <v>0.15513282159785166</v>
      </c>
      <c r="Z23" s="102">
        <f t="shared" si="24"/>
        <v>0.15513282159785166</v>
      </c>
      <c r="AA23" s="102">
        <f t="shared" si="24"/>
        <v>0.16288946267774426</v>
      </c>
      <c r="AB23" s="102">
        <f t="shared" si="24"/>
        <v>0.16288946267774426</v>
      </c>
      <c r="AC23" s="102">
        <f t="shared" si="24"/>
        <v>0.17103393581163148</v>
      </c>
    </row>
    <row r="26" spans="3:29">
      <c r="C26" s="94" t="s">
        <v>158</v>
      </c>
      <c r="D26" s="81"/>
      <c r="E26" s="95" t="s">
        <v>88</v>
      </c>
      <c r="F26" s="95" t="s">
        <v>137</v>
      </c>
      <c r="G26" s="95" t="s">
        <v>138</v>
      </c>
      <c r="H26" s="95" t="s">
        <v>139</v>
      </c>
      <c r="I26" s="95" t="s">
        <v>140</v>
      </c>
      <c r="J26" s="95" t="s">
        <v>141</v>
      </c>
      <c r="K26" s="95" t="s">
        <v>142</v>
      </c>
      <c r="L26" s="95" t="s">
        <v>143</v>
      </c>
      <c r="M26" s="95" t="s">
        <v>144</v>
      </c>
      <c r="N26" s="95" t="s">
        <v>145</v>
      </c>
      <c r="O26" s="95" t="s">
        <v>146</v>
      </c>
      <c r="P26" s="95" t="s">
        <v>147</v>
      </c>
      <c r="Q26" s="95" t="s">
        <v>148</v>
      </c>
      <c r="R26" s="95" t="s">
        <v>149</v>
      </c>
      <c r="S26" s="95" t="s">
        <v>150</v>
      </c>
      <c r="T26" s="95" t="s">
        <v>151</v>
      </c>
      <c r="U26" s="95" t="s">
        <v>152</v>
      </c>
      <c r="V26" s="95" t="s">
        <v>153</v>
      </c>
      <c r="W26" s="95" t="s">
        <v>154</v>
      </c>
      <c r="X26" s="95" t="s">
        <v>155</v>
      </c>
      <c r="Y26" s="95" t="s">
        <v>156</v>
      </c>
      <c r="Z26" s="95" t="s">
        <v>157</v>
      </c>
      <c r="AA26" s="95" t="s">
        <v>157</v>
      </c>
      <c r="AB26" s="95" t="s">
        <v>157</v>
      </c>
      <c r="AC26" s="95" t="s">
        <v>157</v>
      </c>
    </row>
    <row r="27" spans="3:29">
      <c r="C27" s="81" t="s">
        <v>159</v>
      </c>
      <c r="D27" s="81"/>
      <c r="E27" s="96">
        <v>0</v>
      </c>
      <c r="F27" s="96">
        <f t="shared" ref="F27:Z27" si="25">E27+1</f>
        <v>1</v>
      </c>
      <c r="G27" s="96">
        <f t="shared" si="25"/>
        <v>2</v>
      </c>
      <c r="H27" s="96">
        <f t="shared" si="25"/>
        <v>3</v>
      </c>
      <c r="I27" s="96">
        <f t="shared" si="25"/>
        <v>4</v>
      </c>
      <c r="J27" s="96">
        <f t="shared" si="25"/>
        <v>5</v>
      </c>
      <c r="K27" s="96">
        <f t="shared" si="25"/>
        <v>6</v>
      </c>
      <c r="L27" s="96">
        <f t="shared" si="25"/>
        <v>7</v>
      </c>
      <c r="M27" s="96">
        <f t="shared" si="25"/>
        <v>8</v>
      </c>
      <c r="N27" s="96">
        <f t="shared" si="25"/>
        <v>9</v>
      </c>
      <c r="O27" s="96">
        <f t="shared" si="25"/>
        <v>10</v>
      </c>
      <c r="P27" s="96">
        <f t="shared" si="25"/>
        <v>11</v>
      </c>
      <c r="Q27" s="96">
        <f t="shared" si="25"/>
        <v>12</v>
      </c>
      <c r="R27" s="96">
        <f t="shared" si="25"/>
        <v>13</v>
      </c>
      <c r="S27" s="96">
        <f t="shared" si="25"/>
        <v>14</v>
      </c>
      <c r="T27" s="96">
        <f t="shared" si="25"/>
        <v>15</v>
      </c>
      <c r="U27" s="96">
        <f t="shared" si="25"/>
        <v>16</v>
      </c>
      <c r="V27" s="96">
        <f t="shared" si="25"/>
        <v>17</v>
      </c>
      <c r="W27" s="96">
        <f t="shared" si="25"/>
        <v>18</v>
      </c>
      <c r="X27" s="96">
        <f t="shared" si="25"/>
        <v>19</v>
      </c>
      <c r="Y27" s="96">
        <f t="shared" si="25"/>
        <v>20</v>
      </c>
      <c r="Z27" s="96">
        <f t="shared" si="25"/>
        <v>21</v>
      </c>
      <c r="AA27" s="96">
        <f t="shared" ref="AA27" si="26">Z27+1</f>
        <v>22</v>
      </c>
      <c r="AB27" s="96">
        <f t="shared" ref="AB27" si="27">AA27+1</f>
        <v>23</v>
      </c>
      <c r="AC27" s="96">
        <f t="shared" ref="AC27" si="28">AB27+1</f>
        <v>24</v>
      </c>
    </row>
    <row r="28" spans="3:29">
      <c r="C28" s="81" t="s">
        <v>160</v>
      </c>
      <c r="D28" s="81"/>
      <c r="E28" s="82">
        <v>0</v>
      </c>
      <c r="F28" s="97">
        <v>1</v>
      </c>
      <c r="G28" s="97">
        <v>12</v>
      </c>
      <c r="H28" s="98">
        <f t="shared" ref="H28:Z28" si="29">G28</f>
        <v>12</v>
      </c>
      <c r="I28" s="98">
        <f t="shared" si="29"/>
        <v>12</v>
      </c>
      <c r="J28" s="98">
        <f t="shared" si="29"/>
        <v>12</v>
      </c>
      <c r="K28" s="98">
        <f t="shared" si="29"/>
        <v>12</v>
      </c>
      <c r="L28" s="98">
        <f t="shared" si="29"/>
        <v>12</v>
      </c>
      <c r="M28" s="98">
        <f t="shared" si="29"/>
        <v>12</v>
      </c>
      <c r="N28" s="98">
        <f t="shared" si="29"/>
        <v>12</v>
      </c>
      <c r="O28" s="98">
        <f t="shared" si="29"/>
        <v>12</v>
      </c>
      <c r="P28" s="98">
        <f t="shared" si="29"/>
        <v>12</v>
      </c>
      <c r="Q28" s="98">
        <f t="shared" si="29"/>
        <v>12</v>
      </c>
      <c r="R28" s="98">
        <f t="shared" si="29"/>
        <v>12</v>
      </c>
      <c r="S28" s="98">
        <f t="shared" si="29"/>
        <v>12</v>
      </c>
      <c r="T28" s="98">
        <f t="shared" si="29"/>
        <v>12</v>
      </c>
      <c r="U28" s="98">
        <f t="shared" si="29"/>
        <v>12</v>
      </c>
      <c r="V28" s="98">
        <f t="shared" si="29"/>
        <v>12</v>
      </c>
      <c r="W28" s="98">
        <f t="shared" si="29"/>
        <v>12</v>
      </c>
      <c r="X28" s="98">
        <f t="shared" si="29"/>
        <v>12</v>
      </c>
      <c r="Y28" s="98">
        <f t="shared" si="29"/>
        <v>12</v>
      </c>
      <c r="Z28" s="98">
        <f t="shared" si="29"/>
        <v>12</v>
      </c>
      <c r="AA28" s="98">
        <f t="shared" ref="AA28" si="30">Z28</f>
        <v>12</v>
      </c>
      <c r="AB28" s="98">
        <f t="shared" ref="AB28" si="31">AA28</f>
        <v>12</v>
      </c>
      <c r="AC28" s="98">
        <f t="shared" ref="AC28" si="32">AB28</f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opLeftCell="A16" workbookViewId="0">
      <selection activeCell="H29" sqref="H29:H31"/>
    </sheetView>
  </sheetViews>
  <sheetFormatPr defaultRowHeight="14.25"/>
  <cols>
    <col min="1" max="1" width="35.7109375" style="110" customWidth="1"/>
    <col min="2" max="2" width="11.42578125" style="110" customWidth="1"/>
    <col min="3" max="6" width="10.85546875" style="110" bestFit="1" customWidth="1"/>
    <col min="7" max="7" width="14.42578125" style="110" bestFit="1" customWidth="1"/>
    <col min="8" max="11" width="10.85546875" style="110" bestFit="1" customWidth="1"/>
    <col min="12" max="12" width="27.5703125" style="110" bestFit="1" customWidth="1"/>
    <col min="13" max="24" width="10.85546875" style="110" bestFit="1" customWidth="1"/>
    <col min="25" max="16384" width="9.140625" style="110"/>
  </cols>
  <sheetData>
    <row r="1" spans="1:24" ht="15">
      <c r="A1" s="179" t="s">
        <v>112</v>
      </c>
      <c r="B1" s="180"/>
      <c r="C1" s="180"/>
      <c r="D1" s="180"/>
      <c r="E1" s="180"/>
      <c r="F1" s="180"/>
      <c r="G1" s="180"/>
      <c r="H1" s="179"/>
      <c r="I1" s="180"/>
      <c r="J1" s="180"/>
      <c r="K1" s="180"/>
      <c r="L1" s="180"/>
      <c r="M1" s="180"/>
      <c r="N1" s="180"/>
      <c r="O1" s="179"/>
      <c r="P1" s="180"/>
      <c r="Q1" s="180"/>
      <c r="R1" s="180"/>
      <c r="S1" s="180"/>
      <c r="T1" s="180"/>
      <c r="U1" s="180"/>
      <c r="V1" s="179"/>
      <c r="W1" s="180"/>
      <c r="X1" s="180"/>
    </row>
    <row r="2" spans="1:24" ht="15">
      <c r="A2" s="215" t="s">
        <v>104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4" ht="15">
      <c r="A3" s="144" t="s">
        <v>105</v>
      </c>
      <c r="B3" s="145">
        <v>2023</v>
      </c>
      <c r="C3" s="145">
        <f t="shared" ref="C3:X3" si="0">B3+1</f>
        <v>2024</v>
      </c>
      <c r="D3" s="145">
        <f t="shared" si="0"/>
        <v>2025</v>
      </c>
      <c r="E3" s="145">
        <f t="shared" si="0"/>
        <v>2026</v>
      </c>
      <c r="F3" s="145">
        <f t="shared" si="0"/>
        <v>2027</v>
      </c>
      <c r="G3" s="145">
        <f t="shared" si="0"/>
        <v>2028</v>
      </c>
      <c r="H3" s="145">
        <f t="shared" si="0"/>
        <v>2029</v>
      </c>
      <c r="I3" s="145">
        <f t="shared" si="0"/>
        <v>2030</v>
      </c>
      <c r="J3" s="145">
        <f t="shared" si="0"/>
        <v>2031</v>
      </c>
      <c r="K3" s="145">
        <f t="shared" si="0"/>
        <v>2032</v>
      </c>
      <c r="L3" s="145">
        <f t="shared" si="0"/>
        <v>2033</v>
      </c>
      <c r="M3" s="145">
        <f t="shared" si="0"/>
        <v>2034</v>
      </c>
      <c r="N3" s="145">
        <f t="shared" si="0"/>
        <v>2035</v>
      </c>
      <c r="O3" s="145">
        <f t="shared" si="0"/>
        <v>2036</v>
      </c>
      <c r="P3" s="145">
        <f t="shared" si="0"/>
        <v>2037</v>
      </c>
      <c r="Q3" s="145">
        <f t="shared" si="0"/>
        <v>2038</v>
      </c>
      <c r="R3" s="145">
        <f t="shared" si="0"/>
        <v>2039</v>
      </c>
      <c r="S3" s="145">
        <f t="shared" si="0"/>
        <v>2040</v>
      </c>
      <c r="T3" s="145">
        <f t="shared" si="0"/>
        <v>2041</v>
      </c>
      <c r="U3" s="145">
        <f t="shared" si="0"/>
        <v>2042</v>
      </c>
      <c r="V3" s="145">
        <f t="shared" si="0"/>
        <v>2043</v>
      </c>
      <c r="W3" s="145">
        <f t="shared" si="0"/>
        <v>2044</v>
      </c>
      <c r="X3" s="145">
        <f t="shared" si="0"/>
        <v>2045</v>
      </c>
    </row>
    <row r="4" spans="1:24">
      <c r="A4" s="146" t="s">
        <v>165</v>
      </c>
      <c r="B4" s="142">
        <f>'P&amp;L'!L7</f>
        <v>2.6305327597179624</v>
      </c>
      <c r="C4" s="142">
        <f>'P&amp;L'!M7</f>
        <v>3.9308569969677141</v>
      </c>
      <c r="D4" s="142">
        <f>'P&amp;L'!N7</f>
        <v>4.1645771119962163</v>
      </c>
      <c r="E4" s="142">
        <f>'P&amp;L'!O7</f>
        <v>4.2816404577284777</v>
      </c>
      <c r="F4" s="142">
        <f>'P&amp;L'!P7</f>
        <v>4.5553448194658248</v>
      </c>
      <c r="G4" s="142">
        <f>'P&amp;L'!Q7</f>
        <v>4.7101343072332327</v>
      </c>
      <c r="H4" s="142">
        <f>'P&amp;L'!R7</f>
        <v>5.0159533717232367</v>
      </c>
      <c r="I4" s="142">
        <f>'P&amp;L'!S7</f>
        <v>5.1984959004977593</v>
      </c>
      <c r="J4" s="142">
        <f>'P&amp;L'!T7</f>
        <v>5.5413397244508316</v>
      </c>
      <c r="K4" s="142">
        <f>'P&amp;L'!U7</f>
        <v>5.7816563539852028</v>
      </c>
      <c r="L4" s="142">
        <f>'P&amp;L'!V7</f>
        <v>6.1968738960193201</v>
      </c>
      <c r="M4" s="142">
        <f>'P&amp;L'!W7</f>
        <v>6.485521674692194</v>
      </c>
      <c r="N4" s="142">
        <f>'P&amp;L'!X7</f>
        <v>6.9612999997128737</v>
      </c>
      <c r="O4" s="142">
        <f>'P&amp;L'!Y7</f>
        <v>7.3079990204765126</v>
      </c>
      <c r="P4" s="142">
        <f>'P&amp;L'!Z7</f>
        <v>7.8949694109164872</v>
      </c>
      <c r="Q4" s="142">
        <f>'P&amp;L'!AA7</f>
        <v>8.3589888350688373</v>
      </c>
      <c r="R4" s="142">
        <f>'P&amp;L'!AB7</f>
        <v>9.0479485112724696</v>
      </c>
      <c r="S4" s="142">
        <f>'P&amp;L'!AC7</f>
        <v>9.6155062290814968</v>
      </c>
      <c r="T4" s="142">
        <f>'P&amp;L'!AD7</f>
        <v>10.427763246174122</v>
      </c>
      <c r="U4" s="142">
        <f>'P&amp;L'!AE7</f>
        <v>11.187481216121942</v>
      </c>
      <c r="V4" s="142">
        <f>'P&amp;L'!AF7</f>
        <v>12.229083973777422</v>
      </c>
      <c r="W4" s="142">
        <f>'P&amp;L'!AG7</f>
        <v>13.175200728141361</v>
      </c>
      <c r="X4" s="142">
        <f>'P&amp;L'!AH7</f>
        <v>14.434505529279509</v>
      </c>
    </row>
    <row r="5" spans="1:24" s="184" customFormat="1" ht="12.75">
      <c r="A5" s="141" t="s">
        <v>182</v>
      </c>
      <c r="B5" s="182"/>
      <c r="C5" s="183">
        <f>(C4-B4)/B4</f>
        <v>0.49431972760877851</v>
      </c>
      <c r="D5" s="183">
        <f t="shared" ref="D5:X5" si="1">(D4-C4)/C4</f>
        <v>5.9457801494380298E-2</v>
      </c>
      <c r="E5" s="183">
        <f t="shared" si="1"/>
        <v>2.8109299596123738E-2</v>
      </c>
      <c r="F5" s="183">
        <f t="shared" si="1"/>
        <v>6.3925115721312681E-2</v>
      </c>
      <c r="G5" s="183">
        <f t="shared" si="1"/>
        <v>3.3979752115792412E-2</v>
      </c>
      <c r="H5" s="183">
        <f t="shared" si="1"/>
        <v>6.4927886243151406E-2</v>
      </c>
      <c r="I5" s="183">
        <f t="shared" si="1"/>
        <v>3.6392389491413851E-2</v>
      </c>
      <c r="J5" s="183">
        <f t="shared" si="1"/>
        <v>6.595058080554507E-2</v>
      </c>
      <c r="K5" s="183">
        <f t="shared" si="1"/>
        <v>4.3367965417097323E-2</v>
      </c>
      <c r="L5" s="183">
        <f t="shared" si="1"/>
        <v>7.1816364829070917E-2</v>
      </c>
      <c r="M5" s="183">
        <f t="shared" si="1"/>
        <v>4.6579579238863036E-2</v>
      </c>
      <c r="N5" s="183">
        <f t="shared" si="1"/>
        <v>7.3360070150912018E-2</v>
      </c>
      <c r="O5" s="183">
        <f t="shared" si="1"/>
        <v>4.9803775268691029E-2</v>
      </c>
      <c r="P5" s="183">
        <f t="shared" si="1"/>
        <v>8.0318892872771844E-2</v>
      </c>
      <c r="Q5" s="183">
        <f t="shared" si="1"/>
        <v>5.8774062317549169E-2</v>
      </c>
      <c r="R5" s="183">
        <f t="shared" si="1"/>
        <v>8.2421413618021494E-2</v>
      </c>
      <c r="S5" s="183">
        <f t="shared" si="1"/>
        <v>6.2727779352626759E-2</v>
      </c>
      <c r="T5" s="183">
        <f t="shared" si="1"/>
        <v>8.4473661369591169E-2</v>
      </c>
      <c r="U5" s="183">
        <f t="shared" si="1"/>
        <v>7.2855314415251574E-2</v>
      </c>
      <c r="V5" s="183">
        <f t="shared" si="1"/>
        <v>9.3104313431557617E-2</v>
      </c>
      <c r="W5" s="183">
        <f t="shared" si="1"/>
        <v>7.7366118050434307E-2</v>
      </c>
      <c r="X5" s="183">
        <f t="shared" si="1"/>
        <v>9.5581450872953749E-2</v>
      </c>
    </row>
    <row r="6" spans="1:24">
      <c r="A6" s="146" t="s">
        <v>113</v>
      </c>
      <c r="B6" s="147">
        <f>'P&amp;L'!L17</f>
        <v>2.1036391258658584</v>
      </c>
      <c r="C6" s="147">
        <f>'P&amp;L'!M17</f>
        <v>3.3639438547879523</v>
      </c>
      <c r="D6" s="147">
        <f>'P&amp;L'!N17</f>
        <v>2.2046048327214529</v>
      </c>
      <c r="E6" s="147">
        <f>'P&amp;L'!O17</f>
        <v>2.2353385416129541</v>
      </c>
      <c r="F6" s="147">
        <f>'P&amp;L'!P17</f>
        <v>2.3576313411247303</v>
      </c>
      <c r="G6" s="147">
        <f>'P&amp;L'!Q17</f>
        <v>2.4071604855269908</v>
      </c>
      <c r="H6" s="147">
        <f>'P&amp;L'!R17</f>
        <v>2.5419536549494279</v>
      </c>
      <c r="I6" s="147">
        <f>'P&amp;L'!S17</f>
        <v>2.6038521434292177</v>
      </c>
      <c r="J6" s="147">
        <f>'P&amp;L'!T17</f>
        <v>2.7532922862584797</v>
      </c>
      <c r="K6" s="147">
        <f>'P&amp;L'!U17</f>
        <v>2.8452598780024285</v>
      </c>
      <c r="L6" s="147">
        <f>'P&amp;L'!V17</f>
        <v>3.0297973204537145</v>
      </c>
      <c r="M6" s="147">
        <f>'P&amp;L'!W17</f>
        <v>3.1456442585753872</v>
      </c>
      <c r="N6" s="147">
        <f>'P&amp;L'!X17</f>
        <v>3.357134798264644</v>
      </c>
      <c r="O6" s="147">
        <f>'P&amp;L'!Y17</f>
        <v>3.5022018979962128</v>
      </c>
      <c r="P6" s="147">
        <f>'P&amp;L'!Z17</f>
        <v>3.770124485353092</v>
      </c>
      <c r="Q6" s="147">
        <f>'P&amp;L'!AA17</f>
        <v>3.9796385770734632</v>
      </c>
      <c r="R6" s="147">
        <f>'P&amp;L'!AB17</f>
        <v>4.2971994263291826</v>
      </c>
      <c r="S6" s="147">
        <f>'P&amp;L'!AC17</f>
        <v>4.5621886802422678</v>
      </c>
      <c r="T6" s="147">
        <f>'P&amp;L'!AD17</f>
        <v>4.9408985015670712</v>
      </c>
      <c r="U6" s="147">
        <f>'P&amp;L'!AE17</f>
        <v>5.3142027355581742</v>
      </c>
      <c r="V6" s="147">
        <f>'P&amp;L'!AF17</f>
        <v>9.2494955278774214</v>
      </c>
      <c r="W6" s="147">
        <f>'P&amp;L'!AG17</f>
        <v>10.101294374601359</v>
      </c>
      <c r="X6" s="147">
        <f>'P&amp;L'!AH17</f>
        <v>11.360599175739507</v>
      </c>
    </row>
    <row r="7" spans="1:24" s="184" customFormat="1" ht="12.75">
      <c r="A7" s="141" t="s">
        <v>183</v>
      </c>
      <c r="B7" s="182">
        <f>B6/B4</f>
        <v>0.79970078992340854</v>
      </c>
      <c r="C7" s="183">
        <f t="shared" ref="C7:X7" si="2">C6/C4</f>
        <v>0.8557787417305992</v>
      </c>
      <c r="D7" s="183">
        <f t="shared" si="2"/>
        <v>0.5293706355853055</v>
      </c>
      <c r="E7" s="183">
        <f t="shared" si="2"/>
        <v>0.52207525682781397</v>
      </c>
      <c r="F7" s="183">
        <f t="shared" si="2"/>
        <v>0.51755277252561405</v>
      </c>
      <c r="G7" s="183">
        <f t="shared" si="2"/>
        <v>0.5110598400199281</v>
      </c>
      <c r="H7" s="183">
        <f t="shared" si="2"/>
        <v>0.5067737808886642</v>
      </c>
      <c r="I7" s="183">
        <f t="shared" si="2"/>
        <v>0.50088567794771122</v>
      </c>
      <c r="J7" s="183">
        <f t="shared" si="2"/>
        <v>0.49686401180381368</v>
      </c>
      <c r="K7" s="183">
        <f t="shared" si="2"/>
        <v>0.49211846982936586</v>
      </c>
      <c r="L7" s="183">
        <f t="shared" si="2"/>
        <v>0.48892350744783791</v>
      </c>
      <c r="M7" s="183">
        <f t="shared" si="2"/>
        <v>0.48502563345834182</v>
      </c>
      <c r="N7" s="183">
        <f t="shared" si="2"/>
        <v>0.48225687707800446</v>
      </c>
      <c r="O7" s="183">
        <f t="shared" si="2"/>
        <v>0.47922856696932814</v>
      </c>
      <c r="P7" s="183">
        <f t="shared" si="2"/>
        <v>0.47753503390907215</v>
      </c>
      <c r="Q7" s="183">
        <f t="shared" si="2"/>
        <v>0.47609090711755814</v>
      </c>
      <c r="R7" s="183">
        <f t="shared" si="2"/>
        <v>0.47493632628164023</v>
      </c>
      <c r="S7" s="183">
        <f t="shared" si="2"/>
        <v>0.47446162183788237</v>
      </c>
      <c r="T7" s="183">
        <f t="shared" si="2"/>
        <v>0.47382150753948643</v>
      </c>
      <c r="U7" s="183">
        <f t="shared" si="2"/>
        <v>0.47501333257212863</v>
      </c>
      <c r="V7" s="183">
        <f t="shared" si="2"/>
        <v>0.75635227852805065</v>
      </c>
      <c r="W7" s="183">
        <f t="shared" si="2"/>
        <v>0.76668997938116112</v>
      </c>
      <c r="X7" s="183">
        <f t="shared" si="2"/>
        <v>0.78704456849562521</v>
      </c>
    </row>
    <row r="8" spans="1:24">
      <c r="A8" s="146" t="s">
        <v>166</v>
      </c>
      <c r="B8" s="148">
        <f>'P&amp;L'!L20</f>
        <v>0.75363912586585835</v>
      </c>
      <c r="C8" s="148">
        <f>'P&amp;L'!M20</f>
        <v>2.0139438547879522</v>
      </c>
      <c r="D8" s="148">
        <f>'P&amp;L'!N20</f>
        <v>0.85460483272145282</v>
      </c>
      <c r="E8" s="148">
        <f>'P&amp;L'!O20</f>
        <v>0.885338541612954</v>
      </c>
      <c r="F8" s="148">
        <f>'P&amp;L'!P20</f>
        <v>1.0076313411247302</v>
      </c>
      <c r="G8" s="148">
        <f>'P&amp;L'!Q20</f>
        <v>1.0571604855269907</v>
      </c>
      <c r="H8" s="148">
        <f>'P&amp;L'!R20</f>
        <v>1.1919536549494278</v>
      </c>
      <c r="I8" s="148">
        <f>'P&amp;L'!S20</f>
        <v>1.2538521434292176</v>
      </c>
      <c r="J8" s="148">
        <f>'P&amp;L'!T20</f>
        <v>1.4032922862584796</v>
      </c>
      <c r="K8" s="148">
        <f>'P&amp;L'!U20</f>
        <v>1.4952598780024284</v>
      </c>
      <c r="L8" s="148">
        <f>'P&amp;L'!V20</f>
        <v>1.6797973204537144</v>
      </c>
      <c r="M8" s="148">
        <f>'P&amp;L'!W20</f>
        <v>1.7956442585753871</v>
      </c>
      <c r="N8" s="148">
        <f>'P&amp;L'!X20</f>
        <v>2.0071347982646439</v>
      </c>
      <c r="O8" s="148">
        <f>'P&amp;L'!Y20</f>
        <v>2.1522018979962128</v>
      </c>
      <c r="P8" s="148">
        <f>'P&amp;L'!Z20</f>
        <v>2.4201244853530919</v>
      </c>
      <c r="Q8" s="148">
        <f>'P&amp;L'!AA20</f>
        <v>2.6296385770734632</v>
      </c>
      <c r="R8" s="148">
        <f>'P&amp;L'!AB20</f>
        <v>2.9471994263291821</v>
      </c>
      <c r="S8" s="148">
        <f>'P&amp;L'!AC20</f>
        <v>3.2121886802422672</v>
      </c>
      <c r="T8" s="148">
        <f>'P&amp;L'!AD20</f>
        <v>3.5908985015670707</v>
      </c>
      <c r="U8" s="148">
        <f>'P&amp;L'!AE20</f>
        <v>3.9642027355581737</v>
      </c>
      <c r="V8" s="148">
        <f>'P&amp;L'!AF20</f>
        <v>7.8994955278774208</v>
      </c>
      <c r="W8" s="148">
        <f>'P&amp;L'!AG20</f>
        <v>8.7512943746013576</v>
      </c>
      <c r="X8" s="148">
        <f>'P&amp;L'!AH20</f>
        <v>10.010599175739507</v>
      </c>
    </row>
    <row r="9" spans="1:24" s="184" customFormat="1" ht="12.75">
      <c r="A9" s="141" t="s">
        <v>183</v>
      </c>
      <c r="B9" s="182">
        <f>B8/B4</f>
        <v>0.28649676499245014</v>
      </c>
      <c r="C9" s="183">
        <f t="shared" ref="C9:X9" si="3">C8/C4</f>
        <v>0.51234218297473555</v>
      </c>
      <c r="D9" s="183">
        <f t="shared" si="3"/>
        <v>0.20520807028875332</v>
      </c>
      <c r="E9" s="183">
        <f t="shared" si="3"/>
        <v>0.20677554557737182</v>
      </c>
      <c r="F9" s="183">
        <f t="shared" si="3"/>
        <v>0.22119759997507465</v>
      </c>
      <c r="G9" s="183">
        <f t="shared" si="3"/>
        <v>0.2244438091507362</v>
      </c>
      <c r="H9" s="183">
        <f t="shared" si="3"/>
        <v>0.2376325229953106</v>
      </c>
      <c r="I9" s="183">
        <f t="shared" si="3"/>
        <v>0.24119517788004036</v>
      </c>
      <c r="J9" s="183">
        <f t="shared" si="3"/>
        <v>0.25324061617563998</v>
      </c>
      <c r="K9" s="183">
        <f t="shared" si="3"/>
        <v>0.25862136842010158</v>
      </c>
      <c r="L9" s="183">
        <f t="shared" si="3"/>
        <v>0.27107172884908376</v>
      </c>
      <c r="M9" s="183">
        <f t="shared" si="3"/>
        <v>0.27686967196214163</v>
      </c>
      <c r="N9" s="183">
        <f t="shared" si="3"/>
        <v>0.28832758225438215</v>
      </c>
      <c r="O9" s="183">
        <f t="shared" si="3"/>
        <v>0.29449947816986433</v>
      </c>
      <c r="P9" s="183">
        <f t="shared" si="3"/>
        <v>0.30654007120113108</v>
      </c>
      <c r="Q9" s="183">
        <f t="shared" si="3"/>
        <v>0.31458811932386171</v>
      </c>
      <c r="R9" s="183">
        <f t="shared" si="3"/>
        <v>0.32573123318035979</v>
      </c>
      <c r="S9" s="183">
        <f t="shared" si="3"/>
        <v>0.3340633975699796</v>
      </c>
      <c r="T9" s="183">
        <f t="shared" si="3"/>
        <v>0.34435941982903651</v>
      </c>
      <c r="U9" s="183">
        <f t="shared" si="3"/>
        <v>0.35434273890404222</v>
      </c>
      <c r="V9" s="183">
        <f t="shared" si="3"/>
        <v>0.64595970923220003</v>
      </c>
      <c r="W9" s="183">
        <f t="shared" si="3"/>
        <v>0.66422474732465897</v>
      </c>
      <c r="X9" s="183">
        <f t="shared" si="3"/>
        <v>0.6935186768562055</v>
      </c>
    </row>
    <row r="10" spans="1:24">
      <c r="A10" s="146" t="s">
        <v>178</v>
      </c>
      <c r="B10" s="150">
        <v>0.26</v>
      </c>
      <c r="C10" s="150">
        <v>0.26</v>
      </c>
      <c r="D10" s="143">
        <v>0.2782</v>
      </c>
      <c r="E10" s="143">
        <v>0.2782</v>
      </c>
      <c r="F10" s="143">
        <v>0.2782</v>
      </c>
      <c r="G10" s="143">
        <v>0.2782</v>
      </c>
      <c r="H10" s="143">
        <v>0.2782</v>
      </c>
      <c r="I10" s="143">
        <v>0.2782</v>
      </c>
      <c r="J10" s="143">
        <v>0.2782</v>
      </c>
      <c r="K10" s="143">
        <v>0.2782</v>
      </c>
      <c r="L10" s="143">
        <v>0.2782</v>
      </c>
      <c r="M10" s="143">
        <v>0.2782</v>
      </c>
      <c r="N10" s="143">
        <v>0.2782</v>
      </c>
      <c r="O10" s="143">
        <v>0.2782</v>
      </c>
      <c r="P10" s="143">
        <v>0.2782</v>
      </c>
      <c r="Q10" s="143">
        <v>0.2782</v>
      </c>
      <c r="R10" s="143">
        <v>0.2782</v>
      </c>
      <c r="S10" s="143">
        <v>0.2782</v>
      </c>
      <c r="T10" s="143">
        <v>0.2782</v>
      </c>
      <c r="U10" s="143">
        <v>0.2782</v>
      </c>
      <c r="V10" s="143">
        <v>0.2782</v>
      </c>
      <c r="W10" s="143">
        <v>0.2782</v>
      </c>
      <c r="X10" s="143">
        <v>0.2782</v>
      </c>
    </row>
    <row r="11" spans="1:24">
      <c r="A11" s="146" t="s">
        <v>167</v>
      </c>
      <c r="B11" s="148">
        <f t="shared" ref="B11:X11" si="4">B8*(1-B10)</f>
        <v>0.55769295314073519</v>
      </c>
      <c r="C11" s="148">
        <f t="shared" si="4"/>
        <v>1.4903184525430846</v>
      </c>
      <c r="D11" s="148">
        <f t="shared" si="4"/>
        <v>0.61685376825834459</v>
      </c>
      <c r="E11" s="148">
        <f t="shared" si="4"/>
        <v>0.63903735933623018</v>
      </c>
      <c r="F11" s="148">
        <f t="shared" si="4"/>
        <v>0.72730830202383023</v>
      </c>
      <c r="G11" s="148">
        <f t="shared" si="4"/>
        <v>0.76305843845338184</v>
      </c>
      <c r="H11" s="148">
        <f t="shared" si="4"/>
        <v>0.86035214814249705</v>
      </c>
      <c r="I11" s="148">
        <f t="shared" si="4"/>
        <v>0.9050304771272093</v>
      </c>
      <c r="J11" s="148">
        <f t="shared" si="4"/>
        <v>1.0128963722213706</v>
      </c>
      <c r="K11" s="148">
        <f t="shared" si="4"/>
        <v>1.0792785799421529</v>
      </c>
      <c r="L11" s="148">
        <f t="shared" si="4"/>
        <v>1.212477705903491</v>
      </c>
      <c r="M11" s="148">
        <f t="shared" si="4"/>
        <v>1.2960960258397145</v>
      </c>
      <c r="N11" s="148">
        <f t="shared" si="4"/>
        <v>1.44874989738742</v>
      </c>
      <c r="O11" s="148">
        <f t="shared" si="4"/>
        <v>1.5534593299736663</v>
      </c>
      <c r="P11" s="148">
        <f t="shared" si="4"/>
        <v>1.7468458535278617</v>
      </c>
      <c r="Q11" s="148">
        <f t="shared" si="4"/>
        <v>1.8980731249316256</v>
      </c>
      <c r="R11" s="148">
        <f t="shared" si="4"/>
        <v>2.1272885459244035</v>
      </c>
      <c r="S11" s="148">
        <f t="shared" si="4"/>
        <v>2.3185577893988683</v>
      </c>
      <c r="T11" s="148">
        <f t="shared" si="4"/>
        <v>2.5919105384311116</v>
      </c>
      <c r="U11" s="148">
        <f t="shared" si="4"/>
        <v>2.8613615345258898</v>
      </c>
      <c r="V11" s="148">
        <f t="shared" si="4"/>
        <v>5.7018558720219223</v>
      </c>
      <c r="W11" s="148">
        <f t="shared" si="4"/>
        <v>6.3166842795872595</v>
      </c>
      <c r="X11" s="148">
        <f t="shared" si="4"/>
        <v>7.2256504850487762</v>
      </c>
    </row>
    <row r="12" spans="1:24" s="184" customFormat="1" ht="12.75">
      <c r="A12" s="141" t="s">
        <v>183</v>
      </c>
      <c r="B12" s="182">
        <f t="shared" ref="B12:X12" si="5">B11/B4</f>
        <v>0.2120076060944131</v>
      </c>
      <c r="C12" s="183">
        <f t="shared" si="5"/>
        <v>0.37913321540130435</v>
      </c>
      <c r="D12" s="183">
        <f t="shared" si="5"/>
        <v>0.14811918513442213</v>
      </c>
      <c r="E12" s="183">
        <f t="shared" si="5"/>
        <v>0.14925058879774697</v>
      </c>
      <c r="F12" s="183">
        <f t="shared" si="5"/>
        <v>0.15966042766200889</v>
      </c>
      <c r="G12" s="183">
        <f t="shared" si="5"/>
        <v>0.16200354144500137</v>
      </c>
      <c r="H12" s="183">
        <f t="shared" si="5"/>
        <v>0.17152315509801522</v>
      </c>
      <c r="I12" s="183">
        <f t="shared" si="5"/>
        <v>0.17409467939381312</v>
      </c>
      <c r="J12" s="183">
        <f t="shared" si="5"/>
        <v>0.18278907675557693</v>
      </c>
      <c r="K12" s="183">
        <f t="shared" si="5"/>
        <v>0.18667290372562934</v>
      </c>
      <c r="L12" s="183">
        <f t="shared" si="5"/>
        <v>0.19565957388326866</v>
      </c>
      <c r="M12" s="183">
        <f t="shared" si="5"/>
        <v>0.19984452922227383</v>
      </c>
      <c r="N12" s="183">
        <f t="shared" si="5"/>
        <v>0.20811484887121304</v>
      </c>
      <c r="O12" s="183">
        <f t="shared" si="5"/>
        <v>0.21256972334300808</v>
      </c>
      <c r="P12" s="183">
        <f t="shared" si="5"/>
        <v>0.22126062339297642</v>
      </c>
      <c r="Q12" s="183">
        <f t="shared" si="5"/>
        <v>0.22706970452796338</v>
      </c>
      <c r="R12" s="183">
        <f t="shared" si="5"/>
        <v>0.23511280410958368</v>
      </c>
      <c r="S12" s="183">
        <f t="shared" si="5"/>
        <v>0.24112696036601125</v>
      </c>
      <c r="T12" s="183">
        <f t="shared" si="5"/>
        <v>0.24855862923259853</v>
      </c>
      <c r="U12" s="183">
        <f t="shared" si="5"/>
        <v>0.25576458894093768</v>
      </c>
      <c r="V12" s="183">
        <f t="shared" si="5"/>
        <v>0.46625371812380195</v>
      </c>
      <c r="W12" s="183">
        <f t="shared" si="5"/>
        <v>0.47943742261893879</v>
      </c>
      <c r="X12" s="183">
        <f t="shared" si="5"/>
        <v>0.5005817809548091</v>
      </c>
    </row>
    <row r="13" spans="1:24">
      <c r="A13" s="146" t="s">
        <v>168</v>
      </c>
      <c r="B13" s="151">
        <f>'P&amp;L'!L19</f>
        <v>1.37</v>
      </c>
      <c r="C13" s="151">
        <f>'P&amp;L'!M19</f>
        <v>1.37</v>
      </c>
      <c r="D13" s="151">
        <f>'P&amp;L'!N19</f>
        <v>1.37</v>
      </c>
      <c r="E13" s="151">
        <f>'P&amp;L'!O19</f>
        <v>1.37</v>
      </c>
      <c r="F13" s="151">
        <f>'P&amp;L'!P19</f>
        <v>1.37</v>
      </c>
      <c r="G13" s="151">
        <f>'P&amp;L'!Q19</f>
        <v>1.37</v>
      </c>
      <c r="H13" s="151">
        <f>'P&amp;L'!R19</f>
        <v>1.37</v>
      </c>
      <c r="I13" s="151">
        <f>'P&amp;L'!S19</f>
        <v>1.37</v>
      </c>
      <c r="J13" s="151">
        <f>'P&amp;L'!T19</f>
        <v>1.37</v>
      </c>
      <c r="K13" s="151">
        <f>'P&amp;L'!U19</f>
        <v>1.37</v>
      </c>
      <c r="L13" s="151">
        <f>'P&amp;L'!V19</f>
        <v>1.37</v>
      </c>
      <c r="M13" s="151">
        <f>'P&amp;L'!W19</f>
        <v>1.37</v>
      </c>
      <c r="N13" s="151">
        <f>'P&amp;L'!X19</f>
        <v>1.37</v>
      </c>
      <c r="O13" s="151">
        <f>'P&amp;L'!Y19</f>
        <v>1.37</v>
      </c>
      <c r="P13" s="151">
        <f>'P&amp;L'!Z19</f>
        <v>1.37</v>
      </c>
      <c r="Q13" s="151">
        <f>'P&amp;L'!AA19</f>
        <v>1.37</v>
      </c>
      <c r="R13" s="151">
        <f>'P&amp;L'!AB19</f>
        <v>1.37</v>
      </c>
      <c r="S13" s="151">
        <f>'P&amp;L'!AC19</f>
        <v>1.37</v>
      </c>
      <c r="T13" s="151">
        <f>'P&amp;L'!AD19</f>
        <v>1.37</v>
      </c>
      <c r="U13" s="151">
        <f>'P&amp;L'!AE19</f>
        <v>1.37</v>
      </c>
      <c r="V13" s="151">
        <f>'P&amp;L'!AF19</f>
        <v>1.37</v>
      </c>
      <c r="W13" s="151">
        <f>'P&amp;L'!AG19</f>
        <v>1.37</v>
      </c>
      <c r="X13" s="151">
        <f>'P&amp;L'!AH19</f>
        <v>1.37</v>
      </c>
    </row>
    <row r="14" spans="1:24" s="184" customFormat="1" ht="12.75">
      <c r="A14" s="141" t="s">
        <v>183</v>
      </c>
      <c r="B14" s="182">
        <f t="shared" ref="B14:X14" si="6">B13/B4</f>
        <v>0.52080704752252815</v>
      </c>
      <c r="C14" s="183">
        <f t="shared" si="6"/>
        <v>0.34852450777446903</v>
      </c>
      <c r="D14" s="183">
        <f t="shared" si="6"/>
        <v>0.32896497367131589</v>
      </c>
      <c r="E14" s="183">
        <f t="shared" si="6"/>
        <v>0.31997081808378208</v>
      </c>
      <c r="F14" s="183">
        <f t="shared" si="6"/>
        <v>0.30074561955128809</v>
      </c>
      <c r="G14" s="183">
        <f t="shared" si="6"/>
        <v>0.29086219428947624</v>
      </c>
      <c r="H14" s="183">
        <f t="shared" si="6"/>
        <v>0.27312853578806995</v>
      </c>
      <c r="I14" s="183">
        <f t="shared" si="6"/>
        <v>0.26353776673534007</v>
      </c>
      <c r="J14" s="183">
        <f t="shared" si="6"/>
        <v>0.24723263111896149</v>
      </c>
      <c r="K14" s="183">
        <f t="shared" si="6"/>
        <v>0.23695631772643858</v>
      </c>
      <c r="L14" s="183">
        <f t="shared" si="6"/>
        <v>0.22107921235577274</v>
      </c>
      <c r="M14" s="183">
        <f t="shared" si="6"/>
        <v>0.21123975351836613</v>
      </c>
      <c r="N14" s="183">
        <f t="shared" si="6"/>
        <v>0.19680232141360193</v>
      </c>
      <c r="O14" s="183">
        <f t="shared" si="6"/>
        <v>0.18746581604093732</v>
      </c>
      <c r="P14" s="183">
        <f t="shared" si="6"/>
        <v>0.17352822141472538</v>
      </c>
      <c r="Q14" s="183">
        <f t="shared" si="6"/>
        <v>0.16389542168693638</v>
      </c>
      <c r="R14" s="183">
        <f t="shared" si="6"/>
        <v>0.15141553892500306</v>
      </c>
      <c r="S14" s="183">
        <f t="shared" si="6"/>
        <v>0.14247819796076058</v>
      </c>
      <c r="T14" s="183">
        <f t="shared" si="6"/>
        <v>0.13138004456541955</v>
      </c>
      <c r="U14" s="183">
        <f t="shared" si="6"/>
        <v>0.12245830616687288</v>
      </c>
      <c r="V14" s="183">
        <f t="shared" si="6"/>
        <v>0.11202801476690023</v>
      </c>
      <c r="W14" s="183">
        <f t="shared" si="6"/>
        <v>0.10398323549437621</v>
      </c>
      <c r="X14" s="183">
        <f t="shared" si="6"/>
        <v>9.4911460404448159E-2</v>
      </c>
    </row>
    <row r="15" spans="1:24">
      <c r="A15" s="146" t="s">
        <v>179</v>
      </c>
      <c r="B15" s="148">
        <v>0</v>
      </c>
      <c r="C15" s="148">
        <v>0</v>
      </c>
      <c r="D15" s="148">
        <v>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  <c r="P15" s="148">
        <v>0</v>
      </c>
      <c r="Q15" s="148">
        <v>0</v>
      </c>
      <c r="R15" s="148">
        <v>0</v>
      </c>
      <c r="S15" s="148">
        <v>0</v>
      </c>
      <c r="T15" s="148">
        <v>0</v>
      </c>
      <c r="U15" s="148">
        <v>0</v>
      </c>
      <c r="V15" s="148">
        <v>0</v>
      </c>
      <c r="W15" s="148">
        <v>0</v>
      </c>
      <c r="X15" s="148">
        <v>0</v>
      </c>
    </row>
    <row r="16" spans="1:24" s="184" customFormat="1" ht="12.75">
      <c r="A16" s="141" t="s">
        <v>183</v>
      </c>
      <c r="B16" s="182">
        <f t="shared" ref="B16:X16" si="7">B15/B4</f>
        <v>0</v>
      </c>
      <c r="C16" s="183">
        <f t="shared" si="7"/>
        <v>0</v>
      </c>
      <c r="D16" s="183">
        <f t="shared" si="7"/>
        <v>0</v>
      </c>
      <c r="E16" s="183">
        <f t="shared" si="7"/>
        <v>0</v>
      </c>
      <c r="F16" s="183">
        <f t="shared" si="7"/>
        <v>0</v>
      </c>
      <c r="G16" s="183">
        <f t="shared" si="7"/>
        <v>0</v>
      </c>
      <c r="H16" s="183">
        <f t="shared" si="7"/>
        <v>0</v>
      </c>
      <c r="I16" s="183">
        <f t="shared" si="7"/>
        <v>0</v>
      </c>
      <c r="J16" s="183">
        <f t="shared" si="7"/>
        <v>0</v>
      </c>
      <c r="K16" s="183">
        <f t="shared" si="7"/>
        <v>0</v>
      </c>
      <c r="L16" s="183">
        <f t="shared" si="7"/>
        <v>0</v>
      </c>
      <c r="M16" s="183">
        <f t="shared" si="7"/>
        <v>0</v>
      </c>
      <c r="N16" s="183">
        <f t="shared" si="7"/>
        <v>0</v>
      </c>
      <c r="O16" s="183">
        <f t="shared" si="7"/>
        <v>0</v>
      </c>
      <c r="P16" s="183">
        <f t="shared" si="7"/>
        <v>0</v>
      </c>
      <c r="Q16" s="183">
        <f t="shared" si="7"/>
        <v>0</v>
      </c>
      <c r="R16" s="183">
        <f t="shared" si="7"/>
        <v>0</v>
      </c>
      <c r="S16" s="183">
        <f t="shared" si="7"/>
        <v>0</v>
      </c>
      <c r="T16" s="183">
        <f t="shared" si="7"/>
        <v>0</v>
      </c>
      <c r="U16" s="183">
        <f t="shared" si="7"/>
        <v>0</v>
      </c>
      <c r="V16" s="183">
        <f t="shared" si="7"/>
        <v>0</v>
      </c>
      <c r="W16" s="183">
        <f t="shared" si="7"/>
        <v>0</v>
      </c>
      <c r="X16" s="183">
        <f t="shared" si="7"/>
        <v>0</v>
      </c>
    </row>
    <row r="17" spans="1:24">
      <c r="A17" s="146" t="s">
        <v>180</v>
      </c>
      <c r="B17" s="148">
        <f>B48</f>
        <v>1.5505040000000001</v>
      </c>
      <c r="C17" s="148">
        <f>B49</f>
        <v>2.3257560000000002</v>
      </c>
      <c r="D17" s="148">
        <v>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  <c r="P17" s="148">
        <v>0</v>
      </c>
      <c r="Q17" s="148">
        <v>0</v>
      </c>
      <c r="R17" s="148">
        <v>0</v>
      </c>
      <c r="S17" s="148">
        <v>0</v>
      </c>
      <c r="T17" s="148">
        <v>0</v>
      </c>
      <c r="U17" s="148">
        <v>0</v>
      </c>
      <c r="V17" s="148">
        <v>0</v>
      </c>
      <c r="W17" s="148">
        <v>0</v>
      </c>
      <c r="X17" s="148">
        <v>0</v>
      </c>
    </row>
    <row r="18" spans="1:24" s="184" customFormat="1" ht="12.75">
      <c r="A18" s="141" t="s">
        <v>183</v>
      </c>
      <c r="B18" s="182">
        <f t="shared" ref="B18:X18" si="8">B17/B4</f>
        <v>0.58942584701596357</v>
      </c>
      <c r="C18" s="183">
        <f t="shared" si="8"/>
        <v>0.59166639788577957</v>
      </c>
      <c r="D18" s="183">
        <f t="shared" si="8"/>
        <v>0</v>
      </c>
      <c r="E18" s="183">
        <f t="shared" si="8"/>
        <v>0</v>
      </c>
      <c r="F18" s="183">
        <f t="shared" si="8"/>
        <v>0</v>
      </c>
      <c r="G18" s="183">
        <f t="shared" si="8"/>
        <v>0</v>
      </c>
      <c r="H18" s="183">
        <f t="shared" si="8"/>
        <v>0</v>
      </c>
      <c r="I18" s="183">
        <f t="shared" si="8"/>
        <v>0</v>
      </c>
      <c r="J18" s="183">
        <f t="shared" si="8"/>
        <v>0</v>
      </c>
      <c r="K18" s="183">
        <f t="shared" si="8"/>
        <v>0</v>
      </c>
      <c r="L18" s="183">
        <f t="shared" si="8"/>
        <v>0</v>
      </c>
      <c r="M18" s="183">
        <f t="shared" si="8"/>
        <v>0</v>
      </c>
      <c r="N18" s="183">
        <f t="shared" si="8"/>
        <v>0</v>
      </c>
      <c r="O18" s="183">
        <f t="shared" si="8"/>
        <v>0</v>
      </c>
      <c r="P18" s="183">
        <f t="shared" si="8"/>
        <v>0</v>
      </c>
      <c r="Q18" s="183">
        <f t="shared" si="8"/>
        <v>0</v>
      </c>
      <c r="R18" s="183">
        <f t="shared" si="8"/>
        <v>0</v>
      </c>
      <c r="S18" s="183">
        <f t="shared" si="8"/>
        <v>0</v>
      </c>
      <c r="T18" s="183">
        <f t="shared" si="8"/>
        <v>0</v>
      </c>
      <c r="U18" s="183">
        <f t="shared" si="8"/>
        <v>0</v>
      </c>
      <c r="V18" s="183">
        <f t="shared" si="8"/>
        <v>0</v>
      </c>
      <c r="W18" s="183">
        <f t="shared" si="8"/>
        <v>0</v>
      </c>
      <c r="X18" s="183">
        <f t="shared" si="8"/>
        <v>0</v>
      </c>
    </row>
    <row r="19" spans="1:24" ht="15">
      <c r="A19" s="152" t="s">
        <v>181</v>
      </c>
      <c r="B19" s="153">
        <f>B11+B13-B15-B17</f>
        <v>0.37718895314073508</v>
      </c>
      <c r="C19" s="153">
        <f t="shared" ref="C19:X19" si="9">C11+C13-C15-C17</f>
        <v>0.53456245254308454</v>
      </c>
      <c r="D19" s="153">
        <f t="shared" si="9"/>
        <v>1.9868537682583447</v>
      </c>
      <c r="E19" s="153">
        <f t="shared" si="9"/>
        <v>2.0090373593362303</v>
      </c>
      <c r="F19" s="153">
        <f t="shared" si="9"/>
        <v>2.0973083020238303</v>
      </c>
      <c r="G19" s="153">
        <f t="shared" si="9"/>
        <v>2.1330584384533822</v>
      </c>
      <c r="H19" s="153">
        <f t="shared" si="9"/>
        <v>2.2303521481424973</v>
      </c>
      <c r="I19" s="153">
        <f t="shared" si="9"/>
        <v>2.2750304771272094</v>
      </c>
      <c r="J19" s="153">
        <f t="shared" si="9"/>
        <v>2.3828963722213707</v>
      </c>
      <c r="K19" s="153">
        <f t="shared" si="9"/>
        <v>2.449278579942153</v>
      </c>
      <c r="L19" s="153">
        <f t="shared" si="9"/>
        <v>2.5824777059034911</v>
      </c>
      <c r="M19" s="153">
        <f t="shared" si="9"/>
        <v>2.6660960258397148</v>
      </c>
      <c r="N19" s="153">
        <f t="shared" si="9"/>
        <v>2.8187498973874199</v>
      </c>
      <c r="O19" s="153">
        <f t="shared" si="9"/>
        <v>2.9234593299736664</v>
      </c>
      <c r="P19" s="153">
        <f t="shared" si="9"/>
        <v>3.1168458535278618</v>
      </c>
      <c r="Q19" s="153">
        <f t="shared" si="9"/>
        <v>3.2680731249316257</v>
      </c>
      <c r="R19" s="153">
        <f t="shared" si="9"/>
        <v>3.4972885459244036</v>
      </c>
      <c r="S19" s="153">
        <f t="shared" si="9"/>
        <v>3.6885577893988684</v>
      </c>
      <c r="T19" s="153">
        <f t="shared" si="9"/>
        <v>3.9619105384311117</v>
      </c>
      <c r="U19" s="153">
        <f t="shared" si="9"/>
        <v>4.2313615345258899</v>
      </c>
      <c r="V19" s="153">
        <f t="shared" si="9"/>
        <v>7.0718558720219225</v>
      </c>
      <c r="W19" s="153">
        <f t="shared" si="9"/>
        <v>7.6866842795872596</v>
      </c>
      <c r="X19" s="153">
        <f t="shared" si="9"/>
        <v>8.5956504850487754</v>
      </c>
    </row>
    <row r="20" spans="1:24" ht="15">
      <c r="A20" s="154" t="s">
        <v>106</v>
      </c>
      <c r="B20" s="155">
        <f>C30</f>
        <v>0.11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</row>
    <row r="21" spans="1:24" ht="15">
      <c r="A21" s="154"/>
      <c r="B21" s="155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</row>
    <row r="22" spans="1:24" ht="15">
      <c r="A22" s="154" t="s">
        <v>107</v>
      </c>
      <c r="B22" s="156">
        <v>0.5</v>
      </c>
      <c r="C22" s="156">
        <f>B22+1</f>
        <v>1.5</v>
      </c>
      <c r="D22" s="156">
        <f t="shared" ref="D22:H22" si="10">C22+1</f>
        <v>2.5</v>
      </c>
      <c r="E22" s="156">
        <f t="shared" si="10"/>
        <v>3.5</v>
      </c>
      <c r="F22" s="156">
        <f t="shared" si="10"/>
        <v>4.5</v>
      </c>
      <c r="G22" s="156">
        <f t="shared" si="10"/>
        <v>5.5</v>
      </c>
      <c r="H22" s="156">
        <f t="shared" si="10"/>
        <v>6.5</v>
      </c>
      <c r="I22" s="156">
        <f>H22+1</f>
        <v>7.5</v>
      </c>
      <c r="J22" s="156">
        <f t="shared" ref="J22" si="11">I22+1</f>
        <v>8.5</v>
      </c>
      <c r="K22" s="156">
        <f t="shared" ref="K22" si="12">J22+1</f>
        <v>9.5</v>
      </c>
      <c r="L22" s="156">
        <f t="shared" ref="L22" si="13">K22+1</f>
        <v>10.5</v>
      </c>
      <c r="M22" s="156">
        <f t="shared" ref="M22" si="14">L22+1</f>
        <v>11.5</v>
      </c>
      <c r="N22" s="156">
        <f t="shared" ref="N22" si="15">M22+1</f>
        <v>12.5</v>
      </c>
      <c r="O22" s="156">
        <f t="shared" ref="O22:Q22" si="16">N22+1</f>
        <v>13.5</v>
      </c>
      <c r="P22" s="156">
        <f t="shared" si="16"/>
        <v>14.5</v>
      </c>
      <c r="Q22" s="156">
        <f t="shared" si="16"/>
        <v>15.5</v>
      </c>
      <c r="R22" s="156">
        <f t="shared" ref="R22" si="17">Q22+1</f>
        <v>16.5</v>
      </c>
      <c r="S22" s="156">
        <f t="shared" ref="S22" si="18">R22+1</f>
        <v>17.5</v>
      </c>
      <c r="T22" s="156">
        <f t="shared" ref="T22" si="19">S22+1</f>
        <v>18.5</v>
      </c>
      <c r="U22" s="156">
        <f t="shared" ref="U22" si="20">T22+1</f>
        <v>19.5</v>
      </c>
      <c r="V22" s="156">
        <f t="shared" ref="V22" si="21">U22+1</f>
        <v>20.5</v>
      </c>
      <c r="W22" s="156">
        <f t="shared" ref="W22" si="22">V22+1</f>
        <v>21.5</v>
      </c>
      <c r="X22" s="156">
        <f t="shared" ref="X22" si="23">W22+1</f>
        <v>22.5</v>
      </c>
    </row>
    <row r="23" spans="1:24" ht="15">
      <c r="A23" s="154" t="s">
        <v>108</v>
      </c>
      <c r="B23" s="148">
        <f>1/(1+$B$20)^B22</f>
        <v>0.94915799575249904</v>
      </c>
      <c r="C23" s="148">
        <f t="shared" ref="C23:U23" si="24">1/(1+$B$20)^C22</f>
        <v>0.85509729347071961</v>
      </c>
      <c r="D23" s="148">
        <f t="shared" si="24"/>
        <v>0.77035792204569342</v>
      </c>
      <c r="E23" s="148">
        <f t="shared" si="24"/>
        <v>0.69401614598711103</v>
      </c>
      <c r="F23" s="148">
        <f t="shared" si="24"/>
        <v>0.62523977115955953</v>
      </c>
      <c r="G23" s="148">
        <f t="shared" si="24"/>
        <v>0.56327907311672021</v>
      </c>
      <c r="H23" s="148">
        <f t="shared" si="24"/>
        <v>0.50745862442947753</v>
      </c>
      <c r="I23" s="148">
        <f t="shared" si="24"/>
        <v>0.45716993191844818</v>
      </c>
      <c r="J23" s="148">
        <f t="shared" si="24"/>
        <v>0.41186480353013355</v>
      </c>
      <c r="K23" s="148">
        <f t="shared" si="24"/>
        <v>0.37104937254966985</v>
      </c>
      <c r="L23" s="148">
        <f t="shared" si="24"/>
        <v>0.33427871400871156</v>
      </c>
      <c r="M23" s="148">
        <f t="shared" si="24"/>
        <v>0.30115199460244274</v>
      </c>
      <c r="N23" s="148">
        <f t="shared" si="24"/>
        <v>0.27130810324544391</v>
      </c>
      <c r="O23" s="148">
        <f t="shared" si="24"/>
        <v>0.24442171463553505</v>
      </c>
      <c r="P23" s="148">
        <f t="shared" si="24"/>
        <v>0.22019974291489644</v>
      </c>
      <c r="Q23" s="148">
        <f t="shared" si="24"/>
        <v>0.19837814677017696</v>
      </c>
      <c r="R23" s="148">
        <f t="shared" si="24"/>
        <v>0.17871905114430353</v>
      </c>
      <c r="S23" s="148">
        <f t="shared" si="24"/>
        <v>0.16100815418405723</v>
      </c>
      <c r="T23" s="148">
        <f t="shared" si="24"/>
        <v>0.14505239115680829</v>
      </c>
      <c r="U23" s="148">
        <f t="shared" si="24"/>
        <v>0.13067782987099844</v>
      </c>
      <c r="V23" s="148">
        <f t="shared" ref="V23:X23" si="25">1/(1+$B$20)^V22</f>
        <v>0.11772777465855713</v>
      </c>
      <c r="W23" s="148">
        <f t="shared" si="25"/>
        <v>0.1060610582509524</v>
      </c>
      <c r="X23" s="148">
        <f t="shared" si="25"/>
        <v>9.5550502928785933E-2</v>
      </c>
    </row>
    <row r="24" spans="1:24" ht="15">
      <c r="A24" s="154" t="s">
        <v>109</v>
      </c>
      <c r="B24" s="148">
        <f t="shared" ref="B24:U24" si="26">B19*B23</f>
        <v>0.3580119107830434</v>
      </c>
      <c r="C24" s="148">
        <f t="shared" si="26"/>
        <v>0.45710290636066159</v>
      </c>
      <c r="D24" s="148">
        <f t="shared" si="26"/>
        <v>1.5305885403241541</v>
      </c>
      <c r="E24" s="148">
        <f t="shared" si="26"/>
        <v>1.3943043652706533</v>
      </c>
      <c r="F24" s="148">
        <f t="shared" si="26"/>
        <v>1.3113205628084241</v>
      </c>
      <c r="G24" s="148">
        <f t="shared" si="26"/>
        <v>1.2015071801158197</v>
      </c>
      <c r="H24" s="148">
        <f t="shared" si="26"/>
        <v>1.131811433089722</v>
      </c>
      <c r="I24" s="148">
        <f t="shared" si="26"/>
        <v>1.0400755283406411</v>
      </c>
      <c r="J24" s="148">
        <f t="shared" si="26"/>
        <v>0.98143114617762284</v>
      </c>
      <c r="K24" s="148">
        <f t="shared" si="26"/>
        <v>0.90880328028688229</v>
      </c>
      <c r="L24" s="148">
        <f t="shared" si="26"/>
        <v>0.86326732648558668</v>
      </c>
      <c r="M24" s="148">
        <f t="shared" si="26"/>
        <v>0.80290013598327581</v>
      </c>
      <c r="N24" s="148">
        <f t="shared" si="26"/>
        <v>0.76474968818347056</v>
      </c>
      <c r="O24" s="148">
        <f t="shared" si="26"/>
        <v>0.714556942099416</v>
      </c>
      <c r="P24" s="148">
        <f t="shared" si="26"/>
        <v>0.68632865565219614</v>
      </c>
      <c r="Q24" s="148">
        <f t="shared" si="26"/>
        <v>0.64831429003335694</v>
      </c>
      <c r="R24" s="148">
        <f t="shared" si="26"/>
        <v>0.62503209050545039</v>
      </c>
      <c r="S24" s="148">
        <f t="shared" si="26"/>
        <v>0.59388788127233827</v>
      </c>
      <c r="T24" s="148">
        <f t="shared" si="26"/>
        <v>0.57468459714879061</v>
      </c>
      <c r="U24" s="148">
        <f t="shared" si="26"/>
        <v>0.55294514273146111</v>
      </c>
      <c r="V24" s="148">
        <f t="shared" ref="V24:X24" si="27">V19*V23</f>
        <v>0.83255385451919095</v>
      </c>
      <c r="W24" s="148">
        <f t="shared" si="27"/>
        <v>0.81525786913398446</v>
      </c>
      <c r="X24" s="148">
        <f t="shared" si="27"/>
        <v>0.82131872684647322</v>
      </c>
    </row>
    <row r="25" spans="1:24"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</row>
    <row r="26" spans="1:24" ht="15">
      <c r="A26" s="158" t="s">
        <v>120</v>
      </c>
      <c r="B26" s="159">
        <f>SUM(B24:X24)</f>
        <v>19.610754054152615</v>
      </c>
      <c r="C26" s="157"/>
      <c r="D26" s="157"/>
      <c r="E26" s="157"/>
      <c r="F26" s="157"/>
      <c r="G26" s="157"/>
      <c r="H26" s="160" t="s">
        <v>120</v>
      </c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</row>
    <row r="27" spans="1:24" ht="15">
      <c r="F27" s="161" t="s">
        <v>194</v>
      </c>
      <c r="G27" s="110" t="s">
        <v>193</v>
      </c>
      <c r="H27" s="162">
        <f>B26</f>
        <v>19.610754054152615</v>
      </c>
    </row>
    <row r="28" spans="1:24" ht="15">
      <c r="A28" s="154" t="s">
        <v>185</v>
      </c>
      <c r="B28" s="150">
        <f>B29-B33</f>
        <v>9.0000000000000011E-2</v>
      </c>
      <c r="E28" s="181"/>
      <c r="F28" s="161">
        <v>1</v>
      </c>
      <c r="G28" s="163">
        <f>G29-$B$33</f>
        <v>9.0000000000000011E-2</v>
      </c>
      <c r="H28" s="164">
        <f t="dataTable" ref="H28:H32" dt2D="0" dtr="0" r1="C30"/>
        <v>23.924776846615234</v>
      </c>
      <c r="I28" s="165"/>
      <c r="J28" s="165"/>
      <c r="L28" s="110" t="s">
        <v>188</v>
      </c>
    </row>
    <row r="29" spans="1:24" ht="15">
      <c r="A29" s="154" t="s">
        <v>119</v>
      </c>
      <c r="B29" s="150">
        <f>B30-B33</f>
        <v>0.1</v>
      </c>
      <c r="F29" s="161">
        <v>2</v>
      </c>
      <c r="G29" s="163">
        <f>G30-$B$33</f>
        <v>0.1</v>
      </c>
      <c r="H29" s="164">
        <v>21.612792201911137</v>
      </c>
      <c r="L29" s="110" t="s">
        <v>189</v>
      </c>
    </row>
    <row r="30" spans="1:24" ht="15">
      <c r="A30" s="154" t="s">
        <v>116</v>
      </c>
      <c r="B30" s="149">
        <f>B36</f>
        <v>0.11</v>
      </c>
      <c r="C30" s="166">
        <v>0.11</v>
      </c>
      <c r="F30" s="161">
        <v>3</v>
      </c>
      <c r="G30" s="167">
        <f>B36</f>
        <v>0.11</v>
      </c>
      <c r="H30" s="164">
        <v>19.610754054152615</v>
      </c>
      <c r="L30" s="110" t="s">
        <v>190</v>
      </c>
    </row>
    <row r="31" spans="1:24" ht="15">
      <c r="A31" s="154" t="s">
        <v>117</v>
      </c>
      <c r="B31" s="149">
        <f>B30+B33</f>
        <v>0.12</v>
      </c>
      <c r="F31" s="161">
        <v>4</v>
      </c>
      <c r="G31" s="167">
        <f>G30+$B$33</f>
        <v>0.12</v>
      </c>
      <c r="H31" s="164">
        <v>17.869905313510319</v>
      </c>
    </row>
    <row r="32" spans="1:24" ht="15">
      <c r="A32" s="154" t="s">
        <v>118</v>
      </c>
      <c r="B32" s="150">
        <f>B31+B33</f>
        <v>0.13</v>
      </c>
      <c r="F32" s="161">
        <v>5</v>
      </c>
      <c r="G32" s="163">
        <f>G31+$B$33</f>
        <v>0.13</v>
      </c>
      <c r="H32" s="164">
        <v>16.349952201911556</v>
      </c>
    </row>
    <row r="33" spans="1:24" ht="15">
      <c r="A33" s="168" t="s">
        <v>111</v>
      </c>
      <c r="B33" s="169">
        <v>0.01</v>
      </c>
    </row>
    <row r="34" spans="1:24" ht="28.9" customHeight="1">
      <c r="A34" s="216" t="s">
        <v>115</v>
      </c>
      <c r="B34" s="218">
        <v>0.11</v>
      </c>
    </row>
    <row r="35" spans="1:24">
      <c r="A35" s="217"/>
      <c r="B35" s="219"/>
      <c r="L35" s="110">
        <v>1749.39</v>
      </c>
    </row>
    <row r="36" spans="1:24" ht="15">
      <c r="A36" s="170" t="s">
        <v>110</v>
      </c>
      <c r="B36" s="171">
        <f>B34+B35</f>
        <v>0.11</v>
      </c>
      <c r="L36" s="110">
        <v>217.27</v>
      </c>
    </row>
    <row r="37" spans="1:24">
      <c r="L37" s="110">
        <f>SUM(L35:L36)</f>
        <v>1966.66</v>
      </c>
    </row>
    <row r="39" spans="1:24">
      <c r="A39" s="110" t="s">
        <v>186</v>
      </c>
      <c r="B39" s="109" t="s">
        <v>187</v>
      </c>
      <c r="C39" s="108"/>
      <c r="D39" s="108"/>
      <c r="E39" s="108"/>
      <c r="F39" s="108"/>
      <c r="G39" s="108"/>
      <c r="H39" s="108"/>
      <c r="I39" s="108"/>
      <c r="J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</row>
    <row r="41" spans="1:24">
      <c r="B41" s="108"/>
      <c r="C41" s="108"/>
      <c r="D41" s="108"/>
      <c r="E41" s="108"/>
      <c r="F41" s="108"/>
      <c r="G41" s="108"/>
      <c r="H41" s="108"/>
      <c r="I41" s="108"/>
      <c r="J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</row>
    <row r="42" spans="1:24">
      <c r="A42" s="172"/>
      <c r="B42" s="162"/>
      <c r="C42" s="162"/>
      <c r="D42" s="162"/>
      <c r="E42" s="162"/>
      <c r="F42" s="162"/>
      <c r="G42" s="162"/>
      <c r="H42" s="162"/>
      <c r="I42" s="162"/>
      <c r="J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</row>
    <row r="43" spans="1:24" ht="15">
      <c r="A43" s="173" t="s">
        <v>114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</row>
    <row r="44" spans="1:24">
      <c r="A44" s="174">
        <v>15562600</v>
      </c>
      <c r="C44" s="175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</row>
    <row r="45" spans="1:24">
      <c r="A45" s="174">
        <v>20900000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</row>
    <row r="46" spans="1:24">
      <c r="A46" s="174">
        <v>2300000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</row>
    <row r="47" spans="1:24" ht="15">
      <c r="A47" s="177">
        <f>SUM(A44:A46)</f>
        <v>38762600</v>
      </c>
      <c r="B47" s="178">
        <f>A47/10^7</f>
        <v>3.8762599999999998</v>
      </c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</row>
    <row r="48" spans="1:24">
      <c r="A48" s="174">
        <f>A47*40%</f>
        <v>15505040</v>
      </c>
      <c r="B48" s="108">
        <f>A48/10^7</f>
        <v>1.5505040000000001</v>
      </c>
      <c r="C48" s="162" t="s">
        <v>191</v>
      </c>
    </row>
    <row r="49" spans="1:24">
      <c r="A49" s="174">
        <f>A47*0.6</f>
        <v>23257560</v>
      </c>
      <c r="B49" s="108">
        <f>A49/10^7</f>
        <v>2.3257560000000002</v>
      </c>
      <c r="C49" s="162" t="s">
        <v>192</v>
      </c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</row>
  </sheetData>
  <mergeCells count="6">
    <mergeCell ref="V2:X2"/>
    <mergeCell ref="A34:A35"/>
    <mergeCell ref="B34:B35"/>
    <mergeCell ref="H2:N2"/>
    <mergeCell ref="O2:U2"/>
    <mergeCell ref="A2:G2"/>
  </mergeCells>
  <dataValidations disablePrompts="1" count="1">
    <dataValidation type="list" allowBlank="1" showInputMessage="1" showErrorMessage="1" sqref="C30">
      <formula1>$B$28:$B$32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D29" sqref="D29"/>
    </sheetView>
  </sheetViews>
  <sheetFormatPr defaultRowHeight="15"/>
  <cols>
    <col min="2" max="2" width="9.140625" customWidth="1"/>
    <col min="3" max="3" width="7" bestFit="1" customWidth="1"/>
    <col min="4" max="4" width="38.28515625" bestFit="1" customWidth="1"/>
    <col min="5" max="5" width="22.28515625" bestFit="1" customWidth="1"/>
    <col min="6" max="6" width="11.5703125" bestFit="1" customWidth="1"/>
  </cols>
  <sheetData>
    <row r="6" spans="3:6" ht="15.75" thickBot="1"/>
    <row r="7" spans="3:6" ht="30">
      <c r="C7" s="220" t="s">
        <v>210</v>
      </c>
      <c r="D7" s="222" t="s">
        <v>105</v>
      </c>
      <c r="E7" s="130" t="s">
        <v>211</v>
      </c>
      <c r="F7" s="132" t="s">
        <v>213</v>
      </c>
    </row>
    <row r="8" spans="3:6" ht="15.75" thickBot="1">
      <c r="C8" s="221"/>
      <c r="D8" s="223"/>
      <c r="E8" s="131" t="s">
        <v>212</v>
      </c>
      <c r="F8" s="133">
        <v>44286</v>
      </c>
    </row>
    <row r="9" spans="3:6" ht="15.75" thickBot="1">
      <c r="C9" s="134">
        <v>1</v>
      </c>
      <c r="D9" s="135" t="s">
        <v>214</v>
      </c>
      <c r="E9" s="136">
        <v>2</v>
      </c>
      <c r="F9" s="137">
        <v>1.53</v>
      </c>
    </row>
    <row r="10" spans="3:6" ht="15.75" thickBot="1">
      <c r="C10" s="134">
        <v>2</v>
      </c>
      <c r="D10" s="135" t="s">
        <v>215</v>
      </c>
      <c r="E10" s="136">
        <v>25.25</v>
      </c>
      <c r="F10" s="137">
        <v>33.840000000000003</v>
      </c>
    </row>
    <row r="11" spans="3:6" ht="15.75" thickBot="1">
      <c r="C11" s="134">
        <v>3</v>
      </c>
      <c r="D11" s="135" t="s">
        <v>216</v>
      </c>
      <c r="E11" s="136">
        <v>0.8</v>
      </c>
      <c r="F11" s="224">
        <v>0.02</v>
      </c>
    </row>
    <row r="12" spans="3:6" ht="15.75" thickBot="1">
      <c r="C12" s="134">
        <v>4</v>
      </c>
      <c r="D12" s="135" t="s">
        <v>217</v>
      </c>
      <c r="E12" s="136">
        <v>4.8899999999999997</v>
      </c>
      <c r="F12" s="225"/>
    </row>
    <row r="13" spans="3:6" ht="15.75" thickBot="1">
      <c r="C13" s="134">
        <v>5</v>
      </c>
      <c r="D13" s="135" t="s">
        <v>218</v>
      </c>
      <c r="E13" s="136">
        <v>1.79</v>
      </c>
      <c r="F13" s="137" t="s">
        <v>14</v>
      </c>
    </row>
    <row r="14" spans="3:6" ht="15.75" thickBot="1">
      <c r="C14" s="138"/>
      <c r="D14" s="139" t="s">
        <v>203</v>
      </c>
      <c r="E14" s="139">
        <v>34.729999999999997</v>
      </c>
      <c r="F14" s="140">
        <v>35.4</v>
      </c>
    </row>
    <row r="15" spans="3:6" ht="15.75" thickBot="1">
      <c r="C15" s="134">
        <v>6</v>
      </c>
      <c r="D15" s="135" t="s">
        <v>219</v>
      </c>
      <c r="E15" s="136">
        <v>2.88</v>
      </c>
      <c r="F15" s="137"/>
    </row>
    <row r="16" spans="3:6" ht="15.75" thickBot="1">
      <c r="C16" s="134">
        <v>7</v>
      </c>
      <c r="D16" s="135" t="s">
        <v>220</v>
      </c>
      <c r="E16" s="136">
        <v>3</v>
      </c>
      <c r="F16" s="137"/>
    </row>
    <row r="17" spans="3:6" ht="15.75" thickBot="1">
      <c r="C17" s="138"/>
      <c r="D17" s="139" t="s">
        <v>204</v>
      </c>
      <c r="E17" s="139">
        <v>5.88</v>
      </c>
      <c r="F17" s="140"/>
    </row>
    <row r="18" spans="3:6" ht="15.75" thickBot="1">
      <c r="C18" s="138"/>
      <c r="D18" s="139" t="s">
        <v>205</v>
      </c>
      <c r="E18" s="139">
        <v>40.61</v>
      </c>
      <c r="F18" s="140"/>
    </row>
  </sheetData>
  <mergeCells count="3">
    <mergeCell ref="C7:C8"/>
    <mergeCell ref="D7:D8"/>
    <mergeCell ref="F11:F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O41"/>
  <sheetViews>
    <sheetView topLeftCell="C25" workbookViewId="0">
      <selection activeCell="O13" sqref="O13"/>
    </sheetView>
  </sheetViews>
  <sheetFormatPr defaultRowHeight="15"/>
  <cols>
    <col min="1" max="3" width="9.140625" style="111"/>
    <col min="4" max="4" width="19.42578125" style="111" bestFit="1" customWidth="1"/>
    <col min="5" max="5" width="15.85546875" style="111" bestFit="1" customWidth="1"/>
    <col min="6" max="6" width="9.140625" style="111"/>
    <col min="7" max="7" width="12.140625" style="111" bestFit="1" customWidth="1"/>
    <col min="8" max="8" width="6.140625" style="111" bestFit="1" customWidth="1"/>
    <col min="9" max="9" width="41.28515625" style="111" bestFit="1" customWidth="1"/>
    <col min="10" max="11" width="7.28515625" style="111" bestFit="1" customWidth="1"/>
    <col min="12" max="12" width="9.85546875" style="111" bestFit="1" customWidth="1"/>
    <col min="13" max="13" width="9.140625" style="111"/>
    <col min="14" max="14" width="9" style="111" bestFit="1" customWidth="1"/>
    <col min="15" max="15" width="13.28515625" style="111" bestFit="1" customWidth="1"/>
    <col min="16" max="16384" width="9.140625" style="111"/>
  </cols>
  <sheetData>
    <row r="10" spans="7:15">
      <c r="N10" s="112">
        <v>12800</v>
      </c>
    </row>
    <row r="11" spans="7:15">
      <c r="G11" s="111">
        <v>16350</v>
      </c>
      <c r="N11" s="113">
        <v>3716.05</v>
      </c>
    </row>
    <row r="12" spans="7:15">
      <c r="G12" s="114">
        <f>G11*2000</f>
        <v>32700000</v>
      </c>
      <c r="I12" s="111">
        <v>60</v>
      </c>
      <c r="J12" s="115">
        <v>0.9</v>
      </c>
      <c r="K12" s="116">
        <f>J12/I12</f>
        <v>1.5000000000000001E-2</v>
      </c>
      <c r="L12" s="114">
        <f>K12*G12</f>
        <v>490500.00000000006</v>
      </c>
      <c r="N12" s="117">
        <f>SUM(N10:N11)</f>
        <v>16516.05</v>
      </c>
      <c r="O12" s="111">
        <f>N12*10.764</f>
        <v>177778.76219999997</v>
      </c>
    </row>
    <row r="13" spans="7:15">
      <c r="O13" s="114">
        <f>O12*2000</f>
        <v>355557524.39999992</v>
      </c>
    </row>
    <row r="14" spans="7:15">
      <c r="O14" s="114">
        <f>O13*K12</f>
        <v>5333362.8659999995</v>
      </c>
    </row>
    <row r="20" spans="4:13">
      <c r="G20" s="111">
        <f>'Valuation RK'!B47</f>
        <v>3.8762599999999998</v>
      </c>
      <c r="I20" s="120">
        <f>G20+G21</f>
        <v>39.274386800000009</v>
      </c>
    </row>
    <row r="21" spans="4:13">
      <c r="E21" s="111">
        <v>64996257</v>
      </c>
      <c r="F21" s="118">
        <f>E21/10^7</f>
        <v>6.4996257000000002</v>
      </c>
      <c r="G21" s="121">
        <f>SUM(G22:G25)</f>
        <v>35.398126800000007</v>
      </c>
      <c r="H21" s="123" t="s">
        <v>210</v>
      </c>
      <c r="I21" s="124" t="s">
        <v>105</v>
      </c>
      <c r="J21" s="125"/>
      <c r="K21" s="125"/>
      <c r="L21" s="125"/>
      <c r="M21" s="125"/>
    </row>
    <row r="22" spans="4:13">
      <c r="G22" s="118">
        <v>1.53</v>
      </c>
      <c r="H22" s="126">
        <v>1</v>
      </c>
      <c r="I22" s="127" t="s">
        <v>202</v>
      </c>
      <c r="J22" s="127">
        <v>2</v>
      </c>
      <c r="K22" s="127">
        <v>1.53</v>
      </c>
      <c r="L22" s="127" t="s">
        <v>195</v>
      </c>
      <c r="M22" s="127">
        <v>1.53</v>
      </c>
    </row>
    <row r="23" spans="4:13">
      <c r="E23" s="122">
        <f>SUM(E24:E27)</f>
        <v>233367</v>
      </c>
      <c r="G23" s="118">
        <f>F21+F29</f>
        <v>33.844790100000004</v>
      </c>
      <c r="H23" s="126">
        <v>2</v>
      </c>
      <c r="I23" s="127" t="s">
        <v>196</v>
      </c>
      <c r="J23" s="127">
        <v>25.25</v>
      </c>
      <c r="K23" s="127">
        <v>22.78</v>
      </c>
      <c r="L23" s="127">
        <v>6.49</v>
      </c>
      <c r="M23" s="127">
        <v>29.27</v>
      </c>
    </row>
    <row r="24" spans="4:13">
      <c r="D24" s="111" t="s">
        <v>206</v>
      </c>
      <c r="E24" s="114">
        <v>206852</v>
      </c>
      <c r="G24" s="118">
        <f>E23/10^7</f>
        <v>2.3336699999999998E-2</v>
      </c>
      <c r="H24" s="126">
        <v>3</v>
      </c>
      <c r="I24" s="127" t="s">
        <v>197</v>
      </c>
      <c r="J24" s="127">
        <v>0.8</v>
      </c>
      <c r="K24" s="127" t="s">
        <v>195</v>
      </c>
      <c r="L24" s="127">
        <v>1.02</v>
      </c>
      <c r="M24" s="127">
        <v>1.02</v>
      </c>
    </row>
    <row r="25" spans="4:13">
      <c r="D25" s="111" t="s">
        <v>207</v>
      </c>
      <c r="E25" s="114">
        <v>7966</v>
      </c>
      <c r="G25" s="118"/>
      <c r="H25" s="126">
        <v>4</v>
      </c>
      <c r="I25" s="127" t="s">
        <v>198</v>
      </c>
      <c r="J25" s="127">
        <v>4.8899999999999997</v>
      </c>
      <c r="K25" s="127">
        <v>1.02</v>
      </c>
      <c r="L25" s="127">
        <v>1.7</v>
      </c>
      <c r="M25" s="127">
        <v>2.72</v>
      </c>
    </row>
    <row r="26" spans="4:13">
      <c r="D26" s="111" t="s">
        <v>208</v>
      </c>
      <c r="E26" s="114">
        <v>11250</v>
      </c>
      <c r="G26" s="118"/>
      <c r="H26" s="126">
        <v>5</v>
      </c>
      <c r="I26" s="127" t="s">
        <v>199</v>
      </c>
      <c r="J26" s="127">
        <v>1.79</v>
      </c>
      <c r="K26" s="127" t="s">
        <v>195</v>
      </c>
      <c r="L26" s="127" t="s">
        <v>195</v>
      </c>
      <c r="M26" s="127" t="s">
        <v>14</v>
      </c>
    </row>
    <row r="27" spans="4:13">
      <c r="D27" s="111" t="s">
        <v>209</v>
      </c>
      <c r="E27" s="114">
        <v>7299</v>
      </c>
      <c r="G27" s="118"/>
      <c r="H27" s="126"/>
      <c r="I27" s="127" t="s">
        <v>203</v>
      </c>
      <c r="J27" s="128">
        <f>SUM(J22:J26)</f>
        <v>34.729999999999997</v>
      </c>
      <c r="K27" s="128">
        <f t="shared" ref="K27:M27" si="0">SUM(K22:K26)</f>
        <v>25.330000000000002</v>
      </c>
      <c r="L27" s="128">
        <f t="shared" si="0"/>
        <v>9.2099999999999991</v>
      </c>
      <c r="M27" s="128">
        <f t="shared" si="0"/>
        <v>34.54</v>
      </c>
    </row>
    <row r="28" spans="4:13">
      <c r="D28" s="111" t="s">
        <v>28</v>
      </c>
      <c r="E28" s="114">
        <v>273218277</v>
      </c>
      <c r="G28" s="118"/>
      <c r="H28" s="126">
        <v>6</v>
      </c>
      <c r="I28" s="127" t="s">
        <v>200</v>
      </c>
      <c r="J28" s="127">
        <v>2.88</v>
      </c>
      <c r="K28" s="127">
        <v>1.64</v>
      </c>
      <c r="L28" s="127" t="s">
        <v>195</v>
      </c>
      <c r="M28" s="127">
        <v>1.64</v>
      </c>
    </row>
    <row r="29" spans="4:13">
      <c r="E29" s="119">
        <f>SUM(E24:E28)</f>
        <v>273451644</v>
      </c>
      <c r="F29" s="118">
        <f>E29/10^7</f>
        <v>27.345164400000002</v>
      </c>
      <c r="G29" s="118"/>
      <c r="H29" s="126">
        <v>7</v>
      </c>
      <c r="I29" s="127" t="s">
        <v>201</v>
      </c>
      <c r="J29" s="127">
        <v>3</v>
      </c>
      <c r="K29" s="127">
        <v>10.210000000000001</v>
      </c>
      <c r="L29" s="127">
        <v>4.47</v>
      </c>
      <c r="M29" s="127">
        <v>14.69</v>
      </c>
    </row>
    <row r="30" spans="4:13">
      <c r="G30" s="118"/>
      <c r="H30" s="126"/>
      <c r="I30" s="127" t="s">
        <v>204</v>
      </c>
      <c r="J30" s="128">
        <f>SUM(J28:J29)</f>
        <v>5.88</v>
      </c>
      <c r="K30" s="128">
        <f t="shared" ref="K30:M30" si="1">SUM(K28:K29)</f>
        <v>11.850000000000001</v>
      </c>
      <c r="L30" s="128">
        <f t="shared" si="1"/>
        <v>4.47</v>
      </c>
      <c r="M30" s="128">
        <f t="shared" si="1"/>
        <v>16.329999999999998</v>
      </c>
    </row>
    <row r="31" spans="4:13">
      <c r="H31" s="126"/>
      <c r="I31" s="127" t="s">
        <v>205</v>
      </c>
      <c r="J31" s="129">
        <f>J30+J27</f>
        <v>40.61</v>
      </c>
      <c r="K31" s="129">
        <f t="shared" ref="K31:M31" si="2">K30+K27</f>
        <v>37.180000000000007</v>
      </c>
      <c r="L31" s="129">
        <f t="shared" si="2"/>
        <v>13.68</v>
      </c>
      <c r="M31" s="129">
        <f t="shared" si="2"/>
        <v>50.87</v>
      </c>
    </row>
    <row r="36" spans="5:5">
      <c r="E36" s="111">
        <v>2260357</v>
      </c>
    </row>
    <row r="37" spans="5:5">
      <c r="E37" s="111">
        <v>2026342</v>
      </c>
    </row>
    <row r="38" spans="5:5">
      <c r="E38" s="111">
        <v>2217583</v>
      </c>
    </row>
    <row r="39" spans="5:5">
      <c r="E39" s="111">
        <v>2193396</v>
      </c>
    </row>
    <row r="40" spans="5:5">
      <c r="E40" s="111">
        <v>666790</v>
      </c>
    </row>
    <row r="41" spans="5:5">
      <c r="E41" s="114">
        <f>SUM(E36:E40)</f>
        <v>9364468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6"/>
  <sheetViews>
    <sheetView tabSelected="1" topLeftCell="B61" workbookViewId="0">
      <selection activeCell="H83" sqref="H83"/>
    </sheetView>
  </sheetViews>
  <sheetFormatPr defaultRowHeight="12"/>
  <cols>
    <col min="1" max="1" width="9.140625" style="187"/>
    <col min="2" max="2" width="35.85546875" style="187" bestFit="1" customWidth="1"/>
    <col min="3" max="8" width="10.85546875" style="187" bestFit="1" customWidth="1"/>
    <col min="9" max="9" width="12.140625" style="187" customWidth="1"/>
    <col min="10" max="10" width="14.42578125" style="187" bestFit="1" customWidth="1"/>
    <col min="11" max="11" width="8.85546875" style="187" customWidth="1"/>
    <col min="12" max="16384" width="9.140625" style="187"/>
  </cols>
  <sheetData>
    <row r="3" spans="2:8">
      <c r="B3" s="226" t="s">
        <v>104</v>
      </c>
      <c r="C3" s="226"/>
      <c r="D3" s="226"/>
      <c r="E3" s="226"/>
      <c r="F3" s="226"/>
      <c r="G3" s="226"/>
      <c r="H3" s="226"/>
    </row>
    <row r="4" spans="2:8">
      <c r="B4" s="188" t="s">
        <v>105</v>
      </c>
      <c r="C4" s="189">
        <f>'Valuation RK'!B3</f>
        <v>2023</v>
      </c>
      <c r="D4" s="189">
        <f>'Valuation RK'!C3</f>
        <v>2024</v>
      </c>
      <c r="E4" s="189">
        <f>'Valuation RK'!D3</f>
        <v>2025</v>
      </c>
      <c r="F4" s="189">
        <f>'Valuation RK'!E3</f>
        <v>2026</v>
      </c>
      <c r="G4" s="189">
        <f>'Valuation RK'!F3</f>
        <v>2027</v>
      </c>
      <c r="H4" s="189">
        <f>'Valuation RK'!G3</f>
        <v>2028</v>
      </c>
    </row>
    <row r="5" spans="2:8">
      <c r="B5" s="190" t="s">
        <v>165</v>
      </c>
      <c r="C5" s="185">
        <f>'Valuation RK'!B4</f>
        <v>2.6305327597179624</v>
      </c>
      <c r="D5" s="185">
        <f>'Valuation RK'!C4</f>
        <v>3.9308569969677141</v>
      </c>
      <c r="E5" s="185">
        <f>'Valuation RK'!D4</f>
        <v>4.1645771119962163</v>
      </c>
      <c r="F5" s="185">
        <f>'Valuation RK'!E4</f>
        <v>4.2816404577284777</v>
      </c>
      <c r="G5" s="185">
        <f>'Valuation RK'!F4</f>
        <v>4.5553448194658248</v>
      </c>
      <c r="H5" s="185">
        <f>'Valuation RK'!G4</f>
        <v>4.7101343072332327</v>
      </c>
    </row>
    <row r="6" spans="2:8" s="192" customFormat="1">
      <c r="B6" s="191" t="s">
        <v>182</v>
      </c>
      <c r="C6" s="186">
        <f>'Valuation RK'!B5</f>
        <v>0</v>
      </c>
      <c r="D6" s="186">
        <f>'Valuation RK'!C5</f>
        <v>0.49431972760877851</v>
      </c>
      <c r="E6" s="186">
        <f>'Valuation RK'!D5</f>
        <v>5.9457801494380298E-2</v>
      </c>
      <c r="F6" s="186">
        <f>'Valuation RK'!E5</f>
        <v>2.8109299596123738E-2</v>
      </c>
      <c r="G6" s="186">
        <f>'Valuation RK'!F5</f>
        <v>6.3925115721312681E-2</v>
      </c>
      <c r="H6" s="186">
        <f>'Valuation RK'!G5</f>
        <v>3.3979752115792412E-2</v>
      </c>
    </row>
    <row r="7" spans="2:8">
      <c r="B7" s="190" t="s">
        <v>113</v>
      </c>
      <c r="C7" s="185">
        <f>'Valuation RK'!B6</f>
        <v>2.1036391258658584</v>
      </c>
      <c r="D7" s="185">
        <f>'Valuation RK'!C6</f>
        <v>3.3639438547879523</v>
      </c>
      <c r="E7" s="185">
        <f>'Valuation RK'!D6</f>
        <v>2.2046048327214529</v>
      </c>
      <c r="F7" s="185">
        <f>'Valuation RK'!E6</f>
        <v>2.2353385416129541</v>
      </c>
      <c r="G7" s="185">
        <f>'Valuation RK'!F6</f>
        <v>2.3576313411247303</v>
      </c>
      <c r="H7" s="185">
        <f>'Valuation RK'!G6</f>
        <v>2.4071604855269908</v>
      </c>
    </row>
    <row r="8" spans="2:8" s="192" customFormat="1">
      <c r="B8" s="191" t="s">
        <v>183</v>
      </c>
      <c r="C8" s="186">
        <f>'Valuation RK'!B7</f>
        <v>0.79970078992340854</v>
      </c>
      <c r="D8" s="186">
        <f>'Valuation RK'!C7</f>
        <v>0.8557787417305992</v>
      </c>
      <c r="E8" s="186">
        <f>'Valuation RK'!D7</f>
        <v>0.5293706355853055</v>
      </c>
      <c r="F8" s="186">
        <f>'Valuation RK'!E7</f>
        <v>0.52207525682781397</v>
      </c>
      <c r="G8" s="186">
        <f>'Valuation RK'!F7</f>
        <v>0.51755277252561405</v>
      </c>
      <c r="H8" s="186">
        <f>'Valuation RK'!G7</f>
        <v>0.5110598400199281</v>
      </c>
    </row>
    <row r="9" spans="2:8">
      <c r="B9" s="190" t="s">
        <v>166</v>
      </c>
      <c r="C9" s="185">
        <f>'Valuation RK'!B8</f>
        <v>0.75363912586585835</v>
      </c>
      <c r="D9" s="185">
        <f>'Valuation RK'!C8</f>
        <v>2.0139438547879522</v>
      </c>
      <c r="E9" s="185">
        <f>'Valuation RK'!D8</f>
        <v>0.85460483272145282</v>
      </c>
      <c r="F9" s="185">
        <f>'Valuation RK'!E8</f>
        <v>0.885338541612954</v>
      </c>
      <c r="G9" s="185">
        <f>'Valuation RK'!F8</f>
        <v>1.0076313411247302</v>
      </c>
      <c r="H9" s="185">
        <f>'Valuation RK'!G8</f>
        <v>1.0571604855269907</v>
      </c>
    </row>
    <row r="10" spans="2:8" s="192" customFormat="1">
      <c r="B10" s="191" t="s">
        <v>183</v>
      </c>
      <c r="C10" s="186">
        <f>'Valuation RK'!B9</f>
        <v>0.28649676499245014</v>
      </c>
      <c r="D10" s="186">
        <f>'Valuation RK'!C9</f>
        <v>0.51234218297473555</v>
      </c>
      <c r="E10" s="186">
        <f>'Valuation RK'!D9</f>
        <v>0.20520807028875332</v>
      </c>
      <c r="F10" s="186">
        <f>'Valuation RK'!E9</f>
        <v>0.20677554557737182</v>
      </c>
      <c r="G10" s="186">
        <f>'Valuation RK'!F9</f>
        <v>0.22119759997507465</v>
      </c>
      <c r="H10" s="186">
        <f>'Valuation RK'!G9</f>
        <v>0.2244438091507362</v>
      </c>
    </row>
    <row r="11" spans="2:8">
      <c r="B11" s="190" t="s">
        <v>178</v>
      </c>
      <c r="C11" s="185">
        <f>'Valuation RK'!B10</f>
        <v>0.26</v>
      </c>
      <c r="D11" s="185">
        <f>'Valuation RK'!C10</f>
        <v>0.26</v>
      </c>
      <c r="E11" s="185">
        <f>'Valuation RK'!D10</f>
        <v>0.2782</v>
      </c>
      <c r="F11" s="185">
        <f>'Valuation RK'!E10</f>
        <v>0.2782</v>
      </c>
      <c r="G11" s="185">
        <f>'Valuation RK'!F10</f>
        <v>0.2782</v>
      </c>
      <c r="H11" s="185">
        <f>'Valuation RK'!G10</f>
        <v>0.2782</v>
      </c>
    </row>
    <row r="12" spans="2:8">
      <c r="B12" s="190" t="s">
        <v>167</v>
      </c>
      <c r="C12" s="185">
        <f>'Valuation RK'!B11</f>
        <v>0.55769295314073519</v>
      </c>
      <c r="D12" s="185">
        <f>'Valuation RK'!C11</f>
        <v>1.4903184525430846</v>
      </c>
      <c r="E12" s="185">
        <f>'Valuation RK'!D11</f>
        <v>0.61685376825834459</v>
      </c>
      <c r="F12" s="185">
        <f>'Valuation RK'!E11</f>
        <v>0.63903735933623018</v>
      </c>
      <c r="G12" s="185">
        <f>'Valuation RK'!F11</f>
        <v>0.72730830202383023</v>
      </c>
      <c r="H12" s="185">
        <f>'Valuation RK'!G11</f>
        <v>0.76305843845338184</v>
      </c>
    </row>
    <row r="13" spans="2:8" s="192" customFormat="1">
      <c r="B13" s="191" t="s">
        <v>183</v>
      </c>
      <c r="C13" s="186">
        <f>'Valuation RK'!B12</f>
        <v>0.2120076060944131</v>
      </c>
      <c r="D13" s="186">
        <f>'Valuation RK'!C12</f>
        <v>0.37913321540130435</v>
      </c>
      <c r="E13" s="186">
        <f>'Valuation RK'!D12</f>
        <v>0.14811918513442213</v>
      </c>
      <c r="F13" s="186">
        <f>'Valuation RK'!E12</f>
        <v>0.14925058879774697</v>
      </c>
      <c r="G13" s="186">
        <f>'Valuation RK'!F12</f>
        <v>0.15966042766200889</v>
      </c>
      <c r="H13" s="186">
        <f>'Valuation RK'!G12</f>
        <v>0.16200354144500137</v>
      </c>
    </row>
    <row r="14" spans="2:8">
      <c r="B14" s="190" t="s">
        <v>168</v>
      </c>
      <c r="C14" s="185">
        <f>'Valuation RK'!B13</f>
        <v>1.37</v>
      </c>
      <c r="D14" s="185">
        <f>'Valuation RK'!C13</f>
        <v>1.37</v>
      </c>
      <c r="E14" s="185">
        <f>'Valuation RK'!D13</f>
        <v>1.37</v>
      </c>
      <c r="F14" s="185">
        <f>'Valuation RK'!E13</f>
        <v>1.37</v>
      </c>
      <c r="G14" s="185">
        <f>'Valuation RK'!F13</f>
        <v>1.37</v>
      </c>
      <c r="H14" s="185">
        <f>'Valuation RK'!G13</f>
        <v>1.37</v>
      </c>
    </row>
    <row r="15" spans="2:8" s="192" customFormat="1">
      <c r="B15" s="191" t="s">
        <v>183</v>
      </c>
      <c r="C15" s="186">
        <f>'Valuation RK'!B14</f>
        <v>0.52080704752252815</v>
      </c>
      <c r="D15" s="186">
        <f>'Valuation RK'!C14</f>
        <v>0.34852450777446903</v>
      </c>
      <c r="E15" s="186">
        <f>'Valuation RK'!D14</f>
        <v>0.32896497367131589</v>
      </c>
      <c r="F15" s="186">
        <f>'Valuation RK'!E14</f>
        <v>0.31997081808378208</v>
      </c>
      <c r="G15" s="186">
        <f>'Valuation RK'!F14</f>
        <v>0.30074561955128809</v>
      </c>
      <c r="H15" s="186">
        <f>'Valuation RK'!G14</f>
        <v>0.29086219428947624</v>
      </c>
    </row>
    <row r="16" spans="2:8">
      <c r="B16" s="190" t="s">
        <v>179</v>
      </c>
      <c r="C16" s="185">
        <f>'Valuation RK'!B15</f>
        <v>0</v>
      </c>
      <c r="D16" s="185">
        <f>'Valuation RK'!C15</f>
        <v>0</v>
      </c>
      <c r="E16" s="185">
        <f>'Valuation RK'!D15</f>
        <v>0</v>
      </c>
      <c r="F16" s="185">
        <f>'Valuation RK'!E15</f>
        <v>0</v>
      </c>
      <c r="G16" s="185">
        <f>'Valuation RK'!F15</f>
        <v>0</v>
      </c>
      <c r="H16" s="185">
        <f>'Valuation RK'!G15</f>
        <v>0</v>
      </c>
    </row>
    <row r="17" spans="2:8" s="192" customFormat="1">
      <c r="B17" s="191" t="s">
        <v>183</v>
      </c>
      <c r="C17" s="186">
        <f>'Valuation RK'!B16</f>
        <v>0</v>
      </c>
      <c r="D17" s="186">
        <f>'Valuation RK'!C16</f>
        <v>0</v>
      </c>
      <c r="E17" s="186">
        <f>'Valuation RK'!D16</f>
        <v>0</v>
      </c>
      <c r="F17" s="186">
        <f>'Valuation RK'!E16</f>
        <v>0</v>
      </c>
      <c r="G17" s="186">
        <f>'Valuation RK'!F16</f>
        <v>0</v>
      </c>
      <c r="H17" s="186">
        <f>'Valuation RK'!G16</f>
        <v>0</v>
      </c>
    </row>
    <row r="18" spans="2:8">
      <c r="B18" s="190" t="s">
        <v>180</v>
      </c>
      <c r="C18" s="185">
        <f>'Valuation RK'!B17</f>
        <v>1.5505040000000001</v>
      </c>
      <c r="D18" s="185">
        <f>'Valuation RK'!C17</f>
        <v>2.3257560000000002</v>
      </c>
      <c r="E18" s="185">
        <f>'Valuation RK'!D17</f>
        <v>0</v>
      </c>
      <c r="F18" s="185">
        <f>'Valuation RK'!E17</f>
        <v>0</v>
      </c>
      <c r="G18" s="185">
        <f>'Valuation RK'!F17</f>
        <v>0</v>
      </c>
      <c r="H18" s="185">
        <f>'Valuation RK'!G17</f>
        <v>0</v>
      </c>
    </row>
    <row r="19" spans="2:8" s="192" customFormat="1">
      <c r="B19" s="191" t="s">
        <v>183</v>
      </c>
      <c r="C19" s="186">
        <f>'Valuation RK'!B18</f>
        <v>0.58942584701596357</v>
      </c>
      <c r="D19" s="186">
        <f>'Valuation RK'!C18</f>
        <v>0.59166639788577957</v>
      </c>
      <c r="E19" s="186">
        <f>'Valuation RK'!D18</f>
        <v>0</v>
      </c>
      <c r="F19" s="186">
        <f>'Valuation RK'!E18</f>
        <v>0</v>
      </c>
      <c r="G19" s="186">
        <f>'Valuation RK'!F18</f>
        <v>0</v>
      </c>
      <c r="H19" s="186">
        <f>'Valuation RK'!G18</f>
        <v>0</v>
      </c>
    </row>
    <row r="20" spans="2:8">
      <c r="B20" s="193" t="s">
        <v>181</v>
      </c>
      <c r="C20" s="194">
        <f>C12+C14-C16-C18</f>
        <v>0.37718895314073508</v>
      </c>
      <c r="D20" s="194">
        <f t="shared" ref="D20:H20" si="0">D12+D14-D16-D18</f>
        <v>0.53456245254308454</v>
      </c>
      <c r="E20" s="194">
        <f t="shared" si="0"/>
        <v>1.9868537682583447</v>
      </c>
      <c r="F20" s="194">
        <f t="shared" si="0"/>
        <v>2.0090373593362303</v>
      </c>
      <c r="G20" s="194">
        <f t="shared" si="0"/>
        <v>2.0973083020238303</v>
      </c>
      <c r="H20" s="194">
        <f t="shared" si="0"/>
        <v>2.1330584384533822</v>
      </c>
    </row>
    <row r="21" spans="2:8">
      <c r="B21" s="190"/>
      <c r="C21" s="190"/>
      <c r="D21" s="190"/>
      <c r="E21" s="190"/>
      <c r="F21" s="190"/>
      <c r="G21" s="190"/>
      <c r="H21" s="190"/>
    </row>
    <row r="22" spans="2:8">
      <c r="B22" s="188" t="s">
        <v>105</v>
      </c>
      <c r="C22" s="189">
        <f>'Valuation RK'!H3</f>
        <v>2029</v>
      </c>
      <c r="D22" s="189">
        <f>'Valuation RK'!I3</f>
        <v>2030</v>
      </c>
      <c r="E22" s="189">
        <f>'Valuation RK'!J3</f>
        <v>2031</v>
      </c>
      <c r="F22" s="189">
        <f>'Valuation RK'!K3</f>
        <v>2032</v>
      </c>
      <c r="G22" s="189">
        <f>'Valuation RK'!L3</f>
        <v>2033</v>
      </c>
      <c r="H22" s="189">
        <f>'Valuation RK'!M3</f>
        <v>2034</v>
      </c>
    </row>
    <row r="23" spans="2:8">
      <c r="B23" s="190" t="s">
        <v>165</v>
      </c>
      <c r="C23" s="195">
        <f>'Valuation RK'!H4</f>
        <v>5.0159533717232367</v>
      </c>
      <c r="D23" s="195">
        <f>'Valuation RK'!I4</f>
        <v>5.1984959004977593</v>
      </c>
      <c r="E23" s="195">
        <f>'Valuation RK'!J4</f>
        <v>5.5413397244508316</v>
      </c>
      <c r="F23" s="195">
        <f>'Valuation RK'!K4</f>
        <v>5.7816563539852028</v>
      </c>
      <c r="G23" s="195">
        <f>'Valuation RK'!L4</f>
        <v>6.1968738960193201</v>
      </c>
      <c r="H23" s="195">
        <f>'Valuation RK'!M4</f>
        <v>6.485521674692194</v>
      </c>
    </row>
    <row r="24" spans="2:8" s="197" customFormat="1">
      <c r="B24" s="191" t="s">
        <v>182</v>
      </c>
      <c r="C24" s="196">
        <f>'Valuation RK'!H5</f>
        <v>6.4927886243151406E-2</v>
      </c>
      <c r="D24" s="196">
        <f>'Valuation RK'!I5</f>
        <v>3.6392389491413851E-2</v>
      </c>
      <c r="E24" s="196">
        <f>'Valuation RK'!J5</f>
        <v>6.595058080554507E-2</v>
      </c>
      <c r="F24" s="196">
        <f>'Valuation RK'!K5</f>
        <v>4.3367965417097323E-2</v>
      </c>
      <c r="G24" s="196">
        <f>'Valuation RK'!L5</f>
        <v>7.1816364829070917E-2</v>
      </c>
      <c r="H24" s="196">
        <f>'Valuation RK'!M5</f>
        <v>4.6579579238863036E-2</v>
      </c>
    </row>
    <row r="25" spans="2:8">
      <c r="B25" s="190" t="s">
        <v>113</v>
      </c>
      <c r="C25" s="195">
        <f>'Valuation RK'!H6</f>
        <v>2.5419536549494279</v>
      </c>
      <c r="D25" s="195">
        <f>'Valuation RK'!I6</f>
        <v>2.6038521434292177</v>
      </c>
      <c r="E25" s="195">
        <f>'Valuation RK'!J6</f>
        <v>2.7532922862584797</v>
      </c>
      <c r="F25" s="195">
        <f>'Valuation RK'!K6</f>
        <v>2.8452598780024285</v>
      </c>
      <c r="G25" s="195">
        <f>'Valuation RK'!L6</f>
        <v>3.0297973204537145</v>
      </c>
      <c r="H25" s="195">
        <f>'Valuation RK'!M6</f>
        <v>3.1456442585753872</v>
      </c>
    </row>
    <row r="26" spans="2:8" s="197" customFormat="1">
      <c r="B26" s="191" t="s">
        <v>183</v>
      </c>
      <c r="C26" s="196">
        <f>'Valuation RK'!H7</f>
        <v>0.5067737808886642</v>
      </c>
      <c r="D26" s="196">
        <f>'Valuation RK'!I7</f>
        <v>0.50088567794771122</v>
      </c>
      <c r="E26" s="196">
        <f>'Valuation RK'!J7</f>
        <v>0.49686401180381368</v>
      </c>
      <c r="F26" s="196">
        <f>'Valuation RK'!K7</f>
        <v>0.49211846982936586</v>
      </c>
      <c r="G26" s="196">
        <f>'Valuation RK'!L7</f>
        <v>0.48892350744783791</v>
      </c>
      <c r="H26" s="196">
        <f>'Valuation RK'!M7</f>
        <v>0.48502563345834182</v>
      </c>
    </row>
    <row r="27" spans="2:8">
      <c r="B27" s="190" t="s">
        <v>166</v>
      </c>
      <c r="C27" s="195">
        <f>'Valuation RK'!H8</f>
        <v>1.1919536549494278</v>
      </c>
      <c r="D27" s="195">
        <f>'Valuation RK'!I8</f>
        <v>1.2538521434292176</v>
      </c>
      <c r="E27" s="195">
        <f>'Valuation RK'!J8</f>
        <v>1.4032922862584796</v>
      </c>
      <c r="F27" s="195">
        <f>'Valuation RK'!K8</f>
        <v>1.4952598780024284</v>
      </c>
      <c r="G27" s="195">
        <f>'Valuation RK'!L8</f>
        <v>1.6797973204537144</v>
      </c>
      <c r="H27" s="195">
        <f>'Valuation RK'!M8</f>
        <v>1.7956442585753871</v>
      </c>
    </row>
    <row r="28" spans="2:8" s="197" customFormat="1">
      <c r="B28" s="191" t="s">
        <v>183</v>
      </c>
      <c r="C28" s="196">
        <f>'Valuation RK'!H9</f>
        <v>0.2376325229953106</v>
      </c>
      <c r="D28" s="196">
        <f>'Valuation RK'!I9</f>
        <v>0.24119517788004036</v>
      </c>
      <c r="E28" s="196">
        <f>'Valuation RK'!J9</f>
        <v>0.25324061617563998</v>
      </c>
      <c r="F28" s="196">
        <f>'Valuation RK'!K9</f>
        <v>0.25862136842010158</v>
      </c>
      <c r="G28" s="196">
        <f>'Valuation RK'!L9</f>
        <v>0.27107172884908376</v>
      </c>
      <c r="H28" s="196">
        <f>'Valuation RK'!M9</f>
        <v>0.27686967196214163</v>
      </c>
    </row>
    <row r="29" spans="2:8">
      <c r="B29" s="190" t="s">
        <v>178</v>
      </c>
      <c r="C29" s="195">
        <f>'Valuation RK'!H10</f>
        <v>0.2782</v>
      </c>
      <c r="D29" s="195">
        <f>'Valuation RK'!I10</f>
        <v>0.2782</v>
      </c>
      <c r="E29" s="195">
        <f>'Valuation RK'!J10</f>
        <v>0.2782</v>
      </c>
      <c r="F29" s="195">
        <f>'Valuation RK'!K10</f>
        <v>0.2782</v>
      </c>
      <c r="G29" s="195">
        <f>'Valuation RK'!L10</f>
        <v>0.2782</v>
      </c>
      <c r="H29" s="195">
        <f>'Valuation RK'!M10</f>
        <v>0.2782</v>
      </c>
    </row>
    <row r="30" spans="2:8">
      <c r="B30" s="190" t="s">
        <v>167</v>
      </c>
      <c r="C30" s="195">
        <f>'Valuation RK'!H11</f>
        <v>0.86035214814249705</v>
      </c>
      <c r="D30" s="195">
        <f>'Valuation RK'!I11</f>
        <v>0.9050304771272093</v>
      </c>
      <c r="E30" s="195">
        <f>'Valuation RK'!J11</f>
        <v>1.0128963722213706</v>
      </c>
      <c r="F30" s="195">
        <f>'Valuation RK'!K11</f>
        <v>1.0792785799421529</v>
      </c>
      <c r="G30" s="195">
        <f>'Valuation RK'!L11</f>
        <v>1.212477705903491</v>
      </c>
      <c r="H30" s="195">
        <f>'Valuation RK'!M11</f>
        <v>1.2960960258397145</v>
      </c>
    </row>
    <row r="31" spans="2:8" s="197" customFormat="1">
      <c r="B31" s="191" t="s">
        <v>183</v>
      </c>
      <c r="C31" s="196">
        <f>'Valuation RK'!H12</f>
        <v>0.17152315509801522</v>
      </c>
      <c r="D31" s="196">
        <f>'Valuation RK'!I12</f>
        <v>0.17409467939381312</v>
      </c>
      <c r="E31" s="196">
        <f>'Valuation RK'!J12</f>
        <v>0.18278907675557693</v>
      </c>
      <c r="F31" s="196">
        <f>'Valuation RK'!K12</f>
        <v>0.18667290372562934</v>
      </c>
      <c r="G31" s="196">
        <f>'Valuation RK'!L12</f>
        <v>0.19565957388326866</v>
      </c>
      <c r="H31" s="196">
        <f>'Valuation RK'!M12</f>
        <v>0.19984452922227383</v>
      </c>
    </row>
    <row r="32" spans="2:8">
      <c r="B32" s="190" t="s">
        <v>168</v>
      </c>
      <c r="C32" s="195">
        <f>'Valuation RK'!H13</f>
        <v>1.37</v>
      </c>
      <c r="D32" s="195">
        <f>'Valuation RK'!I13</f>
        <v>1.37</v>
      </c>
      <c r="E32" s="195">
        <f>'Valuation RK'!J13</f>
        <v>1.37</v>
      </c>
      <c r="F32" s="195">
        <f>'Valuation RK'!K13</f>
        <v>1.37</v>
      </c>
      <c r="G32" s="195">
        <f>'Valuation RK'!L13</f>
        <v>1.37</v>
      </c>
      <c r="H32" s="195">
        <f>'Valuation RK'!M13</f>
        <v>1.37</v>
      </c>
    </row>
    <row r="33" spans="2:8" s="197" customFormat="1">
      <c r="B33" s="191" t="s">
        <v>183</v>
      </c>
      <c r="C33" s="196">
        <f>'Valuation RK'!H14</f>
        <v>0.27312853578806995</v>
      </c>
      <c r="D33" s="196">
        <f>'Valuation RK'!I14</f>
        <v>0.26353776673534007</v>
      </c>
      <c r="E33" s="196">
        <f>'Valuation RK'!J14</f>
        <v>0.24723263111896149</v>
      </c>
      <c r="F33" s="196">
        <f>'Valuation RK'!K14</f>
        <v>0.23695631772643858</v>
      </c>
      <c r="G33" s="196">
        <f>'Valuation RK'!L14</f>
        <v>0.22107921235577274</v>
      </c>
      <c r="H33" s="196">
        <f>'Valuation RK'!M14</f>
        <v>0.21123975351836613</v>
      </c>
    </row>
    <row r="34" spans="2:8">
      <c r="B34" s="190" t="s">
        <v>179</v>
      </c>
      <c r="C34" s="195">
        <f>'Valuation RK'!H15</f>
        <v>0</v>
      </c>
      <c r="D34" s="195">
        <f>'Valuation RK'!I15</f>
        <v>0</v>
      </c>
      <c r="E34" s="195">
        <f>'Valuation RK'!J15</f>
        <v>0</v>
      </c>
      <c r="F34" s="195">
        <f>'Valuation RK'!K15</f>
        <v>0</v>
      </c>
      <c r="G34" s="195">
        <f>'Valuation RK'!L15</f>
        <v>0</v>
      </c>
      <c r="H34" s="195">
        <f>'Valuation RK'!M15</f>
        <v>0</v>
      </c>
    </row>
    <row r="35" spans="2:8" s="197" customFormat="1">
      <c r="B35" s="191" t="s">
        <v>183</v>
      </c>
      <c r="C35" s="196">
        <f>'Valuation RK'!H16</f>
        <v>0</v>
      </c>
      <c r="D35" s="196">
        <f>'Valuation RK'!I16</f>
        <v>0</v>
      </c>
      <c r="E35" s="196">
        <f>'Valuation RK'!J16</f>
        <v>0</v>
      </c>
      <c r="F35" s="196">
        <f>'Valuation RK'!K16</f>
        <v>0</v>
      </c>
      <c r="G35" s="196">
        <f>'Valuation RK'!L16</f>
        <v>0</v>
      </c>
      <c r="H35" s="196">
        <f>'Valuation RK'!M16</f>
        <v>0</v>
      </c>
    </row>
    <row r="36" spans="2:8">
      <c r="B36" s="190" t="s">
        <v>180</v>
      </c>
      <c r="C36" s="195">
        <f>'Valuation RK'!H17</f>
        <v>0</v>
      </c>
      <c r="D36" s="195">
        <f>'Valuation RK'!I17</f>
        <v>0</v>
      </c>
      <c r="E36" s="195">
        <f>'Valuation RK'!J17</f>
        <v>0</v>
      </c>
      <c r="F36" s="195">
        <f>'Valuation RK'!K17</f>
        <v>0</v>
      </c>
      <c r="G36" s="195">
        <f>'Valuation RK'!L17</f>
        <v>0</v>
      </c>
      <c r="H36" s="195">
        <f>'Valuation RK'!M17</f>
        <v>0</v>
      </c>
    </row>
    <row r="37" spans="2:8" s="197" customFormat="1">
      <c r="B37" s="191" t="s">
        <v>183</v>
      </c>
      <c r="C37" s="196">
        <f>'Valuation RK'!H18</f>
        <v>0</v>
      </c>
      <c r="D37" s="196">
        <f>'Valuation RK'!I18</f>
        <v>0</v>
      </c>
      <c r="E37" s="196">
        <f>'Valuation RK'!J18</f>
        <v>0</v>
      </c>
      <c r="F37" s="196">
        <f>'Valuation RK'!K18</f>
        <v>0</v>
      </c>
      <c r="G37" s="196">
        <f>'Valuation RK'!L18</f>
        <v>0</v>
      </c>
      <c r="H37" s="196">
        <f>'Valuation RK'!M18</f>
        <v>0</v>
      </c>
    </row>
    <row r="38" spans="2:8">
      <c r="B38" s="193" t="s">
        <v>181</v>
      </c>
      <c r="C38" s="194">
        <f>'Valuation RK'!H19</f>
        <v>2.2303521481424973</v>
      </c>
      <c r="D38" s="194">
        <f>'Valuation RK'!I19</f>
        <v>2.2750304771272094</v>
      </c>
      <c r="E38" s="194">
        <f>'Valuation RK'!J19</f>
        <v>2.3828963722213707</v>
      </c>
      <c r="F38" s="194">
        <f>'Valuation RK'!K19</f>
        <v>2.449278579942153</v>
      </c>
      <c r="G38" s="194">
        <f>'Valuation RK'!L19</f>
        <v>2.5824777059034911</v>
      </c>
      <c r="H38" s="194">
        <f>'Valuation RK'!M19</f>
        <v>2.6660960258397148</v>
      </c>
    </row>
    <row r="39" spans="2:8">
      <c r="B39" s="190"/>
      <c r="C39" s="190"/>
      <c r="D39" s="190"/>
      <c r="E39" s="190"/>
      <c r="F39" s="190"/>
      <c r="G39" s="190"/>
      <c r="H39" s="190"/>
    </row>
    <row r="40" spans="2:8">
      <c r="B40" s="188" t="s">
        <v>105</v>
      </c>
      <c r="C40" s="189">
        <f>'Valuation RK'!N3</f>
        <v>2035</v>
      </c>
      <c r="D40" s="189">
        <f>'Valuation RK'!O3</f>
        <v>2036</v>
      </c>
      <c r="E40" s="189">
        <f>'Valuation RK'!P3</f>
        <v>2037</v>
      </c>
      <c r="F40" s="189">
        <f>'Valuation RK'!Q3</f>
        <v>2038</v>
      </c>
      <c r="G40" s="189">
        <f>'Valuation RK'!R3</f>
        <v>2039</v>
      </c>
      <c r="H40" s="189">
        <f>'Valuation RK'!S3</f>
        <v>2040</v>
      </c>
    </row>
    <row r="41" spans="2:8">
      <c r="B41" s="190" t="s">
        <v>165</v>
      </c>
      <c r="C41" s="195">
        <f>'Valuation RK'!N4</f>
        <v>6.9612999997128737</v>
      </c>
      <c r="D41" s="195">
        <f>'Valuation RK'!O4</f>
        <v>7.3079990204765126</v>
      </c>
      <c r="E41" s="195">
        <f>'Valuation RK'!P4</f>
        <v>7.8949694109164872</v>
      </c>
      <c r="F41" s="195">
        <f>'Valuation RK'!Q4</f>
        <v>8.3589888350688373</v>
      </c>
      <c r="G41" s="195">
        <f>'Valuation RK'!R4</f>
        <v>9.0479485112724696</v>
      </c>
      <c r="H41" s="195">
        <f>'Valuation RK'!S4</f>
        <v>9.6155062290814968</v>
      </c>
    </row>
    <row r="42" spans="2:8" s="197" customFormat="1">
      <c r="B42" s="191" t="s">
        <v>182</v>
      </c>
      <c r="C42" s="196">
        <f>'Valuation RK'!N5</f>
        <v>7.3360070150912018E-2</v>
      </c>
      <c r="D42" s="196">
        <f>'Valuation RK'!O5</f>
        <v>4.9803775268691029E-2</v>
      </c>
      <c r="E42" s="196">
        <f>'Valuation RK'!P5</f>
        <v>8.0318892872771844E-2</v>
      </c>
      <c r="F42" s="196">
        <f>'Valuation RK'!Q5</f>
        <v>5.8774062317549169E-2</v>
      </c>
      <c r="G42" s="196">
        <f>'Valuation RK'!R5</f>
        <v>8.2421413618021494E-2</v>
      </c>
      <c r="H42" s="196">
        <f>'Valuation RK'!S5</f>
        <v>6.2727779352626759E-2</v>
      </c>
    </row>
    <row r="43" spans="2:8">
      <c r="B43" s="190" t="s">
        <v>113</v>
      </c>
      <c r="C43" s="195">
        <f>'Valuation RK'!N6</f>
        <v>3.357134798264644</v>
      </c>
      <c r="D43" s="195">
        <f>'Valuation RK'!O6</f>
        <v>3.5022018979962128</v>
      </c>
      <c r="E43" s="195">
        <f>'Valuation RK'!P6</f>
        <v>3.770124485353092</v>
      </c>
      <c r="F43" s="195">
        <f>'Valuation RK'!Q6</f>
        <v>3.9796385770734632</v>
      </c>
      <c r="G43" s="195">
        <f>'Valuation RK'!R6</f>
        <v>4.2971994263291826</v>
      </c>
      <c r="H43" s="195">
        <f>'Valuation RK'!S6</f>
        <v>4.5621886802422678</v>
      </c>
    </row>
    <row r="44" spans="2:8" s="197" customFormat="1">
      <c r="B44" s="191" t="s">
        <v>183</v>
      </c>
      <c r="C44" s="196">
        <f>'Valuation RK'!N7</f>
        <v>0.48225687707800446</v>
      </c>
      <c r="D44" s="196">
        <f>'Valuation RK'!O7</f>
        <v>0.47922856696932814</v>
      </c>
      <c r="E44" s="196">
        <f>'Valuation RK'!P7</f>
        <v>0.47753503390907215</v>
      </c>
      <c r="F44" s="196">
        <f>'Valuation RK'!Q7</f>
        <v>0.47609090711755814</v>
      </c>
      <c r="G44" s="196">
        <f>'Valuation RK'!R7</f>
        <v>0.47493632628164023</v>
      </c>
      <c r="H44" s="196">
        <f>'Valuation RK'!S7</f>
        <v>0.47446162183788237</v>
      </c>
    </row>
    <row r="45" spans="2:8">
      <c r="B45" s="190" t="s">
        <v>166</v>
      </c>
      <c r="C45" s="195">
        <f>'Valuation RK'!N8</f>
        <v>2.0071347982646439</v>
      </c>
      <c r="D45" s="195">
        <f>'Valuation RK'!O8</f>
        <v>2.1522018979962128</v>
      </c>
      <c r="E45" s="195">
        <f>'Valuation RK'!P8</f>
        <v>2.4201244853530919</v>
      </c>
      <c r="F45" s="195">
        <f>'Valuation RK'!Q8</f>
        <v>2.6296385770734632</v>
      </c>
      <c r="G45" s="195">
        <f>'Valuation RK'!R8</f>
        <v>2.9471994263291821</v>
      </c>
      <c r="H45" s="195">
        <f>'Valuation RK'!S8</f>
        <v>3.2121886802422672</v>
      </c>
    </row>
    <row r="46" spans="2:8" s="197" customFormat="1">
      <c r="B46" s="191" t="s">
        <v>183</v>
      </c>
      <c r="C46" s="196">
        <f>'Valuation RK'!N9</f>
        <v>0.28832758225438215</v>
      </c>
      <c r="D46" s="196">
        <f>'Valuation RK'!O9</f>
        <v>0.29449947816986433</v>
      </c>
      <c r="E46" s="196">
        <f>'Valuation RK'!P9</f>
        <v>0.30654007120113108</v>
      </c>
      <c r="F46" s="196">
        <f>'Valuation RK'!Q9</f>
        <v>0.31458811932386171</v>
      </c>
      <c r="G46" s="196">
        <f>'Valuation RK'!R9</f>
        <v>0.32573123318035979</v>
      </c>
      <c r="H46" s="196">
        <f>'Valuation RK'!S9</f>
        <v>0.3340633975699796</v>
      </c>
    </row>
    <row r="47" spans="2:8">
      <c r="B47" s="190" t="s">
        <v>178</v>
      </c>
      <c r="C47" s="195">
        <f>'Valuation RK'!N10</f>
        <v>0.2782</v>
      </c>
      <c r="D47" s="195">
        <f>'Valuation RK'!O10</f>
        <v>0.2782</v>
      </c>
      <c r="E47" s="195">
        <f>'Valuation RK'!P10</f>
        <v>0.2782</v>
      </c>
      <c r="F47" s="195">
        <f>'Valuation RK'!Q10</f>
        <v>0.2782</v>
      </c>
      <c r="G47" s="195">
        <f>'Valuation RK'!R10</f>
        <v>0.2782</v>
      </c>
      <c r="H47" s="195">
        <f>'Valuation RK'!S10</f>
        <v>0.2782</v>
      </c>
    </row>
    <row r="48" spans="2:8">
      <c r="B48" s="190" t="s">
        <v>167</v>
      </c>
      <c r="C48" s="195">
        <f>'Valuation RK'!N11</f>
        <v>1.44874989738742</v>
      </c>
      <c r="D48" s="195">
        <f>'Valuation RK'!O11</f>
        <v>1.5534593299736663</v>
      </c>
      <c r="E48" s="195">
        <f>'Valuation RK'!P11</f>
        <v>1.7468458535278617</v>
      </c>
      <c r="F48" s="195">
        <f>'Valuation RK'!Q11</f>
        <v>1.8980731249316256</v>
      </c>
      <c r="G48" s="195">
        <f>'Valuation RK'!R11</f>
        <v>2.1272885459244035</v>
      </c>
      <c r="H48" s="195">
        <f>'Valuation RK'!S11</f>
        <v>2.3185577893988683</v>
      </c>
    </row>
    <row r="49" spans="2:8" s="197" customFormat="1">
      <c r="B49" s="191" t="s">
        <v>183</v>
      </c>
      <c r="C49" s="196">
        <f>'Valuation RK'!N12</f>
        <v>0.20811484887121304</v>
      </c>
      <c r="D49" s="196">
        <f>'Valuation RK'!O12</f>
        <v>0.21256972334300808</v>
      </c>
      <c r="E49" s="196">
        <f>'Valuation RK'!P12</f>
        <v>0.22126062339297642</v>
      </c>
      <c r="F49" s="196">
        <f>'Valuation RK'!Q12</f>
        <v>0.22706970452796338</v>
      </c>
      <c r="G49" s="196">
        <f>'Valuation RK'!R12</f>
        <v>0.23511280410958368</v>
      </c>
      <c r="H49" s="196">
        <f>'Valuation RK'!S12</f>
        <v>0.24112696036601125</v>
      </c>
    </row>
    <row r="50" spans="2:8">
      <c r="B50" s="190" t="s">
        <v>168</v>
      </c>
      <c r="C50" s="195">
        <f>'Valuation RK'!N13</f>
        <v>1.37</v>
      </c>
      <c r="D50" s="195">
        <f>'Valuation RK'!O13</f>
        <v>1.37</v>
      </c>
      <c r="E50" s="195">
        <f>'Valuation RK'!P13</f>
        <v>1.37</v>
      </c>
      <c r="F50" s="195">
        <f>'Valuation RK'!Q13</f>
        <v>1.37</v>
      </c>
      <c r="G50" s="195">
        <f>'Valuation RK'!R13</f>
        <v>1.37</v>
      </c>
      <c r="H50" s="195">
        <f>'Valuation RK'!S13</f>
        <v>1.37</v>
      </c>
    </row>
    <row r="51" spans="2:8" s="197" customFormat="1">
      <c r="B51" s="191" t="s">
        <v>183</v>
      </c>
      <c r="C51" s="196">
        <f>'Valuation RK'!N14</f>
        <v>0.19680232141360193</v>
      </c>
      <c r="D51" s="196">
        <f>'Valuation RK'!O14</f>
        <v>0.18746581604093732</v>
      </c>
      <c r="E51" s="196">
        <f>'Valuation RK'!P14</f>
        <v>0.17352822141472538</v>
      </c>
      <c r="F51" s="196">
        <f>'Valuation RK'!Q14</f>
        <v>0.16389542168693638</v>
      </c>
      <c r="G51" s="196">
        <f>'Valuation RK'!R14</f>
        <v>0.15141553892500306</v>
      </c>
      <c r="H51" s="196">
        <f>'Valuation RK'!S14</f>
        <v>0.14247819796076058</v>
      </c>
    </row>
    <row r="52" spans="2:8">
      <c r="B52" s="190" t="s">
        <v>179</v>
      </c>
      <c r="C52" s="195">
        <f>'Valuation RK'!N15</f>
        <v>0</v>
      </c>
      <c r="D52" s="195">
        <f>'Valuation RK'!O15</f>
        <v>0</v>
      </c>
      <c r="E52" s="195">
        <f>'Valuation RK'!P15</f>
        <v>0</v>
      </c>
      <c r="F52" s="195">
        <f>'Valuation RK'!Q15</f>
        <v>0</v>
      </c>
      <c r="G52" s="195">
        <f>'Valuation RK'!R15</f>
        <v>0</v>
      </c>
      <c r="H52" s="195">
        <f>'Valuation RK'!S15</f>
        <v>0</v>
      </c>
    </row>
    <row r="53" spans="2:8" s="197" customFormat="1">
      <c r="B53" s="191" t="s">
        <v>183</v>
      </c>
      <c r="C53" s="196">
        <f>'Valuation RK'!N16</f>
        <v>0</v>
      </c>
      <c r="D53" s="196">
        <f>'Valuation RK'!O16</f>
        <v>0</v>
      </c>
      <c r="E53" s="196">
        <f>'Valuation RK'!P16</f>
        <v>0</v>
      </c>
      <c r="F53" s="196">
        <f>'Valuation RK'!Q16</f>
        <v>0</v>
      </c>
      <c r="G53" s="196">
        <f>'Valuation RK'!R16</f>
        <v>0</v>
      </c>
      <c r="H53" s="196">
        <f>'Valuation RK'!S16</f>
        <v>0</v>
      </c>
    </row>
    <row r="54" spans="2:8">
      <c r="B54" s="190" t="s">
        <v>180</v>
      </c>
      <c r="C54" s="195">
        <f>'Valuation RK'!N17</f>
        <v>0</v>
      </c>
      <c r="D54" s="195">
        <f>'Valuation RK'!O17</f>
        <v>0</v>
      </c>
      <c r="E54" s="195">
        <f>'Valuation RK'!P17</f>
        <v>0</v>
      </c>
      <c r="F54" s="195">
        <f>'Valuation RK'!Q17</f>
        <v>0</v>
      </c>
      <c r="G54" s="195">
        <f>'Valuation RK'!R17</f>
        <v>0</v>
      </c>
      <c r="H54" s="195">
        <f>'Valuation RK'!S17</f>
        <v>0</v>
      </c>
    </row>
    <row r="55" spans="2:8" s="197" customFormat="1">
      <c r="B55" s="191" t="s">
        <v>183</v>
      </c>
      <c r="C55" s="196">
        <f>'Valuation RK'!N18</f>
        <v>0</v>
      </c>
      <c r="D55" s="196">
        <f>'Valuation RK'!O18</f>
        <v>0</v>
      </c>
      <c r="E55" s="196">
        <f>'Valuation RK'!P18</f>
        <v>0</v>
      </c>
      <c r="F55" s="196">
        <f>'Valuation RK'!Q18</f>
        <v>0</v>
      </c>
      <c r="G55" s="196">
        <f>'Valuation RK'!R18</f>
        <v>0</v>
      </c>
      <c r="H55" s="196">
        <f>'Valuation RK'!S18</f>
        <v>0</v>
      </c>
    </row>
    <row r="56" spans="2:8">
      <c r="B56" s="193" t="s">
        <v>181</v>
      </c>
      <c r="C56" s="194">
        <f>'Valuation RK'!N19</f>
        <v>2.8187498973874199</v>
      </c>
      <c r="D56" s="194">
        <f>'Valuation RK'!O19</f>
        <v>2.9234593299736664</v>
      </c>
      <c r="E56" s="194">
        <f>'Valuation RK'!P19</f>
        <v>3.1168458535278618</v>
      </c>
      <c r="F56" s="194">
        <f>'Valuation RK'!Q19</f>
        <v>3.2680731249316257</v>
      </c>
      <c r="G56" s="194">
        <f>'Valuation RK'!R19</f>
        <v>3.4972885459244036</v>
      </c>
      <c r="H56" s="194">
        <f>'Valuation RK'!S19</f>
        <v>3.6885577893988684</v>
      </c>
    </row>
    <row r="57" spans="2:8">
      <c r="B57" s="190"/>
      <c r="C57" s="190"/>
      <c r="D57" s="190"/>
      <c r="E57" s="190"/>
      <c r="F57" s="190"/>
      <c r="G57" s="190"/>
      <c r="H57" s="198"/>
    </row>
    <row r="58" spans="2:8">
      <c r="B58" s="188" t="s">
        <v>105</v>
      </c>
      <c r="C58" s="189">
        <f>'Valuation RK'!T3</f>
        <v>2041</v>
      </c>
      <c r="D58" s="189">
        <f>'Valuation RK'!U3</f>
        <v>2042</v>
      </c>
      <c r="E58" s="189">
        <f>'Valuation RK'!V3</f>
        <v>2043</v>
      </c>
      <c r="F58" s="189">
        <f>'Valuation RK'!W3</f>
        <v>2044</v>
      </c>
      <c r="G58" s="189">
        <f>'Valuation RK'!X3</f>
        <v>2045</v>
      </c>
      <c r="H58" s="199"/>
    </row>
    <row r="59" spans="2:8">
      <c r="B59" s="190" t="s">
        <v>165</v>
      </c>
      <c r="C59" s="195">
        <f>'Valuation RK'!T4</f>
        <v>10.427763246174122</v>
      </c>
      <c r="D59" s="195">
        <f>'Valuation RK'!U4</f>
        <v>11.187481216121942</v>
      </c>
      <c r="E59" s="195">
        <f>'Valuation RK'!V4</f>
        <v>12.229083973777422</v>
      </c>
      <c r="F59" s="195">
        <f>'Valuation RK'!W4</f>
        <v>13.175200728141361</v>
      </c>
      <c r="G59" s="195">
        <f>'Valuation RK'!X4</f>
        <v>14.434505529279509</v>
      </c>
      <c r="H59" s="199"/>
    </row>
    <row r="60" spans="2:8" s="197" customFormat="1">
      <c r="B60" s="191" t="s">
        <v>182</v>
      </c>
      <c r="C60" s="196">
        <f>'Valuation RK'!T5</f>
        <v>8.4473661369591169E-2</v>
      </c>
      <c r="D60" s="196">
        <f>'Valuation RK'!U5</f>
        <v>7.2855314415251574E-2</v>
      </c>
      <c r="E60" s="196">
        <f>'Valuation RK'!V5</f>
        <v>9.3104313431557617E-2</v>
      </c>
      <c r="F60" s="196">
        <f>'Valuation RK'!W5</f>
        <v>7.7366118050434307E-2</v>
      </c>
      <c r="G60" s="196">
        <f>'Valuation RK'!X5</f>
        <v>9.5581450872953749E-2</v>
      </c>
      <c r="H60" s="199"/>
    </row>
    <row r="61" spans="2:8">
      <c r="B61" s="190" t="s">
        <v>113</v>
      </c>
      <c r="C61" s="195">
        <f>'Valuation RK'!T6</f>
        <v>4.9408985015670712</v>
      </c>
      <c r="D61" s="195">
        <f>'Valuation RK'!U6</f>
        <v>5.3142027355581742</v>
      </c>
      <c r="E61" s="195">
        <f>'Valuation RK'!V6</f>
        <v>9.2494955278774214</v>
      </c>
      <c r="F61" s="195">
        <f>'Valuation RK'!W6</f>
        <v>10.101294374601359</v>
      </c>
      <c r="G61" s="195">
        <f>'Valuation RK'!X6</f>
        <v>11.360599175739507</v>
      </c>
      <c r="H61" s="199"/>
    </row>
    <row r="62" spans="2:8" s="197" customFormat="1">
      <c r="B62" s="191" t="s">
        <v>183</v>
      </c>
      <c r="C62" s="196">
        <f>'Valuation RK'!T7</f>
        <v>0.47382150753948643</v>
      </c>
      <c r="D62" s="196">
        <f>'Valuation RK'!U7</f>
        <v>0.47501333257212863</v>
      </c>
      <c r="E62" s="196">
        <f>'Valuation RK'!V7</f>
        <v>0.75635227852805065</v>
      </c>
      <c r="F62" s="196">
        <f>'Valuation RK'!W7</f>
        <v>0.76668997938116112</v>
      </c>
      <c r="G62" s="196">
        <f>'Valuation RK'!X7</f>
        <v>0.78704456849562521</v>
      </c>
      <c r="H62" s="199"/>
    </row>
    <row r="63" spans="2:8">
      <c r="B63" s="190" t="s">
        <v>166</v>
      </c>
      <c r="C63" s="195">
        <f>'Valuation RK'!T8</f>
        <v>3.5908985015670707</v>
      </c>
      <c r="D63" s="195">
        <f>'Valuation RK'!U8</f>
        <v>3.9642027355581737</v>
      </c>
      <c r="E63" s="195">
        <f>'Valuation RK'!V8</f>
        <v>7.8994955278774208</v>
      </c>
      <c r="F63" s="195">
        <f>'Valuation RK'!W8</f>
        <v>8.7512943746013576</v>
      </c>
      <c r="G63" s="195">
        <f>'Valuation RK'!X8</f>
        <v>10.010599175739507</v>
      </c>
      <c r="H63" s="199"/>
    </row>
    <row r="64" spans="2:8" s="197" customFormat="1">
      <c r="B64" s="191" t="s">
        <v>183</v>
      </c>
      <c r="C64" s="196">
        <f>'Valuation RK'!T9</f>
        <v>0.34435941982903651</v>
      </c>
      <c r="D64" s="196">
        <f>'Valuation RK'!U9</f>
        <v>0.35434273890404222</v>
      </c>
      <c r="E64" s="196">
        <f>'Valuation RK'!V9</f>
        <v>0.64595970923220003</v>
      </c>
      <c r="F64" s="196">
        <f>'Valuation RK'!W9</f>
        <v>0.66422474732465897</v>
      </c>
      <c r="G64" s="196">
        <f>'Valuation RK'!X9</f>
        <v>0.6935186768562055</v>
      </c>
      <c r="H64" s="199"/>
    </row>
    <row r="65" spans="2:8">
      <c r="B65" s="190" t="s">
        <v>178</v>
      </c>
      <c r="C65" s="195">
        <f>'Valuation RK'!T10</f>
        <v>0.2782</v>
      </c>
      <c r="D65" s="195">
        <f>'Valuation RK'!U10</f>
        <v>0.2782</v>
      </c>
      <c r="E65" s="195">
        <f>'Valuation RK'!V10</f>
        <v>0.2782</v>
      </c>
      <c r="F65" s="195">
        <f>'Valuation RK'!W10</f>
        <v>0.2782</v>
      </c>
      <c r="G65" s="195">
        <f>'Valuation RK'!X10</f>
        <v>0.2782</v>
      </c>
      <c r="H65" s="199"/>
    </row>
    <row r="66" spans="2:8">
      <c r="B66" s="190" t="s">
        <v>167</v>
      </c>
      <c r="C66" s="195">
        <f>'Valuation RK'!T11</f>
        <v>2.5919105384311116</v>
      </c>
      <c r="D66" s="195">
        <f>'Valuation RK'!U11</f>
        <v>2.8613615345258898</v>
      </c>
      <c r="E66" s="195">
        <f>'Valuation RK'!V11</f>
        <v>5.7018558720219223</v>
      </c>
      <c r="F66" s="195">
        <f>'Valuation RK'!W11</f>
        <v>6.3166842795872595</v>
      </c>
      <c r="G66" s="195">
        <f>'Valuation RK'!X11</f>
        <v>7.2256504850487762</v>
      </c>
      <c r="H66" s="199"/>
    </row>
    <row r="67" spans="2:8" s="197" customFormat="1">
      <c r="B67" s="191" t="s">
        <v>183</v>
      </c>
      <c r="C67" s="196">
        <f>'Valuation RK'!T12</f>
        <v>0.24855862923259853</v>
      </c>
      <c r="D67" s="196">
        <f>'Valuation RK'!U12</f>
        <v>0.25576458894093768</v>
      </c>
      <c r="E67" s="196">
        <f>'Valuation RK'!V12</f>
        <v>0.46625371812380195</v>
      </c>
      <c r="F67" s="196">
        <f>'Valuation RK'!W12</f>
        <v>0.47943742261893879</v>
      </c>
      <c r="G67" s="196">
        <f>'Valuation RK'!X12</f>
        <v>0.5005817809548091</v>
      </c>
      <c r="H67" s="199"/>
    </row>
    <row r="68" spans="2:8">
      <c r="B68" s="190" t="s">
        <v>168</v>
      </c>
      <c r="C68" s="195">
        <f>'Valuation RK'!T13</f>
        <v>1.37</v>
      </c>
      <c r="D68" s="195">
        <f>'Valuation RK'!U13</f>
        <v>1.37</v>
      </c>
      <c r="E68" s="195">
        <f>'Valuation RK'!V13</f>
        <v>1.37</v>
      </c>
      <c r="F68" s="195">
        <f>'Valuation RK'!W13</f>
        <v>1.37</v>
      </c>
      <c r="G68" s="195">
        <f>'Valuation RK'!X13</f>
        <v>1.37</v>
      </c>
      <c r="H68" s="199"/>
    </row>
    <row r="69" spans="2:8" s="197" customFormat="1">
      <c r="B69" s="191" t="s">
        <v>183</v>
      </c>
      <c r="C69" s="196">
        <f>'Valuation RK'!T14</f>
        <v>0.13138004456541955</v>
      </c>
      <c r="D69" s="196">
        <f>'Valuation RK'!U14</f>
        <v>0.12245830616687288</v>
      </c>
      <c r="E69" s="196">
        <f>'Valuation RK'!V14</f>
        <v>0.11202801476690023</v>
      </c>
      <c r="F69" s="196">
        <f>'Valuation RK'!W14</f>
        <v>0.10398323549437621</v>
      </c>
      <c r="G69" s="196">
        <f>'Valuation RK'!X14</f>
        <v>9.4911460404448159E-2</v>
      </c>
      <c r="H69" s="199"/>
    </row>
    <row r="70" spans="2:8">
      <c r="B70" s="190" t="s">
        <v>179</v>
      </c>
      <c r="C70" s="195">
        <f>'Valuation RK'!T15</f>
        <v>0</v>
      </c>
      <c r="D70" s="195">
        <f>'Valuation RK'!U15</f>
        <v>0</v>
      </c>
      <c r="E70" s="195">
        <f>'Valuation RK'!V15</f>
        <v>0</v>
      </c>
      <c r="F70" s="195">
        <f>'Valuation RK'!W15</f>
        <v>0</v>
      </c>
      <c r="G70" s="195">
        <f>'Valuation RK'!X15</f>
        <v>0</v>
      </c>
      <c r="H70" s="199"/>
    </row>
    <row r="71" spans="2:8" s="197" customFormat="1">
      <c r="B71" s="191" t="s">
        <v>183</v>
      </c>
      <c r="C71" s="196">
        <f>'Valuation RK'!T16</f>
        <v>0</v>
      </c>
      <c r="D71" s="196">
        <f>'Valuation RK'!U16</f>
        <v>0</v>
      </c>
      <c r="E71" s="196">
        <f>'Valuation RK'!V16</f>
        <v>0</v>
      </c>
      <c r="F71" s="196">
        <f>'Valuation RK'!W16</f>
        <v>0</v>
      </c>
      <c r="G71" s="196">
        <f>'Valuation RK'!X16</f>
        <v>0</v>
      </c>
      <c r="H71" s="199"/>
    </row>
    <row r="72" spans="2:8">
      <c r="B72" s="190" t="s">
        <v>180</v>
      </c>
      <c r="C72" s="195">
        <f>'Valuation RK'!T17</f>
        <v>0</v>
      </c>
      <c r="D72" s="195">
        <f>'Valuation RK'!U17</f>
        <v>0</v>
      </c>
      <c r="E72" s="195">
        <f>'Valuation RK'!V17</f>
        <v>0</v>
      </c>
      <c r="F72" s="195">
        <f>'Valuation RK'!W17</f>
        <v>0</v>
      </c>
      <c r="G72" s="195">
        <f>'Valuation RK'!X17</f>
        <v>0</v>
      </c>
      <c r="H72" s="199"/>
    </row>
    <row r="73" spans="2:8" s="197" customFormat="1">
      <c r="B73" s="191" t="s">
        <v>183</v>
      </c>
      <c r="C73" s="196">
        <f>'Valuation RK'!T18</f>
        <v>0</v>
      </c>
      <c r="D73" s="196">
        <f>'Valuation RK'!U18</f>
        <v>0</v>
      </c>
      <c r="E73" s="196">
        <f>'Valuation RK'!V18</f>
        <v>0</v>
      </c>
      <c r="F73" s="196">
        <f>'Valuation RK'!W18</f>
        <v>0</v>
      </c>
      <c r="G73" s="196">
        <f>'Valuation RK'!X18</f>
        <v>0</v>
      </c>
      <c r="H73" s="199"/>
    </row>
    <row r="74" spans="2:8">
      <c r="B74" s="193" t="s">
        <v>181</v>
      </c>
      <c r="C74" s="194">
        <f>'Valuation RK'!T19</f>
        <v>3.9619105384311117</v>
      </c>
      <c r="D74" s="194">
        <f>'Valuation RK'!U19</f>
        <v>4.2313615345258899</v>
      </c>
      <c r="E74" s="194">
        <f>'Valuation RK'!V19</f>
        <v>7.0718558720219225</v>
      </c>
      <c r="F74" s="194">
        <f>'Valuation RK'!W19</f>
        <v>7.6866842795872596</v>
      </c>
      <c r="G74" s="194">
        <f>'Valuation RK'!X19</f>
        <v>8.5956504850487754</v>
      </c>
      <c r="H74" s="199"/>
    </row>
    <row r="81" spans="5:9" ht="36">
      <c r="E81" s="200" t="s">
        <v>194</v>
      </c>
      <c r="F81" s="201" t="s">
        <v>193</v>
      </c>
      <c r="G81" s="202" t="s">
        <v>221</v>
      </c>
    </row>
    <row r="82" spans="5:9">
      <c r="E82" s="200">
        <v>1</v>
      </c>
      <c r="F82" s="203">
        <v>9.0000000000000011E-2</v>
      </c>
      <c r="G82" s="204">
        <f>'Valuation RK'!H28</f>
        <v>23.924776846615234</v>
      </c>
      <c r="H82" s="205">
        <f>G82*0.85</f>
        <v>20.336060319622948</v>
      </c>
      <c r="I82" s="205">
        <f>G82*0.75</f>
        <v>17.943582634961427</v>
      </c>
    </row>
    <row r="83" spans="5:9">
      <c r="E83" s="200">
        <v>2</v>
      </c>
      <c r="F83" s="203">
        <v>0.1</v>
      </c>
      <c r="G83" s="204">
        <f>'Valuation RK'!H29</f>
        <v>21.612792201911137</v>
      </c>
      <c r="H83" s="205">
        <f t="shared" ref="H83:H86" si="1">G83*0.85</f>
        <v>18.370873371624466</v>
      </c>
      <c r="I83" s="205">
        <f t="shared" ref="I83:I86" si="2">G83*0.75</f>
        <v>16.209594151433354</v>
      </c>
    </row>
    <row r="84" spans="5:9">
      <c r="E84" s="200">
        <v>3</v>
      </c>
      <c r="F84" s="203">
        <v>0.11</v>
      </c>
      <c r="G84" s="204">
        <f>'Valuation RK'!H30</f>
        <v>19.610754054152615</v>
      </c>
      <c r="H84" s="205">
        <f t="shared" si="1"/>
        <v>16.669140946029721</v>
      </c>
      <c r="I84" s="205">
        <f t="shared" si="2"/>
        <v>14.708065540614461</v>
      </c>
    </row>
    <row r="85" spans="5:9">
      <c r="E85" s="200">
        <v>4</v>
      </c>
      <c r="F85" s="203">
        <v>0.12</v>
      </c>
      <c r="G85" s="204">
        <f>'Valuation RK'!H31</f>
        <v>17.869905313510319</v>
      </c>
      <c r="H85" s="205">
        <f t="shared" si="1"/>
        <v>15.18941951648377</v>
      </c>
      <c r="I85" s="205">
        <f t="shared" si="2"/>
        <v>13.40242898513274</v>
      </c>
    </row>
    <row r="86" spans="5:9">
      <c r="E86" s="200">
        <v>5</v>
      </c>
      <c r="F86" s="203">
        <v>0.13</v>
      </c>
      <c r="G86" s="204">
        <f>'Valuation RK'!H32</f>
        <v>16.349952201911556</v>
      </c>
      <c r="H86" s="205">
        <f t="shared" si="1"/>
        <v>13.897459371624823</v>
      </c>
      <c r="I86" s="205">
        <f t="shared" si="2"/>
        <v>12.262464151433667</v>
      </c>
    </row>
  </sheetData>
  <mergeCells count="1">
    <mergeCell ref="B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BS</vt:lpstr>
      <vt:lpstr>P&amp;L</vt:lpstr>
      <vt:lpstr>CF</vt:lpstr>
      <vt:lpstr>Other Revenue </vt:lpstr>
      <vt:lpstr>Valuation RK</vt:lpstr>
      <vt:lpstr>Project cost</vt:lpstr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Adil Afaque</cp:lastModifiedBy>
  <dcterms:created xsi:type="dcterms:W3CDTF">2022-09-26T09:20:08Z</dcterms:created>
  <dcterms:modified xsi:type="dcterms:W3CDTF">2022-10-18T06:30:57Z</dcterms:modified>
</cp:coreProperties>
</file>