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bul\VIS(2022-23)-PL205-153-301_TIL\Working\"/>
    </mc:Choice>
  </mc:AlternateContent>
  <bookViews>
    <workbookView showVerticalScroll="0" xWindow="0" yWindow="0" windowWidth="21600" windowHeight="9735"/>
  </bookViews>
  <sheets>
    <sheet name="Building" sheetId="1" r:id="rId1"/>
  </sheets>
  <definedNames>
    <definedName name="_xlnm.Print_Area" localSheetId="0">Building!$B$2:$T$26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0" i="1" l="1"/>
  <c r="F10" i="1"/>
  <c r="F6" i="1"/>
  <c r="N6" i="1" l="1"/>
  <c r="N7" i="1"/>
  <c r="N8" i="1"/>
  <c r="N9" i="1"/>
  <c r="N10" i="1"/>
  <c r="N11" i="1"/>
  <c r="N12" i="1"/>
  <c r="Q12" i="1" s="1"/>
  <c r="R12" i="1" s="1"/>
  <c r="T12" i="1" s="1"/>
  <c r="N13" i="1"/>
  <c r="N14" i="1"/>
  <c r="N15" i="1"/>
  <c r="N16" i="1"/>
  <c r="N17" i="1"/>
  <c r="N18" i="1"/>
  <c r="N19" i="1"/>
  <c r="Q19" i="1" s="1"/>
  <c r="R19" i="1" s="1"/>
  <c r="T19" i="1" s="1"/>
  <c r="N20" i="1"/>
  <c r="Q20" i="1" s="1"/>
  <c r="R20" i="1" s="1"/>
  <c r="T20" i="1" s="1"/>
  <c r="N21" i="1"/>
  <c r="P9" i="1"/>
  <c r="P11" i="1"/>
  <c r="K6" i="1"/>
  <c r="K7" i="1"/>
  <c r="K8" i="1"/>
  <c r="K9" i="1"/>
  <c r="K10" i="1"/>
  <c r="K11" i="1"/>
  <c r="K12" i="1"/>
  <c r="K13" i="1"/>
  <c r="K14" i="1"/>
  <c r="K15" i="1"/>
  <c r="K16" i="1"/>
  <c r="K17" i="1"/>
  <c r="K18" i="1"/>
  <c r="K19" i="1"/>
  <c r="K20" i="1"/>
  <c r="K21" i="1"/>
  <c r="K5" i="1"/>
  <c r="G21" i="1"/>
  <c r="P21" i="1" s="1"/>
  <c r="F20" i="1"/>
  <c r="F19" i="1"/>
  <c r="G19" i="1" s="1"/>
  <c r="P19" i="1" s="1"/>
  <c r="G14" i="1"/>
  <c r="P14" i="1" s="1"/>
  <c r="G15" i="1"/>
  <c r="P15" i="1" s="1"/>
  <c r="G20" i="1"/>
  <c r="P20" i="1" s="1"/>
  <c r="F18" i="1"/>
  <c r="G18" i="1" s="1"/>
  <c r="P18" i="1" s="1"/>
  <c r="F17" i="1"/>
  <c r="G17" i="1" s="1"/>
  <c r="P17" i="1" s="1"/>
  <c r="F16" i="1"/>
  <c r="G16" i="1" s="1"/>
  <c r="P16" i="1" s="1"/>
  <c r="F11" i="1"/>
  <c r="G11" i="1" s="1"/>
  <c r="F12" i="1"/>
  <c r="G12" i="1" s="1"/>
  <c r="P12" i="1" s="1"/>
  <c r="F13" i="1"/>
  <c r="G13" i="1" s="1"/>
  <c r="P13" i="1" s="1"/>
  <c r="G10" i="1"/>
  <c r="P10" i="1" s="1"/>
  <c r="F9" i="1"/>
  <c r="G9" i="1" s="1"/>
  <c r="F8" i="1"/>
  <c r="G8" i="1" s="1"/>
  <c r="P8" i="1" s="1"/>
  <c r="F7" i="1"/>
  <c r="G7" i="1" s="1"/>
  <c r="P7" i="1" s="1"/>
  <c r="G6" i="1"/>
  <c r="P6" i="1" s="1"/>
  <c r="Q6" i="1" s="1"/>
  <c r="R6" i="1" s="1"/>
  <c r="T6" i="1" s="1"/>
  <c r="F5" i="1"/>
  <c r="Q13" i="1" l="1"/>
  <c r="R13" i="1" s="1"/>
  <c r="T13" i="1" s="1"/>
  <c r="Q17" i="1"/>
  <c r="R17" i="1" s="1"/>
  <c r="T17" i="1" s="1"/>
  <c r="R7" i="1"/>
  <c r="T7" i="1" s="1"/>
  <c r="Q7" i="1"/>
  <c r="R8" i="1"/>
  <c r="T8" i="1" s="1"/>
  <c r="R18" i="1"/>
  <c r="T18" i="1" s="1"/>
  <c r="Q18" i="1"/>
  <c r="R11" i="1"/>
  <c r="T11" i="1" s="1"/>
  <c r="Q16" i="1"/>
  <c r="R16" i="1" s="1"/>
  <c r="T16" i="1" s="1"/>
  <c r="Q11" i="1"/>
  <c r="Q14" i="1"/>
  <c r="R14" i="1" s="1"/>
  <c r="T14" i="1" s="1"/>
  <c r="Q9" i="1"/>
  <c r="R9" i="1" s="1"/>
  <c r="T9" i="1" s="1"/>
  <c r="Q21" i="1"/>
  <c r="R21" i="1" s="1"/>
  <c r="T21" i="1" s="1"/>
  <c r="Q8" i="1"/>
  <c r="Q15" i="1"/>
  <c r="R15" i="1" s="1"/>
  <c r="T15" i="1" s="1"/>
  <c r="Q10" i="1"/>
  <c r="R10" i="1" s="1"/>
  <c r="T10" i="1" s="1"/>
  <c r="L40" i="1"/>
  <c r="K40" i="1"/>
  <c r="G5" i="1"/>
  <c r="F22" i="1" l="1"/>
  <c r="G22" i="1" s="1"/>
  <c r="P5" i="1" l="1"/>
  <c r="P22" i="1" s="1"/>
  <c r="S30" i="1" l="1"/>
  <c r="S29" i="1"/>
  <c r="E34" i="1" l="1"/>
  <c r="E33" i="1"/>
  <c r="N5" i="1" l="1"/>
  <c r="Q5" i="1" l="1"/>
  <c r="R5" i="1" s="1"/>
  <c r="R22" i="1" s="1"/>
  <c r="T5" i="1" l="1"/>
  <c r="T22" i="1" s="1"/>
  <c r="E30" i="1" l="1"/>
  <c r="E31" i="1" l="1"/>
</calcChain>
</file>

<file path=xl/sharedStrings.xml><?xml version="1.0" encoding="utf-8"?>
<sst xmlns="http://schemas.openxmlformats.org/spreadsheetml/2006/main" count="85" uniqueCount="64">
  <si>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</si>
  <si>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</si>
  <si>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</si>
  <si>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</si>
  <si>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</si>
  <si>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</si>
  <si>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</si>
  <si>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</si>
  <si>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</si>
  <si>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</si>
  <si>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</si>
  <si>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</si>
  <si>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</si>
  <si>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</si>
  <si>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</si>
  <si>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</si>
  <si>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</si>
  <si>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r>
      <t>3.</t>
    </r>
    <r>
      <rPr>
        <i/>
        <sz val="10"/>
        <color theme="1"/>
        <rFont val="Calibri"/>
        <family val="2"/>
        <scheme val="minor"/>
      </rPr>
      <t xml:space="preserve"> The valuation is done by considering the depreciated replacement cost approach.</t>
    </r>
  </si>
  <si>
    <t>RV</t>
  </si>
  <si>
    <t>DV</t>
  </si>
  <si>
    <t>TOTAL FMV</t>
  </si>
  <si>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</si>
  <si>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</si>
  <si>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ROUND OFF</t>
  </si>
  <si>
    <t>PREMIUM</t>
  </si>
  <si>
    <t>LAND</t>
  </si>
  <si>
    <t>BUILDING</t>
  </si>
  <si>
    <t>Land value</t>
  </si>
  <si>
    <t>Circle Rate</t>
  </si>
  <si>
    <r>
      <t xml:space="preserve">Area
</t>
    </r>
    <r>
      <rPr>
        <b/>
        <i/>
        <sz val="10"/>
        <rFont val="Calibri"/>
        <family val="2"/>
        <scheme val="minor"/>
      </rPr>
      <t>(in sq.ft)</t>
    </r>
  </si>
  <si>
    <t>Ground Floor + First Floor</t>
  </si>
  <si>
    <t>Area(in sq. mtr.)</t>
  </si>
  <si>
    <t xml:space="preserve">Ground Floor </t>
  </si>
  <si>
    <r>
      <t>Height (</t>
    </r>
    <r>
      <rPr>
        <b/>
        <i/>
        <sz val="10"/>
        <rFont val="Calibri"/>
        <family val="2"/>
        <scheme val="minor"/>
      </rPr>
      <t>in ft.)</t>
    </r>
  </si>
  <si>
    <t xml:space="preserve"> Main Unit Shed</t>
  </si>
  <si>
    <t>Ground Floor</t>
  </si>
  <si>
    <t>Tin shed over steel structue bounded by tin sheet with PCC  flooring</t>
  </si>
  <si>
    <t>Administrative Building</t>
  </si>
  <si>
    <t>RCC Structure bounded by aluminium &amp; double glass facade</t>
  </si>
  <si>
    <t>Sky walk Structure</t>
  </si>
  <si>
    <t>Ground floor</t>
  </si>
  <si>
    <t>Steel structure with glass façade</t>
  </si>
  <si>
    <t>Security office block</t>
  </si>
  <si>
    <t>RCC structure</t>
  </si>
  <si>
    <t>Basemnet + Ground Floor</t>
  </si>
  <si>
    <t>Underground fire pump room</t>
  </si>
  <si>
    <t>Tin shed over RCC structure bounded by brick wall</t>
  </si>
  <si>
    <t>Training centre</t>
  </si>
  <si>
    <t xml:space="preserve">Gas plant mixing </t>
  </si>
  <si>
    <t>33 KV Substation building</t>
  </si>
  <si>
    <t xml:space="preserve">Canteen Building </t>
  </si>
  <si>
    <t>Worker's change room + First aid room</t>
  </si>
  <si>
    <t>Meter Room</t>
  </si>
  <si>
    <t>Switch Gear room</t>
  </si>
  <si>
    <t>Compressor Room</t>
  </si>
  <si>
    <t>Security Barrack 1</t>
  </si>
  <si>
    <t>Tin shed compunded on brick wall</t>
  </si>
  <si>
    <t>Security Barrack 2</t>
  </si>
  <si>
    <t>Facilitation Building</t>
  </si>
  <si>
    <t>RCC wall with Aluminium and glass facde</t>
  </si>
  <si>
    <t>Driver's rest room</t>
  </si>
  <si>
    <t xml:space="preserve">Ground + First + Second Floor </t>
  </si>
  <si>
    <t>BUILDING VALUATION OF M/S TRACTOR INIDA LTD. KHARAGPUR, WEST BENGAL</t>
  </si>
  <si>
    <r>
      <t xml:space="preserve">2. </t>
    </r>
    <r>
      <rPr>
        <i/>
        <sz val="10"/>
        <color theme="1"/>
        <rFont val="Calibri"/>
        <family val="2"/>
        <scheme val="minor"/>
      </rPr>
      <t>All the structure that has been taken in the area statemnet belonging to M/s. Tractor India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</si>
</sst>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2"/>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2">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7" fontId="0" fillId="4" borderId="0" xfId="0" applyNumberFormat="1" applyFill="1"/>
    <xf numFmtId="0" fontId="11" fillId="5" borderId="0" xfId="0" applyFont="1" applyFill="1" applyAlignment="1">
      <alignment horizontal="center"/>
    </xf>
    <xf numFmtId="167" fontId="0" fillId="0" borderId="0" xfId="0" applyNumberFormat="1"/>
    <xf numFmtId="164" fontId="5" fillId="2" borderId="1" xfId="3" applyNumberFormat="1" applyFont="1" applyFill="1" applyBorder="1" applyAlignment="1">
      <alignment horizontal="center" vertical="center" wrapText="1"/>
    </xf>
    <xf numFmtId="164" fontId="0" fillId="0" borderId="0" xfId="3" applyNumberFormat="1" applyFont="1" applyAlignment="1">
      <alignment horizontal="center"/>
    </xf>
    <xf numFmtId="164" fontId="0" fillId="0" borderId="1" xfId="3" applyNumberFormat="1" applyFont="1" applyBorder="1" applyAlignment="1">
      <alignment horizontal="left" vertical="center"/>
    </xf>
    <xf numFmtId="44" fontId="0" fillId="0" borderId="0" xfId="1" applyFont="1" applyAlignment="1">
      <alignment wrapText="1"/>
    </xf>
    <xf numFmtId="0" fontId="2" fillId="6" borderId="0" xfId="0" applyFont="1" applyFill="1" applyAlignment="1">
      <alignment wrapText="1"/>
    </xf>
    <xf numFmtId="168" fontId="0" fillId="6" borderId="0" xfId="0" applyNumberFormat="1" applyFill="1" applyAlignment="1">
      <alignment horizontal="center" wrapText="1"/>
    </xf>
    <xf numFmtId="43" fontId="0" fillId="0" borderId="0" xfId="0" applyNumberFormat="1"/>
    <xf numFmtId="0" fontId="12" fillId="3" borderId="0" xfId="0" applyFont="1" applyFill="1" applyAlignment="1">
      <alignment horizontal="center" vertical="center"/>
    </xf>
    <xf numFmtId="0" fontId="0" fillId="0" borderId="0" xfId="0" applyAlignment="1">
      <alignment horizontal="center" vertical="center"/>
    </xf>
    <xf numFmtId="164" fontId="2" fillId="0" borderId="1" xfId="0" applyNumberFormat="1" applyFont="1" applyBorder="1" applyAlignment="1">
      <alignment horizontal="center" vertical="center"/>
    </xf>
    <xf numFmtId="43" fontId="0" fillId="0" borderId="0" xfId="0" applyNumberFormat="1" applyAlignment="1">
      <alignment wrapText="1"/>
    </xf>
    <xf numFmtId="0" fontId="0" fillId="0" borderId="0" xfId="0" applyAlignment="1">
      <alignment horizontal="left" vertical="center" wrapText="1"/>
    </xf>
    <xf numFmtId="164" fontId="0" fillId="0" borderId="0" xfId="3" applyNumberFormat="1" applyFont="1" applyBorder="1" applyAlignment="1">
      <alignment vertical="center"/>
    </xf>
    <xf numFmtId="9" fontId="0" fillId="0" borderId="0" xfId="3" applyNumberFormat="1" applyFont="1" applyBorder="1" applyAlignment="1">
      <alignment vertical="center"/>
    </xf>
    <xf numFmtId="43" fontId="0" fillId="0" borderId="0" xfId="3" applyFont="1" applyBorder="1" applyAlignment="1">
      <alignment vertical="center"/>
    </xf>
    <xf numFmtId="164" fontId="0" fillId="0" borderId="0" xfId="3" applyNumberFormat="1" applyFont="1" applyBorder="1" applyAlignment="1">
      <alignment horizontal="center" vertical="center"/>
    </xf>
    <xf numFmtId="43" fontId="0" fillId="0" borderId="0" xfId="0" applyNumberFormat="1" applyAlignment="1">
      <alignment horizontal="center" vertical="center" wrapText="1"/>
    </xf>
    <xf numFmtId="0" fontId="0" fillId="0" borderId="0" xfId="0" applyAlignment="1">
      <alignment vertical="center" wrapText="1"/>
    </xf>
    <xf numFmtId="43" fontId="0" fillId="0" borderId="0" xfId="3" applyFont="1" applyBorder="1" applyAlignment="1">
      <alignment horizontal="center" vertical="center"/>
    </xf>
    <xf numFmtId="164" fontId="0" fillId="0" borderId="0" xfId="3" applyNumberFormat="1" applyFont="1" applyBorder="1" applyAlignment="1">
      <alignment horizontal="center"/>
    </xf>
    <xf numFmtId="0" fontId="12" fillId="0" borderId="0" xfId="0" applyFont="1" applyAlignment="1">
      <alignment horizontal="center" vertical="center" wrapText="1"/>
    </xf>
    <xf numFmtId="164" fontId="12" fillId="0" borderId="0" xfId="3" applyNumberFormat="1" applyFont="1" applyFill="1" applyBorder="1" applyAlignment="1">
      <alignment horizontal="center" vertical="center"/>
    </xf>
    <xf numFmtId="0" fontId="2" fillId="5" borderId="1" xfId="0" applyFont="1" applyFill="1" applyBorder="1"/>
    <xf numFmtId="0" fontId="2" fillId="5" borderId="1" xfId="0" applyFont="1" applyFill="1" applyBorder="1" applyAlignment="1">
      <alignment wrapText="1"/>
    </xf>
    <xf numFmtId="166" fontId="0" fillId="0" borderId="0" xfId="1" applyNumberFormat="1" applyFont="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167" fontId="0" fillId="4" borderId="1" xfId="0" applyNumberFormat="1" applyFill="1" applyBorder="1" applyAlignment="1">
      <alignment wrapText="1"/>
    </xf>
    <xf numFmtId="167" fontId="2" fillId="4" borderId="1" xfId="0" applyNumberFormat="1" applyFont="1" applyFill="1" applyBorder="1" applyAlignment="1">
      <alignment wrapText="1"/>
    </xf>
    <xf numFmtId="166" fontId="2" fillId="4" borderId="1" xfId="1" applyNumberFormat="1" applyFont="1" applyFill="1" applyBorder="1" applyAlignment="1">
      <alignment wrapText="1"/>
    </xf>
    <xf numFmtId="0" fontId="0" fillId="0" borderId="0" xfId="0" applyAlignment="1">
      <alignment horizontal="center" vertical="center" wrapText="1"/>
    </xf>
    <xf numFmtId="164" fontId="14" fillId="0" borderId="1" xfId="3" applyNumberFormat="1" applyFont="1" applyBorder="1" applyAlignment="1">
      <alignment horizontal="left" vertical="center"/>
    </xf>
    <xf numFmtId="166" fontId="13" fillId="0" borderId="1" xfId="1" applyNumberFormat="1"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46"/>
  <sheetViews>
    <sheetView tabSelected="1" zoomScale="85" zoomScaleNormal="85" zoomScaleSheetLayoutView="85" workbookViewId="0">
      <selection activeCell="V7" sqref="V7"/>
    </sheetView>
  </sheetViews>
  <sheetFormatPr defaultRowHeight="15" x14ac:dyDescent="0.25"/>
  <cols>
    <col min="2" max="2" width="4.28515625" customWidth="1"/>
    <col min="3" max="3" width="12.5703125" style="16" customWidth="1"/>
    <col min="4" max="4" width="15.140625" style="16" customWidth="1"/>
    <col min="5" max="5" width="21.28515625" style="16" customWidth="1"/>
    <col min="6" max="6" width="9.42578125" style="16" hidden="1" customWidth="1"/>
    <col min="7" max="7" width="13" style="22" customWidth="1"/>
    <col min="8" max="8" width="7.7109375" customWidth="1"/>
    <col min="9" max="9" width="8.7109375" customWidth="1"/>
    <col min="10" max="10" width="10.28515625" customWidth="1"/>
    <col min="11" max="11" width="9.42578125" customWidth="1"/>
    <col min="12" max="12" width="10.85546875" customWidth="1"/>
    <col min="13" max="13" width="10.140625" hidden="1" customWidth="1"/>
    <col min="14" max="14" width="10.42578125" hidden="1" customWidth="1"/>
    <col min="15" max="15" width="13" customWidth="1"/>
    <col min="16" max="16" width="14.140625" customWidth="1"/>
    <col min="17" max="17" width="15.42578125" hidden="1" customWidth="1"/>
    <col min="18" max="18" width="19.5703125" hidden="1" customWidth="1"/>
    <col min="19" max="19" width="17.7109375" hidden="1" customWidth="1"/>
    <col min="20" max="20" width="18.42578125" style="17" customWidth="1"/>
    <col min="21" max="21" width="17" bestFit="1" customWidth="1"/>
    <col min="22" max="23" width="14.28515625" bestFit="1" customWidth="1"/>
  </cols>
  <sheetData>
    <row r="3" spans="2:23" ht="15.75" customHeight="1" x14ac:dyDescent="0.25">
      <c r="B3" s="47" t="s">
        <v>62</v>
      </c>
      <c r="C3" s="48"/>
      <c r="D3" s="48"/>
      <c r="E3" s="48"/>
      <c r="F3" s="48"/>
      <c r="G3" s="48"/>
      <c r="H3" s="48"/>
      <c r="I3" s="48"/>
      <c r="J3" s="48"/>
      <c r="K3" s="48"/>
      <c r="L3" s="48"/>
      <c r="M3" s="48"/>
      <c r="N3" s="48"/>
      <c r="O3" s="48"/>
      <c r="P3" s="48"/>
      <c r="Q3" s="48"/>
      <c r="R3" s="48"/>
      <c r="S3" s="48"/>
      <c r="T3" s="49"/>
    </row>
    <row r="4" spans="2:23" s="14" customFormat="1" ht="82.5" customHeight="1" x14ac:dyDescent="0.25">
      <c r="B4" s="13" t="s">
        <v>0</v>
      </c>
      <c r="C4" s="13" t="s">
        <v>1</v>
      </c>
      <c r="D4" s="13" t="s">
        <v>21</v>
      </c>
      <c r="E4" s="13" t="s">
        <v>4</v>
      </c>
      <c r="F4" s="13" t="s">
        <v>31</v>
      </c>
      <c r="G4" s="21" t="s">
        <v>29</v>
      </c>
      <c r="H4" s="13" t="s">
        <v>33</v>
      </c>
      <c r="I4" s="13" t="s">
        <v>2</v>
      </c>
      <c r="J4" s="13" t="s">
        <v>3</v>
      </c>
      <c r="K4" s="13" t="s">
        <v>13</v>
      </c>
      <c r="L4" s="13" t="s">
        <v>14</v>
      </c>
      <c r="M4" s="13" t="s">
        <v>5</v>
      </c>
      <c r="N4" s="13" t="s">
        <v>7</v>
      </c>
      <c r="O4" s="13" t="s">
        <v>15</v>
      </c>
      <c r="P4" s="13" t="s">
        <v>11</v>
      </c>
      <c r="Q4" s="13" t="s">
        <v>8</v>
      </c>
      <c r="R4" s="13" t="s">
        <v>9</v>
      </c>
      <c r="S4" s="13" t="s">
        <v>12</v>
      </c>
      <c r="T4" s="13" t="s">
        <v>10</v>
      </c>
    </row>
    <row r="5" spans="2:23" ht="56.25" customHeight="1" x14ac:dyDescent="0.25">
      <c r="B5" s="2">
        <v>1</v>
      </c>
      <c r="C5" s="15" t="s">
        <v>35</v>
      </c>
      <c r="D5" s="15" t="s">
        <v>34</v>
      </c>
      <c r="E5" s="15" t="s">
        <v>36</v>
      </c>
      <c r="F5" s="23">
        <f>241*91</f>
        <v>21931</v>
      </c>
      <c r="G5" s="23">
        <f>10.764*F5</f>
        <v>236065.28399999999</v>
      </c>
      <c r="H5" s="10">
        <v>60</v>
      </c>
      <c r="I5" s="2">
        <v>2011</v>
      </c>
      <c r="J5" s="2">
        <v>2022</v>
      </c>
      <c r="K5" s="2">
        <f>J5-I5</f>
        <v>11</v>
      </c>
      <c r="L5" s="2">
        <v>40</v>
      </c>
      <c r="M5" s="3">
        <v>0.1</v>
      </c>
      <c r="N5" s="5">
        <f>(1-M5)/L5</f>
        <v>2.2499999999999999E-2</v>
      </c>
      <c r="O5" s="6">
        <v>1100</v>
      </c>
      <c r="P5" s="6">
        <f>O5*G5</f>
        <v>259671812.39999998</v>
      </c>
      <c r="Q5" s="6">
        <f t="shared" ref="Q5:Q21" si="0">P5*N5*K5</f>
        <v>64268773.568999991</v>
      </c>
      <c r="R5" s="6">
        <f t="shared" ref="R5:R21" si="1">MAX(P5-Q5,0)</f>
        <v>195403038.83099997</v>
      </c>
      <c r="S5" s="11">
        <v>0</v>
      </c>
      <c r="T5" s="6">
        <f t="shared" ref="T5:T21" si="2">IF(R5&gt;M5*P5,R5*(1-S5),P5*M5)</f>
        <v>195403038.83099997</v>
      </c>
      <c r="U5" s="12"/>
      <c r="V5" s="1"/>
      <c r="W5" s="1"/>
    </row>
    <row r="6" spans="2:23" ht="50.25" customHeight="1" x14ac:dyDescent="0.25">
      <c r="B6" s="2">
        <v>2</v>
      </c>
      <c r="C6" s="15" t="s">
        <v>61</v>
      </c>
      <c r="D6" s="15" t="s">
        <v>37</v>
      </c>
      <c r="E6" s="15" t="s">
        <v>38</v>
      </c>
      <c r="F6" s="23">
        <f>3*49*10.5</f>
        <v>1543.5</v>
      </c>
      <c r="G6" s="23">
        <f>10.764*F6</f>
        <v>16614.234</v>
      </c>
      <c r="H6" s="10">
        <v>22</v>
      </c>
      <c r="I6" s="2">
        <v>2011</v>
      </c>
      <c r="J6" s="2">
        <v>2022</v>
      </c>
      <c r="K6" s="2">
        <f t="shared" ref="K6:K21" si="3">J6-I6</f>
        <v>11</v>
      </c>
      <c r="L6" s="2">
        <v>60</v>
      </c>
      <c r="M6" s="3">
        <v>0.1</v>
      </c>
      <c r="N6" s="5">
        <f t="shared" ref="N6:N21" si="4">(1-M6)/L6</f>
        <v>1.5000000000000001E-2</v>
      </c>
      <c r="O6" s="6">
        <v>1700</v>
      </c>
      <c r="P6" s="6">
        <f t="shared" ref="P6:P21" si="5">O6*G6</f>
        <v>28244197.800000001</v>
      </c>
      <c r="Q6" s="6">
        <f t="shared" si="0"/>
        <v>4660292.637000001</v>
      </c>
      <c r="R6" s="6">
        <f t="shared" si="1"/>
        <v>23583905.162999999</v>
      </c>
      <c r="S6" s="11">
        <v>0</v>
      </c>
      <c r="T6" s="6">
        <f t="shared" si="2"/>
        <v>23583905.162999999</v>
      </c>
      <c r="U6" s="12"/>
      <c r="V6" s="1"/>
      <c r="W6" s="1"/>
    </row>
    <row r="7" spans="2:23" ht="50.25" customHeight="1" x14ac:dyDescent="0.25">
      <c r="B7" s="2">
        <v>3</v>
      </c>
      <c r="C7" s="15" t="s">
        <v>40</v>
      </c>
      <c r="D7" s="15" t="s">
        <v>39</v>
      </c>
      <c r="E7" s="15" t="s">
        <v>41</v>
      </c>
      <c r="F7" s="23">
        <f>28*3</f>
        <v>84</v>
      </c>
      <c r="G7" s="23">
        <f t="shared" ref="G7:G21" si="6">10.764*F7</f>
        <v>904.17599999999993</v>
      </c>
      <c r="H7" s="10">
        <v>10</v>
      </c>
      <c r="I7" s="2">
        <v>2011</v>
      </c>
      <c r="J7" s="2">
        <v>2022</v>
      </c>
      <c r="K7" s="2">
        <f t="shared" si="3"/>
        <v>11</v>
      </c>
      <c r="L7" s="2">
        <v>45</v>
      </c>
      <c r="M7" s="3">
        <v>0.1</v>
      </c>
      <c r="N7" s="5">
        <f t="shared" si="4"/>
        <v>0.02</v>
      </c>
      <c r="O7" s="6">
        <v>1200</v>
      </c>
      <c r="P7" s="6">
        <f t="shared" si="5"/>
        <v>1085011.2</v>
      </c>
      <c r="Q7" s="6">
        <f t="shared" si="0"/>
        <v>238702.46399999998</v>
      </c>
      <c r="R7" s="6">
        <f t="shared" si="1"/>
        <v>846308.73600000003</v>
      </c>
      <c r="S7" s="11">
        <v>0</v>
      </c>
      <c r="T7" s="6">
        <f t="shared" si="2"/>
        <v>846308.73600000003</v>
      </c>
      <c r="U7" s="12"/>
      <c r="V7" s="1"/>
      <c r="W7" s="1"/>
    </row>
    <row r="8" spans="2:23" ht="50.25" customHeight="1" x14ac:dyDescent="0.25">
      <c r="B8" s="2">
        <v>4</v>
      </c>
      <c r="C8" s="15" t="s">
        <v>35</v>
      </c>
      <c r="D8" s="15" t="s">
        <v>42</v>
      </c>
      <c r="E8" s="15" t="s">
        <v>43</v>
      </c>
      <c r="F8" s="23">
        <f>10*6.8</f>
        <v>68</v>
      </c>
      <c r="G8" s="23">
        <f t="shared" si="6"/>
        <v>731.952</v>
      </c>
      <c r="H8" s="10">
        <v>12</v>
      </c>
      <c r="I8" s="2">
        <v>2011</v>
      </c>
      <c r="J8" s="2">
        <v>2022</v>
      </c>
      <c r="K8" s="2">
        <f t="shared" si="3"/>
        <v>11</v>
      </c>
      <c r="L8" s="2">
        <v>60</v>
      </c>
      <c r="M8" s="3">
        <v>0.1</v>
      </c>
      <c r="N8" s="5">
        <f t="shared" si="4"/>
        <v>1.5000000000000001E-2</v>
      </c>
      <c r="O8" s="6">
        <v>1200</v>
      </c>
      <c r="P8" s="6">
        <f t="shared" si="5"/>
        <v>878342.4</v>
      </c>
      <c r="Q8" s="6">
        <f t="shared" si="0"/>
        <v>144926.49600000001</v>
      </c>
      <c r="R8" s="6">
        <f t="shared" si="1"/>
        <v>733415.90399999998</v>
      </c>
      <c r="S8" s="11">
        <v>0</v>
      </c>
      <c r="T8" s="6">
        <f t="shared" si="2"/>
        <v>733415.90399999998</v>
      </c>
      <c r="U8" s="12"/>
      <c r="V8" s="1"/>
      <c r="W8" s="1"/>
    </row>
    <row r="9" spans="2:23" ht="50.25" customHeight="1" x14ac:dyDescent="0.25">
      <c r="B9" s="2">
        <v>5</v>
      </c>
      <c r="C9" s="15" t="s">
        <v>35</v>
      </c>
      <c r="D9" s="15" t="s">
        <v>60</v>
      </c>
      <c r="E9" s="15" t="s">
        <v>43</v>
      </c>
      <c r="F9" s="23">
        <f>12.3*4.3</f>
        <v>52.89</v>
      </c>
      <c r="G9" s="23">
        <f t="shared" si="6"/>
        <v>569.30795999999998</v>
      </c>
      <c r="H9" s="10">
        <v>10</v>
      </c>
      <c r="I9" s="2">
        <v>2011</v>
      </c>
      <c r="J9" s="2">
        <v>2022</v>
      </c>
      <c r="K9" s="2">
        <f t="shared" si="3"/>
        <v>11</v>
      </c>
      <c r="L9" s="2">
        <v>60</v>
      </c>
      <c r="M9" s="3">
        <v>0.1</v>
      </c>
      <c r="N9" s="5">
        <f t="shared" si="4"/>
        <v>1.5000000000000001E-2</v>
      </c>
      <c r="O9" s="6">
        <v>1100</v>
      </c>
      <c r="P9" s="6">
        <f t="shared" si="5"/>
        <v>626238.75599999994</v>
      </c>
      <c r="Q9" s="6">
        <f t="shared" si="0"/>
        <v>103329.39474</v>
      </c>
      <c r="R9" s="6">
        <f t="shared" si="1"/>
        <v>522909.36125999992</v>
      </c>
      <c r="S9" s="11">
        <v>0</v>
      </c>
      <c r="T9" s="6">
        <f t="shared" si="2"/>
        <v>522909.36125999992</v>
      </c>
      <c r="U9" s="12"/>
      <c r="V9" s="1"/>
      <c r="W9" s="1"/>
    </row>
    <row r="10" spans="2:23" ht="50.25" customHeight="1" x14ac:dyDescent="0.25">
      <c r="B10" s="2">
        <v>6</v>
      </c>
      <c r="C10" s="15" t="s">
        <v>44</v>
      </c>
      <c r="D10" s="15" t="s">
        <v>45</v>
      </c>
      <c r="E10" s="15" t="s">
        <v>43</v>
      </c>
      <c r="F10" s="23">
        <f>2*6.3*2.1</f>
        <v>26.46</v>
      </c>
      <c r="G10" s="23">
        <f t="shared" si="6"/>
        <v>284.81543999999997</v>
      </c>
      <c r="H10" s="10">
        <v>16</v>
      </c>
      <c r="I10" s="2">
        <v>2011</v>
      </c>
      <c r="J10" s="2">
        <v>2022</v>
      </c>
      <c r="K10" s="2">
        <f t="shared" si="3"/>
        <v>11</v>
      </c>
      <c r="L10" s="2">
        <v>60</v>
      </c>
      <c r="M10" s="3">
        <v>0.1</v>
      </c>
      <c r="N10" s="5">
        <f t="shared" si="4"/>
        <v>1.5000000000000001E-2</v>
      </c>
      <c r="O10" s="6">
        <v>1100</v>
      </c>
      <c r="P10" s="6">
        <f t="shared" si="5"/>
        <v>313296.98399999994</v>
      </c>
      <c r="Q10" s="6">
        <f t="shared" si="0"/>
        <v>51694.002359999999</v>
      </c>
      <c r="R10" s="6">
        <f t="shared" si="1"/>
        <v>261602.98163999995</v>
      </c>
      <c r="S10" s="11">
        <v>0</v>
      </c>
      <c r="T10" s="6">
        <f t="shared" si="2"/>
        <v>261602.98163999995</v>
      </c>
      <c r="U10" s="12"/>
      <c r="V10" s="1"/>
      <c r="W10" s="1"/>
    </row>
    <row r="11" spans="2:23" ht="50.25" customHeight="1" x14ac:dyDescent="0.25">
      <c r="B11" s="2">
        <v>7</v>
      </c>
      <c r="C11" s="15" t="s">
        <v>35</v>
      </c>
      <c r="D11" s="15" t="s">
        <v>47</v>
      </c>
      <c r="E11" s="15" t="s">
        <v>46</v>
      </c>
      <c r="F11" s="23">
        <f>249*2+443</f>
        <v>941</v>
      </c>
      <c r="G11" s="23">
        <f t="shared" si="6"/>
        <v>10128.923999999999</v>
      </c>
      <c r="H11" s="10">
        <v>14</v>
      </c>
      <c r="I11" s="2">
        <v>2011</v>
      </c>
      <c r="J11" s="2">
        <v>2022</v>
      </c>
      <c r="K11" s="2">
        <f t="shared" si="3"/>
        <v>11</v>
      </c>
      <c r="L11" s="2">
        <v>40</v>
      </c>
      <c r="M11" s="3">
        <v>0.1</v>
      </c>
      <c r="N11" s="5">
        <f t="shared" si="4"/>
        <v>2.2499999999999999E-2</v>
      </c>
      <c r="O11" s="6">
        <v>800</v>
      </c>
      <c r="P11" s="6">
        <f t="shared" si="5"/>
        <v>8103139.1999999993</v>
      </c>
      <c r="Q11" s="6">
        <f t="shared" si="0"/>
        <v>2005526.9519999998</v>
      </c>
      <c r="R11" s="6">
        <f t="shared" si="1"/>
        <v>6097612.2479999997</v>
      </c>
      <c r="S11" s="11">
        <v>0</v>
      </c>
      <c r="T11" s="6">
        <f t="shared" si="2"/>
        <v>6097612.2479999997</v>
      </c>
      <c r="U11" s="12"/>
      <c r="V11" s="1"/>
      <c r="W11" s="1"/>
    </row>
    <row r="12" spans="2:23" ht="50.25" customHeight="1" x14ac:dyDescent="0.25">
      <c r="B12" s="2">
        <v>8</v>
      </c>
      <c r="C12" s="15" t="s">
        <v>35</v>
      </c>
      <c r="D12" s="15" t="s">
        <v>48</v>
      </c>
      <c r="E12" s="15" t="s">
        <v>43</v>
      </c>
      <c r="F12" s="23">
        <f>11.4*8</f>
        <v>91.2</v>
      </c>
      <c r="G12" s="23">
        <f t="shared" si="6"/>
        <v>981.67679999999996</v>
      </c>
      <c r="H12" s="10">
        <v>13</v>
      </c>
      <c r="I12" s="2">
        <v>2011</v>
      </c>
      <c r="J12" s="2">
        <v>2022</v>
      </c>
      <c r="K12" s="2">
        <f t="shared" si="3"/>
        <v>11</v>
      </c>
      <c r="L12" s="2">
        <v>60</v>
      </c>
      <c r="M12" s="3">
        <v>0.1</v>
      </c>
      <c r="N12" s="5">
        <f t="shared" si="4"/>
        <v>1.5000000000000001E-2</v>
      </c>
      <c r="O12" s="6">
        <v>1000</v>
      </c>
      <c r="P12" s="6">
        <f t="shared" si="5"/>
        <v>981676.79999999993</v>
      </c>
      <c r="Q12" s="6">
        <f t="shared" si="0"/>
        <v>161976.67199999999</v>
      </c>
      <c r="R12" s="6">
        <f t="shared" si="1"/>
        <v>819700.12799999991</v>
      </c>
      <c r="S12" s="11">
        <v>0</v>
      </c>
      <c r="T12" s="6">
        <f t="shared" si="2"/>
        <v>819700.12799999991</v>
      </c>
      <c r="U12" s="12"/>
      <c r="V12" s="1"/>
      <c r="W12" s="1"/>
    </row>
    <row r="13" spans="2:23" ht="50.25" customHeight="1" x14ac:dyDescent="0.25">
      <c r="B13" s="2">
        <v>9</v>
      </c>
      <c r="C13" s="15" t="s">
        <v>35</v>
      </c>
      <c r="D13" s="15" t="s">
        <v>49</v>
      </c>
      <c r="E13" s="15" t="s">
        <v>43</v>
      </c>
      <c r="F13" s="23">
        <f>25*14.5</f>
        <v>362.5</v>
      </c>
      <c r="G13" s="23">
        <f t="shared" si="6"/>
        <v>3901.95</v>
      </c>
      <c r="H13" s="10">
        <v>16</v>
      </c>
      <c r="I13" s="2">
        <v>2011</v>
      </c>
      <c r="J13" s="2">
        <v>2022</v>
      </c>
      <c r="K13" s="2">
        <f t="shared" si="3"/>
        <v>11</v>
      </c>
      <c r="L13" s="2">
        <v>60</v>
      </c>
      <c r="M13" s="3">
        <v>0.1</v>
      </c>
      <c r="N13" s="5">
        <f t="shared" si="4"/>
        <v>1.5000000000000001E-2</v>
      </c>
      <c r="O13" s="6">
        <v>1100</v>
      </c>
      <c r="P13" s="6">
        <f t="shared" si="5"/>
        <v>4292145</v>
      </c>
      <c r="Q13" s="6">
        <f t="shared" si="0"/>
        <v>708203.92500000005</v>
      </c>
      <c r="R13" s="6">
        <f t="shared" si="1"/>
        <v>3583941.0750000002</v>
      </c>
      <c r="S13" s="11">
        <v>0</v>
      </c>
      <c r="T13" s="6">
        <f t="shared" si="2"/>
        <v>3583941.0750000002</v>
      </c>
      <c r="U13" s="12"/>
      <c r="V13" s="1"/>
      <c r="W13" s="1"/>
    </row>
    <row r="14" spans="2:23" ht="50.25" customHeight="1" x14ac:dyDescent="0.25">
      <c r="B14" s="2">
        <v>10</v>
      </c>
      <c r="C14" s="15" t="s">
        <v>32</v>
      </c>
      <c r="D14" s="15" t="s">
        <v>50</v>
      </c>
      <c r="E14" s="15" t="s">
        <v>43</v>
      </c>
      <c r="F14" s="23">
        <v>709</v>
      </c>
      <c r="G14" s="23">
        <f t="shared" si="6"/>
        <v>7631.6759999999995</v>
      </c>
      <c r="H14" s="10">
        <v>16</v>
      </c>
      <c r="I14" s="2">
        <v>2011</v>
      </c>
      <c r="J14" s="2">
        <v>2022</v>
      </c>
      <c r="K14" s="2">
        <f t="shared" si="3"/>
        <v>11</v>
      </c>
      <c r="L14" s="2">
        <v>60</v>
      </c>
      <c r="M14" s="3">
        <v>0.1</v>
      </c>
      <c r="N14" s="5">
        <f t="shared" si="4"/>
        <v>1.5000000000000001E-2</v>
      </c>
      <c r="O14" s="6">
        <v>1100</v>
      </c>
      <c r="P14" s="6">
        <f t="shared" si="5"/>
        <v>8394843.5999999996</v>
      </c>
      <c r="Q14" s="6">
        <f t="shared" si="0"/>
        <v>1385149.1940000001</v>
      </c>
      <c r="R14" s="6">
        <f t="shared" si="1"/>
        <v>7009694.4059999995</v>
      </c>
      <c r="S14" s="11">
        <v>0</v>
      </c>
      <c r="T14" s="6">
        <f t="shared" si="2"/>
        <v>7009694.4059999995</v>
      </c>
      <c r="U14" s="12"/>
      <c r="V14" s="1"/>
      <c r="W14" s="1"/>
    </row>
    <row r="15" spans="2:23" ht="53.25" customHeight="1" x14ac:dyDescent="0.25">
      <c r="B15" s="2">
        <v>11</v>
      </c>
      <c r="C15" s="15" t="s">
        <v>35</v>
      </c>
      <c r="D15" s="15" t="s">
        <v>51</v>
      </c>
      <c r="E15" s="15" t="s">
        <v>43</v>
      </c>
      <c r="F15" s="23">
        <v>400</v>
      </c>
      <c r="G15" s="23">
        <f t="shared" si="6"/>
        <v>4305.5999999999995</v>
      </c>
      <c r="H15" s="10">
        <v>16</v>
      </c>
      <c r="I15" s="2">
        <v>2011</v>
      </c>
      <c r="J15" s="2">
        <v>2022</v>
      </c>
      <c r="K15" s="2">
        <f t="shared" si="3"/>
        <v>11</v>
      </c>
      <c r="L15" s="2">
        <v>60</v>
      </c>
      <c r="M15" s="3">
        <v>0.1</v>
      </c>
      <c r="N15" s="5">
        <f t="shared" si="4"/>
        <v>1.5000000000000001E-2</v>
      </c>
      <c r="O15" s="6">
        <v>1100</v>
      </c>
      <c r="P15" s="6">
        <f t="shared" si="5"/>
        <v>4736159.9999999991</v>
      </c>
      <c r="Q15" s="6">
        <f t="shared" si="0"/>
        <v>781466.39999999991</v>
      </c>
      <c r="R15" s="6">
        <f t="shared" si="1"/>
        <v>3954693.5999999992</v>
      </c>
      <c r="S15" s="11">
        <v>0</v>
      </c>
      <c r="T15" s="6">
        <f t="shared" si="2"/>
        <v>3954693.5999999992</v>
      </c>
      <c r="U15" s="12"/>
      <c r="V15" s="1"/>
      <c r="W15" s="1"/>
    </row>
    <row r="16" spans="2:23" ht="50.25" customHeight="1" x14ac:dyDescent="0.25">
      <c r="B16" s="2">
        <v>12</v>
      </c>
      <c r="C16" s="15" t="s">
        <v>35</v>
      </c>
      <c r="D16" s="15" t="s">
        <v>52</v>
      </c>
      <c r="E16" s="15" t="s">
        <v>43</v>
      </c>
      <c r="F16" s="23">
        <f>11.6*7.2</f>
        <v>83.52</v>
      </c>
      <c r="G16" s="23">
        <f t="shared" si="6"/>
        <v>899.00927999999988</v>
      </c>
      <c r="H16" s="10">
        <v>16</v>
      </c>
      <c r="I16" s="2">
        <v>2011</v>
      </c>
      <c r="J16" s="2">
        <v>2022</v>
      </c>
      <c r="K16" s="2">
        <f t="shared" si="3"/>
        <v>11</v>
      </c>
      <c r="L16" s="2">
        <v>60</v>
      </c>
      <c r="M16" s="3">
        <v>0.1</v>
      </c>
      <c r="N16" s="5">
        <f t="shared" si="4"/>
        <v>1.5000000000000001E-2</v>
      </c>
      <c r="O16" s="6">
        <v>1100</v>
      </c>
      <c r="P16" s="6">
        <f t="shared" si="5"/>
        <v>988910.20799999987</v>
      </c>
      <c r="Q16" s="6">
        <f t="shared" si="0"/>
        <v>163170.18432</v>
      </c>
      <c r="R16" s="6">
        <f t="shared" si="1"/>
        <v>825740.02367999987</v>
      </c>
      <c r="S16" s="11">
        <v>0</v>
      </c>
      <c r="T16" s="6">
        <f t="shared" si="2"/>
        <v>825740.02367999987</v>
      </c>
      <c r="U16" s="12"/>
      <c r="V16" s="1"/>
      <c r="W16" s="1"/>
    </row>
    <row r="17" spans="2:23" ht="50.25" customHeight="1" x14ac:dyDescent="0.25">
      <c r="B17" s="2">
        <v>13</v>
      </c>
      <c r="C17" s="15" t="s">
        <v>35</v>
      </c>
      <c r="D17" s="15" t="s">
        <v>53</v>
      </c>
      <c r="E17" s="15" t="s">
        <v>43</v>
      </c>
      <c r="F17" s="23">
        <f>6.6*4.4</f>
        <v>29.04</v>
      </c>
      <c r="G17" s="23">
        <f t="shared" si="6"/>
        <v>312.58655999999996</v>
      </c>
      <c r="H17" s="10">
        <v>12</v>
      </c>
      <c r="I17" s="2">
        <v>2011</v>
      </c>
      <c r="J17" s="2">
        <v>2022</v>
      </c>
      <c r="K17" s="2">
        <f t="shared" si="3"/>
        <v>11</v>
      </c>
      <c r="L17" s="2">
        <v>60</v>
      </c>
      <c r="M17" s="3">
        <v>0.1</v>
      </c>
      <c r="N17" s="5">
        <f t="shared" si="4"/>
        <v>1.5000000000000001E-2</v>
      </c>
      <c r="O17" s="6">
        <v>1100</v>
      </c>
      <c r="P17" s="6">
        <f t="shared" si="5"/>
        <v>343845.21599999996</v>
      </c>
      <c r="Q17" s="6">
        <f t="shared" si="0"/>
        <v>56734.460640000005</v>
      </c>
      <c r="R17" s="6">
        <f t="shared" si="1"/>
        <v>287110.75535999995</v>
      </c>
      <c r="S17" s="11">
        <v>0</v>
      </c>
      <c r="T17" s="6">
        <f t="shared" si="2"/>
        <v>287110.75535999995</v>
      </c>
      <c r="U17" s="12"/>
      <c r="V17" s="1"/>
      <c r="W17" s="1"/>
    </row>
    <row r="18" spans="2:23" ht="50.25" customHeight="1" x14ac:dyDescent="0.25">
      <c r="B18" s="2"/>
      <c r="C18" s="15" t="s">
        <v>35</v>
      </c>
      <c r="D18" s="15" t="s">
        <v>54</v>
      </c>
      <c r="E18" s="15" t="s">
        <v>43</v>
      </c>
      <c r="F18" s="23">
        <f>13*6.4</f>
        <v>83.2</v>
      </c>
      <c r="G18" s="23">
        <f t="shared" si="6"/>
        <v>895.56479999999999</v>
      </c>
      <c r="H18" s="10">
        <v>13</v>
      </c>
      <c r="I18" s="2">
        <v>2019</v>
      </c>
      <c r="J18" s="2">
        <v>2022</v>
      </c>
      <c r="K18" s="2">
        <f t="shared" si="3"/>
        <v>3</v>
      </c>
      <c r="L18" s="2">
        <v>60</v>
      </c>
      <c r="M18" s="3">
        <v>0.1</v>
      </c>
      <c r="N18" s="5">
        <f t="shared" si="4"/>
        <v>1.5000000000000001E-2</v>
      </c>
      <c r="O18" s="6">
        <v>1000</v>
      </c>
      <c r="P18" s="6">
        <f t="shared" si="5"/>
        <v>895564.80000000005</v>
      </c>
      <c r="Q18" s="6">
        <f t="shared" si="0"/>
        <v>40300.416000000005</v>
      </c>
      <c r="R18" s="6">
        <f t="shared" si="1"/>
        <v>855264.38400000008</v>
      </c>
      <c r="S18" s="11">
        <v>0</v>
      </c>
      <c r="T18" s="6">
        <f t="shared" si="2"/>
        <v>855264.38400000008</v>
      </c>
      <c r="U18" s="12"/>
      <c r="V18" s="1"/>
      <c r="W18" s="1"/>
    </row>
    <row r="19" spans="2:23" ht="50.25" customHeight="1" x14ac:dyDescent="0.25">
      <c r="B19" s="2"/>
      <c r="C19" s="15" t="s">
        <v>35</v>
      </c>
      <c r="D19" s="15" t="s">
        <v>55</v>
      </c>
      <c r="E19" s="15" t="s">
        <v>56</v>
      </c>
      <c r="F19" s="23">
        <f>14*5</f>
        <v>70</v>
      </c>
      <c r="G19" s="23">
        <f t="shared" si="6"/>
        <v>753.4799999999999</v>
      </c>
      <c r="H19" s="10">
        <v>9</v>
      </c>
      <c r="I19" s="2">
        <v>2011</v>
      </c>
      <c r="J19" s="2">
        <v>2022</v>
      </c>
      <c r="K19" s="2">
        <f t="shared" si="3"/>
        <v>11</v>
      </c>
      <c r="L19" s="2">
        <v>40</v>
      </c>
      <c r="M19" s="3">
        <v>0.1</v>
      </c>
      <c r="N19" s="5">
        <f t="shared" si="4"/>
        <v>2.2499999999999999E-2</v>
      </c>
      <c r="O19" s="6">
        <v>700</v>
      </c>
      <c r="P19" s="6">
        <f t="shared" si="5"/>
        <v>527435.99999999988</v>
      </c>
      <c r="Q19" s="6">
        <f t="shared" si="0"/>
        <v>130540.40999999997</v>
      </c>
      <c r="R19" s="6">
        <f t="shared" si="1"/>
        <v>396895.58999999991</v>
      </c>
      <c r="S19" s="11">
        <v>0</v>
      </c>
      <c r="T19" s="6">
        <f t="shared" si="2"/>
        <v>396895.58999999991</v>
      </c>
      <c r="U19" s="12"/>
      <c r="V19" s="1"/>
      <c r="W19" s="1"/>
    </row>
    <row r="20" spans="2:23" ht="50.25" customHeight="1" x14ac:dyDescent="0.25">
      <c r="B20" s="2"/>
      <c r="C20" s="15" t="s">
        <v>35</v>
      </c>
      <c r="D20" s="15" t="s">
        <v>57</v>
      </c>
      <c r="E20" s="15" t="s">
        <v>56</v>
      </c>
      <c r="F20" s="23">
        <f>13.4*3.7</f>
        <v>49.580000000000005</v>
      </c>
      <c r="G20" s="23">
        <f t="shared" si="6"/>
        <v>533.67912000000001</v>
      </c>
      <c r="H20" s="10">
        <v>9</v>
      </c>
      <c r="I20" s="2">
        <v>2011</v>
      </c>
      <c r="J20" s="2">
        <v>2022</v>
      </c>
      <c r="K20" s="2">
        <f t="shared" si="3"/>
        <v>11</v>
      </c>
      <c r="L20" s="2">
        <v>40</v>
      </c>
      <c r="M20" s="3">
        <v>0.1</v>
      </c>
      <c r="N20" s="5">
        <f t="shared" si="4"/>
        <v>2.2499999999999999E-2</v>
      </c>
      <c r="O20" s="6">
        <v>700</v>
      </c>
      <c r="P20" s="6">
        <f t="shared" si="5"/>
        <v>373575.38400000002</v>
      </c>
      <c r="Q20" s="6">
        <f t="shared" si="0"/>
        <v>92459.90754</v>
      </c>
      <c r="R20" s="6">
        <f t="shared" si="1"/>
        <v>281115.47646000003</v>
      </c>
      <c r="S20" s="11">
        <v>0</v>
      </c>
      <c r="T20" s="6">
        <f t="shared" si="2"/>
        <v>281115.47646000003</v>
      </c>
      <c r="U20" s="12"/>
      <c r="V20" s="1"/>
      <c r="W20" s="1"/>
    </row>
    <row r="21" spans="2:23" ht="50.25" customHeight="1" x14ac:dyDescent="0.25">
      <c r="B21" s="2"/>
      <c r="C21" s="15" t="s">
        <v>30</v>
      </c>
      <c r="D21" s="15" t="s">
        <v>58</v>
      </c>
      <c r="E21" s="15" t="s">
        <v>59</v>
      </c>
      <c r="F21" s="23">
        <v>149</v>
      </c>
      <c r="G21" s="23">
        <f t="shared" si="6"/>
        <v>1603.836</v>
      </c>
      <c r="H21" s="10">
        <v>22</v>
      </c>
      <c r="I21" s="2">
        <v>2011</v>
      </c>
      <c r="J21" s="2">
        <v>2022</v>
      </c>
      <c r="K21" s="2">
        <f t="shared" si="3"/>
        <v>11</v>
      </c>
      <c r="L21" s="2">
        <v>45</v>
      </c>
      <c r="M21" s="3">
        <v>0.1</v>
      </c>
      <c r="N21" s="5">
        <f t="shared" si="4"/>
        <v>0.02</v>
      </c>
      <c r="O21" s="6">
        <v>1700</v>
      </c>
      <c r="P21" s="6">
        <f t="shared" si="5"/>
        <v>2726521.2</v>
      </c>
      <c r="Q21" s="6">
        <f t="shared" si="0"/>
        <v>599834.66400000011</v>
      </c>
      <c r="R21" s="6">
        <f t="shared" si="1"/>
        <v>2126686.5360000003</v>
      </c>
      <c r="S21" s="11">
        <v>0</v>
      </c>
      <c r="T21" s="6">
        <f t="shared" si="2"/>
        <v>2126686.5360000003</v>
      </c>
      <c r="U21" s="12"/>
      <c r="V21" s="1"/>
      <c r="W21" s="1"/>
    </row>
    <row r="22" spans="2:23" ht="34.5" customHeight="1" x14ac:dyDescent="0.25">
      <c r="B22" s="50" t="s">
        <v>6</v>
      </c>
      <c r="C22" s="51"/>
      <c r="D22" s="51"/>
      <c r="E22" s="52"/>
      <c r="F22" s="30">
        <f>SUM(F5:F5)</f>
        <v>21931</v>
      </c>
      <c r="G22" s="60">
        <f>10.764*F22</f>
        <v>236065.28399999999</v>
      </c>
      <c r="H22" s="9"/>
      <c r="I22" s="53"/>
      <c r="J22" s="53"/>
      <c r="K22" s="53"/>
      <c r="L22" s="53"/>
      <c r="M22" s="53"/>
      <c r="N22" s="53"/>
      <c r="O22" s="53"/>
      <c r="P22" s="7">
        <f>SUM(P5:P21)</f>
        <v>323182716.94800001</v>
      </c>
      <c r="Q22" s="7"/>
      <c r="R22" s="7">
        <f>SUM(R5:R21)</f>
        <v>247589635.19939998</v>
      </c>
      <c r="S22" s="7"/>
      <c r="T22" s="61">
        <f>SUM(T5:T21)</f>
        <v>247589635.19939998</v>
      </c>
      <c r="U22" s="12"/>
    </row>
    <row r="23" spans="2:23" x14ac:dyDescent="0.25">
      <c r="B23" s="55" t="s">
        <v>16</v>
      </c>
      <c r="C23" s="55"/>
      <c r="D23" s="55"/>
      <c r="E23" s="55"/>
      <c r="F23" s="55"/>
      <c r="G23" s="55"/>
      <c r="H23" s="55"/>
      <c r="I23" s="55"/>
      <c r="J23" s="55"/>
      <c r="K23" s="55"/>
      <c r="L23" s="55"/>
      <c r="M23" s="55"/>
      <c r="N23" s="55"/>
      <c r="O23" s="55"/>
      <c r="P23" s="55"/>
      <c r="Q23" s="55"/>
      <c r="R23" s="55"/>
      <c r="S23" s="55"/>
      <c r="T23" s="55"/>
      <c r="U23" s="12"/>
    </row>
    <row r="24" spans="2:23" ht="29.25" customHeight="1" x14ac:dyDescent="0.25">
      <c r="B24" s="54" t="s">
        <v>22</v>
      </c>
      <c r="C24" s="54"/>
      <c r="D24" s="54"/>
      <c r="E24" s="54"/>
      <c r="F24" s="54"/>
      <c r="G24" s="54"/>
      <c r="H24" s="54"/>
      <c r="I24" s="54"/>
      <c r="J24" s="54"/>
      <c r="K24" s="54"/>
      <c r="L24" s="54"/>
      <c r="M24" s="54"/>
      <c r="N24" s="54"/>
      <c r="O24" s="54"/>
      <c r="P24" s="54"/>
      <c r="Q24" s="54"/>
      <c r="R24" s="54"/>
      <c r="S24" s="54"/>
      <c r="T24" s="54"/>
      <c r="U24" s="12"/>
    </row>
    <row r="25" spans="2:23" x14ac:dyDescent="0.25">
      <c r="B25" s="54" t="s">
        <v>63</v>
      </c>
      <c r="C25" s="46"/>
      <c r="D25" s="46"/>
      <c r="E25" s="46"/>
      <c r="F25" s="46"/>
      <c r="G25" s="46"/>
      <c r="H25" s="46"/>
      <c r="I25" s="46"/>
      <c r="J25" s="46"/>
      <c r="K25" s="46"/>
      <c r="L25" s="46"/>
      <c r="M25" s="46"/>
      <c r="N25" s="46"/>
      <c r="O25" s="46"/>
      <c r="P25" s="46"/>
      <c r="Q25" s="46"/>
      <c r="R25" s="46"/>
      <c r="S25" s="46"/>
      <c r="T25" s="46"/>
      <c r="U25" s="12"/>
    </row>
    <row r="26" spans="2:23" x14ac:dyDescent="0.25">
      <c r="B26" s="46" t="s">
        <v>17</v>
      </c>
      <c r="C26" s="46"/>
      <c r="D26" s="46"/>
      <c r="E26" s="46"/>
      <c r="F26" s="46"/>
      <c r="G26" s="46"/>
      <c r="H26" s="46"/>
      <c r="I26" s="46"/>
      <c r="J26" s="46"/>
      <c r="K26" s="46"/>
      <c r="L26" s="46"/>
      <c r="M26" s="46"/>
      <c r="N26" s="46"/>
      <c r="O26" s="46"/>
      <c r="P26" s="46"/>
      <c r="Q26" s="46"/>
      <c r="R26" s="46"/>
      <c r="S26" s="46"/>
      <c r="T26" s="46"/>
      <c r="U26" s="12"/>
    </row>
    <row r="27" spans="2:23" x14ac:dyDescent="0.25">
      <c r="U27" s="12"/>
    </row>
    <row r="28" spans="2:23" x14ac:dyDescent="0.25">
      <c r="D28" s="43" t="s">
        <v>24</v>
      </c>
      <c r="E28" s="56">
        <v>0</v>
      </c>
      <c r="U28" s="12"/>
    </row>
    <row r="29" spans="2:23" ht="15.75" x14ac:dyDescent="0.25">
      <c r="D29" s="43" t="s">
        <v>25</v>
      </c>
      <c r="E29" s="56">
        <v>163642500</v>
      </c>
      <c r="R29" s="19" t="s">
        <v>27</v>
      </c>
      <c r="S29" s="18">
        <f>E29</f>
        <v>163642500</v>
      </c>
      <c r="U29" s="12"/>
    </row>
    <row r="30" spans="2:23" ht="15.75" x14ac:dyDescent="0.25">
      <c r="D30" s="43" t="s">
        <v>26</v>
      </c>
      <c r="E30" s="56">
        <f>T22</f>
        <v>247589635.19939998</v>
      </c>
      <c r="H30" s="45">
        <f>163642500+247589635+8600000</f>
        <v>419832135</v>
      </c>
      <c r="P30" s="20"/>
      <c r="R30" s="19" t="s">
        <v>28</v>
      </c>
      <c r="S30" s="18">
        <f>5583.61*20000</f>
        <v>111672200</v>
      </c>
      <c r="U30" s="12"/>
    </row>
    <row r="31" spans="2:23" x14ac:dyDescent="0.25">
      <c r="D31" s="44" t="s">
        <v>20</v>
      </c>
      <c r="E31" s="57">
        <f>SUM(E28:E30)</f>
        <v>411232135.19939995</v>
      </c>
      <c r="U31" s="12"/>
    </row>
    <row r="32" spans="2:23" ht="20.25" customHeight="1" x14ac:dyDescent="0.25">
      <c r="D32" s="44" t="s">
        <v>23</v>
      </c>
      <c r="E32" s="57">
        <v>18800000</v>
      </c>
      <c r="O32" s="20"/>
      <c r="Q32" s="25"/>
      <c r="R32" s="16"/>
      <c r="S32" s="16"/>
      <c r="T32" s="26"/>
      <c r="U32" s="24"/>
    </row>
    <row r="33" spans="3:23" x14ac:dyDescent="0.25">
      <c r="D33" s="43" t="s">
        <v>18</v>
      </c>
      <c r="E33" s="58">
        <f>0.85*E32</f>
        <v>15980000</v>
      </c>
      <c r="U33" s="12"/>
    </row>
    <row r="34" spans="3:23" x14ac:dyDescent="0.25">
      <c r="D34" s="43" t="s">
        <v>19</v>
      </c>
      <c r="E34" s="58">
        <f>0.75*E32</f>
        <v>14100000</v>
      </c>
      <c r="U34" s="12"/>
    </row>
    <row r="35" spans="3:23" x14ac:dyDescent="0.25">
      <c r="U35" s="12"/>
    </row>
    <row r="36" spans="3:23" ht="15" customHeight="1" x14ac:dyDescent="0.25">
      <c r="U36" s="12"/>
    </row>
    <row r="38" spans="3:23" x14ac:dyDescent="0.25">
      <c r="C38" s="41"/>
      <c r="D38" s="42"/>
      <c r="E38" s="41"/>
      <c r="F38" s="28"/>
      <c r="U38" s="8"/>
      <c r="V38" s="4"/>
      <c r="W38" s="4"/>
    </row>
    <row r="39" spans="3:23" x14ac:dyDescent="0.25">
      <c r="C39" s="32"/>
      <c r="D39" s="33"/>
      <c r="F39"/>
      <c r="H39" s="29"/>
      <c r="P39" s="27"/>
    </row>
    <row r="40" spans="3:23" x14ac:dyDescent="0.25">
      <c r="C40" s="32"/>
      <c r="D40" s="34"/>
      <c r="F40"/>
      <c r="J40" s="1"/>
      <c r="K40" s="27">
        <f>J40/10.7642</f>
        <v>0</v>
      </c>
      <c r="L40">
        <f>3147/450*10.764</f>
        <v>75.276239999999987</v>
      </c>
    </row>
    <row r="41" spans="3:23" x14ac:dyDescent="0.25">
      <c r="C41" s="32"/>
      <c r="D41" s="35"/>
      <c r="F41"/>
    </row>
    <row r="42" spans="3:23" x14ac:dyDescent="0.25">
      <c r="C42" s="32"/>
      <c r="D42" s="36"/>
      <c r="E42" s="59"/>
      <c r="F42" s="29"/>
    </row>
    <row r="43" spans="3:23" x14ac:dyDescent="0.25">
      <c r="C43" s="32"/>
      <c r="D43" s="37"/>
      <c r="E43" s="59"/>
      <c r="F43" s="29"/>
    </row>
    <row r="44" spans="3:23" ht="15" customHeight="1" x14ac:dyDescent="0.25">
      <c r="C44" s="38"/>
      <c r="D44" s="39"/>
      <c r="E44" s="59"/>
      <c r="F44" s="29"/>
    </row>
    <row r="45" spans="3:23" x14ac:dyDescent="0.25">
      <c r="D45" s="40"/>
      <c r="E45" s="59"/>
      <c r="F45" s="29"/>
    </row>
    <row r="46" spans="3:23" x14ac:dyDescent="0.25">
      <c r="F46" s="31"/>
    </row>
  </sheetData>
  <mergeCells count="7">
    <mergeCell ref="B26:T26"/>
    <mergeCell ref="B3:T3"/>
    <mergeCell ref="B22:E22"/>
    <mergeCell ref="I22:O22"/>
    <mergeCell ref="B24:T24"/>
    <mergeCell ref="B25:T25"/>
    <mergeCell ref="B23:T23"/>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Building</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2022-09-17T09:17:08Z</dcterms:modified>
</cp:coreProperties>
</file>