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Babul\Edit\VIS(2022-23)-PL205-153-302_kamarhati unit\Working\"/>
    </mc:Choice>
  </mc:AlternateContent>
  <bookViews>
    <workbookView showVerticalScroll="0" xWindow="0" yWindow="0" windowWidth="24000" windowHeight="9735"/>
  </bookViews>
  <sheets>
    <sheet name="Building" sheetId="1" r:id="rId1"/>
    <sheet name="Sheet3" sheetId="3" r:id="rId2"/>
    <sheet name="Land" sheetId="2" r:id="rId3"/>
  </sheets>
  <definedNames>
    <definedName name="_xlnm.Print_Area" localSheetId="0">Building!$B$1:$S$28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P11" i="1"/>
  <c r="Q11" i="1" s="1"/>
  <c r="P15" i="1"/>
  <c r="Q15" i="1" s="1"/>
  <c r="F24" i="1"/>
  <c r="O24" i="1" s="1"/>
  <c r="F23" i="1"/>
  <c r="O23" i="1" s="1"/>
  <c r="P23" i="1" s="1"/>
  <c r="Q23" i="1" s="1"/>
  <c r="F22" i="1"/>
  <c r="O22" i="1" s="1"/>
  <c r="F21" i="1"/>
  <c r="F20" i="1"/>
  <c r="O20" i="1" s="1"/>
  <c r="F19" i="1"/>
  <c r="O19" i="1" s="1"/>
  <c r="F18" i="1"/>
  <c r="F17" i="1"/>
  <c r="O17" i="1" s="1"/>
  <c r="F15" i="1"/>
  <c r="O15" i="1" s="1"/>
  <c r="F16" i="1"/>
  <c r="O16" i="1" s="1"/>
  <c r="F14" i="1"/>
  <c r="O14" i="1" s="1"/>
  <c r="F13" i="1"/>
  <c r="F12" i="1"/>
  <c r="F11" i="1"/>
  <c r="O11" i="1" s="1"/>
  <c r="F10" i="1"/>
  <c r="O10" i="1" s="1"/>
  <c r="F9" i="1"/>
  <c r="F8" i="1"/>
  <c r="F7" i="1"/>
  <c r="F6" i="1"/>
  <c r="F5" i="1"/>
  <c r="F25" i="1" s="1"/>
  <c r="F4" i="1"/>
  <c r="O12" i="1"/>
  <c r="O13" i="1"/>
  <c r="O18" i="1"/>
  <c r="O21" i="1"/>
  <c r="J10" i="1"/>
  <c r="J11" i="1"/>
  <c r="J12" i="1"/>
  <c r="J13" i="1"/>
  <c r="J14" i="1"/>
  <c r="J15" i="1"/>
  <c r="J16" i="1"/>
  <c r="J17" i="1"/>
  <c r="J18" i="1"/>
  <c r="J19" i="1"/>
  <c r="J20" i="1"/>
  <c r="P20" i="1" s="1"/>
  <c r="J21" i="1"/>
  <c r="J22" i="1"/>
  <c r="J23" i="1"/>
  <c r="J24" i="1"/>
  <c r="P24" i="1" s="1"/>
  <c r="J9" i="1"/>
  <c r="P17" i="1" l="1"/>
  <c r="Q17" i="1" s="1"/>
  <c r="S17" i="1" s="1"/>
  <c r="P10" i="1"/>
  <c r="Q10" i="1" s="1"/>
  <c r="S10" i="1" s="1"/>
  <c r="P14" i="1"/>
  <c r="Q14" i="1" s="1"/>
  <c r="S14" i="1" s="1"/>
  <c r="P22" i="1"/>
  <c r="Q22" i="1"/>
  <c r="Q16" i="1"/>
  <c r="Q20" i="1"/>
  <c r="P18" i="1"/>
  <c r="Q18" i="1" s="1"/>
  <c r="S18" i="1" s="1"/>
  <c r="P19" i="1"/>
  <c r="Q19" i="1" s="1"/>
  <c r="P13" i="1"/>
  <c r="Q21" i="1"/>
  <c r="S21" i="1" s="1"/>
  <c r="Q13" i="1"/>
  <c r="S13" i="1" s="1"/>
  <c r="P16" i="1"/>
  <c r="P12" i="1"/>
  <c r="Q12" i="1" s="1"/>
  <c r="S12" i="1" s="1"/>
  <c r="Q24" i="1"/>
  <c r="S24" i="1" s="1"/>
  <c r="P21" i="1"/>
  <c r="S20" i="1"/>
  <c r="S23" i="1"/>
  <c r="S22" i="1"/>
  <c r="S19" i="1"/>
  <c r="S15" i="1"/>
  <c r="S16" i="1"/>
  <c r="S11" i="1"/>
  <c r="D31" i="1"/>
  <c r="O9" i="1" l="1"/>
  <c r="P9" i="1" s="1"/>
  <c r="D36" i="1"/>
  <c r="D35" i="1"/>
  <c r="Q9" i="1" l="1"/>
  <c r="S9" i="1" s="1"/>
  <c r="O8" i="1" l="1"/>
  <c r="M8" i="1"/>
  <c r="J8" i="1"/>
  <c r="P8" i="1" l="1"/>
  <c r="Q8" i="1"/>
  <c r="O5" i="1"/>
  <c r="M5" i="1"/>
  <c r="J5" i="1"/>
  <c r="O6" i="1"/>
  <c r="M6" i="1"/>
  <c r="J6" i="1"/>
  <c r="P6" i="1" l="1"/>
  <c r="P5" i="1"/>
  <c r="S8" i="1"/>
  <c r="Q5" i="1"/>
  <c r="S5" i="1" s="1"/>
  <c r="Q6" i="1"/>
  <c r="S6" i="1" s="1"/>
  <c r="J7" i="1"/>
  <c r="M7" i="1"/>
  <c r="O7" i="1"/>
  <c r="P7" i="1" s="1"/>
  <c r="Q7" i="1" l="1"/>
  <c r="S7" i="1" s="1"/>
  <c r="O4" i="1" l="1"/>
  <c r="O25" i="1" s="1"/>
  <c r="P25" i="1" s="1"/>
  <c r="M4" i="1"/>
  <c r="J4" i="1" l="1"/>
  <c r="P4" i="1" l="1"/>
  <c r="Q4" i="1" l="1"/>
  <c r="Q25" i="1" s="1"/>
  <c r="S4" i="1" l="1"/>
  <c r="S25" i="1" l="1"/>
  <c r="D30" i="1" s="1"/>
  <c r="D33" i="1" s="1"/>
</calcChain>
</file>

<file path=xl/comments1.xml><?xml version="1.0" encoding="utf-8"?>
<comments xmlns="http://schemas.openxmlformats.org/spreadsheetml/2006/main">
  <authors>
    <author>admin</author>
  </authors>
  <commentList>
    <comment ref="R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<sst xmlns="http://schemas.openxmlformats.org/spreadsheetml/2006/main" count="94" uniqueCount="59">
  <si>
    <t>SR. No.</t>
  </si>
  <si>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</si>
  <si>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</si>
  <si>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</si>
  <si>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</si>
  <si>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</si>
  <si>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</si>
  <si>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</si>
  <si>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</si>
  <si>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</si>
  <si>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</si>
  <si>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</si>
  <si>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</si>
  <si>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</si>
  <si>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</si>
  <si>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</si>
  <si>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</si>
  <si>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Ground Floor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</si>
  <si>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</si>
  <si>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RV</t>
  </si>
  <si>
    <t>DV</t>
  </si>
  <si>
    <t>TOTAL FMV</t>
  </si>
  <si>
    <t>Unit</t>
  </si>
  <si>
    <t>BUILDING</t>
  </si>
  <si>
    <t>LAND</t>
  </si>
  <si>
    <t>ROUND OFF</t>
  </si>
  <si>
    <t>PREMIIUM</t>
  </si>
  <si>
    <t>revised rate</t>
  </si>
  <si>
    <r>
      <t xml:space="preserve">Height
 </t>
    </r>
    <r>
      <rPr>
        <b/>
        <i/>
        <sz val="10"/>
        <rFont val="Calibri"/>
        <family val="2"/>
        <scheme val="minor"/>
      </rPr>
      <t>(in ft.)</t>
    </r>
  </si>
  <si>
    <t>Shop 1</t>
  </si>
  <si>
    <t>Shop 2</t>
  </si>
  <si>
    <t>Shop 3</t>
  </si>
  <si>
    <t>Shop 4</t>
  </si>
  <si>
    <t>Shop 5</t>
  </si>
  <si>
    <t>Shop 6</t>
  </si>
  <si>
    <t>Shop 7</t>
  </si>
  <si>
    <t>Shop 8</t>
  </si>
  <si>
    <t>Paint Shop &amp; Shot Blasting</t>
  </si>
  <si>
    <t>Lean to shed attached to shop 3 &amp; 4</t>
  </si>
  <si>
    <t>Lean to shed attached to shop 1</t>
  </si>
  <si>
    <t xml:space="preserve">Administrative / Purchase building </t>
  </si>
  <si>
    <t>Canteen</t>
  </si>
  <si>
    <t>Ground + First + Second Floor</t>
  </si>
  <si>
    <t xml:space="preserve">Main Office Building </t>
  </si>
  <si>
    <t>Ground + First Floor</t>
  </si>
  <si>
    <t>Training Centre</t>
  </si>
  <si>
    <t>Secuirty Room</t>
  </si>
  <si>
    <t>Bathroom</t>
  </si>
  <si>
    <t>Test Bed Office</t>
  </si>
  <si>
    <t>Adjacent shed with shop no -5</t>
  </si>
  <si>
    <t xml:space="preserve">Car Parking </t>
  </si>
  <si>
    <t xml:space="preserve">Cycle Shed </t>
  </si>
  <si>
    <t xml:space="preserve">Tin shed mounted on steel structure with PCC flooring </t>
  </si>
  <si>
    <t xml:space="preserve">Asbestos shed mounted on RCC structure </t>
  </si>
  <si>
    <t>RCC structure</t>
  </si>
  <si>
    <t xml:space="preserve">Tin shed mounted on steel structure </t>
  </si>
  <si>
    <t>BUILDING VALUATION OF M/S. TIL LTD|KAMARHATI, KOLKATA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</si>
  <si>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 building documents, site survey measurement &amp; visual observation made during site survey.</t>
    </r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</si>
  <si>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TIL Ltd.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</si>
</sst>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_ ;_ [$₹-4009]\ * \-#,##0_ ;_ [$₹-4009]\ * &quot;-&quot;??_ ;_ @_ "/>
    <numFmt numFmtId="168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6" borderId="1" xfId="0" applyFont="1" applyFill="1" applyBorder="1"/>
    <xf numFmtId="166" fontId="0" fillId="5" borderId="1" xfId="0" applyNumberFormat="1" applyFill="1" applyBorder="1"/>
    <xf numFmtId="167" fontId="0" fillId="5" borderId="1" xfId="0" applyNumberFormat="1" applyFill="1" applyBorder="1"/>
    <xf numFmtId="0" fontId="2" fillId="6" borderId="1" xfId="0" applyFont="1" applyFill="1" applyBorder="1" applyAlignment="1">
      <alignment wrapText="1"/>
    </xf>
    <xf numFmtId="167" fontId="2" fillId="5" borderId="1" xfId="1" applyNumberFormat="1" applyFont="1" applyFill="1" applyBorder="1"/>
    <xf numFmtId="167" fontId="2" fillId="5" borderId="1" xfId="0" applyNumberFormat="1" applyFont="1" applyFill="1" applyBorder="1"/>
    <xf numFmtId="0" fontId="7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6">
    <cellStyle name="Comma" xfId="3" builtinId="3"/>
    <cellStyle name="Comma 2" xfId="5"/>
    <cellStyle name="Currency" xfId="1" builtinId="4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0"/>
  <sheetViews>
    <sheetView tabSelected="1" zoomScale="85" zoomScaleNormal="85" zoomScaleSheetLayoutView="85" workbookViewId="0">
      <selection activeCell="G37" sqref="G37"/>
    </sheetView>
  </sheetViews>
  <sheetFormatPr defaultRowHeight="15" x14ac:dyDescent="0.25"/>
  <cols>
    <col min="1" max="1" width="7.140625" customWidth="1"/>
    <col min="2" max="2" width="5.42578125" customWidth="1"/>
    <col min="3" max="3" width="14.28515625" customWidth="1"/>
    <col min="4" max="4" width="17.42578125" style="23" customWidth="1"/>
    <col min="5" max="5" width="24.7109375" style="23" customWidth="1"/>
    <col min="6" max="6" width="12.140625" customWidth="1"/>
    <col min="7" max="7" width="9.42578125" customWidth="1"/>
    <col min="8" max="8" width="18.140625" customWidth="1"/>
    <col min="9" max="9" width="9.42578125" customWidth="1"/>
    <col min="10" max="10" width="11.7109375" customWidth="1"/>
    <col min="11" max="11" width="14.28515625" customWidth="1"/>
    <col min="12" max="12" width="7.7109375" hidden="1" customWidth="1"/>
    <col min="13" max="13" width="12.42578125" hidden="1" customWidth="1"/>
    <col min="14" max="14" width="9.7109375" customWidth="1"/>
    <col min="15" max="15" width="17.85546875" customWidth="1"/>
    <col min="16" max="16" width="14.140625" hidden="1" customWidth="1"/>
    <col min="17" max="17" width="14" hidden="1" customWidth="1"/>
    <col min="18" max="18" width="11.140625" hidden="1" customWidth="1"/>
    <col min="19" max="19" width="18.28515625" style="20" customWidth="1"/>
    <col min="20" max="20" width="17" hidden="1" customWidth="1"/>
    <col min="21" max="22" width="14.28515625" bestFit="1" customWidth="1"/>
  </cols>
  <sheetData>
    <row r="2" spans="2:22" ht="12.75" customHeight="1" x14ac:dyDescent="0.25">
      <c r="B2" s="31" t="s">
        <v>56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3"/>
    </row>
    <row r="3" spans="2:22" s="16" customFormat="1" ht="63.75" customHeight="1" x14ac:dyDescent="0.25">
      <c r="B3" s="14" t="s">
        <v>0</v>
      </c>
      <c r="C3" s="14" t="s">
        <v>1</v>
      </c>
      <c r="D3" s="15" t="s">
        <v>22</v>
      </c>
      <c r="E3" s="15" t="s">
        <v>4</v>
      </c>
      <c r="F3" s="15" t="s">
        <v>16</v>
      </c>
      <c r="G3" s="15" t="s">
        <v>28</v>
      </c>
      <c r="H3" s="15" t="s">
        <v>2</v>
      </c>
      <c r="I3" s="15" t="s">
        <v>3</v>
      </c>
      <c r="J3" s="15" t="s">
        <v>13</v>
      </c>
      <c r="K3" s="15" t="s">
        <v>14</v>
      </c>
      <c r="L3" s="15" t="s">
        <v>5</v>
      </c>
      <c r="M3" s="15" t="s">
        <v>7</v>
      </c>
      <c r="N3" s="15" t="s">
        <v>15</v>
      </c>
      <c r="O3" s="15" t="s">
        <v>11</v>
      </c>
      <c r="P3" s="15" t="s">
        <v>8</v>
      </c>
      <c r="Q3" s="15" t="s">
        <v>9</v>
      </c>
      <c r="R3" s="15" t="s">
        <v>12</v>
      </c>
      <c r="S3" s="15" t="s">
        <v>10</v>
      </c>
      <c r="T3" s="16" t="s">
        <v>27</v>
      </c>
    </row>
    <row r="4" spans="2:22" ht="48.75" customHeight="1" x14ac:dyDescent="0.25">
      <c r="B4" s="13">
        <v>1</v>
      </c>
      <c r="C4" s="2" t="s">
        <v>17</v>
      </c>
      <c r="D4" s="22" t="s">
        <v>29</v>
      </c>
      <c r="E4" s="22" t="s">
        <v>52</v>
      </c>
      <c r="F4" s="10">
        <f>245*53</f>
        <v>12985</v>
      </c>
      <c r="G4" s="10">
        <v>35</v>
      </c>
      <c r="H4" s="2">
        <v>1962</v>
      </c>
      <c r="I4" s="2">
        <v>2022</v>
      </c>
      <c r="J4" s="2">
        <f>I4-H4</f>
        <v>60</v>
      </c>
      <c r="K4" s="2">
        <v>40</v>
      </c>
      <c r="L4" s="3">
        <v>0.1</v>
      </c>
      <c r="M4" s="5">
        <f>(1-L4)/K4</f>
        <v>2.2499999999999999E-2</v>
      </c>
      <c r="N4" s="6">
        <v>1100</v>
      </c>
      <c r="O4" s="6">
        <f t="shared" ref="O4:O24" si="0">N4*F4</f>
        <v>14283500</v>
      </c>
      <c r="P4" s="6">
        <f t="shared" ref="P4:P24" si="1">O4*M4*J4</f>
        <v>19282725</v>
      </c>
      <c r="Q4" s="6">
        <f t="shared" ref="Q4:Q7" si="2">MAX(O4-P4,0)</f>
        <v>0</v>
      </c>
      <c r="R4" s="11">
        <v>0</v>
      </c>
      <c r="S4" s="6">
        <f t="shared" ref="S4:S7" si="3">IF(Q4&gt;L4*O4,Q4*(1-R4),O4*L4)</f>
        <v>1428350</v>
      </c>
      <c r="T4" s="12">
        <v>1400</v>
      </c>
      <c r="U4" s="1"/>
      <c r="V4" s="1"/>
    </row>
    <row r="5" spans="2:22" ht="53.25" customHeight="1" x14ac:dyDescent="0.25">
      <c r="B5" s="13">
        <v>2</v>
      </c>
      <c r="C5" s="2" t="s">
        <v>17</v>
      </c>
      <c r="D5" s="22" t="s">
        <v>30</v>
      </c>
      <c r="E5" s="22" t="s">
        <v>52</v>
      </c>
      <c r="F5" s="10">
        <f>222*49</f>
        <v>10878</v>
      </c>
      <c r="G5" s="10">
        <v>35</v>
      </c>
      <c r="H5" s="2">
        <v>1970</v>
      </c>
      <c r="I5" s="2">
        <v>2022</v>
      </c>
      <c r="J5" s="2">
        <f>I5-H5</f>
        <v>52</v>
      </c>
      <c r="K5" s="2">
        <v>40</v>
      </c>
      <c r="L5" s="3">
        <v>0.1</v>
      </c>
      <c r="M5" s="5">
        <f>(1-L5)/K5</f>
        <v>2.2499999999999999E-2</v>
      </c>
      <c r="N5" s="6">
        <v>1100</v>
      </c>
      <c r="O5" s="6">
        <f t="shared" si="0"/>
        <v>11965800</v>
      </c>
      <c r="P5" s="6">
        <f t="shared" si="1"/>
        <v>13999986</v>
      </c>
      <c r="Q5" s="6">
        <f>MAX(O5-P5,0)</f>
        <v>0</v>
      </c>
      <c r="R5" s="11">
        <v>0</v>
      </c>
      <c r="S5" s="6">
        <f t="shared" si="3"/>
        <v>1196580</v>
      </c>
      <c r="T5" s="12">
        <v>1100</v>
      </c>
      <c r="U5" s="1"/>
      <c r="V5" s="1"/>
    </row>
    <row r="6" spans="2:22" ht="45" x14ac:dyDescent="0.25">
      <c r="B6" s="13">
        <v>3</v>
      </c>
      <c r="C6" s="2" t="s">
        <v>17</v>
      </c>
      <c r="D6" s="22" t="s">
        <v>31</v>
      </c>
      <c r="E6" s="22" t="s">
        <v>52</v>
      </c>
      <c r="F6" s="10">
        <f>300*50</f>
        <v>15000</v>
      </c>
      <c r="G6" s="10">
        <v>34</v>
      </c>
      <c r="H6" s="2">
        <v>1980</v>
      </c>
      <c r="I6" s="2">
        <v>2022</v>
      </c>
      <c r="J6" s="2">
        <f t="shared" ref="J6" si="4">I6-H6</f>
        <v>42</v>
      </c>
      <c r="K6" s="2">
        <v>40</v>
      </c>
      <c r="L6" s="3">
        <v>0.1</v>
      </c>
      <c r="M6" s="5">
        <f t="shared" ref="M6" si="5">(1-L6)/K6</f>
        <v>2.2499999999999999E-2</v>
      </c>
      <c r="N6" s="6">
        <v>1100</v>
      </c>
      <c r="O6" s="6">
        <f t="shared" si="0"/>
        <v>16500000</v>
      </c>
      <c r="P6" s="6">
        <f t="shared" si="1"/>
        <v>15592500</v>
      </c>
      <c r="Q6" s="6">
        <f t="shared" ref="Q6" si="6">MAX(O6-P6,0)</f>
        <v>907500</v>
      </c>
      <c r="R6" s="11">
        <v>0</v>
      </c>
      <c r="S6" s="6">
        <f t="shared" ref="S6" si="7">IF(Q6&gt;L6*O6,Q6*(1-R6),O6*L6)</f>
        <v>1650000</v>
      </c>
      <c r="T6" s="12">
        <v>1000</v>
      </c>
      <c r="U6" s="1"/>
      <c r="V6" s="1"/>
    </row>
    <row r="7" spans="2:22" ht="45" x14ac:dyDescent="0.25">
      <c r="B7" s="13">
        <v>4</v>
      </c>
      <c r="C7" s="2" t="s">
        <v>17</v>
      </c>
      <c r="D7" s="22" t="s">
        <v>32</v>
      </c>
      <c r="E7" s="22" t="s">
        <v>52</v>
      </c>
      <c r="F7" s="10">
        <f>300*50</f>
        <v>15000</v>
      </c>
      <c r="G7" s="10">
        <v>3334</v>
      </c>
      <c r="H7" s="2">
        <v>1980</v>
      </c>
      <c r="I7" s="2">
        <v>2022</v>
      </c>
      <c r="J7" s="2">
        <f t="shared" ref="J7" si="8">I7-H7</f>
        <v>42</v>
      </c>
      <c r="K7" s="2">
        <v>40</v>
      </c>
      <c r="L7" s="3">
        <v>0.1</v>
      </c>
      <c r="M7" s="5">
        <f t="shared" ref="M7" si="9">(1-L7)/K7</f>
        <v>2.2499999999999999E-2</v>
      </c>
      <c r="N7" s="6">
        <v>1100</v>
      </c>
      <c r="O7" s="6">
        <f t="shared" si="0"/>
        <v>16500000</v>
      </c>
      <c r="P7" s="6">
        <f t="shared" si="1"/>
        <v>15592500</v>
      </c>
      <c r="Q7" s="6">
        <f t="shared" si="2"/>
        <v>907500</v>
      </c>
      <c r="R7" s="11">
        <v>0</v>
      </c>
      <c r="S7" s="6">
        <f t="shared" si="3"/>
        <v>1650000</v>
      </c>
      <c r="T7" s="12">
        <v>1100</v>
      </c>
      <c r="U7" s="1"/>
      <c r="V7" s="1"/>
    </row>
    <row r="8" spans="2:22" ht="43.5" customHeight="1" x14ac:dyDescent="0.25">
      <c r="B8" s="13">
        <v>5</v>
      </c>
      <c r="C8" s="2" t="s">
        <v>17</v>
      </c>
      <c r="D8" s="22" t="s">
        <v>33</v>
      </c>
      <c r="E8" s="22" t="s">
        <v>52</v>
      </c>
      <c r="F8" s="10">
        <f>200*50</f>
        <v>10000</v>
      </c>
      <c r="G8" s="10">
        <v>42</v>
      </c>
      <c r="H8" s="2">
        <v>1985</v>
      </c>
      <c r="I8" s="2">
        <v>2022</v>
      </c>
      <c r="J8" s="2">
        <f>I8-H8</f>
        <v>37</v>
      </c>
      <c r="K8" s="2">
        <v>40</v>
      </c>
      <c r="L8" s="3">
        <v>0.1</v>
      </c>
      <c r="M8" s="5">
        <f>(1-L8)/K8</f>
        <v>2.2499999999999999E-2</v>
      </c>
      <c r="N8" s="6">
        <v>1100</v>
      </c>
      <c r="O8" s="6">
        <f t="shared" si="0"/>
        <v>11000000</v>
      </c>
      <c r="P8" s="6">
        <f t="shared" si="1"/>
        <v>9157500</v>
      </c>
      <c r="Q8" s="6">
        <f t="shared" ref="Q8" si="10">MAX(O8-P8,0)</f>
        <v>1842500</v>
      </c>
      <c r="R8" s="11">
        <v>0</v>
      </c>
      <c r="S8" s="6">
        <f t="shared" ref="S8" si="11">IF(Q8&gt;L8*O8,Q8*(1-R8),O8*L8)</f>
        <v>1842500</v>
      </c>
      <c r="T8" s="12">
        <v>1100</v>
      </c>
      <c r="U8" s="1"/>
      <c r="V8" s="1"/>
    </row>
    <row r="9" spans="2:22" ht="45.75" customHeight="1" x14ac:dyDescent="0.25">
      <c r="B9" s="13">
        <v>6</v>
      </c>
      <c r="C9" s="2" t="s">
        <v>17</v>
      </c>
      <c r="D9" s="22" t="s">
        <v>34</v>
      </c>
      <c r="E9" s="22" t="s">
        <v>52</v>
      </c>
      <c r="F9" s="10">
        <f>55*70</f>
        <v>3850</v>
      </c>
      <c r="G9" s="10">
        <v>34</v>
      </c>
      <c r="H9" s="2">
        <v>1985</v>
      </c>
      <c r="I9" s="2">
        <v>2022</v>
      </c>
      <c r="J9" s="2">
        <f>I9-H9</f>
        <v>37</v>
      </c>
      <c r="K9" s="2">
        <v>40</v>
      </c>
      <c r="L9" s="3">
        <v>0.1</v>
      </c>
      <c r="M9" s="5">
        <f t="shared" ref="M9:M24" si="12">(1-L9)/K9</f>
        <v>2.2499999999999999E-2</v>
      </c>
      <c r="N9" s="6">
        <v>1100</v>
      </c>
      <c r="O9" s="6">
        <f t="shared" si="0"/>
        <v>4235000</v>
      </c>
      <c r="P9" s="6">
        <f t="shared" si="1"/>
        <v>3525637.5</v>
      </c>
      <c r="Q9" s="6">
        <f>MAX(O9-P9,0)</f>
        <v>709362.5</v>
      </c>
      <c r="R9" s="11">
        <v>0</v>
      </c>
      <c r="S9" s="6">
        <f t="shared" ref="S9:S24" si="13">IF(Q9&gt;L9*O9,Q9*(1-R9),O9*L9)</f>
        <v>709362.5</v>
      </c>
      <c r="T9" s="12"/>
      <c r="U9" s="1"/>
      <c r="V9" s="1"/>
    </row>
    <row r="10" spans="2:22" ht="46.5" customHeight="1" x14ac:dyDescent="0.25">
      <c r="B10" s="13">
        <v>7</v>
      </c>
      <c r="C10" s="2" t="s">
        <v>17</v>
      </c>
      <c r="D10" s="22" t="s">
        <v>35</v>
      </c>
      <c r="E10" s="22" t="s">
        <v>52</v>
      </c>
      <c r="F10" s="10">
        <f>200*62.6</f>
        <v>12520</v>
      </c>
      <c r="G10" s="10">
        <v>42</v>
      </c>
      <c r="H10" s="2">
        <v>1998</v>
      </c>
      <c r="I10" s="2">
        <v>2022</v>
      </c>
      <c r="J10" s="2">
        <f t="shared" ref="J10:J24" si="14">I10-H10</f>
        <v>24</v>
      </c>
      <c r="K10" s="2">
        <v>40</v>
      </c>
      <c r="L10" s="3">
        <v>0.1</v>
      </c>
      <c r="M10" s="5">
        <f t="shared" si="12"/>
        <v>2.2499999999999999E-2</v>
      </c>
      <c r="N10" s="6">
        <v>1100</v>
      </c>
      <c r="O10" s="6">
        <f t="shared" si="0"/>
        <v>13772000</v>
      </c>
      <c r="P10" s="6">
        <f t="shared" si="1"/>
        <v>7436880</v>
      </c>
      <c r="Q10" s="6">
        <f t="shared" ref="Q10:Q24" si="15">MAX(O10-P10,0)</f>
        <v>6335120</v>
      </c>
      <c r="R10" s="11">
        <v>0</v>
      </c>
      <c r="S10" s="6">
        <f t="shared" si="13"/>
        <v>6335120</v>
      </c>
      <c r="T10" s="12"/>
      <c r="U10" s="1"/>
      <c r="V10" s="1"/>
    </row>
    <row r="11" spans="2:22" ht="51.75" customHeight="1" x14ac:dyDescent="0.25">
      <c r="B11" s="13">
        <v>8</v>
      </c>
      <c r="C11" s="2" t="s">
        <v>17</v>
      </c>
      <c r="D11" s="22" t="s">
        <v>36</v>
      </c>
      <c r="E11" s="22" t="s">
        <v>52</v>
      </c>
      <c r="F11" s="10">
        <f>100*50</f>
        <v>5000</v>
      </c>
      <c r="G11" s="10">
        <v>40</v>
      </c>
      <c r="H11" s="2">
        <v>2004</v>
      </c>
      <c r="I11" s="2">
        <v>2022</v>
      </c>
      <c r="J11" s="2">
        <f t="shared" si="14"/>
        <v>18</v>
      </c>
      <c r="K11" s="2">
        <v>40</v>
      </c>
      <c r="L11" s="3">
        <v>0.1</v>
      </c>
      <c r="M11" s="5">
        <f t="shared" si="12"/>
        <v>2.2499999999999999E-2</v>
      </c>
      <c r="N11" s="6">
        <v>1100</v>
      </c>
      <c r="O11" s="6">
        <f t="shared" si="0"/>
        <v>5500000</v>
      </c>
      <c r="P11" s="6">
        <f t="shared" si="1"/>
        <v>2227500</v>
      </c>
      <c r="Q11" s="6">
        <f t="shared" si="15"/>
        <v>3272500</v>
      </c>
      <c r="R11" s="11">
        <v>0</v>
      </c>
      <c r="S11" s="6">
        <f t="shared" si="13"/>
        <v>3272500</v>
      </c>
      <c r="T11" s="12"/>
      <c r="U11" s="1"/>
      <c r="V11" s="1"/>
    </row>
    <row r="12" spans="2:22" ht="48" customHeight="1" x14ac:dyDescent="0.25">
      <c r="B12" s="13">
        <v>9</v>
      </c>
      <c r="C12" s="2" t="s">
        <v>17</v>
      </c>
      <c r="D12" s="22" t="s">
        <v>38</v>
      </c>
      <c r="E12" s="22" t="s">
        <v>52</v>
      </c>
      <c r="F12" s="10">
        <f>241.2*19.8</f>
        <v>4775.76</v>
      </c>
      <c r="G12" s="10">
        <v>23</v>
      </c>
      <c r="H12" s="2">
        <v>1982</v>
      </c>
      <c r="I12" s="2">
        <v>2022</v>
      </c>
      <c r="J12" s="2">
        <f t="shared" si="14"/>
        <v>40</v>
      </c>
      <c r="K12" s="2">
        <v>40</v>
      </c>
      <c r="L12" s="3">
        <v>0.1</v>
      </c>
      <c r="M12" s="5">
        <f t="shared" si="12"/>
        <v>2.2499999999999999E-2</v>
      </c>
      <c r="N12" s="6">
        <v>1000</v>
      </c>
      <c r="O12" s="6">
        <f t="shared" si="0"/>
        <v>4775760</v>
      </c>
      <c r="P12" s="6">
        <f t="shared" si="1"/>
        <v>4298184</v>
      </c>
      <c r="Q12" s="6">
        <f t="shared" si="15"/>
        <v>477576</v>
      </c>
      <c r="R12" s="11">
        <v>0</v>
      </c>
      <c r="S12" s="6">
        <f t="shared" si="13"/>
        <v>477576</v>
      </c>
      <c r="T12" s="12"/>
      <c r="U12" s="1"/>
      <c r="V12" s="1"/>
    </row>
    <row r="13" spans="2:22" ht="44.25" customHeight="1" x14ac:dyDescent="0.25">
      <c r="B13" s="13">
        <v>10</v>
      </c>
      <c r="C13" s="2" t="s">
        <v>17</v>
      </c>
      <c r="D13" s="22" t="s">
        <v>39</v>
      </c>
      <c r="E13" s="22" t="s">
        <v>52</v>
      </c>
      <c r="F13" s="10">
        <f>183.7*34.9</f>
        <v>6411.1299999999992</v>
      </c>
      <c r="G13" s="10">
        <v>20</v>
      </c>
      <c r="H13" s="2">
        <v>1982</v>
      </c>
      <c r="I13" s="2">
        <v>2022</v>
      </c>
      <c r="J13" s="2">
        <f t="shared" si="14"/>
        <v>40</v>
      </c>
      <c r="K13" s="2">
        <v>40</v>
      </c>
      <c r="L13" s="3">
        <v>0.1</v>
      </c>
      <c r="M13" s="5">
        <f t="shared" si="12"/>
        <v>2.2499999999999999E-2</v>
      </c>
      <c r="N13" s="6">
        <v>1000</v>
      </c>
      <c r="O13" s="6">
        <f t="shared" si="0"/>
        <v>6411129.9999999991</v>
      </c>
      <c r="P13" s="6">
        <f t="shared" si="1"/>
        <v>5770016.9999999981</v>
      </c>
      <c r="Q13" s="6">
        <f t="shared" si="15"/>
        <v>641113.00000000093</v>
      </c>
      <c r="R13" s="11">
        <v>0</v>
      </c>
      <c r="S13" s="6">
        <f t="shared" si="13"/>
        <v>641113.00000000093</v>
      </c>
      <c r="T13" s="12"/>
      <c r="U13" s="1"/>
      <c r="V13" s="1"/>
    </row>
    <row r="14" spans="2:22" ht="54" customHeight="1" x14ac:dyDescent="0.25">
      <c r="B14" s="13">
        <v>11</v>
      </c>
      <c r="C14" s="2" t="s">
        <v>17</v>
      </c>
      <c r="D14" s="22" t="s">
        <v>37</v>
      </c>
      <c r="E14" s="22" t="s">
        <v>52</v>
      </c>
      <c r="F14" s="10">
        <f>154.19*52.4</f>
        <v>8079.5559999999996</v>
      </c>
      <c r="G14" s="10">
        <v>25</v>
      </c>
      <c r="H14" s="2">
        <v>1980</v>
      </c>
      <c r="I14" s="2">
        <v>2022</v>
      </c>
      <c r="J14" s="2">
        <f t="shared" si="14"/>
        <v>42</v>
      </c>
      <c r="K14" s="2">
        <v>40</v>
      </c>
      <c r="L14" s="3">
        <v>0.1</v>
      </c>
      <c r="M14" s="5">
        <f t="shared" si="12"/>
        <v>2.2499999999999999E-2</v>
      </c>
      <c r="N14" s="6">
        <v>1100</v>
      </c>
      <c r="O14" s="6">
        <f t="shared" si="0"/>
        <v>8887511.5999999996</v>
      </c>
      <c r="P14" s="6">
        <f t="shared" si="1"/>
        <v>8398698.4619999994</v>
      </c>
      <c r="Q14" s="6">
        <f t="shared" si="15"/>
        <v>488813.13800000027</v>
      </c>
      <c r="R14" s="11">
        <v>0</v>
      </c>
      <c r="S14" s="6">
        <f t="shared" si="13"/>
        <v>888751.16</v>
      </c>
      <c r="T14" s="12"/>
      <c r="U14" s="1"/>
      <c r="V14" s="1"/>
    </row>
    <row r="15" spans="2:22" ht="38.25" customHeight="1" x14ac:dyDescent="0.25">
      <c r="B15" s="13">
        <v>12</v>
      </c>
      <c r="C15" s="22" t="s">
        <v>42</v>
      </c>
      <c r="D15" s="22" t="s">
        <v>40</v>
      </c>
      <c r="E15" s="22" t="s">
        <v>54</v>
      </c>
      <c r="F15" s="10">
        <f>2*113*33+885</f>
        <v>8343</v>
      </c>
      <c r="G15" s="10">
        <v>20</v>
      </c>
      <c r="H15" s="2">
        <v>1985</v>
      </c>
      <c r="I15" s="2">
        <v>2022</v>
      </c>
      <c r="J15" s="2">
        <f t="shared" si="14"/>
        <v>37</v>
      </c>
      <c r="K15" s="2">
        <v>60</v>
      </c>
      <c r="L15" s="3">
        <v>0.1</v>
      </c>
      <c r="M15" s="5">
        <f t="shared" si="12"/>
        <v>1.5000000000000001E-2</v>
      </c>
      <c r="N15" s="6">
        <v>1300</v>
      </c>
      <c r="O15" s="6">
        <f t="shared" si="0"/>
        <v>10845900</v>
      </c>
      <c r="P15" s="6">
        <f t="shared" si="1"/>
        <v>6019474.5</v>
      </c>
      <c r="Q15" s="6">
        <f t="shared" si="15"/>
        <v>4826425.5</v>
      </c>
      <c r="R15" s="11">
        <v>0</v>
      </c>
      <c r="S15" s="6">
        <f t="shared" si="13"/>
        <v>4826425.5</v>
      </c>
      <c r="T15" s="12"/>
      <c r="U15" s="1"/>
      <c r="V15" s="1"/>
    </row>
    <row r="16" spans="2:22" ht="38.25" customHeight="1" x14ac:dyDescent="0.25">
      <c r="B16" s="13">
        <v>13</v>
      </c>
      <c r="C16" s="2" t="s">
        <v>17</v>
      </c>
      <c r="D16" s="22" t="s">
        <v>41</v>
      </c>
      <c r="E16" s="22" t="s">
        <v>54</v>
      </c>
      <c r="F16" s="10">
        <f>106*41.6</f>
        <v>4409.6000000000004</v>
      </c>
      <c r="G16" s="10">
        <v>21</v>
      </c>
      <c r="H16" s="2">
        <v>1983</v>
      </c>
      <c r="I16" s="2">
        <v>2022</v>
      </c>
      <c r="J16" s="2">
        <f t="shared" si="14"/>
        <v>39</v>
      </c>
      <c r="K16" s="2">
        <v>60</v>
      </c>
      <c r="L16" s="3">
        <v>0.1</v>
      </c>
      <c r="M16" s="5">
        <f t="shared" si="12"/>
        <v>1.5000000000000001E-2</v>
      </c>
      <c r="N16" s="6">
        <v>1200</v>
      </c>
      <c r="O16" s="6">
        <f t="shared" si="0"/>
        <v>5291520</v>
      </c>
      <c r="P16" s="6">
        <f t="shared" si="1"/>
        <v>3095539.2</v>
      </c>
      <c r="Q16" s="6">
        <f t="shared" si="15"/>
        <v>2195980.7999999998</v>
      </c>
      <c r="R16" s="11">
        <v>0</v>
      </c>
      <c r="S16" s="6">
        <f t="shared" si="13"/>
        <v>2195980.7999999998</v>
      </c>
      <c r="T16" s="12"/>
      <c r="U16" s="1"/>
      <c r="V16" s="1"/>
    </row>
    <row r="17" spans="2:22" ht="38.25" customHeight="1" x14ac:dyDescent="0.25">
      <c r="B17" s="13">
        <v>14</v>
      </c>
      <c r="C17" s="22" t="s">
        <v>42</v>
      </c>
      <c r="D17" s="22" t="s">
        <v>43</v>
      </c>
      <c r="E17" s="22" t="s">
        <v>53</v>
      </c>
      <c r="F17" s="10">
        <f>3*125*26</f>
        <v>9750</v>
      </c>
      <c r="G17" s="10">
        <v>30</v>
      </c>
      <c r="H17" s="2">
        <v>1983</v>
      </c>
      <c r="I17" s="2">
        <v>2022</v>
      </c>
      <c r="J17" s="2">
        <f t="shared" si="14"/>
        <v>39</v>
      </c>
      <c r="K17" s="2">
        <v>60</v>
      </c>
      <c r="L17" s="3">
        <v>0.1</v>
      </c>
      <c r="M17" s="5">
        <f t="shared" si="12"/>
        <v>1.5000000000000001E-2</v>
      </c>
      <c r="N17" s="6">
        <v>1400</v>
      </c>
      <c r="O17" s="6">
        <f t="shared" si="0"/>
        <v>13650000</v>
      </c>
      <c r="P17" s="6">
        <f t="shared" si="1"/>
        <v>7985250.0000000009</v>
      </c>
      <c r="Q17" s="6">
        <f t="shared" si="15"/>
        <v>5664749.9999999991</v>
      </c>
      <c r="R17" s="11">
        <v>0</v>
      </c>
      <c r="S17" s="6">
        <f t="shared" si="13"/>
        <v>5664749.9999999991</v>
      </c>
      <c r="T17" s="12"/>
      <c r="U17" s="1"/>
      <c r="V17" s="1"/>
    </row>
    <row r="18" spans="2:22" ht="56.25" customHeight="1" x14ac:dyDescent="0.25">
      <c r="B18" s="13">
        <v>15</v>
      </c>
      <c r="C18" s="22" t="s">
        <v>44</v>
      </c>
      <c r="D18" s="22" t="s">
        <v>45</v>
      </c>
      <c r="E18" s="22" t="s">
        <v>54</v>
      </c>
      <c r="F18" s="10">
        <f>78.7*19.7*2</f>
        <v>3100.78</v>
      </c>
      <c r="G18" s="10">
        <v>20</v>
      </c>
      <c r="H18" s="2">
        <v>1983</v>
      </c>
      <c r="I18" s="2">
        <v>2022</v>
      </c>
      <c r="J18" s="2">
        <f t="shared" si="14"/>
        <v>39</v>
      </c>
      <c r="K18" s="2">
        <v>60</v>
      </c>
      <c r="L18" s="3">
        <v>0.1</v>
      </c>
      <c r="M18" s="5">
        <f t="shared" si="12"/>
        <v>1.5000000000000001E-2</v>
      </c>
      <c r="N18" s="6">
        <v>1200</v>
      </c>
      <c r="O18" s="6">
        <f t="shared" si="0"/>
        <v>3720936.0000000005</v>
      </c>
      <c r="P18" s="6">
        <f t="shared" si="1"/>
        <v>2176747.5600000005</v>
      </c>
      <c r="Q18" s="6">
        <f t="shared" si="15"/>
        <v>1544188.44</v>
      </c>
      <c r="R18" s="11">
        <v>0</v>
      </c>
      <c r="S18" s="6">
        <f t="shared" si="13"/>
        <v>1544188.44</v>
      </c>
      <c r="T18" s="12"/>
      <c r="U18" s="1"/>
      <c r="V18" s="1"/>
    </row>
    <row r="19" spans="2:22" ht="38.25" customHeight="1" x14ac:dyDescent="0.25">
      <c r="B19" s="13">
        <v>16</v>
      </c>
      <c r="C19" s="2" t="s">
        <v>17</v>
      </c>
      <c r="D19" s="22" t="s">
        <v>46</v>
      </c>
      <c r="E19" s="22" t="s">
        <v>54</v>
      </c>
      <c r="F19" s="10">
        <f>16.4*13.12</f>
        <v>215.16799999999998</v>
      </c>
      <c r="G19" s="10">
        <v>10</v>
      </c>
      <c r="H19" s="2">
        <v>1980</v>
      </c>
      <c r="I19" s="2">
        <v>2022</v>
      </c>
      <c r="J19" s="2">
        <f t="shared" si="14"/>
        <v>42</v>
      </c>
      <c r="K19" s="2">
        <v>60</v>
      </c>
      <c r="L19" s="3">
        <v>0.1</v>
      </c>
      <c r="M19" s="5">
        <f t="shared" si="12"/>
        <v>1.5000000000000001E-2</v>
      </c>
      <c r="N19" s="6">
        <v>1000</v>
      </c>
      <c r="O19" s="6">
        <f t="shared" si="0"/>
        <v>215167.99999999997</v>
      </c>
      <c r="P19" s="6">
        <f t="shared" si="1"/>
        <v>135555.84</v>
      </c>
      <c r="Q19" s="6">
        <f t="shared" si="15"/>
        <v>79612.159999999974</v>
      </c>
      <c r="R19" s="11">
        <v>0</v>
      </c>
      <c r="S19" s="6">
        <f t="shared" si="13"/>
        <v>79612.159999999974</v>
      </c>
      <c r="T19" s="12"/>
      <c r="U19" s="1"/>
      <c r="V19" s="1"/>
    </row>
    <row r="20" spans="2:22" ht="38.25" customHeight="1" x14ac:dyDescent="0.25">
      <c r="B20" s="13">
        <v>17</v>
      </c>
      <c r="C20" s="2" t="s">
        <v>17</v>
      </c>
      <c r="D20" s="22" t="s">
        <v>47</v>
      </c>
      <c r="E20" s="22" t="s">
        <v>53</v>
      </c>
      <c r="F20" s="10">
        <f>46*16.4</f>
        <v>754.4</v>
      </c>
      <c r="G20" s="10">
        <v>16</v>
      </c>
      <c r="H20" s="2">
        <v>1985</v>
      </c>
      <c r="I20" s="2">
        <v>2022</v>
      </c>
      <c r="J20" s="2">
        <f t="shared" si="14"/>
        <v>37</v>
      </c>
      <c r="K20" s="2">
        <v>45</v>
      </c>
      <c r="L20" s="3">
        <v>0.1</v>
      </c>
      <c r="M20" s="5">
        <f t="shared" si="12"/>
        <v>0.02</v>
      </c>
      <c r="N20" s="6">
        <v>1000</v>
      </c>
      <c r="O20" s="6">
        <f t="shared" si="0"/>
        <v>754400</v>
      </c>
      <c r="P20" s="6">
        <f t="shared" si="1"/>
        <v>558256</v>
      </c>
      <c r="Q20" s="6">
        <f t="shared" si="15"/>
        <v>196144</v>
      </c>
      <c r="R20" s="11">
        <v>0</v>
      </c>
      <c r="S20" s="6">
        <f t="shared" si="13"/>
        <v>196144</v>
      </c>
      <c r="T20" s="12"/>
      <c r="U20" s="1"/>
      <c r="V20" s="1"/>
    </row>
    <row r="21" spans="2:22" ht="38.25" customHeight="1" x14ac:dyDescent="0.25">
      <c r="B21" s="13">
        <v>18</v>
      </c>
      <c r="C21" s="2" t="s">
        <v>17</v>
      </c>
      <c r="D21" s="22" t="s">
        <v>48</v>
      </c>
      <c r="E21" s="22" t="s">
        <v>53</v>
      </c>
      <c r="F21" s="10">
        <f>17.38*16.7</f>
        <v>290.24599999999998</v>
      </c>
      <c r="G21" s="10">
        <v>11</v>
      </c>
      <c r="H21" s="2">
        <v>1985</v>
      </c>
      <c r="I21" s="2">
        <v>2022</v>
      </c>
      <c r="J21" s="2">
        <f t="shared" si="14"/>
        <v>37</v>
      </c>
      <c r="K21" s="2">
        <v>45</v>
      </c>
      <c r="L21" s="3">
        <v>0.1</v>
      </c>
      <c r="M21" s="5">
        <f t="shared" si="12"/>
        <v>0.02</v>
      </c>
      <c r="N21" s="6">
        <v>1000</v>
      </c>
      <c r="O21" s="6">
        <f t="shared" si="0"/>
        <v>290246</v>
      </c>
      <c r="P21" s="6">
        <f t="shared" si="1"/>
        <v>214782.04</v>
      </c>
      <c r="Q21" s="6">
        <f t="shared" si="15"/>
        <v>75463.959999999992</v>
      </c>
      <c r="R21" s="11">
        <v>0</v>
      </c>
      <c r="S21" s="6">
        <f t="shared" si="13"/>
        <v>75463.959999999992</v>
      </c>
      <c r="T21" s="12"/>
      <c r="U21" s="1"/>
      <c r="V21" s="1"/>
    </row>
    <row r="22" spans="2:22" ht="56.25" customHeight="1" x14ac:dyDescent="0.25">
      <c r="B22" s="13">
        <v>19</v>
      </c>
      <c r="C22" s="2" t="s">
        <v>17</v>
      </c>
      <c r="D22" s="22" t="s">
        <v>49</v>
      </c>
      <c r="E22" s="22" t="s">
        <v>52</v>
      </c>
      <c r="F22" s="10">
        <f>59.05*13.12</f>
        <v>774.73599999999988</v>
      </c>
      <c r="G22" s="10">
        <v>23</v>
      </c>
      <c r="H22" s="2">
        <v>2005</v>
      </c>
      <c r="I22" s="2">
        <v>2022</v>
      </c>
      <c r="J22" s="2">
        <f t="shared" si="14"/>
        <v>17</v>
      </c>
      <c r="K22" s="2">
        <v>40</v>
      </c>
      <c r="L22" s="3">
        <v>0.1</v>
      </c>
      <c r="M22" s="5">
        <f t="shared" si="12"/>
        <v>2.2499999999999999E-2</v>
      </c>
      <c r="N22" s="6">
        <v>1000</v>
      </c>
      <c r="O22" s="6">
        <f t="shared" si="0"/>
        <v>774735.99999999988</v>
      </c>
      <c r="P22" s="6">
        <f t="shared" si="1"/>
        <v>296336.51999999996</v>
      </c>
      <c r="Q22" s="6">
        <f t="shared" si="15"/>
        <v>478399.47999999992</v>
      </c>
      <c r="R22" s="11">
        <v>0</v>
      </c>
      <c r="S22" s="6">
        <f t="shared" si="13"/>
        <v>478399.47999999992</v>
      </c>
      <c r="T22" s="12"/>
      <c r="U22" s="1"/>
      <c r="V22" s="1"/>
    </row>
    <row r="23" spans="2:22" ht="38.25" customHeight="1" x14ac:dyDescent="0.25">
      <c r="B23" s="13">
        <v>20</v>
      </c>
      <c r="C23" s="2" t="s">
        <v>17</v>
      </c>
      <c r="D23" s="22" t="s">
        <v>50</v>
      </c>
      <c r="E23" s="22" t="s">
        <v>55</v>
      </c>
      <c r="F23" s="10">
        <f>65.6*16.4</f>
        <v>1075.8399999999999</v>
      </c>
      <c r="G23" s="10">
        <v>8</v>
      </c>
      <c r="H23" s="2">
        <v>1980</v>
      </c>
      <c r="I23" s="2">
        <v>2022</v>
      </c>
      <c r="J23" s="2">
        <f t="shared" si="14"/>
        <v>42</v>
      </c>
      <c r="K23" s="2">
        <v>30</v>
      </c>
      <c r="L23" s="3">
        <v>0.1</v>
      </c>
      <c r="M23" s="5">
        <f t="shared" si="12"/>
        <v>3.0000000000000002E-2</v>
      </c>
      <c r="N23" s="6">
        <v>700</v>
      </c>
      <c r="O23" s="6">
        <f t="shared" si="0"/>
        <v>753088</v>
      </c>
      <c r="P23" s="6">
        <f t="shared" si="1"/>
        <v>948890.88000000012</v>
      </c>
      <c r="Q23" s="6">
        <f t="shared" si="15"/>
        <v>0</v>
      </c>
      <c r="R23" s="11">
        <v>0</v>
      </c>
      <c r="S23" s="6">
        <f t="shared" si="13"/>
        <v>75308.800000000003</v>
      </c>
      <c r="T23" s="12"/>
      <c r="U23" s="1"/>
      <c r="V23" s="1"/>
    </row>
    <row r="24" spans="2:22" ht="38.25" customHeight="1" x14ac:dyDescent="0.25">
      <c r="B24" s="13">
        <v>21</v>
      </c>
      <c r="C24" s="2" t="s">
        <v>17</v>
      </c>
      <c r="D24" s="22" t="s">
        <v>51</v>
      </c>
      <c r="E24" s="22" t="s">
        <v>55</v>
      </c>
      <c r="F24" s="10">
        <f>65.6*13.12</f>
        <v>860.67199999999991</v>
      </c>
      <c r="G24" s="10">
        <v>8</v>
      </c>
      <c r="H24" s="2">
        <v>1980</v>
      </c>
      <c r="I24" s="2">
        <v>2022</v>
      </c>
      <c r="J24" s="2">
        <f t="shared" si="14"/>
        <v>42</v>
      </c>
      <c r="K24" s="2">
        <v>30</v>
      </c>
      <c r="L24" s="3">
        <v>0.1</v>
      </c>
      <c r="M24" s="5">
        <f t="shared" si="12"/>
        <v>3.0000000000000002E-2</v>
      </c>
      <c r="N24" s="6">
        <v>700</v>
      </c>
      <c r="O24" s="6">
        <f t="shared" si="0"/>
        <v>602470.39999999991</v>
      </c>
      <c r="P24" s="6">
        <f t="shared" si="1"/>
        <v>759112.70399999991</v>
      </c>
      <c r="Q24" s="6">
        <f t="shared" si="15"/>
        <v>0</v>
      </c>
      <c r="R24" s="11">
        <v>0</v>
      </c>
      <c r="S24" s="6">
        <f t="shared" si="13"/>
        <v>60247.039999999994</v>
      </c>
      <c r="T24" s="12"/>
      <c r="U24" s="1"/>
      <c r="V24" s="1"/>
    </row>
    <row r="25" spans="2:22" x14ac:dyDescent="0.25">
      <c r="B25" s="34" t="s">
        <v>6</v>
      </c>
      <c r="C25" s="34"/>
      <c r="D25" s="34"/>
      <c r="E25" s="34"/>
      <c r="F25" s="21">
        <f>SUM(F4:F24)</f>
        <v>134073.88800000001</v>
      </c>
      <c r="G25" s="9"/>
      <c r="H25" s="34"/>
      <c r="I25" s="34"/>
      <c r="J25" s="34"/>
      <c r="K25" s="34"/>
      <c r="L25" s="34"/>
      <c r="M25" s="34"/>
      <c r="N25" s="34"/>
      <c r="O25" s="7">
        <f>SUM(O4:O24)</f>
        <v>150729166</v>
      </c>
      <c r="P25" s="6">
        <f t="shared" ref="P25" si="16">O25*M25*J25</f>
        <v>0</v>
      </c>
      <c r="Q25" s="7">
        <f>SUM(Q4:Q24)</f>
        <v>30642948.978000004</v>
      </c>
      <c r="R25" s="7"/>
      <c r="S25" s="7">
        <f>SUM(S4:S24)</f>
        <v>35288372.839999989</v>
      </c>
      <c r="T25" s="12"/>
    </row>
    <row r="26" spans="2:22" x14ac:dyDescent="0.25">
      <c r="B26" s="30" t="s">
        <v>57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12"/>
    </row>
    <row r="27" spans="2:22" x14ac:dyDescent="0.25">
      <c r="B27" s="35" t="s">
        <v>58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12"/>
    </row>
    <row r="28" spans="2:22" x14ac:dyDescent="0.25">
      <c r="B28" s="30" t="s">
        <v>18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12"/>
    </row>
    <row r="29" spans="2:22" x14ac:dyDescent="0.25">
      <c r="T29" s="12"/>
    </row>
    <row r="30" spans="2:22" x14ac:dyDescent="0.25">
      <c r="C30" s="24" t="s">
        <v>23</v>
      </c>
      <c r="D30" s="25">
        <f>S25</f>
        <v>35288372.839999989</v>
      </c>
      <c r="T30" s="12"/>
    </row>
    <row r="31" spans="2:22" x14ac:dyDescent="0.25">
      <c r="C31" s="24" t="s">
        <v>24</v>
      </c>
      <c r="D31" s="26">
        <f>29136*7700</f>
        <v>224347200</v>
      </c>
      <c r="T31" s="12"/>
    </row>
    <row r="32" spans="2:22" x14ac:dyDescent="0.25">
      <c r="C32" s="24" t="s">
        <v>26</v>
      </c>
      <c r="D32" s="26">
        <v>0</v>
      </c>
      <c r="T32" s="12"/>
    </row>
    <row r="33" spans="3:22" x14ac:dyDescent="0.25">
      <c r="C33" s="27" t="s">
        <v>21</v>
      </c>
      <c r="D33" s="28">
        <f>SUM((D30:D32))</f>
        <v>259635572.83999997</v>
      </c>
      <c r="T33" s="12"/>
    </row>
    <row r="34" spans="3:22" x14ac:dyDescent="0.25">
      <c r="C34" s="27" t="s">
        <v>25</v>
      </c>
      <c r="D34" s="29">
        <v>390000000</v>
      </c>
      <c r="T34" s="12"/>
    </row>
    <row r="35" spans="3:22" x14ac:dyDescent="0.25">
      <c r="C35" s="24" t="s">
        <v>19</v>
      </c>
      <c r="D35" s="29">
        <f>0.85*D34</f>
        <v>331500000</v>
      </c>
      <c r="T35" s="12"/>
    </row>
    <row r="36" spans="3:22" x14ac:dyDescent="0.25">
      <c r="C36" s="24" t="s">
        <v>20</v>
      </c>
      <c r="D36" s="29">
        <f>0.75*D34</f>
        <v>292500000</v>
      </c>
      <c r="T36" s="12"/>
    </row>
    <row r="37" spans="3:22" x14ac:dyDescent="0.25">
      <c r="T37" s="12"/>
    </row>
    <row r="38" spans="3:22" x14ac:dyDescent="0.25">
      <c r="T38" s="12"/>
    </row>
    <row r="39" spans="3:22" x14ac:dyDescent="0.25">
      <c r="T39" s="12"/>
    </row>
    <row r="41" spans="3:22" x14ac:dyDescent="0.25">
      <c r="T41" s="8"/>
      <c r="U41" s="4"/>
      <c r="V41" s="4"/>
    </row>
    <row r="50" ht="15" customHeight="1" x14ac:dyDescent="0.25"/>
  </sheetData>
  <mergeCells count="6">
    <mergeCell ref="B28:S28"/>
    <mergeCell ref="B2:S2"/>
    <mergeCell ref="B25:E25"/>
    <mergeCell ref="H25:N25"/>
    <mergeCell ref="B26:S26"/>
    <mergeCell ref="B27:S27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29"/>
  <sheetViews>
    <sheetView zoomScale="85" zoomScaleNormal="85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18"/>
      <c r="C5" s="18"/>
      <c r="D5" s="18"/>
      <c r="E5" s="19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36"/>
      <c r="C9" s="37"/>
      <c r="D9" s="38"/>
      <c r="E9" s="17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</vt:lpstr>
      <vt:lpstr>Sheet3</vt:lpstr>
      <vt:lpstr>Land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Admin</cp:lastModifiedBy>
  <cp:lastPrinted>2022-01-07T08:12:53Z</cp:lastPrinted>
  <dcterms:created xsi:type="dcterms:W3CDTF">2021-09-16T11:33:35Z</dcterms:created>
  <dcterms:modified xsi:type="dcterms:W3CDTF">2022-09-02T05:38:06Z</dcterms:modified>
</cp:coreProperties>
</file>