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updateLinks="never" defaultThemeVersion="124226"/>
  <xr:revisionPtr revIDLastSave="0" documentId="13_ncr:1_{102F0F40-5114-4882-AFA8-CC8089DDA28D}" xr6:coauthVersionLast="47" xr6:coauthVersionMax="47" xr10:uidLastSave="{00000000-0000-0000-0000-000000000000}"/>
  <bookViews>
    <workbookView xWindow="-120" yWindow="-120" windowWidth="21840" windowHeight="13140" tabRatio="827" firstSheet="6" activeTab="14" xr2:uid="{00000000-000D-0000-FFFF-FFFF00000000}"/>
  </bookViews>
  <sheets>
    <sheet name="Cover" sheetId="6" r:id="rId1"/>
    <sheet name="Input" sheetId="1" r:id="rId2"/>
    <sheet name="FCFF" sheetId="23" r:id="rId3"/>
    <sheet name="Traffic and Toll" sheetId="10" r:id="rId4"/>
    <sheet name="Debt Schedule" sheetId="7" r:id="rId5"/>
    <sheet name="Sheet3" sheetId="13" state="hidden" r:id="rId6"/>
    <sheet name="Debt Repay" sheetId="8" r:id="rId7"/>
    <sheet name="Other Schedules" sheetId="9" r:id="rId8"/>
    <sheet name="Sheet1" sheetId="24" r:id="rId9"/>
    <sheet name="Financials" sheetId="2" r:id="rId10"/>
    <sheet name="Historical P&amp;L RK" sheetId="25" r:id="rId11"/>
    <sheet name="Projected P&amp;L RK" sheetId="26" r:id="rId12"/>
    <sheet name="Beta RK" sheetId="27" r:id="rId13"/>
    <sheet name="WACC RK" sheetId="28" r:id="rId14"/>
    <sheet name="Enterprise Value RK" sheetId="2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2">#REF!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2">[2]Schedules!#REF!</definedName>
    <definedName name="\N">[2]Schedules!#REF!</definedName>
    <definedName name="\p" localSheetId="2">#REF!</definedName>
    <definedName name="\p">#REF!</definedName>
    <definedName name="\q">#REF!</definedName>
    <definedName name="\r">#REF!</definedName>
    <definedName name="\s">#REF!</definedName>
    <definedName name="\t">#REF!</definedName>
    <definedName name="\z">'[3]BOQ (2)'!$IS$7931</definedName>
    <definedName name="_" localSheetId="2" hidden="1">#REF!</definedName>
    <definedName name="_" hidden="1">#REF!</definedName>
    <definedName name="__" localSheetId="2">[4]営業収益!#REF!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2">#REF!</definedName>
    <definedName name="_________AGG10">#REF!</definedName>
    <definedName name="_________can430">40.73</definedName>
    <definedName name="_________can435">43.3</definedName>
    <definedName name="_________IV65537">NA()</definedName>
    <definedName name="________Agg12" localSheetId="2">#REF!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2">#REF!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2">#REF!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2">'[7]Steel-Circular'!#REF!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2">#REF!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2">#REF!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2">#REF!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2">#REF!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2">'[10]B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2">[11]PROCTOR!#REF!</definedName>
    <definedName name="_____CAN458">[11]PROCTOR!#REF!</definedName>
    <definedName name="_____CAN486" localSheetId="2">[11]PROCTOR!#REF!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2">#REF!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2">#REF!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2">'[10]B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2">[11]PROCTOR!#REF!</definedName>
    <definedName name="____CAN458">[11]PROCTOR!#REF!</definedName>
    <definedName name="____CAN486" localSheetId="2">[11]PROCTOR!#REF!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2">#REF!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12" hidden="1">{#N/A,#N/A,FALSE,"Aging Summary";#N/A,#N/A,FALSE,"Ratio Analysis";#N/A,#N/A,FALSE,"Test 120 Day Accts";#N/A,#N/A,FALSE,"Tickmarks"}</definedName>
    <definedName name="____jUL2005" localSheetId="14" hidden="1">{#N/A,#N/A,FALSE,"Aging Summary";#N/A,#N/A,FALSE,"Ratio Analysis";#N/A,#N/A,FALSE,"Test 120 Day Accts";#N/A,#N/A,FALSE,"Tickmarks"}</definedName>
    <definedName name="____jUL2005" localSheetId="2" hidden="1">{#N/A,#N/A,FALSE,"Aging Summary";#N/A,#N/A,FALSE,"Ratio Analysis";#N/A,#N/A,FALSE,"Test 120 Day Accts";#N/A,#N/A,FALSE,"Tickmarks"}</definedName>
    <definedName name="____jUL2005" localSheetId="10" hidden="1">{#N/A,#N/A,FALSE,"Aging Summary";#N/A,#N/A,FALSE,"Ratio Analysis";#N/A,#N/A,FALSE,"Test 120 Day Accts";#N/A,#N/A,FALSE,"Tickmarks"}</definedName>
    <definedName name="____jUL2005" localSheetId="11" hidden="1">{#N/A,#N/A,FALSE,"Aging Summary";#N/A,#N/A,FALSE,"Ratio Analysis";#N/A,#N/A,FALSE,"Test 120 Day Accts";#N/A,#N/A,FALSE,"Tickmarks"}</definedName>
    <definedName name="____jUL2005" localSheetId="13"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2">#REF!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2">#REF!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2">#REF!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2">#REF!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2">[11]PROCTOR!#REF!</definedName>
    <definedName name="___CAN458">[11]PROCTOR!#REF!</definedName>
    <definedName name="___CAN486" localSheetId="2">[11]PROCTOR!#REF!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2">#REF!</definedName>
    <definedName name="___ESC1">#REF!</definedName>
    <definedName name="___FEL1">[5]Basicrates!$D$90</definedName>
    <definedName name="___GEL1">[5]Basicrates!$D$38</definedName>
    <definedName name="___GEN125" localSheetId="2">#REF!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2">#REF!</definedName>
    <definedName name="___INDEX_SHEET___ASAP_Utilities">#REF!</definedName>
    <definedName name="___IV65537" localSheetId="2">'[7]Steel-Circular'!#REF!</definedName>
    <definedName name="___IV65537">'[7]Steel-Circular'!#REF!</definedName>
    <definedName name="___jUL2005" localSheetId="12" hidden="1">{#N/A,#N/A,FALSE,"Aging Summary";#N/A,#N/A,FALSE,"Ratio Analysis";#N/A,#N/A,FALSE,"Test 120 Day Accts";#N/A,#N/A,FALSE,"Tickmarks"}</definedName>
    <definedName name="___jUL2005" localSheetId="14" hidden="1">{#N/A,#N/A,FALSE,"Aging Summary";#N/A,#N/A,FALSE,"Ratio Analysis";#N/A,#N/A,FALSE,"Test 120 Day Accts";#N/A,#N/A,FALSE,"Tickmarks"}</definedName>
    <definedName name="___jUL2005" localSheetId="2" hidden="1">{#N/A,#N/A,FALSE,"Aging Summary";#N/A,#N/A,FALSE,"Ratio Analysis";#N/A,#N/A,FALSE,"Test 120 Day Accts";#N/A,#N/A,FALSE,"Tickmarks"}</definedName>
    <definedName name="___jUL2005" localSheetId="10" hidden="1">{#N/A,#N/A,FALSE,"Aging Summary";#N/A,#N/A,FALSE,"Ratio Analysis";#N/A,#N/A,FALSE,"Test 120 Day Accts";#N/A,#N/A,FALSE,"Tickmarks"}</definedName>
    <definedName name="___jUL2005" localSheetId="11" hidden="1">{#N/A,#N/A,FALSE,"Aging Summary";#N/A,#N/A,FALSE,"Ratio Analysis";#N/A,#N/A,FALSE,"Test 120 Day Accts";#N/A,#N/A,FALSE,"Tickmarks"}</definedName>
    <definedName name="___jUL2005" localSheetId="13"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2">#REF!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2">#REF!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2">#REF!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2">#REF!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2">[4]営業収益!#REF!</definedName>
    <definedName name="__17検索データ">[4]営業収益!#REF!</definedName>
    <definedName name="__18科目3_AMOU" localSheetId="2">#REF!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2">[4]営業収益!#REF!</definedName>
    <definedName name="__6_0_0検索データ">[4]営業収益!#REF!</definedName>
    <definedName name="__7_0409融資2部" localSheetId="2">#REF!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2">'[10]B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2">[11]PROCTOR!#REF!</definedName>
    <definedName name="__CAN458">[11]PROCTOR!#REF!</definedName>
    <definedName name="__CAN486" localSheetId="2">[11]PROCTOR!#REF!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2">#REF!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2">'[7]Steel-Circular'!#REF!</definedName>
    <definedName name="__IV65537">'[7]Steel-Circular'!#REF!</definedName>
    <definedName name="__jUL2005" localSheetId="12" hidden="1">{#N/A,#N/A,FALSE,"Aging Summary";#N/A,#N/A,FALSE,"Ratio Analysis";#N/A,#N/A,FALSE,"Test 120 Day Accts";#N/A,#N/A,FALSE,"Tickmarks"}</definedName>
    <definedName name="__jUL2005" localSheetId="14" hidden="1">{#N/A,#N/A,FALSE,"Aging Summary";#N/A,#N/A,FALSE,"Ratio Analysis";#N/A,#N/A,FALSE,"Test 120 Day Accts";#N/A,#N/A,FALSE,"Tickmarks"}</definedName>
    <definedName name="__jUL2005" localSheetId="2" hidden="1">{#N/A,#N/A,FALSE,"Aging Summary";#N/A,#N/A,FALSE,"Ratio Analysis";#N/A,#N/A,FALSE,"Test 120 Day Accts";#N/A,#N/A,FALSE,"Tickmarks"}</definedName>
    <definedName name="__jUL2005" localSheetId="10" hidden="1">{#N/A,#N/A,FALSE,"Aging Summary";#N/A,#N/A,FALSE,"Ratio Analysis";#N/A,#N/A,FALSE,"Test 120 Day Accts";#N/A,#N/A,FALSE,"Tickmarks"}</definedName>
    <definedName name="__jUL2005" localSheetId="11" hidden="1">{#N/A,#N/A,FALSE,"Aging Summary";#N/A,#N/A,FALSE,"Ratio Analysis";#N/A,#N/A,FALSE,"Test 120 Day Accts";#N/A,#N/A,FALSE,"Tickmarks"}</definedName>
    <definedName name="__jUL2005" localSheetId="13" hidden="1">{#N/A,#N/A,FALSE,"Aging Summary";#N/A,#N/A,FALSE,"Ratio Analysis";#N/A,#N/A,FALSE,"Test 120 Day Accts";#N/A,#N/A,FALSE,"Tickmarks"}</definedName>
    <definedName name="__jUL2005" hidden="1">{#N/A,#N/A,FALSE,"Aging Summary";#N/A,#N/A,FALSE,"Ratio Analysis";#N/A,#N/A,FALSE,"Test 120 Day Accts";#N/A,#N/A,FALSE,"Tickmarks"}</definedName>
    <definedName name="__LB1" localSheetId="2">#REF!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2">#REF!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2">#REF!</definedName>
    <definedName name="__SUM1">#REF!</definedName>
    <definedName name="__TOT1">#REF!</definedName>
    <definedName name="__TOT2">#REF!</definedName>
    <definedName name="__TP1">[17]TP1!$A$108:$BF$125</definedName>
    <definedName name="__TP2" localSheetId="2">#REF!</definedName>
    <definedName name="__TP2">#REF!</definedName>
    <definedName name="__TP3">#REF!</definedName>
    <definedName name="__VEH1">#REF!</definedName>
    <definedName name="__VEH2">#REF!</definedName>
    <definedName name="__WD2">[5]Basicrates!$D$131</definedName>
    <definedName name="__xlnm.Print_Area_1" localSheetId="2">#REF!</definedName>
    <definedName name="__xlnm.Print_Area_1">#REF!</definedName>
    <definedName name="_0409融資2部">#REF!</definedName>
    <definedName name="_1" localSheetId="2">[18]H.O!#REF!</definedName>
    <definedName name="_1">[18]H.O!#REF!</definedName>
    <definedName name="_1_0脚注12_ACCOU" localSheetId="2">#REF!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2">[4]営業収益!#REF!</definedName>
    <definedName name="_12_0_0検索データ">[4]営業収益!#REF!</definedName>
    <definedName name="_12_35D" localSheetId="2">#REF!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2">[4]営業収益!#REF!</definedName>
    <definedName name="_16_0_0検索データ">[4]営業収益!#REF!</definedName>
    <definedName name="_16_0検索データ" localSheetId="2">#REF!</definedName>
    <definedName name="_16_0検索データ">#REF!</definedName>
    <definedName name="_16検索データ">#REF!</definedName>
    <definedName name="_17_0409融資2部">#REF!</definedName>
    <definedName name="_17検索データ" localSheetId="2">[4]営業収益!#REF!</definedName>
    <definedName name="_17検索データ">[4]営業収益!#REF!</definedName>
    <definedName name="_18_0科目3_AMOU" localSheetId="2">#REF!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2">[4]営業収益!#REF!</definedName>
    <definedName name="_30_0_0検索データ">[4]営業収益!#REF!</definedName>
    <definedName name="_32_0脚注12_AMOU" localSheetId="2">#REF!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2">[4]営業収益!#REF!</definedName>
    <definedName name="_41検索データ">[4]営業収益!#REF!</definedName>
    <definedName name="_43B" localSheetId="2">#REF!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2">[4]営業収益!#REF!</definedName>
    <definedName name="_6_0_0検索データ">[4]営業収益!#REF!</definedName>
    <definedName name="_6_0脚注12_OPTI" localSheetId="2">#REF!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2">[4]営業収益!#REF!</definedName>
    <definedName name="_73検索データ">[4]営業収益!#REF!</definedName>
    <definedName name="_78科目3_AMOU" localSheetId="2">#REF!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2">#REF!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2">[11]PROCTOR!#REF!</definedName>
    <definedName name="_CAN458">[11]PROCTOR!#REF!</definedName>
    <definedName name="_CAN486" localSheetId="2">[11]PROCTOR!#REF!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2">#REF!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2">#REF!</definedName>
    <definedName name="_ESC1">#REF!</definedName>
    <definedName name="_FEL1">[5]Basicrates!$D$90</definedName>
    <definedName name="_Fill" localSheetId="2" hidden="1">[19]BHANDUP!#REF!</definedName>
    <definedName name="_Fill" hidden="1">[19]BHANDUP!#REF!</definedName>
    <definedName name="_Fill1" localSheetId="2" hidden="1">[20]BHANDUP!#REF!</definedName>
    <definedName name="_Fill1" hidden="1">[20]BHANDUP!#REF!</definedName>
    <definedName name="_GEL1">NA()</definedName>
    <definedName name="_GEN125">NA()</definedName>
    <definedName name="_GEN250" localSheetId="2">#REF!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2">'[7]Steel-Circular'!#REF!</definedName>
    <definedName name="_IV65537">'[7]Steel-Circular'!#REF!</definedName>
    <definedName name="_jUL2005" localSheetId="12" hidden="1">{#N/A,#N/A,FALSE,"Aging Summary";#N/A,#N/A,FALSE,"Ratio Analysis";#N/A,#N/A,FALSE,"Test 120 Day Accts";#N/A,#N/A,FALSE,"Tickmarks"}</definedName>
    <definedName name="_jUL2005" localSheetId="14" hidden="1">{#N/A,#N/A,FALSE,"Aging Summary";#N/A,#N/A,FALSE,"Ratio Analysis";#N/A,#N/A,FALSE,"Test 120 Day Accts";#N/A,#N/A,FALSE,"Tickmarks"}</definedName>
    <definedName name="_jUL2005" localSheetId="2" hidden="1">{#N/A,#N/A,FALSE,"Aging Summary";#N/A,#N/A,FALSE,"Ratio Analysis";#N/A,#N/A,FALSE,"Test 120 Day Accts";#N/A,#N/A,FALSE,"Tickmarks"}</definedName>
    <definedName name="_jUL2005" localSheetId="10" hidden="1">{#N/A,#N/A,FALSE,"Aging Summary";#N/A,#N/A,FALSE,"Ratio Analysis";#N/A,#N/A,FALSE,"Test 120 Day Accts";#N/A,#N/A,FALSE,"Tickmarks"}</definedName>
    <definedName name="_jUL2005" localSheetId="11" hidden="1">{#N/A,#N/A,FALSE,"Aging Summary";#N/A,#N/A,FALSE,"Ratio Analysis";#N/A,#N/A,FALSE,"Test 120 Day Accts";#N/A,#N/A,FALSE,"Tickmarks"}</definedName>
    <definedName name="_jUL2005" localSheetId="13" hidden="1">{#N/A,#N/A,FALSE,"Aging Summary";#N/A,#N/A,FALSE,"Ratio Analysis";#N/A,#N/A,FALSE,"Test 120 Day Accts";#N/A,#N/A,FALSE,"Tickmarks"}</definedName>
    <definedName name="_jUL2005" hidden="1">{#N/A,#N/A,FALSE,"Aging Summary";#N/A,#N/A,FALSE,"Ratio Analysis";#N/A,#N/A,FALSE,"Test 120 Day Accts";#N/A,#N/A,FALSE,"Tickmarks"}</definedName>
    <definedName name="_Key1" localSheetId="2"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2"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2" hidden="1">#REF!</definedName>
    <definedName name="_Sort" hidden="1">#REF!</definedName>
    <definedName name="_std1">'[15]132417'!$A$11:$Q$33</definedName>
    <definedName name="_SUM1" localSheetId="2">#REF!</definedName>
    <definedName name="_SUM1">#REF!</definedName>
    <definedName name="_Table2_In1" localSheetId="2" hidden="1">[22]CEP99!#REF!</definedName>
    <definedName name="_Table2_In1" hidden="1">[22]CEP99!#REF!</definedName>
    <definedName name="_Table2_In2" localSheetId="2"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2">#REF!</definedName>
    <definedName name="_TOT1">#REF!</definedName>
    <definedName name="_TOT2">#REF!</definedName>
    <definedName name="_TP1">[17]TP1!$A$108:$BF$125</definedName>
    <definedName name="_tr1">[23]Intro!$C$140</definedName>
    <definedName name="_tr1800" localSheetId="2">[24]Summary!#REF!</definedName>
    <definedName name="_tr1800">[24]Summary!#REF!</definedName>
    <definedName name="_tr2">[23]Intro!$C$142</definedName>
    <definedName name="_tr3">[23]Intro!$C$150</definedName>
    <definedName name="_tr6001" localSheetId="2">[24]Summary!#REF!</definedName>
    <definedName name="_tr6001">[24]Summary!#REF!</definedName>
    <definedName name="_tr900" localSheetId="2">[24]Summary!#REF!</definedName>
    <definedName name="_tr900">[24]Summary!#REF!</definedName>
    <definedName name="_trd1">[23]Intro!$B$140</definedName>
    <definedName name="_trd2">[23]Intro!$B$142</definedName>
    <definedName name="_trd3">[23]Intro!$B$148</definedName>
    <definedName name="_VEH1" localSheetId="2">#REF!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2">[25]Summary!#REF!</definedName>
    <definedName name="_x1">[25]Summary!#REF!</definedName>
    <definedName name="《_投資有価証券の時価について__" localSheetId="2">#REF!</definedName>
    <definedName name="《_投資有価証券の時価について__">#REF!</definedName>
    <definedName name="・・・">#REF!</definedName>
    <definedName name="a">#REF!</definedName>
    <definedName name="A.R">#REF!</definedName>
    <definedName name="aa">'[26]UNP-NCW '!$F$17</definedName>
    <definedName name="AA." localSheetId="12">{"'Sheet1'!$A$4386:$N$4591"}</definedName>
    <definedName name="AA." localSheetId="14">{"'Sheet1'!$A$4386:$N$4591"}</definedName>
    <definedName name="AA." localSheetId="2">{"'Sheet1'!$A$4386:$N$4591"}</definedName>
    <definedName name="AA." localSheetId="10">{"'Sheet1'!$A$4386:$N$4591"}</definedName>
    <definedName name="AA." localSheetId="11">{"'Sheet1'!$A$4386:$N$4591"}</definedName>
    <definedName name="AA." localSheetId="13">{"'Sheet1'!$A$4386:$N$4591"}</definedName>
    <definedName name="AA.">{"'Sheet1'!$A$4386:$N$4591"}</definedName>
    <definedName name="AAA"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12" hidden="1">{"form-D1",#N/A,FALSE,"FORM-D1";"form-D1_amt",#N/A,FALSE,"FORM-D1"}</definedName>
    <definedName name="AAAA" localSheetId="14" hidden="1">{"form-D1",#N/A,FALSE,"FORM-D1";"form-D1_amt",#N/A,FALSE,"FORM-D1"}</definedName>
    <definedName name="AAAA" localSheetId="2" hidden="1">{"form-D1",#N/A,FALSE,"FORM-D1";"form-D1_amt",#N/A,FALSE,"FORM-D1"}</definedName>
    <definedName name="AAAA" localSheetId="10" hidden="1">{"form-D1",#N/A,FALSE,"FORM-D1";"form-D1_amt",#N/A,FALSE,"FORM-D1"}</definedName>
    <definedName name="AAAA" localSheetId="11" hidden="1">{"form-D1",#N/A,FALSE,"FORM-D1";"form-D1_amt",#N/A,FALSE,"FORM-D1"}</definedName>
    <definedName name="AAAA" localSheetId="13"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2">#REF!</definedName>
    <definedName name="ab">#REF!</definedName>
    <definedName name="abc">'[27]AoR Finishing'!$J$309</definedName>
    <definedName name="ABCD">'[28]Back_Cal_for OMC'!$A$42:$B$45</definedName>
    <definedName name="abg" localSheetId="2">'[26]UNP-NCW '!#REF!</definedName>
    <definedName name="abg">'[26]UNP-NCW '!#REF!</definedName>
    <definedName name="ABNORMAL" localSheetId="2">[12]Sheet1!#REF!</definedName>
    <definedName name="ABNORMAL">[12]Sheet1!#REF!</definedName>
    <definedName name="abstract">'[29]Rate Analysis'!$G$154</definedName>
    <definedName name="abx" localSheetId="2">#REF!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2">#REF!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2">#REF!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2">#REF!</definedName>
    <definedName name="ADR">#REF!</definedName>
    <definedName name="Adv" localSheetId="2">#REF!</definedName>
    <definedName name="Adv">#REF!</definedName>
    <definedName name="Advance">[31]TB!$V$2:$X$13</definedName>
    <definedName name="afc">'[32]Cost Breakup Depreciation&amp; Tax'!$C$14</definedName>
    <definedName name="AFFIL">'[33]YE-SW2'!$IM$8159</definedName>
    <definedName name="ageing" localSheetId="2">#REF!</definedName>
    <definedName name="ageing">#REF!</definedName>
    <definedName name="agg">'[34]Abs PMRL'!$B$210</definedName>
    <definedName name="aggr10" localSheetId="2">#REF!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12" hidden="1">{#N/A,#N/A,FALSE,"Aging Summary";#N/A,#N/A,FALSE,"Ratio Analysis";#N/A,#N/A,FALSE,"Test 120 Day Accts";#N/A,#N/A,FALSE,"Tickmarks"}</definedName>
    <definedName name="aging_Analysis" localSheetId="14" hidden="1">{#N/A,#N/A,FALSE,"Aging Summary";#N/A,#N/A,FALSE,"Ratio Analysis";#N/A,#N/A,FALSE,"Test 120 Day Accts";#N/A,#N/A,FALSE,"Tickmarks"}</definedName>
    <definedName name="aging_Analysis" localSheetId="2" hidden="1">{#N/A,#N/A,FALSE,"Aging Summary";#N/A,#N/A,FALSE,"Ratio Analysis";#N/A,#N/A,FALSE,"Test 120 Day Accts";#N/A,#N/A,FALSE,"Tickmarks"}</definedName>
    <definedName name="aging_Analysis" localSheetId="10" hidden="1">{#N/A,#N/A,FALSE,"Aging Summary";#N/A,#N/A,FALSE,"Ratio Analysis";#N/A,#N/A,FALSE,"Test 120 Day Accts";#N/A,#N/A,FALSE,"Tickmarks"}</definedName>
    <definedName name="aging_Analysis" localSheetId="11" hidden="1">{#N/A,#N/A,FALSE,"Aging Summary";#N/A,#N/A,FALSE,"Ratio Analysis";#N/A,#N/A,FALSE,"Test 120 Day Accts";#N/A,#N/A,FALSE,"Tickmarks"}</definedName>
    <definedName name="aging_Analysis" localSheetId="13"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2">#REF!</definedName>
    <definedName name="AGROMAN_ISOLUX">#REF!</definedName>
    <definedName name="agrr10">#REF!</definedName>
    <definedName name="agrr63mm">#REF!</definedName>
    <definedName name="AKGOH">#REF!</definedName>
    <definedName name="al" localSheetId="12" hidden="1">{"Execavation",#N/A,FALSE,"furniture (employer)"}</definedName>
    <definedName name="al" localSheetId="14" hidden="1">{"Execavation",#N/A,FALSE,"furniture (employer)"}</definedName>
    <definedName name="al" localSheetId="2" hidden="1">{"Execavation",#N/A,FALSE,"furniture (employer)"}</definedName>
    <definedName name="al" localSheetId="10" hidden="1">{"Execavation",#N/A,FALSE,"furniture (employer)"}</definedName>
    <definedName name="al" localSheetId="11" hidden="1">{"Execavation",#N/A,FALSE,"furniture (employer)"}</definedName>
    <definedName name="al" localSheetId="13" hidden="1">{"Execavation",#N/A,FALSE,"furniture (employer)"}</definedName>
    <definedName name="al" hidden="1">{"Execavation",#N/A,FALSE,"furniture (employer)"}</definedName>
    <definedName name="AL_DOOR" localSheetId="2">#REF!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2">#REF!</definedName>
    <definedName name="Aluminium_Work">#REF!</definedName>
    <definedName name="amit" localSheetId="12" hidden="1">{"form-D1",#N/A,FALSE,"FORM-D1";"form-D1_amt",#N/A,FALSE,"FORM-D1"}</definedName>
    <definedName name="amit" localSheetId="14" hidden="1">{"form-D1",#N/A,FALSE,"FORM-D1";"form-D1_amt",#N/A,FALSE,"FORM-D1"}</definedName>
    <definedName name="amit" localSheetId="2" hidden="1">{"form-D1",#N/A,FALSE,"FORM-D1";"form-D1_amt",#N/A,FALSE,"FORM-D1"}</definedName>
    <definedName name="amit" localSheetId="10" hidden="1">{"form-D1",#N/A,FALSE,"FORM-D1";"form-D1_amt",#N/A,FALSE,"FORM-D1"}</definedName>
    <definedName name="amit" localSheetId="11" hidden="1">{"form-D1",#N/A,FALSE,"FORM-D1";"form-D1_amt",#N/A,FALSE,"FORM-D1"}</definedName>
    <definedName name="amit" localSheetId="13" hidden="1">{"form-D1",#N/A,FALSE,"FORM-D1";"form-D1_amt",#N/A,FALSE,"FORM-D1"}</definedName>
    <definedName name="amit" hidden="1">{"form-D1",#N/A,FALSE,"FORM-D1";"form-D1_amt",#N/A,FALSE,"FORM-D1"}</definedName>
    <definedName name="amitt">'[12]BOD PL NEW'!$D$11</definedName>
    <definedName name="Amountunit" localSheetId="2">#REF!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12">{"'Sheet1'!$A$4386:$N$4591"}</definedName>
    <definedName name="appx" localSheetId="14">{"'Sheet1'!$A$4386:$N$4591"}</definedName>
    <definedName name="appx" localSheetId="2">{"'Sheet1'!$A$4386:$N$4591"}</definedName>
    <definedName name="appx" localSheetId="10">{"'Sheet1'!$A$4386:$N$4591"}</definedName>
    <definedName name="appx" localSheetId="11">{"'Sheet1'!$A$4386:$N$4591"}</definedName>
    <definedName name="appx" localSheetId="13">{"'Sheet1'!$A$4386:$N$4591"}</definedName>
    <definedName name="appx">{"'Sheet1'!$A$4386:$N$4591"}</definedName>
    <definedName name="apronarea">#REF!</definedName>
    <definedName name="APSUMMARY" localSheetId="2">#REF!</definedName>
    <definedName name="APSUMMARY">#REF!</definedName>
    <definedName name="ARA_Threshold">#REF!</definedName>
    <definedName name="Areadeimpresión">[38]TESORERIA!$A$1:$D$65536</definedName>
    <definedName name="ARP_Threshold" localSheetId="2">#REF!</definedName>
    <definedName name="ARP_Threshold">#REF!</definedName>
    <definedName name="as" localSheetId="2">'[28]Back_Cal_for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2" hidden="1">#REF!</definedName>
    <definedName name="AS2StaticLS" hidden="1">#REF!</definedName>
    <definedName name="AS2SyncStepLS">0</definedName>
    <definedName name="AS2TickmarkLS" localSheetId="2" hidden="1">#REF!</definedName>
    <definedName name="AS2TickmarkLS" hidden="1">#REF!</definedName>
    <definedName name="AS2VersionLS">300</definedName>
    <definedName name="asas" localSheetId="2">#REF!</definedName>
    <definedName name="asas">#REF!</definedName>
    <definedName name="asi">#REF!</definedName>
    <definedName name="ASIA為替" localSheetId="2">[39]AFFI内訳!#REF!</definedName>
    <definedName name="ASIA為替">[39]AFFI内訳!#REF!</definedName>
    <definedName name="Asset1">[40]Assets!$A$30:$IV$30</definedName>
    <definedName name="ASSETS" localSheetId="2">#REF!</definedName>
    <definedName name="ASSETS">#REF!</definedName>
    <definedName name="Auditoría">[41]LISTAS!$V$2:$V$4</definedName>
    <definedName name="AUTO_FINANCE" localSheetId="2">#REF!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12" hidden="1">{"form-D1",#N/A,FALSE,"FORM-D1";"form-D1_amt",#N/A,FALSE,"FORM-D1"}</definedName>
    <definedName name="avi" localSheetId="14" hidden="1">{"form-D1",#N/A,FALSE,"FORM-D1";"form-D1_amt",#N/A,FALSE,"FORM-D1"}</definedName>
    <definedName name="avi" localSheetId="2" hidden="1">{"form-D1",#N/A,FALSE,"FORM-D1";"form-D1_amt",#N/A,FALSE,"FORM-D1"}</definedName>
    <definedName name="avi" localSheetId="10" hidden="1">{"form-D1",#N/A,FALSE,"FORM-D1";"form-D1_amt",#N/A,FALSE,"FORM-D1"}</definedName>
    <definedName name="avi" localSheetId="11" hidden="1">{"form-D1",#N/A,FALSE,"FORM-D1";"form-D1_amt",#N/A,FALSE,"FORM-D1"}</definedName>
    <definedName name="avi" localSheetId="13" hidden="1">{"form-D1",#N/A,FALSE,"FORM-D1";"form-D1_amt",#N/A,FALSE,"FORM-D1"}</definedName>
    <definedName name="avi" hidden="1">{"form-D1",#N/A,FALSE,"FORM-D1";"form-D1_amt",#N/A,FALSE,"FORM-D1"}</definedName>
    <definedName name="b" localSheetId="2">#REF!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2">'[42]A.O.R r1Str'!#REF!</definedName>
    <definedName name="bas">'[42]A.O.R r1Str'!#REF!</definedName>
    <definedName name="basf" localSheetId="2">#REF!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2">[43]ANALYSIS!#REF!</definedName>
    <definedName name="bb">[43]ANALYSIS!#REF!</definedName>
    <definedName name="bbbb">[44]COST!$A$1:$G$52</definedName>
    <definedName name="BBM" localSheetId="2">#REF!</definedName>
    <definedName name="BBM">#REF!</definedName>
    <definedName name="BBoiler" localSheetId="2">[45]Machinery!#REF!</definedName>
    <definedName name="BBoiler">[45]Machinery!#REF!</definedName>
    <definedName name="bboiler_24">NA()</definedName>
    <definedName name="bboiler_7">NA()</definedName>
    <definedName name="bc" localSheetId="2">'[46]Wearing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2">#REF!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2">#REF!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2">#REF!</definedName>
    <definedName name="bit6070m">#REF!</definedName>
    <definedName name="Bits65">#REF!</definedName>
    <definedName name="Bits65_24">NA()</definedName>
    <definedName name="Bits65_7">NA()</definedName>
    <definedName name="bitumen" localSheetId="2">#REF!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2">#REF!</definedName>
    <definedName name="BM">#REF!</definedName>
    <definedName name="BM_24">NA()</definedName>
    <definedName name="BM_7">NA()</definedName>
    <definedName name="BOD">'[12]#REF'!$D$11</definedName>
    <definedName name="bondstone">'[9]Material '!$G$40</definedName>
    <definedName name="BONreco" localSheetId="2">#REF!</definedName>
    <definedName name="BONreco">#REF!</definedName>
    <definedName name="book_nav_share">#REF!</definedName>
    <definedName name="book_nav_share1">#REF!</definedName>
    <definedName name="BOQ">#REF!</definedName>
    <definedName name="bore20to30" localSheetId="2">[48]doq!#REF!</definedName>
    <definedName name="bore20to30">[48]doq!#REF!</definedName>
    <definedName name="BORE30" localSheetId="2">[49]doq!#REF!</definedName>
    <definedName name="BORE30">[49]doq!#REF!</definedName>
    <definedName name="BOREWELL" localSheetId="2">#REF!</definedName>
    <definedName name="BOREWELL">#REF!</definedName>
    <definedName name="boulder">#REF!</definedName>
    <definedName name="Box" localSheetId="12" hidden="1">{"Execavation",#N/A,FALSE,"furniture (employer)"}</definedName>
    <definedName name="Box" localSheetId="14" hidden="1">{"Execavation",#N/A,FALSE,"furniture (employer)"}</definedName>
    <definedName name="Box" localSheetId="2" hidden="1">{"Execavation",#N/A,FALSE,"furniture (employer)"}</definedName>
    <definedName name="Box" localSheetId="10" hidden="1">{"Execavation",#N/A,FALSE,"furniture (employer)"}</definedName>
    <definedName name="Box" localSheetId="11" hidden="1">{"Execavation",#N/A,FALSE,"furniture (employer)"}</definedName>
    <definedName name="Box" localSheetId="13" hidden="1">{"Execavation",#N/A,FALSE,"furniture (employer)"}</definedName>
    <definedName name="Box" hidden="1">{"Execavation",#N/A,FALSE,"furniture (employer)"}</definedName>
    <definedName name="box2_select">[50]!box2_select</definedName>
    <definedName name="bplant" localSheetId="2">[45]Machinery!#REF!</definedName>
    <definedName name="bplant">[45]Machinery!#REF!</definedName>
    <definedName name="brght">[51]Intro!#REF!</definedName>
    <definedName name="brglvl">[51]Intro!#REF!</definedName>
    <definedName name="BRICK_COBA" localSheetId="2">#REF!</definedName>
    <definedName name="BRICK_COBA">#REF!</definedName>
    <definedName name="bricks">#REF!</definedName>
    <definedName name="BRICKWORK" localSheetId="2">'[52]A.O.R.'!#REF!</definedName>
    <definedName name="BRICKWORK">'[52]A.O.R.'!#REF!</definedName>
    <definedName name="BRIDGES">'[53]BOQ Distribution'!$A$35:$G$47</definedName>
    <definedName name="bs" localSheetId="2">[54]Measurment!#REF!</definedName>
    <definedName name="bs">[54]Measurment!#REF!</definedName>
    <definedName name="BS_Data" localSheetId="2">#REF!</definedName>
    <definedName name="BS_Data">#REF!</definedName>
    <definedName name="bsc" localSheetId="2">'[42]A.O.R r1Str'!#REF!</definedName>
    <definedName name="bsc">'[42]A.O.R r1Str'!#REF!</definedName>
    <definedName name="BSOS" localSheetId="2">#REF!</definedName>
    <definedName name="BSOS">#REF!</definedName>
    <definedName name="BSS" localSheetId="2">[54]Measurment!#REF!</definedName>
    <definedName name="BSS">[54]Measurment!#REF!</definedName>
    <definedName name="bt60.70">'[34]Abs PMRL'!$B$333</definedName>
    <definedName name="bt80.100">'[34]Abs PMRL'!$B$292</definedName>
    <definedName name="bu" localSheetId="12">{"'Sheet1'!$A$4386:$N$4591"}</definedName>
    <definedName name="bu" localSheetId="14">{"'Sheet1'!$A$4386:$N$4591"}</definedName>
    <definedName name="bu" localSheetId="2">{"'Sheet1'!$A$4386:$N$4591"}</definedName>
    <definedName name="bu" localSheetId="10">{"'Sheet1'!$A$4386:$N$4591"}</definedName>
    <definedName name="bu" localSheetId="11">{"'Sheet1'!$A$4386:$N$4591"}</definedName>
    <definedName name="bu" localSheetId="13">{"'Sheet1'!$A$4386:$N$4591"}</definedName>
    <definedName name="bu">{"'Sheet1'!$A$4386:$N$4591"}</definedName>
    <definedName name="Bud_Period">[55]Link!$N$2:$Y$2</definedName>
    <definedName name="Budget_year" localSheetId="2">#REF!</definedName>
    <definedName name="Budget_year">#REF!</definedName>
    <definedName name="BUDREC">'[12]#REF'!$C$3</definedName>
    <definedName name="BuiltIn_Print_Area" localSheetId="2">#REF!</definedName>
    <definedName name="BuiltIn_Print_Area">#REF!</definedName>
    <definedName name="BuiltIn_Print_Area___0">#REF!</definedName>
    <definedName name="BuiltIn_Print_Area___0___0">#REF!</definedName>
    <definedName name="BuiltIn_Print_Area___0___0___0___0___0" localSheetId="2">[56]procurement!#REF!</definedName>
    <definedName name="BuiltIn_Print_Area___0___0___0___0___0">[56]procurement!#REF!</definedName>
    <definedName name="BuiltIn_Print_Area___0___0___0___0___0___0" localSheetId="2">#REF!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2">#REF!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2">#REF!</definedName>
    <definedName name="BULC">#REF!</definedName>
    <definedName name="buoy" localSheetId="2">[51]Intro!#REF!</definedName>
    <definedName name="buoy">[51]Intro!#REF!</definedName>
    <definedName name="BUS" localSheetId="2">#REF!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2">#REF!</definedName>
    <definedName name="bwire">#REF!</definedName>
    <definedName name="Bwire_24">NA()</definedName>
    <definedName name="Bwire_7">NA()</definedName>
    <definedName name="C.C." localSheetId="2">'[52]A.O.R.'!#REF!</definedName>
    <definedName name="C.C.">'[52]A.O.R.'!#REF!</definedName>
    <definedName name="C.C.Road">'[57]Gen Info'!$B$34:$B$57</definedName>
    <definedName name="C.R" localSheetId="2">#REF!</definedName>
    <definedName name="C.R">#REF!</definedName>
    <definedName name="C_">#N/A</definedName>
    <definedName name="CAP">'[12]#REF'!$H$3</definedName>
    <definedName name="CAPAPR" localSheetId="2">#REF!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2">[12]NFF!#REF!</definedName>
    <definedName name="CAS">[12]NFF!#REF!</definedName>
    <definedName name="Case" localSheetId="2">#REF!</definedName>
    <definedName name="Case">#REF!</definedName>
    <definedName name="Cash" localSheetId="2">#REF!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2">'[42]A.O.R r1'!#REF!</definedName>
    <definedName name="cbas">'[42]A.O.R r1'!#REF!</definedName>
    <definedName name="Cbasic" localSheetId="2">'[42]A.O.R r1'!#REF!</definedName>
    <definedName name="Cbasic">'[42]A.O.R r1'!#REF!</definedName>
    <definedName name="cbecc" localSheetId="2">#REF!</definedName>
    <definedName name="cbecc">#REF!</definedName>
    <definedName name="cbwt">#REF!</definedName>
    <definedName name="cbwtt">#REF!</definedName>
    <definedName name="cbxsa">#REF!</definedName>
    <definedName name="cc" localSheetId="12" hidden="1">{"Execavation",#N/A,FALSE,"furniture (employer)"}</definedName>
    <definedName name="cc" localSheetId="14" hidden="1">{"Execavation",#N/A,FALSE,"furniture (employer)"}</definedName>
    <definedName name="cc" localSheetId="2" hidden="1">{"Execavation",#N/A,FALSE,"furniture (employer)"}</definedName>
    <definedName name="cc" localSheetId="10" hidden="1">{"Execavation",#N/A,FALSE,"furniture (employer)"}</definedName>
    <definedName name="cc" localSheetId="11" hidden="1">{"Execavation",#N/A,FALSE,"furniture (employer)"}</definedName>
    <definedName name="cc" localSheetId="13" hidden="1">{"Execavation",#N/A,FALSE,"furniture (employer)"}</definedName>
    <definedName name="cc" hidden="1">{"Execavation",#N/A,FALSE,"furniture (employer)"}</definedName>
    <definedName name="ccbeam">[51]Intro!#REF!</definedName>
    <definedName name="ccbrgs">[51]Intro!#REF!</definedName>
    <definedName name="ccc" localSheetId="2">#REF!</definedName>
    <definedName name="ccc">#REF!</definedName>
    <definedName name="cccc">[44]COST!$A$1:$G$52</definedName>
    <definedName name="ccpicw" localSheetId="2">#REF!</definedName>
    <definedName name="ccpicw">#REF!</definedName>
    <definedName name="ccprlgb" localSheetId="2">[51]Intro!#REF!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2">#REF!</definedName>
    <definedName name="CEILING_PLASTERING">#REF!</definedName>
    <definedName name="cement">'[34]Abs PMRL'!$B$374</definedName>
    <definedName name="Cement_12">NA()</definedName>
    <definedName name="Cement_7">NA()</definedName>
    <definedName name="Cement_8">NA()</definedName>
    <definedName name="Cement_MR_Rate" localSheetId="2">#REF!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2">#REF!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2">'[58]194C'!#REF!</definedName>
    <definedName name="CH">'[58]194C'!#REF!</definedName>
    <definedName name="chah" localSheetId="12">{"'Sheet1'!$A$4386:$N$4591"}</definedName>
    <definedName name="chah" localSheetId="14">{"'Sheet1'!$A$4386:$N$4591"}</definedName>
    <definedName name="chah" localSheetId="2">{"'Sheet1'!$A$4386:$N$4591"}</definedName>
    <definedName name="chah" localSheetId="10">{"'Sheet1'!$A$4386:$N$4591"}</definedName>
    <definedName name="chah" localSheetId="11">{"'Sheet1'!$A$4386:$N$4591"}</definedName>
    <definedName name="chah" localSheetId="13">{"'Sheet1'!$A$4386:$N$4591"}</definedName>
    <definedName name="chah">{"'Sheet1'!$A$4386:$N$4591"}</definedName>
    <definedName name="CHAJJA">#REF!</definedName>
    <definedName name="Chal" localSheetId="2">#REF!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2">'[42]A.O.R (2)'!#REF!</definedName>
    <definedName name="cicncd">'[42]A.O.R (2)'!#REF!</definedName>
    <definedName name="CINDER" localSheetId="2">#REF!</definedName>
    <definedName name="CINDER">#REF!</definedName>
    <definedName name="civil">#REF!</definedName>
    <definedName name="Civil_Basic" localSheetId="2">[59]AOR!#REF!</definedName>
    <definedName name="Civil_Basic">[59]AOR!#REF!</definedName>
    <definedName name="CIVIL_WORKS" localSheetId="2">#REF!</definedName>
    <definedName name="CIVIL_WORKS">#REF!</definedName>
    <definedName name="CivilBasic">#REF!</definedName>
    <definedName name="civilbasic1" localSheetId="2">'[42]A.O.R (2)'!#REF!</definedName>
    <definedName name="civilbasic1">'[42]A.O.R (2)'!#REF!</definedName>
    <definedName name="CL" localSheetId="12" hidden="1">{"Execavation",#N/A,FALSE,"furniture (employer)"}</definedName>
    <definedName name="CL" localSheetId="14" hidden="1">{"Execavation",#N/A,FALSE,"furniture (employer)"}</definedName>
    <definedName name="CL" localSheetId="2" hidden="1">{"Execavation",#N/A,FALSE,"furniture (employer)"}</definedName>
    <definedName name="CL" localSheetId="10" hidden="1">{"Execavation",#N/A,FALSE,"furniture (employer)"}</definedName>
    <definedName name="CL" localSheetId="11" hidden="1">{"Execavation",#N/A,FALSE,"furniture (employer)"}</definedName>
    <definedName name="CL" localSheetId="13" hidden="1">{"Execavation",#N/A,FALSE,"furniture (employer)"}</definedName>
    <definedName name="CL" hidden="1">{"Execavation",#N/A,FALSE,"furniture (employer)"}</definedName>
    <definedName name="Cl.Preforma" localSheetId="12" hidden="1">{"Execavation",#N/A,FALSE,"furniture (employer)"}</definedName>
    <definedName name="Cl.Preforma" localSheetId="14" hidden="1">{"Execavation",#N/A,FALSE,"furniture (employer)"}</definedName>
    <definedName name="Cl.Preforma" localSheetId="2" hidden="1">{"Execavation",#N/A,FALSE,"furniture (employer)"}</definedName>
    <definedName name="Cl.Preforma" localSheetId="10" hidden="1">{"Execavation",#N/A,FALSE,"furniture (employer)"}</definedName>
    <definedName name="Cl.Preforma" localSheetId="11" hidden="1">{"Execavation",#N/A,FALSE,"furniture (employer)"}</definedName>
    <definedName name="Cl.Preforma" localSheetId="13" hidden="1">{"Execavation",#N/A,FALSE,"furniture (employer)"}</definedName>
    <definedName name="Cl.Preforma" hidden="1">{"Execavation",#N/A,FALSE,"furniture (employer)"}</definedName>
    <definedName name="CLAIMB" localSheetId="12" hidden="1">{"Execavation",#N/A,FALSE,"furniture (employer)"}</definedName>
    <definedName name="CLAIMB" localSheetId="14" hidden="1">{"Execavation",#N/A,FALSE,"furniture (employer)"}</definedName>
    <definedName name="CLAIMB" localSheetId="2" hidden="1">{"Execavation",#N/A,FALSE,"furniture (employer)"}</definedName>
    <definedName name="CLAIMB" localSheetId="10" hidden="1">{"Execavation",#N/A,FALSE,"furniture (employer)"}</definedName>
    <definedName name="CLAIMB" localSheetId="11" hidden="1">{"Execavation",#N/A,FALSE,"furniture (employer)"}</definedName>
    <definedName name="CLAIMB" localSheetId="13" hidden="1">{"Execavation",#N/A,FALSE,"furniture (employer)"}</definedName>
    <definedName name="CLAIMB" hidden="1">{"Execavation",#N/A,FALSE,"furniture (employer)"}</definedName>
    <definedName name="CLAIMSB" localSheetId="12" hidden="1">{"Execavation",#N/A,FALSE,"furniture (employer)"}</definedName>
    <definedName name="CLAIMSB" localSheetId="14" hidden="1">{"Execavation",#N/A,FALSE,"furniture (employer)"}</definedName>
    <definedName name="CLAIMSB" localSheetId="2" hidden="1">{"Execavation",#N/A,FALSE,"furniture (employer)"}</definedName>
    <definedName name="CLAIMSB" localSheetId="10" hidden="1">{"Execavation",#N/A,FALSE,"furniture (employer)"}</definedName>
    <definedName name="CLAIMSB" localSheetId="11" hidden="1">{"Execavation",#N/A,FALSE,"furniture (employer)"}</definedName>
    <definedName name="CLAIMSB" localSheetId="13" hidden="1">{"Execavation",#N/A,FALSE,"furniture (employer)"}</definedName>
    <definedName name="CLAIMSB" hidden="1">{"Execavation",#N/A,FALSE,"furniture (employer)"}</definedName>
    <definedName name="CLAIMSL" localSheetId="12" hidden="1">{"Execavation",#N/A,FALSE,"furniture (employer)"}</definedName>
    <definedName name="CLAIMSL" localSheetId="14" hidden="1">{"Execavation",#N/A,FALSE,"furniture (employer)"}</definedName>
    <definedName name="CLAIMSL" localSheetId="2" hidden="1">{"Execavation",#N/A,FALSE,"furniture (employer)"}</definedName>
    <definedName name="CLAIMSL" localSheetId="10" hidden="1">{"Execavation",#N/A,FALSE,"furniture (employer)"}</definedName>
    <definedName name="CLAIMSL" localSheetId="11" hidden="1">{"Execavation",#N/A,FALSE,"furniture (employer)"}</definedName>
    <definedName name="CLAIMSL" localSheetId="13" hidden="1">{"Execavation",#N/A,FALSE,"furniture (employer)"}</definedName>
    <definedName name="CLAIMSL" hidden="1">{"Execavation",#N/A,FALSE,"furniture (employer)"}</definedName>
    <definedName name="clech">[24]Summary!#REF!</definedName>
    <definedName name="clem" localSheetId="2">#REF!</definedName>
    <definedName name="clem">#REF!</definedName>
    <definedName name="clgr" localSheetId="2">[24]Summary!#REF!</definedName>
    <definedName name="clgr">[24]Summary!#REF!</definedName>
    <definedName name="clgrm">[24]Summary!#REF!</definedName>
    <definedName name="Client">"Client"</definedName>
    <definedName name="Client_Grade">"C"</definedName>
    <definedName name="CLL" localSheetId="12" hidden="1">{"Execavation",#N/A,FALSE,"furniture (employer)"}</definedName>
    <definedName name="CLL" localSheetId="14" hidden="1">{"Execavation",#N/A,FALSE,"furniture (employer)"}</definedName>
    <definedName name="CLL" localSheetId="2" hidden="1">{"Execavation",#N/A,FALSE,"furniture (employer)"}</definedName>
    <definedName name="CLL" localSheetId="10" hidden="1">{"Execavation",#N/A,FALSE,"furniture (employer)"}</definedName>
    <definedName name="CLL" localSheetId="11" hidden="1">{"Execavation",#N/A,FALSE,"furniture (employer)"}</definedName>
    <definedName name="CLL" localSheetId="13" hidden="1">{"Execavation",#N/A,FALSE,"furniture (employer)"}</definedName>
    <definedName name="CLL" hidden="1">{"Execavation",#N/A,FALSE,"furniture (employer)"}</definedName>
    <definedName name="CLM" localSheetId="12" hidden="1">{"Execavation",#N/A,FALSE,"furniture (employer)"}</definedName>
    <definedName name="CLM" localSheetId="14" hidden="1">{"Execavation",#N/A,FALSE,"furniture (employer)"}</definedName>
    <definedName name="CLM" localSheetId="2" hidden="1">{"Execavation",#N/A,FALSE,"furniture (employer)"}</definedName>
    <definedName name="CLM" localSheetId="10" hidden="1">{"Execavation",#N/A,FALSE,"furniture (employer)"}</definedName>
    <definedName name="CLM" localSheetId="11" hidden="1">{"Execavation",#N/A,FALSE,"furniture (employer)"}</definedName>
    <definedName name="CLM" localSheetId="13" hidden="1">{"Execavation",#N/A,FALSE,"furniture (employer)"}</definedName>
    <definedName name="CLM" hidden="1">{"Execavation",#N/A,FALSE,"furniture (employer)"}</definedName>
    <definedName name="CLUB" localSheetId="2">#REF!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2">#REF!</definedName>
    <definedName name="cmbyn">#REF!</definedName>
    <definedName name="cmixer" localSheetId="2">[45]Machinery!#REF!</definedName>
    <definedName name="cmixer">[45]Machinery!#REF!</definedName>
    <definedName name="CMma" localSheetId="2">#REF!</definedName>
    <definedName name="CMma">#REF!</definedName>
    <definedName name="CO" localSheetId="2">'[60]EXPENDITURE CYCLE'!#REF!</definedName>
    <definedName name="CO">'[60]EXPENDITURE CYCLE'!#REF!</definedName>
    <definedName name="Coal" localSheetId="2">#REF!</definedName>
    <definedName name="Coal">#REF!</definedName>
    <definedName name="COD">[61]Assumption!$K$7</definedName>
    <definedName name="cofth">[23]Intro!$L$134</definedName>
    <definedName name="COLC" localSheetId="2">#REF!</definedName>
    <definedName name="COLC">#REF!</definedName>
    <definedName name="COLF">#REF!</definedName>
    <definedName name="COLLAPSIBLE_GATE">#REF!</definedName>
    <definedName name="COMMCORP" localSheetId="2">[62]海外WORK!#REF!</definedName>
    <definedName name="COMMCORP">[62]海外WORK!#REF!</definedName>
    <definedName name="Commodity_Type_g">[63]goods_analysis!$N$6:$N$3138</definedName>
    <definedName name="Common.On_Click">#N/A</definedName>
    <definedName name="Comp_BS_Data">[64]Link!$A$4:$CV$13</definedName>
    <definedName name="comp1" localSheetId="2">#REF!</definedName>
    <definedName name="comp1">#REF!</definedName>
    <definedName name="comp2">#REF!</definedName>
    <definedName name="COMP250">#REF!</definedName>
    <definedName name="COMP250_24">NA()</definedName>
    <definedName name="COMP250_7">NA()</definedName>
    <definedName name="comp3" localSheetId="2">#REF!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2">[24]Summary!#REF!</definedName>
    <definedName name="concpav">[24]Summary!#REF!</definedName>
    <definedName name="Concrete" localSheetId="2">[65]Measurment!#REF!</definedName>
    <definedName name="Concrete">[65]Measurment!#REF!</definedName>
    <definedName name="concretepump" localSheetId="2">#REF!</definedName>
    <definedName name="concretepump">#REF!</definedName>
    <definedName name="congr">#REF!</definedName>
    <definedName name="conm10">#REF!</definedName>
    <definedName name="conm10_24">NA()</definedName>
    <definedName name="conm10_7">NA()</definedName>
    <definedName name="conm15" localSheetId="2">#REF!</definedName>
    <definedName name="conm15">#REF!</definedName>
    <definedName name="conm15_24">NA()</definedName>
    <definedName name="conm15_7">NA()</definedName>
    <definedName name="conm20" localSheetId="2">#REF!</definedName>
    <definedName name="conm20">#REF!</definedName>
    <definedName name="conm20_24">NA()</definedName>
    <definedName name="conm20_7">NA()</definedName>
    <definedName name="CONS..1" localSheetId="2">#REF!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2">#REF!</definedName>
    <definedName name="CONT">#REF!</definedName>
    <definedName name="contingency">'[32]Cost Breakup Depreciation&amp; Tax'!$C$32</definedName>
    <definedName name="convert">#N/A</definedName>
    <definedName name="COPING" localSheetId="2">#REF!</definedName>
    <definedName name="COPING">#REF!</definedName>
    <definedName name="COPING_CONCRETE">#REF!</definedName>
    <definedName name="copperplate">#REF!</definedName>
    <definedName name="CORNICES">#REF!</definedName>
    <definedName name="COS">'[40]Profit&amp;Loss'!$A$15:$IV$15</definedName>
    <definedName name="cost_of_debt" localSheetId="2">#REF!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2">#REF!</definedName>
    <definedName name="crane">#REF!</definedName>
    <definedName name="crashbarrier" localSheetId="2">[48]doq!#REF!</definedName>
    <definedName name="crashbarrier">[48]doq!#REF!</definedName>
    <definedName name="CrDays">[40]Assumptions!$A$75:$IV$75</definedName>
    <definedName name="crdst" localSheetId="2">#REF!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2">#REF!</definedName>
    <definedName name="_xlnm.Criteria">#REF!</definedName>
    <definedName name="Criteria_MI">#REF!</definedName>
    <definedName name="CRMB55">#REF!</definedName>
    <definedName name="CRMB55_24">NA()</definedName>
    <definedName name="CRMB55_7">NA()</definedName>
    <definedName name="CRMB60" localSheetId="2">#REF!</definedName>
    <definedName name="CRMB60">#REF!</definedName>
    <definedName name="CRMB60_24">NA()</definedName>
    <definedName name="CRMB60_7">NA()</definedName>
    <definedName name="crmb60m" localSheetId="2">#REF!</definedName>
    <definedName name="crmb60m">#REF!</definedName>
    <definedName name="crore">10000000</definedName>
    <definedName name="CSBU" localSheetId="2">[12]Facility!#REF!</definedName>
    <definedName name="CSBU">[12]Facility!#REF!</definedName>
    <definedName name="csd" localSheetId="12" hidden="1">{"Execavation",#N/A,FALSE,"furniture (employer)"}</definedName>
    <definedName name="csd" localSheetId="14" hidden="1">{"Execavation",#N/A,FALSE,"furniture (employer)"}</definedName>
    <definedName name="csd" localSheetId="2" hidden="1">{"Execavation",#N/A,FALSE,"furniture (employer)"}</definedName>
    <definedName name="csd" localSheetId="10" hidden="1">{"Execavation",#N/A,FALSE,"furniture (employer)"}</definedName>
    <definedName name="csd" localSheetId="11" hidden="1">{"Execavation",#N/A,FALSE,"furniture (employer)"}</definedName>
    <definedName name="csd" localSheetId="13" hidden="1">{"Execavation",#N/A,FALSE,"furniture (employer)"}</definedName>
    <definedName name="csd" hidden="1">{"Execavation",#N/A,FALSE,"furniture (employer)"}</definedName>
    <definedName name="CTA_RESULTADOS" localSheetId="2">#REF!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2">#REF!</definedName>
    <definedName name="Currency">#REF!</definedName>
    <definedName name="CurrentAssets" localSheetId="2">[68]NewCoBS!#REF!</definedName>
    <definedName name="CurrentAssets">[68]NewCoBS!#REF!</definedName>
    <definedName name="CURTAIN_WALL" localSheetId="2">#REF!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2">#REF!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2">#REF!</definedName>
    <definedName name="DADOOING">#REF!</definedName>
    <definedName name="DAGG">#REF!</definedName>
    <definedName name="DAGG_24">NA()</definedName>
    <definedName name="DAGG_7">NA()</definedName>
    <definedName name="dasd" localSheetId="12" hidden="1">{"'Bill No. 7'!$A$1:$G$32"}</definedName>
    <definedName name="dasd" localSheetId="14" hidden="1">{"'Bill No. 7'!$A$1:$G$32"}</definedName>
    <definedName name="dasd" localSheetId="2" hidden="1">{"'Bill No. 7'!$A$1:$G$32"}</definedName>
    <definedName name="dasd" localSheetId="10" hidden="1">{"'Bill No. 7'!$A$1:$G$32"}</definedName>
    <definedName name="dasd" localSheetId="11" hidden="1">{"'Bill No. 7'!$A$1:$G$32"}</definedName>
    <definedName name="dasd" localSheetId="13" hidden="1">{"'Bill No. 7'!$A$1:$G$32"}</definedName>
    <definedName name="dasd" hidden="1">{"'Bill No. 7'!$A$1:$G$32"}</definedName>
    <definedName name="DAT">#REF!</definedName>
    <definedName name="dat16.1" localSheetId="2">#REF!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2">#REF!</definedName>
    <definedName name="Data1">#REF!</definedName>
    <definedName name="Data1_12">NA()</definedName>
    <definedName name="Data1_24">NA()</definedName>
    <definedName name="Data1_7">NA()</definedName>
    <definedName name="DATA10" localSheetId="2">[69]Data!#REF!</definedName>
    <definedName name="DATA10">[69]Data!#REF!</definedName>
    <definedName name="DATA100" localSheetId="2">[69]Data!#REF!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2">#REF!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2">[69]Data!#REF!</definedName>
    <definedName name="DATA14">[69]Data!#REF!</definedName>
    <definedName name="DATA140I" localSheetId="2">#REF!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2">[69]Data!#REF!</definedName>
    <definedName name="DATA143">[69]Data!#REF!</definedName>
    <definedName name="DATA144" localSheetId="2">[69]Data!#REF!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2">#REF!</definedName>
    <definedName name="_xlnm.Database">#REF!</definedName>
    <definedName name="DateRange">"1998.10.01 To 1998.10.31"</definedName>
    <definedName name="Dates">[70]Summary!$F$45:$F$57</definedName>
    <definedName name="datonators" localSheetId="2">#REF!</definedName>
    <definedName name="datonators">#REF!</definedName>
    <definedName name="datos">[71]PyG!$IV$9:$IV$108</definedName>
    <definedName name="Days_in_Receivables">'[35]Statistics {pbc}'!$A$2:$G$2,'[35]Statistics {pbc}'!$A$8:$G$8</definedName>
    <definedName name="DbDays">[40]Assumptions!$A$74:$IV$74</definedName>
    <definedName name="DBM" localSheetId="2">#REF!</definedName>
    <definedName name="DBM">#REF!</definedName>
    <definedName name="DD" localSheetId="12" hidden="1">{"form-D1",#N/A,FALSE,"FORM-D1";"form-D1_amt",#N/A,FALSE,"FORM-D1"}</definedName>
    <definedName name="DD" localSheetId="14" hidden="1">{"form-D1",#N/A,FALSE,"FORM-D1";"form-D1_amt",#N/A,FALSE,"FORM-D1"}</definedName>
    <definedName name="DD" localSheetId="2" hidden="1">{"form-D1",#N/A,FALSE,"FORM-D1";"form-D1_amt",#N/A,FALSE,"FORM-D1"}</definedName>
    <definedName name="DD" localSheetId="10" hidden="1">{"form-D1",#N/A,FALSE,"FORM-D1";"form-D1_amt",#N/A,FALSE,"FORM-D1"}</definedName>
    <definedName name="DD" localSheetId="11" hidden="1">{"form-D1",#N/A,FALSE,"FORM-D1";"form-D1_amt",#N/A,FALSE,"FORM-D1"}</definedName>
    <definedName name="DD" localSheetId="13" hidden="1">{"form-D1",#N/A,FALSE,"FORM-D1";"form-D1_amt",#N/A,FALSE,"FORM-D1"}</definedName>
    <definedName name="DD" hidden="1">{"form-D1",#N/A,FALSE,"FORM-D1";"form-D1_amt",#N/A,FALSE,"FORM-D1"}</definedName>
    <definedName name="DDDD" localSheetId="12" hidden="1">{"form-D1",#N/A,FALSE,"FORM-D1";"form-D1_amt",#N/A,FALSE,"FORM-D1"}</definedName>
    <definedName name="DDDD" localSheetId="14" hidden="1">{"form-D1",#N/A,FALSE,"FORM-D1";"form-D1_amt",#N/A,FALSE,"FORM-D1"}</definedName>
    <definedName name="DDDD" localSheetId="2" hidden="1">{"form-D1",#N/A,FALSE,"FORM-D1";"form-D1_amt",#N/A,FALSE,"FORM-D1"}</definedName>
    <definedName name="DDDD" localSheetId="10" hidden="1">{"form-D1",#N/A,FALSE,"FORM-D1";"form-D1_amt",#N/A,FALSE,"FORM-D1"}</definedName>
    <definedName name="DDDD" localSheetId="11" hidden="1">{"form-D1",#N/A,FALSE,"FORM-D1";"form-D1_amt",#N/A,FALSE,"FORM-D1"}</definedName>
    <definedName name="DDDD" localSheetId="13" hidden="1">{"form-D1",#N/A,FALSE,"FORM-D1";"form-D1_amt",#N/A,FALSE,"FORM-D1"}</definedName>
    <definedName name="DDDD" hidden="1">{"form-D1",#N/A,FALSE,"FORM-D1";"form-D1_amt",#N/A,FALSE,"FORM-D1"}</definedName>
    <definedName name="ddddd">'[42]A.O.R r1Str'!#REF!</definedName>
    <definedName name="DDK">'[3]BOQ (2)'!$A$1:$G$52</definedName>
    <definedName name="ddt_rate" localSheetId="2">#REF!</definedName>
    <definedName name="ddt_rate">#REF!</definedName>
    <definedName name="DEB">[12]Sheet1!#REF!</definedName>
    <definedName name="debenture" localSheetId="2">#REF!</definedName>
    <definedName name="debenture">#REF!</definedName>
    <definedName name="debt_at_mv">#REF!</definedName>
    <definedName name="Debt_Data">#REF!</definedName>
    <definedName name="Debt_Exp_to_Sales">'[35]Statistics {pbc}'!$A$2:$G$2,'[35]Statistics {pbc}'!$A$11:$G$11</definedName>
    <definedName name="Dec05_CMBS" localSheetId="2">#REF!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2">#REF!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2">#REF!</definedName>
    <definedName name="DEPR_PARENT_0304_FINAL">#REF!</definedName>
    <definedName name="Deprn_0809">#REF!</definedName>
    <definedName name="Dept_Sector">#REF!</definedName>
    <definedName name="DESC100" localSheetId="2">[69]Data!#REF!</definedName>
    <definedName name="DESC100">[69]Data!#REF!</definedName>
    <definedName name="DESC100_7">NA()</definedName>
    <definedName name="DESC100_8">NA()</definedName>
    <definedName name="DESC101" localSheetId="2">[69]Data!#REF!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2">#REF!</definedName>
    <definedName name="Detonator">#REF!</definedName>
    <definedName name="DEUDASENTIDADESDECREDITO">[41]LISTAS!$Y$1:$Y$10</definedName>
    <definedName name="df" localSheetId="12" hidden="1">{"Execavation",#N/A,FALSE,"furniture (employer)"}</definedName>
    <definedName name="df" localSheetId="14" hidden="1">{"Execavation",#N/A,FALSE,"furniture (employer)"}</definedName>
    <definedName name="df" localSheetId="2" hidden="1">{"Execavation",#N/A,FALSE,"furniture (employer)"}</definedName>
    <definedName name="df" localSheetId="10" hidden="1">{"Execavation",#N/A,FALSE,"furniture (employer)"}</definedName>
    <definedName name="df" localSheetId="11" hidden="1">{"Execavation",#N/A,FALSE,"furniture (employer)"}</definedName>
    <definedName name="df" localSheetId="13" hidden="1">{"Execavation",#N/A,FALSE,"furniture (employer)"}</definedName>
    <definedName name="df" hidden="1">{"Execavation",#N/A,FALSE,"furniture (employer)"}</definedName>
    <definedName name="dfd">'[42]A.O.R r1'!#REF!</definedName>
    <definedName name="dfg" localSheetId="12" hidden="1">{"Execavation",#N/A,FALSE,"furniture (employer)"}</definedName>
    <definedName name="dfg" localSheetId="14" hidden="1">{"Execavation",#N/A,FALSE,"furniture (employer)"}</definedName>
    <definedName name="dfg" localSheetId="2" hidden="1">{"Execavation",#N/A,FALSE,"furniture (employer)"}</definedName>
    <definedName name="dfg" localSheetId="10" hidden="1">{"Execavation",#N/A,FALSE,"furniture (employer)"}</definedName>
    <definedName name="dfg" localSheetId="11" hidden="1">{"Execavation",#N/A,FALSE,"furniture (employer)"}</definedName>
    <definedName name="dfg" localSheetId="13" hidden="1">{"Execavation",#N/A,FALSE,"furniture (employer)"}</definedName>
    <definedName name="dfg" hidden="1">{"Execavation",#N/A,FALSE,"furniture (employer)"}</definedName>
    <definedName name="dfhjkdfkl\" localSheetId="2">#REF!</definedName>
    <definedName name="dfhjkdfkl\">#REF!</definedName>
    <definedName name="dfshjkfsd">#REF!</definedName>
    <definedName name="dgf" localSheetId="12">{"'Sheet1'!$A$4386:$N$4591"}</definedName>
    <definedName name="dgf" localSheetId="14">{"'Sheet1'!$A$4386:$N$4591"}</definedName>
    <definedName name="dgf" localSheetId="2">{"'Sheet1'!$A$4386:$N$4591"}</definedName>
    <definedName name="dgf" localSheetId="10">{"'Sheet1'!$A$4386:$N$4591"}</definedName>
    <definedName name="dgf" localSheetId="11">{"'Sheet1'!$A$4386:$N$4591"}</definedName>
    <definedName name="dgf" localSheetId="13">{"'Sheet1'!$A$4386:$N$4591"}</definedName>
    <definedName name="dgf">{"'Sheet1'!$A$4386:$N$4591"}</definedName>
    <definedName name="dghkl" localSheetId="12" hidden="1">{"'Bill No. 7'!$A$1:$G$32"}</definedName>
    <definedName name="dghkl" localSheetId="14" hidden="1">{"'Bill No. 7'!$A$1:$G$32"}</definedName>
    <definedName name="dghkl" localSheetId="2" hidden="1">{"'Bill No. 7'!$A$1:$G$32"}</definedName>
    <definedName name="dghkl" localSheetId="10" hidden="1">{"'Bill No. 7'!$A$1:$G$32"}</definedName>
    <definedName name="dghkl" localSheetId="11" hidden="1">{"'Bill No. 7'!$A$1:$G$32"}</definedName>
    <definedName name="dghkl" localSheetId="13" hidden="1">{"'Bill No. 7'!$A$1:$G$32"}</definedName>
    <definedName name="dghkl" hidden="1">{"'Bill No. 7'!$A$1:$G$32"}</definedName>
    <definedName name="dgr">'[42]A.O.R r1Str'!#REF!</definedName>
    <definedName name="DHTML" localSheetId="12">{"'Sheet1'!$A$4386:$N$4591"}</definedName>
    <definedName name="DHTML" localSheetId="14">{"'Sheet1'!$A$4386:$N$4591"}</definedName>
    <definedName name="DHTML" localSheetId="2">{"'Sheet1'!$A$4386:$N$4591"}</definedName>
    <definedName name="DHTML" localSheetId="10">{"'Sheet1'!$A$4386:$N$4591"}</definedName>
    <definedName name="DHTML" localSheetId="11">{"'Sheet1'!$A$4386:$N$4591"}</definedName>
    <definedName name="DHTML" localSheetId="13">{"'Sheet1'!$A$4386:$N$4591"}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2">#REF!</definedName>
    <definedName name="Difference">#REF!</definedName>
    <definedName name="dir_1">[74]Input!$D$8</definedName>
    <definedName name="dir_2">[74]Input!$D$9</definedName>
    <definedName name="Disaggregations">#REF!</definedName>
    <definedName name="disbrick" localSheetId="2">[24]Summary!#REF!</definedName>
    <definedName name="disbrick">[24]Summary!#REF!</definedName>
    <definedName name="DISC" localSheetId="2">#REF!</definedName>
    <definedName name="DISC">#REF!</definedName>
    <definedName name="disdr">#REF!</definedName>
    <definedName name="DISG">#REF!</definedName>
    <definedName name="dismdrainspout" localSheetId="2">[24]Summary!#REF!</definedName>
    <definedName name="dismdrainspout">[24]Summary!#REF!</definedName>
    <definedName name="dismentalling" localSheetId="2">[65]Measurment!#REF!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2">#REF!</definedName>
    <definedName name="disr">#REF!</definedName>
    <definedName name="disst">#REF!</definedName>
    <definedName name="disstone" localSheetId="2">[24]Summary!#REF!</definedName>
    <definedName name="disstone">[24]Summary!#REF!</definedName>
    <definedName name="Distance">[63]Distance!$A$1:$BL$64</definedName>
    <definedName name="dividend_paid" localSheetId="2">#REF!</definedName>
    <definedName name="dividend_paid">#REF!</definedName>
    <definedName name="DIVISAS">[41]LISTAS!$L$9:$L$51</definedName>
    <definedName name="dk" localSheetId="2">#REF!</definedName>
    <definedName name="dk">#REF!</definedName>
    <definedName name="dkg">#REF!</definedName>
    <definedName name="DLP">#REF!</definedName>
    <definedName name="DMA">#REF!</definedName>
    <definedName name="DMA_24">NA()</definedName>
    <definedName name="DMA_7">NA()</definedName>
    <definedName name="dmfds" localSheetId="2">#REF!</definedName>
    <definedName name="dmfds">#REF!</definedName>
    <definedName name="dmin">[76]section!$B$11</definedName>
    <definedName name="dnsoil" localSheetId="2">[51]Intro!#REF!</definedName>
    <definedName name="dnsoil">[51]Intro!#REF!</definedName>
    <definedName name="DOOR" localSheetId="2">#REF!</definedName>
    <definedName name="DOOR">#REF!</definedName>
    <definedName name="DoorWindows" localSheetId="2">[65]Measurment!#REF!</definedName>
    <definedName name="DoorWindows">[65]Measurment!#REF!</definedName>
    <definedName name="dozer">[45]Machinery!#REF!</definedName>
    <definedName name="Dozer_24">NA()</definedName>
    <definedName name="Dozer_7">NA()</definedName>
    <definedName name="dozer200" localSheetId="2">#REF!</definedName>
    <definedName name="dozer200">#REF!</definedName>
    <definedName name="DPC">#REF!</definedName>
    <definedName name="dps">#REF!</definedName>
    <definedName name="DR43B..2" localSheetId="2">'[77]43B'!#REF!</definedName>
    <definedName name="DR43B..2">'[77]43B'!#REF!</definedName>
    <definedName name="drad" localSheetId="2">#REF!</definedName>
    <definedName name="drad">#REF!</definedName>
    <definedName name="drains">#REF!</definedName>
    <definedName name="drainspout" localSheetId="2">[24]Summary!#REF!</definedName>
    <definedName name="drainspout">[24]Summary!#REF!</definedName>
    <definedName name="DRBA3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2">#REF!</definedName>
    <definedName name="dresser">#REF!</definedName>
    <definedName name="driller">#REF!</definedName>
    <definedName name="drillingequipment">#REF!</definedName>
    <definedName name="drsp" localSheetId="2">[24]Summary!#REF!</definedName>
    <definedName name="drsp">[24]Summary!#REF!</definedName>
    <definedName name="dsad" localSheetId="12" hidden="1">{"Execavation",#N/A,FALSE,"furniture (employer)"}</definedName>
    <definedName name="dsad" localSheetId="14" hidden="1">{"Execavation",#N/A,FALSE,"furniture (employer)"}</definedName>
    <definedName name="dsad" localSheetId="2" hidden="1">{"Execavation",#N/A,FALSE,"furniture (employer)"}</definedName>
    <definedName name="dsad" localSheetId="10" hidden="1">{"Execavation",#N/A,FALSE,"furniture (employer)"}</definedName>
    <definedName name="dsad" localSheetId="11" hidden="1">{"Execavation",#N/A,FALSE,"furniture (employer)"}</definedName>
    <definedName name="dsad" localSheetId="13" hidden="1">{"Execavation",#N/A,FALSE,"furniture (employer)"}</definedName>
    <definedName name="dsad" hidden="1">{"Execavation",#N/A,FALSE,"furniture (employer)"}</definedName>
    <definedName name="dsobwd" localSheetId="2">#REF!</definedName>
    <definedName name="dsobwd">#REF!</definedName>
    <definedName name="DSR">'[32]Cost Breakup Depreciation&amp; Tax'!$C$40</definedName>
    <definedName name="DSRA">'[32]Debt-Schedule-DSR-Ops Factor'!$C$25</definedName>
    <definedName name="dsth" localSheetId="2">[51]Intro!#REF!</definedName>
    <definedName name="dsth">[51]Intro!#REF!</definedName>
    <definedName name="dtpl">[66]DTPL!$B$2:$P$308</definedName>
    <definedName name="Dummy" localSheetId="12">{"'Sheet1'!$A$4386:$N$4591"}</definedName>
    <definedName name="Dummy" localSheetId="14">{"'Sheet1'!$A$4386:$N$4591"}</definedName>
    <definedName name="Dummy" localSheetId="2">{"'Sheet1'!$A$4386:$N$4591"}</definedName>
    <definedName name="Dummy" localSheetId="10">{"'Sheet1'!$A$4386:$N$4591"}</definedName>
    <definedName name="Dummy" localSheetId="11">{"'Sheet1'!$A$4386:$N$4591"}</definedName>
    <definedName name="Dummy" localSheetId="13">{"'Sheet1'!$A$4386:$N$4591"}</definedName>
    <definedName name="Dummy">{"'Sheet1'!$A$4386:$N$4591"}</definedName>
    <definedName name="dust">'[34]Abs PMRL'!$B$251</definedName>
    <definedName name="Dust_12">NA()</definedName>
    <definedName name="Dust_7">NA()</definedName>
    <definedName name="Dust_8">NA()</definedName>
    <definedName name="DV" localSheetId="2">#REF!</definedName>
    <definedName name="DV">#REF!</definedName>
    <definedName name="DVTT">#REF!</definedName>
    <definedName name="dvv" localSheetId="2">'[26]UNP-NCW '!#REF!</definedName>
    <definedName name="dvv">'[26]UNP-NCW '!#REF!</definedName>
    <definedName name="e" localSheetId="2">#REF!</definedName>
    <definedName name="e">#REF!</definedName>
    <definedName name="Earth">'[30]LOCAL RATES'!$H$20</definedName>
    <definedName name="Earth_12">NA()</definedName>
    <definedName name="Earth_7">NA()</definedName>
    <definedName name="Earth_8">NA()</definedName>
    <definedName name="EARTHFILL_NEWEARTH" localSheetId="2">#REF!</definedName>
    <definedName name="EARTHFILL_NEWEARTH">#REF!</definedName>
    <definedName name="EARTHWORK" localSheetId="2">'[78]A.O.R.'!#REF!</definedName>
    <definedName name="EARTHWORK">'[78]A.O.R.'!#REF!</definedName>
    <definedName name="earthworks">[65]Measurment!#REF!</definedName>
    <definedName name="Eastern_P_L" localSheetId="2">#REF!</definedName>
    <definedName name="Eastern_P_L">#REF!</definedName>
    <definedName name="ebas" localSheetId="2">'[42]A.O.R r1Str'!#REF!</definedName>
    <definedName name="ebas">'[42]A.O.R r1Str'!#REF!</definedName>
    <definedName name="ebasic" localSheetId="2">'[42]A.O.R r1'!#REF!</definedName>
    <definedName name="ebasic">'[42]A.O.R r1'!#REF!</definedName>
    <definedName name="ebida_core_activity" localSheetId="2">#REF!</definedName>
    <definedName name="ebida_core_activity">#REF!</definedName>
    <definedName name="ebit_core_activity">#REF!</definedName>
    <definedName name="EBITDA">'[40]Profit&amp;Loss'!$A$26:$IV$26</definedName>
    <definedName name="ebitda_core_activity" localSheetId="2">#REF!</definedName>
    <definedName name="ebitda_core_activity">#REF!</definedName>
    <definedName name="econ">#REF!</definedName>
    <definedName name="edgestripdism" localSheetId="2">[24]Summary!#REF!</definedName>
    <definedName name="edgestripdism">[24]Summary!#REF!</definedName>
    <definedName name="EEEE" localSheetId="12" hidden="1">{"form-D1",#N/A,FALSE,"FORM-D1";"form-D1_amt",#N/A,FALSE,"FORM-D1"}</definedName>
    <definedName name="EEEE" localSheetId="14" hidden="1">{"form-D1",#N/A,FALSE,"FORM-D1";"form-D1_amt",#N/A,FALSE,"FORM-D1"}</definedName>
    <definedName name="EEEE" localSheetId="2" hidden="1">{"form-D1",#N/A,FALSE,"FORM-D1";"form-D1_amt",#N/A,FALSE,"FORM-D1"}</definedName>
    <definedName name="EEEE" localSheetId="10" hidden="1">{"form-D1",#N/A,FALSE,"FORM-D1";"form-D1_amt",#N/A,FALSE,"FORM-D1"}</definedName>
    <definedName name="EEEE" localSheetId="11" hidden="1">{"form-D1",#N/A,FALSE,"FORM-D1";"form-D1_amt",#N/A,FALSE,"FORM-D1"}</definedName>
    <definedName name="EEEE" localSheetId="13" hidden="1">{"form-D1",#N/A,FALSE,"FORM-D1";"form-D1_amt",#N/A,FALSE,"FORM-D1"}</definedName>
    <definedName name="EEEE" hidden="1">{"form-D1",#N/A,FALSE,"FORM-D1";"form-D1_amt",#N/A,FALSE,"FORM-D1"}</definedName>
    <definedName name="EFILL_AVAILABLE" localSheetId="2">#REF!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12" hidden="1">{"Execavation",#N/A,FALSE,"furniture (employer)"}</definedName>
    <definedName name="emb" localSheetId="14" hidden="1">{"Execavation",#N/A,FALSE,"furniture (employer)"}</definedName>
    <definedName name="emb" localSheetId="2" hidden="1">{"Execavation",#N/A,FALSE,"furniture (employer)"}</definedName>
    <definedName name="emb" localSheetId="10" hidden="1">{"Execavation",#N/A,FALSE,"furniture (employer)"}</definedName>
    <definedName name="emb" localSheetId="11" hidden="1">{"Execavation",#N/A,FALSE,"furniture (employer)"}</definedName>
    <definedName name="emb" localSheetId="13" hidden="1">{"Execavation",#N/A,FALSE,"furniture (employer)"}</definedName>
    <definedName name="emb" hidden="1">{"Execavation",#N/A,FALSE,"furniture (employer)"}</definedName>
    <definedName name="Embankment" localSheetId="2">#REF!</definedName>
    <definedName name="Embankment">#REF!</definedName>
    <definedName name="EMBL" localSheetId="12" hidden="1">{"Execavation",#N/A,FALSE,"furniture (employer)"}</definedName>
    <definedName name="EMBL" localSheetId="14" hidden="1">{"Execavation",#N/A,FALSE,"furniture (employer)"}</definedName>
    <definedName name="EMBL" localSheetId="2" hidden="1">{"Execavation",#N/A,FALSE,"furniture (employer)"}</definedName>
    <definedName name="EMBL" localSheetId="10" hidden="1">{"Execavation",#N/A,FALSE,"furniture (employer)"}</definedName>
    <definedName name="EMBL" localSheetId="11" hidden="1">{"Execavation",#N/A,FALSE,"furniture (employer)"}</definedName>
    <definedName name="EMBL" localSheetId="13" hidden="1">{"Execavation",#N/A,FALSE,"furniture (employer)"}</definedName>
    <definedName name="EMBL" hidden="1">{"Execavation",#N/A,FALSE,"furniture (employer)"}</definedName>
    <definedName name="emp">[32]Staffing!#REF!</definedName>
    <definedName name="emulsion" localSheetId="2">#REF!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2" hidden="1">[19]BHANDUP!#REF!</definedName>
    <definedName name="esb" hidden="1">[19]BHANDUP!#REF!</definedName>
    <definedName name="ESC">'[12]#REF'!$C$18</definedName>
    <definedName name="ESSR1" localSheetId="2">#REF!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2">[48]doq!#REF!</definedName>
    <definedName name="ew">[48]doq!#REF!</definedName>
    <definedName name="ewcompact" localSheetId="2">#REF!</definedName>
    <definedName name="ewcompact">#REF!</definedName>
    <definedName name="EXA">#REF!</definedName>
    <definedName name="Excavation">#REF!</definedName>
    <definedName name="excavator">#REF!</definedName>
    <definedName name="Excel_BuiltIn__FilterDatabase_1" localSheetId="2">'[79]GMC Addition '!#REF!</definedName>
    <definedName name="Excel_BuiltIn__FilterDatabase_1">'[79]GMC Addition '!#REF!</definedName>
    <definedName name="Excel_BuiltIn_Database_7">NA()</definedName>
    <definedName name="EXCVN" localSheetId="2">#REF!</definedName>
    <definedName name="EXCVN">#REF!</definedName>
    <definedName name="EXGRATIA">#REF!</definedName>
    <definedName name="EXP.JTS" localSheetId="2">'[78]A.O.R.'!#REF!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2">#REF!</definedName>
    <definedName name="Expected_balance">#REF!</definedName>
    <definedName name="expjoint" localSheetId="2">[24]Summary!#REF!</definedName>
    <definedName name="expjoint">[24]Summary!#REF!</definedName>
    <definedName name="exports" localSheetId="2">#REF!</definedName>
    <definedName name="exports">#REF!</definedName>
    <definedName name="Exreco">#REF!</definedName>
    <definedName name="EXTERNL_PLASTER">#REF!</definedName>
    <definedName name="F" localSheetId="2">'[81]AoR Finishing'!#REF!</definedName>
    <definedName name="F">'[81]AoR Finishing'!#REF!</definedName>
    <definedName name="fa" localSheetId="2">#REF!</definedName>
    <definedName name="fa">#REF!</definedName>
    <definedName name="FAC">[66]Facility!$C$1</definedName>
    <definedName name="facia" localSheetId="2">#REF!</definedName>
    <definedName name="facia">#REF!</definedName>
    <definedName name="faciastone">'[9]Material '!$G$51</definedName>
    <definedName name="FBT" localSheetId="2">#REF!</definedName>
    <definedName name="FBT">#REF!</definedName>
    <definedName name="FC">[61]Assumption!$K$5</definedName>
    <definedName name="fdf" localSheetId="2">'[42]A.O.R r1Str'!#REF!</definedName>
    <definedName name="fdf">'[42]A.O.R r1Str'!#REF!</definedName>
    <definedName name="fdiccapgain" localSheetId="2">'[82]VIR CG'!#REF!</definedName>
    <definedName name="fdiccapgain">'[82]VIR CG'!#REF!</definedName>
    <definedName name="fdmfdf" localSheetId="2">#REF!</definedName>
    <definedName name="fdmfdf">#REF!</definedName>
    <definedName name="fdtg">#REF!</definedName>
    <definedName name="FEB" localSheetId="2">'[83]PL PBC'!#REF!</definedName>
    <definedName name="FEB">'[83]PL PBC'!#REF!</definedName>
    <definedName name="febe">[84]PL!$IO$16:$IO$52</definedName>
    <definedName name="FECHAS">[41]LISTAS!$K$2:$K$263</definedName>
    <definedName name="FELOADER" localSheetId="2">#REF!</definedName>
    <definedName name="FELOADER">#REF!</definedName>
    <definedName name="FELOADER_24">NA()</definedName>
    <definedName name="FELOADER_7">NA()</definedName>
    <definedName name="Fgoods" localSheetId="2">#REF!</definedName>
    <definedName name="Fgoods">#REF!</definedName>
    <definedName name="fhsdsdhwf">'[85]BOQ Distribution'!$A$35:$G$47</definedName>
    <definedName name="fiberboard" localSheetId="2">#REF!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2">#REF!</definedName>
    <definedName name="filtermaterial">#REF!</definedName>
    <definedName name="Fin" localSheetId="2">[67]Lrnet_Inftch!#REF!</definedName>
    <definedName name="Fin">[67]Lrnet_Inftch!#REF!</definedName>
    <definedName name="FINAL" localSheetId="2">#REF!</definedName>
    <definedName name="FINAL">#REF!</definedName>
    <definedName name="Final_amount">#REF!</definedName>
    <definedName name="FITB">[40]Tax!$A$46:$IV$46</definedName>
    <definedName name="fitter" localSheetId="2">#REF!</definedName>
    <definedName name="fitter">#REF!</definedName>
    <definedName name="FLAGGING">#REF!</definedName>
    <definedName name="FLC">#REF!</definedName>
    <definedName name="FLEASES">'[33]YE-SW2'!$IM$8159</definedName>
    <definedName name="Flooring" localSheetId="2">[65]Measurment!#REF!</definedName>
    <definedName name="Flooring">[65]Measurment!#REF!</definedName>
    <definedName name="Flow_File" localSheetId="2">#REF!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2">'[83]PL PBC'!#REF!</definedName>
    <definedName name="FORM">'[83]PL PBC'!#REF!</definedName>
    <definedName name="FORM3CD..1" localSheetId="2">#REF!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2">#REF!</definedName>
    <definedName name="formwork">#REF!</definedName>
    <definedName name="fos">#REF!</definedName>
    <definedName name="foundation" localSheetId="2">[48]doq!#REF!</definedName>
    <definedName name="foundation">[48]doq!#REF!</definedName>
    <definedName name="fpllwt" localSheetId="2">#REF!</definedName>
    <definedName name="fpllwt">#REF!</definedName>
    <definedName name="FRAME_DOOR">#REF!</definedName>
    <definedName name="frlvclcw" localSheetId="2">[51]Intro!#REF!</definedName>
    <definedName name="frlvclcw">[51]Intro!#REF!</definedName>
    <definedName name="frlvclpr" localSheetId="2">[51]Intro!#REF!</definedName>
    <definedName name="frlvclpr">[51]Intro!#REF!</definedName>
    <definedName name="frlvl">[51]Intro!#REF!</definedName>
    <definedName name="fsz" localSheetId="2">#REF!</definedName>
    <definedName name="fsz">#REF!</definedName>
    <definedName name="FT">#REF!</definedName>
    <definedName name="full">[12]Sheet1!$B$2:$AD$182</definedName>
    <definedName name="fusewire" localSheetId="2">#REF!</definedName>
    <definedName name="fusewire">#REF!</definedName>
    <definedName name="FY">#REF!</definedName>
    <definedName name="FY99_Profitloss">#REF!</definedName>
    <definedName name="FYE">#REF!</definedName>
    <definedName name="g"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2">#REF!</definedName>
    <definedName name="g1052.">#REF!</definedName>
    <definedName name="g922.">#REF!</definedName>
    <definedName name="GBP">#REF!</definedName>
    <definedName name="gbpe">#REF!</definedName>
    <definedName name="GBPMONTH">#REF!</definedName>
    <definedName name="gelatine">#REF!</definedName>
    <definedName name="gen" localSheetId="2">[86]DIVERSOS!#REF!</definedName>
    <definedName name="gen">[86]DIVERSOS!#REF!</definedName>
    <definedName name="GenSet125">[5]Basicrates!$D$127</definedName>
    <definedName name="geofabric" localSheetId="2">#REF!</definedName>
    <definedName name="geofabric">#REF!</definedName>
    <definedName name="Gera" localSheetId="2">[87]BOQ!#REF!</definedName>
    <definedName name="Gera">[87]BOQ!#REF!</definedName>
    <definedName name="gfj" localSheetId="12">{"'Sheet1'!$A$4386:$N$4591"}</definedName>
    <definedName name="gfj" localSheetId="14">{"'Sheet1'!$A$4386:$N$4591"}</definedName>
    <definedName name="gfj" localSheetId="2">{"'Sheet1'!$A$4386:$N$4591"}</definedName>
    <definedName name="gfj" localSheetId="10">{"'Sheet1'!$A$4386:$N$4591"}</definedName>
    <definedName name="gfj" localSheetId="11">{"'Sheet1'!$A$4386:$N$4591"}</definedName>
    <definedName name="gfj" localSheetId="13">{"'Sheet1'!$A$4386:$N$4591"}</definedName>
    <definedName name="gfj">{"'Sheet1'!$A$4386:$N$4591"}</definedName>
    <definedName name="GG">[88]DIVERSOS!#REF!</definedName>
    <definedName name="GG6_" localSheetId="2">#REF!</definedName>
    <definedName name="GG6_">#REF!</definedName>
    <definedName name="ggg">#REF!</definedName>
    <definedName name="GGTT" localSheetId="2">[88]DIVERSOS!#REF!</definedName>
    <definedName name="GGTT">[88]DIVERSOS!#REF!</definedName>
    <definedName name="gheyu" localSheetId="2">#REF!</definedName>
    <definedName name="gheyu">#REF!</definedName>
    <definedName name="Giftlogo">#REF!</definedName>
    <definedName name="Giftnonlogo1">#REF!</definedName>
    <definedName name="Giftnonlogo2">#REF!</definedName>
    <definedName name="GIUI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2">#REF!</definedName>
    <definedName name="GOODWILL">#REF!</definedName>
    <definedName name="GOODWILL為替" localSheetId="2">[89]AFFI内訳!#REF!</definedName>
    <definedName name="GOODWILL為替">[89]AFFI内訳!#REF!</definedName>
    <definedName name="gouke" localSheetId="2">#REF!</definedName>
    <definedName name="gouke">#REF!</definedName>
    <definedName name="gr" localSheetId="2">[24]Summary!#REF!</definedName>
    <definedName name="gr">[24]Summary!#REF!</definedName>
    <definedName name="Grade">"C"</definedName>
    <definedName name="Grade_Level">"Grade "</definedName>
    <definedName name="GRADER" localSheetId="2">#REF!</definedName>
    <definedName name="GRADER">#REF!</definedName>
    <definedName name="GRADER_24">NA()</definedName>
    <definedName name="GRADER_7">NA()</definedName>
    <definedName name="GrandBasic" localSheetId="2">#REF!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2">#REF!</definedName>
    <definedName name="grbs">#REF!</definedName>
    <definedName name="grconc">[23]Intro!$L$157</definedName>
    <definedName name="GRILLWORK" localSheetId="2">#REF!</definedName>
    <definedName name="GRILLWORK">#REF!</definedName>
    <definedName name="grlvl" localSheetId="2">[51]Intro!#REF!</definedName>
    <definedName name="grlvl">[51]Intro!#REF!</definedName>
    <definedName name="GROBAL_RENTAL" localSheetId="2">#REF!</definedName>
    <definedName name="GROBAL_RENTAL">#REF!</definedName>
    <definedName name="GROOVES">#REF!</definedName>
    <definedName name="GROSS" localSheetId="2">[90]sheeet7!#REF!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2">#REF!</definedName>
    <definedName name="gsub">#REF!</definedName>
    <definedName name="GSubase">#REF!</definedName>
    <definedName name="guardstonedism" localSheetId="2">[24]Summary!#REF!</definedName>
    <definedName name="guardstonedism">[24]Summary!#REF!</definedName>
    <definedName name="Gyoshu1">[94]業種小分類!$A$1:$O$142</definedName>
    <definedName name="Gyoshu2">[94]業種大分類!$A$1:$O$16</definedName>
    <definedName name="h" localSheetId="2">#REF!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2">#REF!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2">#REF!</definedName>
    <definedName name="HDC">#REF!</definedName>
    <definedName name="HDPE" localSheetId="2">#REF!</definedName>
    <definedName name="HDPE">#REF!</definedName>
    <definedName name="HDR" localSheetId="2">'[96]Loc-1'!#REF!</definedName>
    <definedName name="HDR">'[96]Loc-1'!#REF!</definedName>
    <definedName name="headblacksmith" localSheetId="2">#REF!</definedName>
    <definedName name="headblacksmith">#REF!</definedName>
    <definedName name="Header">#REF!</definedName>
    <definedName name="Heading1">[97]Assumptions!$C$6</definedName>
    <definedName name="headmason" localSheetId="2">#REF!</definedName>
    <definedName name="headmason">#REF!</definedName>
    <definedName name="Help_File">#REF!</definedName>
    <definedName name="hgsdvh" localSheetId="2">[75]Summary!#REF!</definedName>
    <definedName name="hgsdvh">[75]Summary!#REF!</definedName>
    <definedName name="Hieght" localSheetId="2">#REF!</definedName>
    <definedName name="Hieght">#REF!</definedName>
    <definedName name="Hirmi_P_L">#REF!</definedName>
    <definedName name="HMP">#REF!</definedName>
    <definedName name="HMP_24">NA()</definedName>
    <definedName name="HMP_7">NA()</definedName>
    <definedName name="hmplant" localSheetId="2">#REF!</definedName>
    <definedName name="hmplant">#REF!</definedName>
    <definedName name="hmplant10">#REF!</definedName>
    <definedName name="hmplant25t" localSheetId="2">[45]Machinery!#REF!</definedName>
    <definedName name="hmplant25t">[45]Machinery!#REF!</definedName>
    <definedName name="hmplant30" localSheetId="2">#REF!</definedName>
    <definedName name="hmplant30">#REF!</definedName>
    <definedName name="hmplant40t" localSheetId="2">[45]Machinery!#REF!</definedName>
    <definedName name="hmplant40t">[45]Machinery!#REF!</definedName>
    <definedName name="hmplant50t" localSheetId="2">[45]Machinery!#REF!</definedName>
    <definedName name="hmplant50t">[45]Machinery!#REF!</definedName>
    <definedName name="hmplant8t">[45]Machinery!#REF!</definedName>
    <definedName name="HojaTipoCambioC">'[98]tipos de cambioC'!$A:$IV</definedName>
    <definedName name="HOSPITAL_OSUNA" localSheetId="2">#REF!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2">[45]Machinery!#REF!</definedName>
    <definedName name="hpfinisher">[45]Machinery!#REF!</definedName>
    <definedName name="Hpipe1000" localSheetId="2">#REF!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12" hidden="1">{"'Bill No. 7'!$A$1:$G$32"}</definedName>
    <definedName name="HTML_Control" localSheetId="14" hidden="1">{"'Bill No. 7'!$A$1:$G$32"}</definedName>
    <definedName name="HTML_Control" localSheetId="2" hidden="1">{"'Bill No. 7'!$A$1:$G$32"}</definedName>
    <definedName name="HTML_Control" localSheetId="10" hidden="1">{"'Bill No. 7'!$A$1:$G$32"}</definedName>
    <definedName name="HTML_Control" localSheetId="11" hidden="1">{"'Bill No. 7'!$A$1:$G$32"}</definedName>
    <definedName name="HTML_Control" localSheetId="13"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2">#REF!</definedName>
    <definedName name="humepipe1000">#REF!</definedName>
    <definedName name="humepipe1200">'[9]Material '!$G$48</definedName>
    <definedName name="Humepipe600" localSheetId="2">#REF!</definedName>
    <definedName name="Humepipe600">#REF!</definedName>
    <definedName name="Humepipe900">#REF!</definedName>
    <definedName name="humepipenp3">'[9]Material '!$G$49</definedName>
    <definedName name="HV_GR" localSheetId="2">#REF!</definedName>
    <definedName name="HV_GR">#REF!</definedName>
    <definedName name="HYSD">'[34]Abs PMRL'!$B$702</definedName>
    <definedName name="hysd_24">NA()</definedName>
    <definedName name="hysd_7">NA()</definedName>
    <definedName name="HYSDFAB" localSheetId="2">#REF!</definedName>
    <definedName name="HYSDFAB">#REF!</definedName>
    <definedName name="HYSDFAB_24">NA()</definedName>
    <definedName name="HYSDFAB_7">NA()</definedName>
    <definedName name="i" localSheetId="2">#REF!</definedName>
    <definedName name="i">#REF!</definedName>
    <definedName name="IDC">[73]INPUT!$B$41</definedName>
    <definedName name="IDC_34期A" localSheetId="2">#REF!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2">#REF!</definedName>
    <definedName name="IHC">#REF!</definedName>
    <definedName name="II">#REF!</definedName>
    <definedName name="il">#REF!</definedName>
    <definedName name="IL___FS">#REF!</definedName>
    <definedName name="imports">#REF!</definedName>
    <definedName name="in"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2">#REF!</definedName>
    <definedName name="Inc_Exp">#REF!</definedName>
    <definedName name="Index">#REF!</definedName>
    <definedName name="INSURANCE">#REF!</definedName>
    <definedName name="INT">#REF!</definedName>
    <definedName name="Int_Accruals">[73]INPUT!$C$48</definedName>
    <definedName name="Int_Finalpay" localSheetId="2">#REF!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2">#REF!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2">#REF!</definedName>
    <definedName name="IntPME_Scaff">#REF!</definedName>
    <definedName name="IntRevRate">[40]Assumptions!$A$20:$IV$20</definedName>
    <definedName name="Inv_Props" localSheetId="2">#REF!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2">#REF!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2">'[99]P&amp;L Workings'!#REF!</definedName>
    <definedName name="Jharsuguda">'[99]P&amp;L Workings'!#REF!</definedName>
    <definedName name="Jharsuguda_P_L" localSheetId="2">#REF!</definedName>
    <definedName name="Jharsuguda_P_L">#REF!</definedName>
    <definedName name="jjjj" localSheetId="2">[88]DIVERSOS!#REF!</definedName>
    <definedName name="jjjj">[88]DIVERSOS!#REF!</definedName>
    <definedName name="jjjjgg" localSheetId="2">[88]DIVERSOS!#REF!</definedName>
    <definedName name="jjjjgg">[88]DIVERSOS!#REF!</definedName>
    <definedName name="job">[100]sheet!$E$13</definedName>
    <definedName name="Jobtypes">[101]FORM7!$R$3:$S$7</definedName>
    <definedName name="JY" localSheetId="12" hidden="1">{#N/A,#N/A,FALSE,"Part ABC"}</definedName>
    <definedName name="JY" localSheetId="14" hidden="1">{#N/A,#N/A,FALSE,"Part ABC"}</definedName>
    <definedName name="JY" localSheetId="2" hidden="1">{#N/A,#N/A,FALSE,"Part ABC"}</definedName>
    <definedName name="JY" localSheetId="10" hidden="1">{#N/A,#N/A,FALSE,"Part ABC"}</definedName>
    <definedName name="JY" localSheetId="11" hidden="1">{#N/A,#N/A,FALSE,"Part ABC"}</definedName>
    <definedName name="JY" localSheetId="13"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2">#REF!</definedName>
    <definedName name="k1pl">#REF!</definedName>
    <definedName name="kasdfjhd" localSheetId="12" hidden="1">{"'Typical Costs Estimates'!$C$158:$H$161"}</definedName>
    <definedName name="kasdfjhd" localSheetId="14" hidden="1">{"'Typical Costs Estimates'!$C$158:$H$161"}</definedName>
    <definedName name="kasdfjhd" localSheetId="2" hidden="1">{"'Typical Costs Estimates'!$C$158:$H$161"}</definedName>
    <definedName name="kasdfjhd" localSheetId="10" hidden="1">{"'Typical Costs Estimates'!$C$158:$H$161"}</definedName>
    <definedName name="kasdfjhd" localSheetId="11" hidden="1">{"'Typical Costs Estimates'!$C$158:$H$161"}</definedName>
    <definedName name="kasdfjhd" localSheetId="13" hidden="1">{"'Typical Costs Estimates'!$C$158:$H$161"}</definedName>
    <definedName name="kasdfjhd" hidden="1">{"'Typical Costs Estimates'!$C$158:$H$161"}</definedName>
    <definedName name="KDLC">#REF!</definedName>
    <definedName name="KEIKAKU" localSheetId="2">#REF!</definedName>
    <definedName name="KEIKAKU">#REF!</definedName>
    <definedName name="kep">#REF!</definedName>
    <definedName name="KERBMACHINE">#REF!</definedName>
    <definedName name="KERBMACHINE_24">NA()</definedName>
    <definedName name="KERBMACHINE_7">NA()</definedName>
    <definedName name="khalasi" localSheetId="2">#REF!</definedName>
    <definedName name="khalasi">#REF!</definedName>
    <definedName name="khk" localSheetId="12" hidden="1">{"form-D1",#N/A,FALSE,"FORM-D1";"form-D1_amt",#N/A,FALSE,"FORM-D1"}</definedName>
    <definedName name="khk" localSheetId="14" hidden="1">{"form-D1",#N/A,FALSE,"FORM-D1";"form-D1_amt",#N/A,FALSE,"FORM-D1"}</definedName>
    <definedName name="khk" localSheetId="2" hidden="1">{"form-D1",#N/A,FALSE,"FORM-D1";"form-D1_amt",#N/A,FALSE,"FORM-D1"}</definedName>
    <definedName name="khk" localSheetId="10" hidden="1">{"form-D1",#N/A,FALSE,"FORM-D1";"form-D1_amt",#N/A,FALSE,"FORM-D1"}</definedName>
    <definedName name="khk" localSheetId="11" hidden="1">{"form-D1",#N/A,FALSE,"FORM-D1";"form-D1_amt",#N/A,FALSE,"FORM-D1"}</definedName>
    <definedName name="khk" localSheetId="13" hidden="1">{"form-D1",#N/A,FALSE,"FORM-D1";"form-D1_amt",#N/A,FALSE,"FORM-D1"}</definedName>
    <definedName name="khk" hidden="1">{"form-D1",#N/A,FALSE,"FORM-D1";"form-D1_amt",#N/A,FALSE,"FORM-D1"}</definedName>
    <definedName name="koa" hidden="1">[103]Lead!$F$34</definedName>
    <definedName name="koko" hidden="1">[103]Lead!$F$28</definedName>
    <definedName name="KONKA" localSheetId="12" hidden="1">{"Execavation",#N/A,FALSE,"furniture (employer)"}</definedName>
    <definedName name="KONKA" localSheetId="14" hidden="1">{"Execavation",#N/A,FALSE,"furniture (employer)"}</definedName>
    <definedName name="KONKA" localSheetId="2" hidden="1">{"Execavation",#N/A,FALSE,"furniture (employer)"}</definedName>
    <definedName name="KONKA" localSheetId="10" hidden="1">{"Execavation",#N/A,FALSE,"furniture (employer)"}</definedName>
    <definedName name="KONKA" localSheetId="11" hidden="1">{"Execavation",#N/A,FALSE,"furniture (employer)"}</definedName>
    <definedName name="KONKA" localSheetId="13" hidden="1">{"Execavation",#N/A,FALSE,"furniture (employer)"}</definedName>
    <definedName name="KONKA" hidden="1">{"Execavation",#N/A,FALSE,"furniture (employer)"}</definedName>
    <definedName name="KOREA_RENTAL" localSheetId="2">#REF!</definedName>
    <definedName name="KOREA_RENTAL">#REF!</definedName>
    <definedName name="KORIX" localSheetId="2">[104]海外WORK!#REF!</definedName>
    <definedName name="KORIX">[104]海外WORK!#REF!</definedName>
    <definedName name="kraom67" localSheetId="12" hidden="1">{"Execavation",#N/A,FALSE,"furniture (employer)"}</definedName>
    <definedName name="kraom67" localSheetId="14" hidden="1">{"Execavation",#N/A,FALSE,"furniture (employer)"}</definedName>
    <definedName name="kraom67" localSheetId="2" hidden="1">{"Execavation",#N/A,FALSE,"furniture (employer)"}</definedName>
    <definedName name="kraom67" localSheetId="10" hidden="1">{"Execavation",#N/A,FALSE,"furniture (employer)"}</definedName>
    <definedName name="kraom67" localSheetId="11" hidden="1">{"Execavation",#N/A,FALSE,"furniture (employer)"}</definedName>
    <definedName name="kraom67" localSheetId="13" hidden="1">{"Execavation",#N/A,FALSE,"furniture (employer)"}</definedName>
    <definedName name="kraom67" hidden="1">{"Execavation",#N/A,FALSE,"furniture (employer)"}</definedName>
    <definedName name="KUALA_SYNERGY">[89]海外WORK!#REF!</definedName>
    <definedName name="l" localSheetId="2">#REF!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2">#REF!</definedName>
    <definedName name="l1pl">#REF!</definedName>
    <definedName name="LA" localSheetId="2">[12]Facility!#REF!</definedName>
    <definedName name="LA">[12]Facility!#REF!</definedName>
    <definedName name="LABORATORY_EQUIPMENTS___MISC._TOOLS" localSheetId="2">#REF!</definedName>
    <definedName name="LABORATORY_EQUIPMENTS___MISC._TOOLS">#REF!</definedName>
    <definedName name="LABOUR_HUTS">#REF!</definedName>
    <definedName name="LAC">[108]S2groupcode!$G$2</definedName>
    <definedName name="LACS">[109]PLAN_FEB97!$A$2</definedName>
    <definedName name="lads" localSheetId="2">#REF!</definedName>
    <definedName name="lads">#REF!</definedName>
    <definedName name="lakh">100000</definedName>
    <definedName name="land" localSheetId="2">#REF!</definedName>
    <definedName name="land">#REF!</definedName>
    <definedName name="landlease">'[32]Cost Breakup Depreciation&amp; Tax'!$C$28</definedName>
    <definedName name="Language" localSheetId="2">#REF!</definedName>
    <definedName name="Language">#REF!</definedName>
    <definedName name="last_updated" localSheetId="2">#REF!</definedName>
    <definedName name="last_updated">#REF!</definedName>
    <definedName name="Laterite_Rate">#REF!</definedName>
    <definedName name="Lbt">#REF!</definedName>
    <definedName name="Lbt_24">NA()</definedName>
    <definedName name="Lbt_7">NA()</definedName>
    <definedName name="Lconc" localSheetId="2">#REF!</definedName>
    <definedName name="Lconc">#REF!</definedName>
    <definedName name="Lconc_24">NA()</definedName>
    <definedName name="Lconc_7">NA()</definedName>
    <definedName name="LCV" localSheetId="2">#REF!</definedName>
    <definedName name="LCV">#REF!</definedName>
    <definedName name="lead">'[110]Material '!$S$11</definedName>
    <definedName name="Learth" localSheetId="2">#REF!</definedName>
    <definedName name="Learth">#REF!</definedName>
    <definedName name="Learth_24">NA()</definedName>
    <definedName name="Learth_7">NA()</definedName>
    <definedName name="len" localSheetId="2">[51]Intro!#REF!</definedName>
    <definedName name="len">[51]Intro!#REF!</definedName>
    <definedName name="lenbeam" localSheetId="2">[51]Intro!#REF!</definedName>
    <definedName name="lenbeam">[51]Intro!#REF!</definedName>
    <definedName name="lesmodel" localSheetId="2">#REF!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2">#REF!</definedName>
    <definedName name="LIABS">#REF!</definedName>
    <definedName name="lift">'[32]Cost Breakup Depreciation&amp; Tax'!$C$12</definedName>
    <definedName name="light" localSheetId="2">#REF!</definedName>
    <definedName name="light">#REF!</definedName>
    <definedName name="limcount">1</definedName>
    <definedName name="line_2">[111]PC!$D$31</definedName>
    <definedName name="LIST" localSheetId="2">'[83]PL PBC'!#REF!</definedName>
    <definedName name="LIST">'[83]PL PBC'!#REF!</definedName>
    <definedName name="liste">[84]PL!$B$54:$D$59</definedName>
    <definedName name="LL" localSheetId="12" hidden="1">{"Execavation",#N/A,FALSE,"furniture (employer)"}</definedName>
    <definedName name="LL" localSheetId="14" hidden="1">{"Execavation",#N/A,FALSE,"furniture (employer)"}</definedName>
    <definedName name="LL" localSheetId="2" hidden="1">{"Execavation",#N/A,FALSE,"furniture (employer)"}</definedName>
    <definedName name="LL" localSheetId="10" hidden="1">{"Execavation",#N/A,FALSE,"furniture (employer)"}</definedName>
    <definedName name="LL" localSheetId="11" hidden="1">{"Execavation",#N/A,FALSE,"furniture (employer)"}</definedName>
    <definedName name="LL" localSheetId="13" hidden="1">{"Execavation",#N/A,FALSE,"furniture (employer)"}</definedName>
    <definedName name="LL" hidden="1">{"Execavation",#N/A,FALSE,"furniture (employer)"}</definedName>
    <definedName name="LMS" localSheetId="2">#REF!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2">#REF!</definedName>
    <definedName name="LOFT">#REF!</definedName>
    <definedName name="LOLC">#REF!</definedName>
    <definedName name="LONG">'[33]YE-SW2'!$IM$8159</definedName>
    <definedName name="LOSS" localSheetId="2">#REF!</definedName>
    <definedName name="LOSS">#REF!</definedName>
    <definedName name="lr">#REF!</definedName>
    <definedName name="Lroad">#REF!</definedName>
    <definedName name="Lroad_24">NA()</definedName>
    <definedName name="Lroad_7">NA()</definedName>
    <definedName name="Lsand" localSheetId="2">#REF!</definedName>
    <definedName name="Lsand">#REF!</definedName>
    <definedName name="Lsand_24">NA()</definedName>
    <definedName name="Lsand_7">NA()</definedName>
    <definedName name="LSNO1" localSheetId="2">#REF!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2">#REF!</definedName>
    <definedName name="Lwmm">#REF!</definedName>
    <definedName name="Lwmm_24">NA()</definedName>
    <definedName name="Lwmm_7">NA()</definedName>
    <definedName name="m"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2">#REF!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2">[48]doq!#REF!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2">[48]doq!#REF!</definedName>
    <definedName name="m15curtainwall">[48]doq!#REF!</definedName>
    <definedName name="m15flooring" localSheetId="2">[48]doq!#REF!</definedName>
    <definedName name="m15flooring">[48]doq!#REF!</definedName>
    <definedName name="m15levelling" localSheetId="2">#REF!</definedName>
    <definedName name="m15levelling">#REF!</definedName>
    <definedName name="m20flooring" localSheetId="2">[48]doq!#REF!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2">#REF!</definedName>
    <definedName name="MAGADI_CLAD">#REF!</definedName>
    <definedName name="MAGADIPINK_CLADDING">#REF!</definedName>
    <definedName name="MailSystem">"Mail System"</definedName>
    <definedName name="MailSystem_Grade">"C"</definedName>
    <definedName name="MANOR" localSheetId="2">#REF!</definedName>
    <definedName name="MANOR">#REF!</definedName>
    <definedName name="MANOR_24">NA()</definedName>
    <definedName name="MANOR_7">NA()</definedName>
    <definedName name="Manpower_Cost" localSheetId="2">#REF!</definedName>
    <definedName name="Manpower_Cost">#REF!</definedName>
    <definedName name="Manpower_Nos">#REF!</definedName>
    <definedName name="MARBLE_PARTNS">#REF!</definedName>
    <definedName name="march06" localSheetId="12" hidden="1">{#N/A,#N/A,FALSE,"Aging Summary";#N/A,#N/A,FALSE,"Ratio Analysis";#N/A,#N/A,FALSE,"Test 120 Day Accts";#N/A,#N/A,FALSE,"Tickmarks"}</definedName>
    <definedName name="march06" localSheetId="14" hidden="1">{#N/A,#N/A,FALSE,"Aging Summary";#N/A,#N/A,FALSE,"Ratio Analysis";#N/A,#N/A,FALSE,"Test 120 Day Accts";#N/A,#N/A,FALSE,"Tickmarks"}</definedName>
    <definedName name="march06" localSheetId="2" hidden="1">{#N/A,#N/A,FALSE,"Aging Summary";#N/A,#N/A,FALSE,"Ratio Analysis";#N/A,#N/A,FALSE,"Test 120 Day Accts";#N/A,#N/A,FALSE,"Tickmarks"}</definedName>
    <definedName name="march06" localSheetId="10" hidden="1">{#N/A,#N/A,FALSE,"Aging Summary";#N/A,#N/A,FALSE,"Ratio Analysis";#N/A,#N/A,FALSE,"Test 120 Day Accts";#N/A,#N/A,FALSE,"Tickmarks"}</definedName>
    <definedName name="march06" localSheetId="11" hidden="1">{#N/A,#N/A,FALSE,"Aging Summary";#N/A,#N/A,FALSE,"Ratio Analysis";#N/A,#N/A,FALSE,"Test 120 Day Accts";#N/A,#N/A,FALSE,"Tickmarks"}</definedName>
    <definedName name="march06" localSheetId="13"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12" hidden="1">{#N/A,#N/A,FALSE,"Aging Summary";#N/A,#N/A,FALSE,"Ratio Analysis";#N/A,#N/A,FALSE,"Test 120 Day Accts";#N/A,#N/A,FALSE,"Tickmarks"}</definedName>
    <definedName name="march06topsheet" localSheetId="14" hidden="1">{#N/A,#N/A,FALSE,"Aging Summary";#N/A,#N/A,FALSE,"Ratio Analysis";#N/A,#N/A,FALSE,"Test 120 Day Accts";#N/A,#N/A,FALSE,"Tickmarks"}</definedName>
    <definedName name="march06topsheet" localSheetId="2"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localSheetId="11" hidden="1">{#N/A,#N/A,FALSE,"Aging Summary";#N/A,#N/A,FALSE,"Ratio Analysis";#N/A,#N/A,FALSE,"Test 120 Day Accts";#N/A,#N/A,FALSE,"Tickmarks"}</definedName>
    <definedName name="march06topsheet" localSheetId="13"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2">#REF!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2">#REF!</definedName>
    <definedName name="masonhelper">#REF!</definedName>
    <definedName name="Master" localSheetId="2">#REF!</definedName>
    <definedName name="Master">#REF!</definedName>
    <definedName name="MASTICCOOker">#REF!</definedName>
    <definedName name="MASTICCOOker_24">NA()</definedName>
    <definedName name="MASTICCOOker_7">NA()</definedName>
    <definedName name="Mat" localSheetId="2">#REF!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2">#REF!</definedName>
    <definedName name="Materiality">#REF!</definedName>
    <definedName name="MATHI_DOOR">#REF!</definedName>
    <definedName name="MAV">#REF!</definedName>
    <definedName name="maxmom" localSheetId="2">[51]Intro!#REF!</definedName>
    <definedName name="maxmom">[51]Intro!#REF!</definedName>
    <definedName name="mazdoor" localSheetId="2">#REF!</definedName>
    <definedName name="mazdoor">#REF!</definedName>
    <definedName name="mbroom">#REF!</definedName>
    <definedName name="mbroom_24">NA()</definedName>
    <definedName name="mbroom_7">NA()</definedName>
    <definedName name="MECHBROOm" localSheetId="2">#REF!</definedName>
    <definedName name="MECHBROOm">#REF!</definedName>
    <definedName name="MECHBROOm_24">NA()</definedName>
    <definedName name="MECHBROOm_7">NA()</definedName>
    <definedName name="MECHPAVER" localSheetId="2">#REF!</definedName>
    <definedName name="MECHPAVER">#REF!</definedName>
    <definedName name="MECHPAVER_24">NA()</definedName>
    <definedName name="MECHPAVER_7">NA()</definedName>
    <definedName name="Median" localSheetId="2">#REF!</definedName>
    <definedName name="Median">#REF!</definedName>
    <definedName name="merchantbanking">'[32]Cost Breakup Depreciation&amp; Tax'!$C$36</definedName>
    <definedName name="Metal_Rate" localSheetId="2">#REF!</definedName>
    <definedName name="Metal_Rate">#REF!</definedName>
    <definedName name="metal12mm">#REF!</definedName>
    <definedName name="metal12mm_24">NA()</definedName>
    <definedName name="metal12mm_7">NA()</definedName>
    <definedName name="metal20mm" localSheetId="2">#REF!</definedName>
    <definedName name="metal20mm">#REF!</definedName>
    <definedName name="metal20mm_24">NA()</definedName>
    <definedName name="metal20mm_7">NA()</definedName>
    <definedName name="metal40mm" localSheetId="2">#REF!</definedName>
    <definedName name="metal40mm">#REF!</definedName>
    <definedName name="metal40mm_24">NA()</definedName>
    <definedName name="metal40mm_7">NA()</definedName>
    <definedName name="metal6mm" localSheetId="2">#REF!</definedName>
    <definedName name="metal6mm">#REF!</definedName>
    <definedName name="metal6mm_24">NA()</definedName>
    <definedName name="metal6mm_7">NA()</definedName>
    <definedName name="METALWORK" localSheetId="2">'[78]A.O.R.'!#REF!</definedName>
    <definedName name="METALWORK">'[78]A.O.R.'!#REF!</definedName>
    <definedName name="mhjj" localSheetId="12" hidden="1">{"'Bill No. 7'!$A$1:$G$32"}</definedName>
    <definedName name="mhjj" localSheetId="14" hidden="1">{"'Bill No. 7'!$A$1:$G$32"}</definedName>
    <definedName name="mhjj" localSheetId="2" hidden="1">{"'Bill No. 7'!$A$1:$G$32"}</definedName>
    <definedName name="mhjj" localSheetId="10" hidden="1">{"'Bill No. 7'!$A$1:$G$32"}</definedName>
    <definedName name="mhjj" localSheetId="11" hidden="1">{"'Bill No. 7'!$A$1:$G$32"}</definedName>
    <definedName name="mhjj" localSheetId="13" hidden="1">{"'Bill No. 7'!$A$1:$G$32"}</definedName>
    <definedName name="mhjj" hidden="1">{"'Bill No. 7'!$A$1:$G$32"}</definedName>
    <definedName name="mhsplca">[51]Intro!#REF!</definedName>
    <definedName name="million">1000000</definedName>
    <definedName name="minority_interests" localSheetId="2">#REF!</definedName>
    <definedName name="minority_interests">#REF!</definedName>
    <definedName name="mis">'[12]#REF'!$C$14</definedName>
    <definedName name="MIS_month">[55]Link!$B$2:$Y$4</definedName>
    <definedName name="misc" localSheetId="2">[65]Measurment!#REF!</definedName>
    <definedName name="misc">[65]Measurment!#REF!</definedName>
    <definedName name="MISC._LABOURS" localSheetId="2">#REF!</definedName>
    <definedName name="MISC._LABOURS">#REF!</definedName>
    <definedName name="MISC_EXPENCES">#REF!</definedName>
    <definedName name="mixer">#REF!</definedName>
    <definedName name="MKTBLE">'[33]YE-SW2'!$IM$8159</definedName>
    <definedName name="MM" localSheetId="2">#REF!</definedName>
    <definedName name="MM">#REF!</definedName>
    <definedName name="MM_24">NA()</definedName>
    <definedName name="MM_7">NA()</definedName>
    <definedName name="mn" localSheetId="2">#REF!</definedName>
    <definedName name="mn">#REF!</definedName>
    <definedName name="mns" localSheetId="2">[116]Improvements!#REF!</definedName>
    <definedName name="mns">[116]Improvements!#REF!</definedName>
    <definedName name="mns_7">NA()</definedName>
    <definedName name="mns_8">NA()</definedName>
    <definedName name="MOB_ADVANCE" localSheetId="2">#REF!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2">#REF!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2">#REF!</definedName>
    <definedName name="mrf">#REF!</definedName>
    <definedName name="MS_LADDER">#REF!</definedName>
    <definedName name="msbars">#REF!</definedName>
    <definedName name="mscaper" localSheetId="2">[45]Machinery!#REF!</definedName>
    <definedName name="mscaper">[45]Machinery!#REF!</definedName>
    <definedName name="MSEMULSION" localSheetId="2">#REF!</definedName>
    <definedName name="MSEMULSION">#REF!</definedName>
    <definedName name="MSEMULSION_24">NA()</definedName>
    <definedName name="MSEMULSION_7">NA()</definedName>
    <definedName name="mss" localSheetId="2">'[46]Wearing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2">#REF!</definedName>
    <definedName name="msteel">#REF!</definedName>
    <definedName name="Muram">#REF!</definedName>
    <definedName name="mvecc">#REF!</definedName>
    <definedName name="mvwt">#REF!</definedName>
    <definedName name="n" localSheetId="12" hidden="1">{#N/A,#N/A,FALSE,"Wadhal";#N/A,#N/A,FALSE,"Manglad U-S";#N/A,#N/A,FALSE,"Manglad D-S";#N/A,#N/A,FALSE,"Ratanpur U-S";#N/A,#N/A,FALSE,"Ratanpur D-S";#N/A,#N/A,FALSE,"VI Face"}</definedName>
    <definedName name="n" localSheetId="14" hidden="1">{#N/A,#N/A,FALSE,"Wadhal";#N/A,#N/A,FALSE,"Manglad U-S";#N/A,#N/A,FALSE,"Manglad D-S";#N/A,#N/A,FALSE,"Ratanpur U-S";#N/A,#N/A,FALSE,"Ratanpur D-S";#N/A,#N/A,FALSE,"VI Face"}</definedName>
    <definedName name="n" localSheetId="2" hidden="1">{#N/A,#N/A,FALSE,"Wadhal";#N/A,#N/A,FALSE,"Manglad U-S";#N/A,#N/A,FALSE,"Manglad D-S";#N/A,#N/A,FALSE,"Ratanpur U-S";#N/A,#N/A,FALSE,"Ratanpur D-S";#N/A,#N/A,FALSE,"VI Face"}</definedName>
    <definedName name="n" localSheetId="10" hidden="1">{#N/A,#N/A,FALSE,"Wadhal";#N/A,#N/A,FALSE,"Manglad U-S";#N/A,#N/A,FALSE,"Manglad D-S";#N/A,#N/A,FALSE,"Ratanpur U-S";#N/A,#N/A,FALSE,"Ratanpur D-S";#N/A,#N/A,FALSE,"VI Face"}</definedName>
    <definedName name="n" localSheetId="11" hidden="1">{#N/A,#N/A,FALSE,"Wadhal";#N/A,#N/A,FALSE,"Manglad U-S";#N/A,#N/A,FALSE,"Manglad D-S";#N/A,#N/A,FALSE,"Ratanpur U-S";#N/A,#N/A,FALSE,"Ratanpur D-S";#N/A,#N/A,FALSE,"VI Face"}</definedName>
    <definedName name="n" localSheetId="13"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2">#REF!</definedName>
    <definedName name="NAGTB">#REF!</definedName>
    <definedName name="Name">[108]Index!$C$2</definedName>
    <definedName name="NAMELOOK" localSheetId="2">#REF!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2">#REF!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2">[90]sheeet7!#REF!</definedName>
    <definedName name="New">[90]sheeet7!#REF!</definedName>
    <definedName name="NEW_COLUMN_3" hidden="1">'[118]FA Schedule Dec 07'!$M$1:$M$65536</definedName>
    <definedName name="newB" localSheetId="2">#REF!</definedName>
    <definedName name="newB">#REF!</definedName>
    <definedName name="ng">#REF!</definedName>
    <definedName name="NIT">#N/A</definedName>
    <definedName name="njrhjgh" localSheetId="12" hidden="1">{"Execavation",#N/A,FALSE,"furniture (employer)"}</definedName>
    <definedName name="njrhjgh" localSheetId="14" hidden="1">{"Execavation",#N/A,FALSE,"furniture (employer)"}</definedName>
    <definedName name="njrhjgh" localSheetId="2" hidden="1">{"Execavation",#N/A,FALSE,"furniture (employer)"}</definedName>
    <definedName name="njrhjgh" localSheetId="10" hidden="1">{"Execavation",#N/A,FALSE,"furniture (employer)"}</definedName>
    <definedName name="njrhjgh" localSheetId="11" hidden="1">{"Execavation",#N/A,FALSE,"furniture (employer)"}</definedName>
    <definedName name="njrhjgh" localSheetId="13"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12" hidden="1">{#N/A,#N/A,FALSE,"Part ABC"}</definedName>
    <definedName name="nn" localSheetId="14" hidden="1">{#N/A,#N/A,FALSE,"Part ABC"}</definedName>
    <definedName name="nn" localSheetId="2" hidden="1">{#N/A,#N/A,FALSE,"Part ABC"}</definedName>
    <definedName name="nn" localSheetId="10" hidden="1">{#N/A,#N/A,FALSE,"Part ABC"}</definedName>
    <definedName name="nn" localSheetId="11" hidden="1">{#N/A,#N/A,FALSE,"Part ABC"}</definedName>
    <definedName name="nn" localSheetId="13" hidden="1">{#N/A,#N/A,FALSE,"Part ABC"}</definedName>
    <definedName name="nn" hidden="1">{#N/A,#N/A,FALSE,"Part ABC"}</definedName>
    <definedName name="nnnjhnn" localSheetId="2">#REF!</definedName>
    <definedName name="nnnjhnn">#REF!</definedName>
    <definedName name="Nº" localSheetId="2">[41]DEBTORS!#REF!</definedName>
    <definedName name="Nº">[41]DEBTORS!#REF!</definedName>
    <definedName name="nobeam">[51]Intro!#REF!</definedName>
    <definedName name="non_recurring_items" localSheetId="2">#REF!</definedName>
    <definedName name="non_recurring_items">#REF!</definedName>
    <definedName name="NonEPC_cost">[73]INPUT!$B$39</definedName>
    <definedName name="nopl" localSheetId="2">[51]Intro!#REF!</definedName>
    <definedName name="nopl">[51]Intro!#REF!</definedName>
    <definedName name="noplat" localSheetId="2">#REF!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2">[45]Machinery!#REF!</definedName>
    <definedName name="nvibrator">[45]Machinery!#REF!</definedName>
    <definedName name="o" localSheetId="2" hidden="1">#REF!</definedName>
    <definedName name="o" hidden="1">#REF!</definedName>
    <definedName name="obasic">[119]AOR!$K$689</definedName>
    <definedName name="OBC" localSheetId="2">#REF!</definedName>
    <definedName name="OBC">#REF!</definedName>
    <definedName name="OBD">#REF!</definedName>
    <definedName name="Occupancy_p">'[63]pass _analysis '!$O$6:$O$1791</definedName>
    <definedName name="OCR" localSheetId="2">#REF!</definedName>
    <definedName name="OCR">#REF!</definedName>
    <definedName name="ODRate">[40]Assumptions!$A$21:$IV$21</definedName>
    <definedName name="OFFICE_FURNITURE" localSheetId="2">#REF!</definedName>
    <definedName name="OFFICE_FURNITURE">#REF!</definedName>
    <definedName name="Office_stationary">#REF!</definedName>
    <definedName name="OFFICE_STATIONERY">#REF!</definedName>
    <definedName name="officestationary1">#REF!</definedName>
    <definedName name="ofinal" localSheetId="2">[119]AOR!#REF!</definedName>
    <definedName name="ofinal">[119]AOR!#REF!</definedName>
    <definedName name="OH" localSheetId="2">#REF!</definedName>
    <definedName name="OH">#REF!</definedName>
    <definedName name="OH_TANK">#REF!</definedName>
    <definedName name="OIB">#REF!</definedName>
    <definedName name="ok">#REF!</definedName>
    <definedName name="OL_PAKI" localSheetId="2">[104]海外WORK!#REF!</definedName>
    <definedName name="OL_PAKI">[104]海外WORK!#REF!</definedName>
    <definedName name="OLS" localSheetId="2">#REF!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2">#REF!</definedName>
    <definedName name="OMTB">#REF!</definedName>
    <definedName name="On_Click">[120]!On_Click</definedName>
    <definedName name="one">1</definedName>
    <definedName name="oooo" localSheetId="2">#REF!</definedName>
    <definedName name="oooo">#REF!</definedName>
    <definedName name="op">#REF!</definedName>
    <definedName name="op_cases">#REF!</definedName>
    <definedName name="operational" hidden="1">#REF!</definedName>
    <definedName name="OptionChk1">[50]!OptionChk1</definedName>
    <definedName name="OptionChk2">[50]!OptionChk2</definedName>
    <definedName name="OptionChk3">[50]!OptionChk3</definedName>
    <definedName name="OrdinaryRodBinder" localSheetId="2">#REF!</definedName>
    <definedName name="OrdinaryRodBinder">#REF!</definedName>
    <definedName name="ordinaysoil3to6" localSheetId="2">[48]doq!#REF!</definedName>
    <definedName name="ordinaysoil3to6">[48]doq!#REF!</definedName>
    <definedName name="Oth" localSheetId="2">#REF!</definedName>
    <definedName name="Oth">#REF!</definedName>
    <definedName name="other_non_equity_interests">#REF!</definedName>
    <definedName name="OTHERS">'[53]BOQ Distribution'!$A$50:$G$51</definedName>
    <definedName name="OUT_STATION_CHARGES" localSheetId="2">#REF!</definedName>
    <definedName name="OUT_STATION_CHARGES">#REF!</definedName>
    <definedName name="Overall_Loading">#REF!</definedName>
    <definedName name="p">'[121]BOQ Distribution'!$A$35:$G$47</definedName>
    <definedName name="Ｐ" localSheetId="2">#REF!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2">#REF!</definedName>
    <definedName name="painter">#REF!</definedName>
    <definedName name="painter1">'[122]Labour &amp; Plant'!$C$32</definedName>
    <definedName name="painting" localSheetId="2">#REF!</definedName>
    <definedName name="painting">#REF!</definedName>
    <definedName name="PAP">[66]PAP!$D$5</definedName>
    <definedName name="Parapet_Length" localSheetId="2">'[123]cul-invSUBMITTED'!#REF!</definedName>
    <definedName name="Parapet_Length">'[123]cul-invSUBMITTED'!#REF!</definedName>
    <definedName name="PartDesignation">[124]Masters!$C$16</definedName>
    <definedName name="PARTITION_WALL" localSheetId="2">#REF!</definedName>
    <definedName name="PARTITION_WALL">#REF!</definedName>
    <definedName name="Partysanitary">#REF!</definedName>
    <definedName name="Pass_Vehicle_Type">[80]Procedure!$F$21:$F$27</definedName>
    <definedName name="PAT">'[40]Profit&amp;Loss'!$A$38:$IV$38</definedName>
    <definedName name="PAT__core_activity" localSheetId="2">#REF!</definedName>
    <definedName name="PAT__core_activity">#REF!</definedName>
    <definedName name="PATTI_ALROUND">#REF!</definedName>
    <definedName name="paver">#REF!</definedName>
    <definedName name="PBL">[5]Basicrates!$D$107</definedName>
    <definedName name="PC" localSheetId="2">[88]DIVERSOS!#REF!</definedName>
    <definedName name="PC">[88]DIVERSOS!#REF!</definedName>
    <definedName name="pc_p">[111]Macros!$C$29</definedName>
    <definedName name="PCC" localSheetId="2">#REF!</definedName>
    <definedName name="PCC">#REF!</definedName>
    <definedName name="PCCDISM" localSheetId="2">[24]Summary!#REF!</definedName>
    <definedName name="PCCDISM">[24]Summary!#REF!</definedName>
    <definedName name="PCT" localSheetId="2">[88]DIVERSOS!#REF!</definedName>
    <definedName name="PCT">[88]DIVERSOS!#REF!</definedName>
    <definedName name="PCU_Master" localSheetId="2">#REF!</definedName>
    <definedName name="PCU_Master">#REF!</definedName>
    <definedName name="PCU_Range" localSheetId="2">#REF!</definedName>
    <definedName name="PCU_Range">#REF!</definedName>
    <definedName name="pcuAssumption" localSheetId="2">'[125]Revenues - Op. Parameters'!#REF!</definedName>
    <definedName name="pcuAssumption">'[125]Revenues - Op. Parameters'!#REF!</definedName>
    <definedName name="pd" localSheetId="2">#REF!</definedName>
    <definedName name="pd">#REF!</definedName>
    <definedName name="PENAL">'[12]#REF'!$B$111</definedName>
    <definedName name="PEquity">[73]INPUT!$C$47</definedName>
    <definedName name="PERFORMANCE" localSheetId="2">#REF!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2">[45]Machinery!#REF!</definedName>
    <definedName name="pfinisher">[45]Machinery!#REF!</definedName>
    <definedName name="PICTURE2" localSheetId="2">#REF!</definedName>
    <definedName name="PICTURE2">#REF!</definedName>
    <definedName name="PIDI">'[34]Abs PMRL'!$B$497</definedName>
    <definedName name="PILE1000" localSheetId="2">#REF!</definedName>
    <definedName name="PILE1000">#REF!</definedName>
    <definedName name="PILE400">#REF!</definedName>
    <definedName name="PILECAP">#REF!</definedName>
    <definedName name="piles" localSheetId="2">[126]Measurment!#REF!</definedName>
    <definedName name="piles">[126]Measurment!#REF!</definedName>
    <definedName name="Piles1000" localSheetId="2">[126]Measurment!#REF!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2">[24]Summary!#REF!</definedName>
    <definedName name="pipedism">[24]Summary!#REF!</definedName>
    <definedName name="pitching" localSheetId="2">#REF!</definedName>
    <definedName name="pitching">#REF!</definedName>
    <definedName name="PL">'[66]P L'!$C$6</definedName>
    <definedName name="PL.Advertisement" localSheetId="2">#REF!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2">[90]sheeet7!#REF!</definedName>
    <definedName name="PLACE_OF_POSTING">[90]sheeet7!#REF!</definedName>
    <definedName name="PLACEOFPOSTING" localSheetId="2">[90]sheeet7!#REF!</definedName>
    <definedName name="PLACEOFPOSTING">[90]sheeet7!#REF!</definedName>
    <definedName name="PLAIN_PLASTERING" localSheetId="2">#REF!</definedName>
    <definedName name="PLAIN_PLASTERING">#REF!</definedName>
    <definedName name="Plant_Wise_DCF_Value">#REF!</definedName>
    <definedName name="PLANTS___MACHINERY">#REF!</definedName>
    <definedName name="Plaster" localSheetId="2">[65]Measurment!#REF!</definedName>
    <definedName name="Plaster">[65]Measurment!#REF!</definedName>
    <definedName name="Platecomp" localSheetId="2">#REF!</definedName>
    <definedName name="Platecomp">#REF!</definedName>
    <definedName name="Platecomp_24">NA()</definedName>
    <definedName name="Platecomp_7">NA()</definedName>
    <definedName name="platecompactor" localSheetId="2">#REF!</definedName>
    <definedName name="platecompactor">#REF!</definedName>
    <definedName name="plcablvl" localSheetId="2">[51]Intro!#REF!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2">#REF!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2">#REF!</definedName>
    <definedName name="PMLead">#REF!</definedName>
    <definedName name="POINTING">#REF!</definedName>
    <definedName name="POL">#REF!</definedName>
    <definedName name="Postage" localSheetId="12" hidden="1">{#N/A,#N/A,FALSE,"Aging Summary";#N/A,#N/A,FALSE,"Ratio Analysis";#N/A,#N/A,FALSE,"Test 120 Day Accts";#N/A,#N/A,FALSE,"Tickmarks"}</definedName>
    <definedName name="Postage" localSheetId="14" hidden="1">{#N/A,#N/A,FALSE,"Aging Summary";#N/A,#N/A,FALSE,"Ratio Analysis";#N/A,#N/A,FALSE,"Test 120 Day Accts";#N/A,#N/A,FALSE,"Tickmarks"}</definedName>
    <definedName name="Postage" localSheetId="2" hidden="1">{#N/A,#N/A,FALSE,"Aging Summary";#N/A,#N/A,FALSE,"Ratio Analysis";#N/A,#N/A,FALSE,"Test 120 Day Accts";#N/A,#N/A,FALSE,"Tickmarks"}</definedName>
    <definedName name="Postage" localSheetId="10" hidden="1">{#N/A,#N/A,FALSE,"Aging Summary";#N/A,#N/A,FALSE,"Ratio Analysis";#N/A,#N/A,FALSE,"Test 120 Day Accts";#N/A,#N/A,FALSE,"Tickmarks"}</definedName>
    <definedName name="Postage" localSheetId="11" hidden="1">{#N/A,#N/A,FALSE,"Aging Summary";#N/A,#N/A,FALSE,"Ratio Analysis";#N/A,#N/A,FALSE,"Test 120 Day Accts";#N/A,#N/A,FALSE,"Tickmarks"}</definedName>
    <definedName name="Postage" localSheetId="13"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12" hidden="1">{#N/A,#N/A,FALSE,"Aging Summary";#N/A,#N/A,FALSE,"Ratio Analysis";#N/A,#N/A,FALSE,"Test 120 Day Accts";#N/A,#N/A,FALSE,"Tickmarks"}</definedName>
    <definedName name="PostageCourierTelephoneExpenses" localSheetId="14" hidden="1">{#N/A,#N/A,FALSE,"Aging Summary";#N/A,#N/A,FALSE,"Ratio Analysis";#N/A,#N/A,FALSE,"Test 120 Day Accts";#N/A,#N/A,FALSE,"Tickmarks"}</definedName>
    <definedName name="PostageCourierTelephoneExpenses" localSheetId="2"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localSheetId="11" hidden="1">{#N/A,#N/A,FALSE,"Aging Summary";#N/A,#N/A,FALSE,"Ratio Analysis";#N/A,#N/A,FALSE,"Test 120 Day Accts";#N/A,#N/A,FALSE,"Tickmarks"}</definedName>
    <definedName name="PostageCourierTelephoneExpenses" localSheetId="13"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2" hidden="1">#REF!</definedName>
    <definedName name="pp" hidden="1">#REF!</definedName>
    <definedName name="PR">#REF!</definedName>
    <definedName name="PRASAD"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2">#REF!</definedName>
    <definedName name="Pre_tax_materiality">#REF!</definedName>
    <definedName name="pre_tax_profit">#REF!</definedName>
    <definedName name="prefinclosure">'[32]Cost Breakup Depreciation&amp; Tax'!$C$34</definedName>
    <definedName name="Premould20" localSheetId="2">#REF!</definedName>
    <definedName name="Premould20">#REF!</definedName>
    <definedName name="premoulded">#REF!</definedName>
    <definedName name="prfrht" localSheetId="2">[51]Intro!#REF!</definedName>
    <definedName name="prfrht">[51]Intro!#REF!</definedName>
    <definedName name="pRIMSCH" localSheetId="2">#REF!</definedName>
    <definedName name="pRIMSCH">#REF!</definedName>
    <definedName name="PRINT" localSheetId="2">'[127]総括（1～3Q）'!#REF!</definedName>
    <definedName name="PRINT">'[127]総括（1～3Q）'!#REF!</definedName>
    <definedName name="_xlnm.Print_Area" localSheetId="2">#REF!</definedName>
    <definedName name="_xlnm.Print_Area">#REF!</definedName>
    <definedName name="Print_Area_MI">0.36</definedName>
    <definedName name="Print_Area_MI_24">NA()</definedName>
    <definedName name="Print_Area_MI_7">NA()</definedName>
    <definedName name="Print_Range" localSheetId="2">#REF!</definedName>
    <definedName name="Print_Range">#REF!</definedName>
    <definedName name="print_title">[128]Cul_detail!$A$2:$IV$5</definedName>
    <definedName name="_xlnm.Print_Titles" localSheetId="2">#REF!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2">[51]Intro!#REF!</definedName>
    <definedName name="prlgthl">[51]Intro!#REF!</definedName>
    <definedName name="prlgtht" localSheetId="2">[51]Intro!#REF!</definedName>
    <definedName name="prlgtht">[51]Intro!#REF!</definedName>
    <definedName name="profit_after_tax" localSheetId="2">#REF!</definedName>
    <definedName name="profit_after_tax">#REF!</definedName>
    <definedName name="Profit_and_Loss">#REF!</definedName>
    <definedName name="Profit_Loss" localSheetId="2">'[129]P&amp;L '!#REF!</definedName>
    <definedName name="Profit_Loss">'[129]P&amp;L '!#REF!</definedName>
    <definedName name="proj_name" localSheetId="2">#REF!</definedName>
    <definedName name="proj_name">#REF!</definedName>
    <definedName name="projects" localSheetId="2">#REF!</definedName>
    <definedName name="projects">#REF!</definedName>
    <definedName name="PRUEBA">[130]DIVERSOS!$A$1:$K$23</definedName>
    <definedName name="psbmth" localSheetId="2">[51]Intro!#REF!</definedName>
    <definedName name="psbmth">[51]Intro!#REF!</definedName>
    <definedName name="psd">'[32]Cost Breakup Depreciation&amp; Tax'!$C$18</definedName>
    <definedName name="PT">[74]Input!$D$2</definedName>
    <definedName name="ptr" localSheetId="2">#REF!</definedName>
    <definedName name="ptr">#REF!</definedName>
    <definedName name="ptr_24">NA()</definedName>
    <definedName name="ptr_7">NA()</definedName>
    <definedName name="Ptroller" localSheetId="2">#REF!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2">'[131]FORM-W3'!#REF!</definedName>
    <definedName name="q">'[131]FORM-W3'!#REF!</definedName>
    <definedName name="qap" localSheetId="12" hidden="1">{"'Typical Costs Estimates'!$C$158:$H$161"}</definedName>
    <definedName name="qap" localSheetId="14" hidden="1">{"'Typical Costs Estimates'!$C$158:$H$161"}</definedName>
    <definedName name="qap" localSheetId="2" hidden="1">{"'Typical Costs Estimates'!$C$158:$H$161"}</definedName>
    <definedName name="qap" localSheetId="10" hidden="1">{"'Typical Costs Estimates'!$C$158:$H$161"}</definedName>
    <definedName name="qap" localSheetId="11" hidden="1">{"'Typical Costs Estimates'!$C$158:$H$161"}</definedName>
    <definedName name="qap" localSheetId="13"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12" hidden="1">{"form-D1",#N/A,FALSE,"FORM-D1";"form-D1_amt",#N/A,FALSE,"FORM-D1"}</definedName>
    <definedName name="QQ" localSheetId="14" hidden="1">{"form-D1",#N/A,FALSE,"FORM-D1";"form-D1_amt",#N/A,FALSE,"FORM-D1"}</definedName>
    <definedName name="QQ" localSheetId="2" hidden="1">{"form-D1",#N/A,FALSE,"FORM-D1";"form-D1_amt",#N/A,FALSE,"FORM-D1"}</definedName>
    <definedName name="QQ" localSheetId="10" hidden="1">{"form-D1",#N/A,FALSE,"FORM-D1";"form-D1_amt",#N/A,FALSE,"FORM-D1"}</definedName>
    <definedName name="QQ" localSheetId="11" hidden="1">{"form-D1",#N/A,FALSE,"FORM-D1";"form-D1_amt",#N/A,FALSE,"FORM-D1"}</definedName>
    <definedName name="QQ" localSheetId="13" hidden="1">{"form-D1",#N/A,FALSE,"FORM-D1";"form-D1_amt",#N/A,FALSE,"FORM-D1"}</definedName>
    <definedName name="QQ" hidden="1">{"form-D1",#N/A,FALSE,"FORM-D1";"form-D1_amt",#N/A,FALSE,"FORM-D1"}</definedName>
    <definedName name="QQQQ" localSheetId="12" hidden="1">{"form-D1",#N/A,FALSE,"FORM-D1";"form-D1_amt",#N/A,FALSE,"FORM-D1"}</definedName>
    <definedName name="QQQQ" localSheetId="14" hidden="1">{"form-D1",#N/A,FALSE,"FORM-D1";"form-D1_amt",#N/A,FALSE,"FORM-D1"}</definedName>
    <definedName name="QQQQ" localSheetId="2" hidden="1">{"form-D1",#N/A,FALSE,"FORM-D1";"form-D1_amt",#N/A,FALSE,"FORM-D1"}</definedName>
    <definedName name="QQQQ" localSheetId="10" hidden="1">{"form-D1",#N/A,FALSE,"FORM-D1";"form-D1_amt",#N/A,FALSE,"FORM-D1"}</definedName>
    <definedName name="QQQQ" localSheetId="11" hidden="1">{"form-D1",#N/A,FALSE,"FORM-D1";"form-D1_amt",#N/A,FALSE,"FORM-D1"}</definedName>
    <definedName name="QQQQ" localSheetId="13" hidden="1">{"form-D1",#N/A,FALSE,"FORM-D1";"form-D1_amt",#N/A,FALSE,"FORM-D1"}</definedName>
    <definedName name="QQQQ" hidden="1">{"form-D1",#N/A,FALSE,"FORM-D1";"form-D1_amt",#N/A,FALSE,"FORM-D1"}</definedName>
    <definedName name="qult" localSheetId="2">#REF!</definedName>
    <definedName name="qult">#REF!</definedName>
    <definedName name="qw" localSheetId="2" hidden="1">'[132]SCH 10'!#REF!</definedName>
    <definedName name="qw" hidden="1">'[132]SCH 10'!#REF!</definedName>
    <definedName name="qwer" localSheetId="2">'[133]NKEL O&amp;M'!#REF!</definedName>
    <definedName name="qwer">'[133]NKEL O&amp;M'!#REF!</definedName>
    <definedName name="R.C.C.">'[78]A.O.R.'!#REF!</definedName>
    <definedName name="R_Factor" localSheetId="2">#REF!</definedName>
    <definedName name="R_Factor">#REF!</definedName>
    <definedName name="RA">#REF!</definedName>
    <definedName name="RADHIKA">#REF!</definedName>
    <definedName name="rail" localSheetId="2">[24]Summary!#REF!</definedName>
    <definedName name="rail">[24]Summary!#REF!</definedName>
    <definedName name="railecc" localSheetId="2">#REF!</definedName>
    <definedName name="railecc">#REF!</definedName>
    <definedName name="railwt">#REF!</definedName>
    <definedName name="RANGE">#REF!</definedName>
    <definedName name="RAT">[66]Keyratios!$E$20</definedName>
    <definedName name="Rate" localSheetId="2">#REF!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2">#REF!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2">[24]Summary!#REF!</definedName>
    <definedName name="RCCdiam">[24]Summary!#REF!</definedName>
    <definedName name="RCCFOR_ROOFSLAB" localSheetId="2">#REF!</definedName>
    <definedName name="RCCFOR_ROOFSLAB">#REF!</definedName>
    <definedName name="rccrail" localSheetId="2">[24]Summary!#REF!</definedName>
    <definedName name="rccrail">[24]Summary!#REF!</definedName>
    <definedName name="reb1800chitt" localSheetId="2">[24]Summary!#REF!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2">#REF!</definedName>
    <definedName name="RecCnt">#REF!</definedName>
    <definedName name="reco">[12]Sheet1!$C$106</definedName>
    <definedName name="RECOMMENDATION">" "</definedName>
    <definedName name="recon" localSheetId="2">#REF!</definedName>
    <definedName name="recon">#REF!</definedName>
    <definedName name="reconc" localSheetId="2">[24]Summary!#REF!</definedName>
    <definedName name="reconc">[24]Summary!#REF!</definedName>
    <definedName name="Recruit_Fee" localSheetId="2">#REF!</definedName>
    <definedName name="Recruit_Fee">#REF!</definedName>
    <definedName name="redrsp" localSheetId="2">[24]Summary!#REF!</definedName>
    <definedName name="redrsp">[24]Summary!#REF!</definedName>
    <definedName name="reexp" localSheetId="2">[24]Summary!#REF!</definedName>
    <definedName name="reexp">[24]Summary!#REF!</definedName>
    <definedName name="Ref_1" localSheetId="2">#REF!</definedName>
    <definedName name="Ref_1">#REF!</definedName>
    <definedName name="Ref_2">#REF!</definedName>
    <definedName name="Ref_3">#REF!</definedName>
    <definedName name="Ref_4">#REF!</definedName>
    <definedName name="regsb" localSheetId="2">[24]Summary!#REF!</definedName>
    <definedName name="regsb">[24]Summary!#REF!</definedName>
    <definedName name="regua" localSheetId="2">[24]Summary!#REF!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2">[24]Summary!#REF!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2">#REF!</definedName>
    <definedName name="Reported_Net_profit">#REF!</definedName>
    <definedName name="req" localSheetId="2">'[42]A.O.R r1Str'!#REF!</definedName>
    <definedName name="req">'[42]A.O.R r1Str'!#REF!</definedName>
    <definedName name="Reqd" localSheetId="2">'[42]A.O.R r1'!#REF!</definedName>
    <definedName name="Reqd">'[42]A.O.R r1'!#REF!</definedName>
    <definedName name="required" localSheetId="2">#REF!</definedName>
    <definedName name="required">#REF!</definedName>
    <definedName name="rerail" localSheetId="2">[24]Summary!#REF!</definedName>
    <definedName name="rerail">[24]Summary!#REF!</definedName>
    <definedName name="rercc" localSheetId="2">[24]Summary!#REF!</definedName>
    <definedName name="rercc">[24]Summary!#REF!</definedName>
    <definedName name="Residual_difference" localSheetId="2">#REF!</definedName>
    <definedName name="Residual_difference">#REF!</definedName>
    <definedName name="rest">#REF!</definedName>
    <definedName name="restp" localSheetId="2">[24]Summary!#REF!</definedName>
    <definedName name="restp">[24]Summary!#REF!</definedName>
    <definedName name="Résumé" localSheetId="2">#REF!</definedName>
    <definedName name="Résumé">#REF!</definedName>
    <definedName name="retemp" localSheetId="2">[24]Summary!#REF!</definedName>
    <definedName name="retemp">[24]Summary!#REF!</definedName>
    <definedName name="retr1800c" localSheetId="2">[24]Summary!#REF!</definedName>
    <definedName name="retr1800c">[24]Summary!#REF!</definedName>
    <definedName name="retr1800m">[24]Summary!#REF!</definedName>
    <definedName name="retr300">[24]Summary!#REF!</definedName>
    <definedName name="retr300c">[24]Summary!#REF!</definedName>
    <definedName name="retr600" localSheetId="2">#REF!</definedName>
    <definedName name="retr600">#REF!</definedName>
    <definedName name="retr600c" localSheetId="2">[24]Summary!#REF!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2">#REF!</definedName>
    <definedName name="RMsummary">#REF!</definedName>
    <definedName name="ROADWORKS">'[53]BOQ Distribution'!$A$5:$G$24</definedName>
    <definedName name="roce" localSheetId="2">#REF!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2">#REF!</definedName>
    <definedName name="ROOF">#REF!</definedName>
    <definedName name="roofing" localSheetId="2">[65]Measurment!#REF!</definedName>
    <definedName name="roofing">[65]Measurment!#REF!</definedName>
    <definedName name="roughstone" localSheetId="2">#REF!</definedName>
    <definedName name="roughstone">#REF!</definedName>
    <definedName name="Round_Trip_on_the_same_day__Y_N__g">[63]goods_analysis!$M$6:$M$3138</definedName>
    <definedName name="Round_Trip_on_the_same_day__Y_N__p">'[63]pass _analysis '!$M$6:$M$1791</definedName>
    <definedName name="RP" localSheetId="2">#REF!</definedName>
    <definedName name="RP">#REF!</definedName>
    <definedName name="Rpaint">#REF!</definedName>
    <definedName name="rr" localSheetId="12" hidden="1">{#N/A,#N/A,FALSE,"Part ABC"}</definedName>
    <definedName name="rr" localSheetId="14" hidden="1">{#N/A,#N/A,FALSE,"Part ABC"}</definedName>
    <definedName name="rr" localSheetId="2" hidden="1">{#N/A,#N/A,FALSE,"Part ABC"}</definedName>
    <definedName name="rr" localSheetId="10" hidden="1">{#N/A,#N/A,FALSE,"Part ABC"}</definedName>
    <definedName name="rr" localSheetId="11" hidden="1">{#N/A,#N/A,FALSE,"Part ABC"}</definedName>
    <definedName name="rr" localSheetId="13" hidden="1">{#N/A,#N/A,FALSE,"Part ABC"}</definedName>
    <definedName name="rr" hidden="1">{#N/A,#N/A,FALSE,"Part ABC"}</definedName>
    <definedName name="RRoll8">[45]Machinery!#REF!</definedName>
    <definedName name="RRstone" localSheetId="2">#REF!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2">#REF!</definedName>
    <definedName name="RSEMULSIOn">#REF!</definedName>
    <definedName name="RSEMULSIOn_24">NA()</definedName>
    <definedName name="RSEMULSIOn_7">NA()</definedName>
    <definedName name="rt" localSheetId="2">#REF!</definedName>
    <definedName name="rt">#REF!</definedName>
    <definedName name="RT_3_2_B">[47]DATA_PILE_RT2!$A$3:$DA$5</definedName>
    <definedName name="RT3_1">'[47]DATA_PILE_RT1 '!$A$3:$HQ$5</definedName>
    <definedName name="RT3_2_A">[47]DATA_PILE_RT2!$A$9:$EX$11</definedName>
    <definedName name="rubbish" localSheetId="2">#REF!</definedName>
    <definedName name="rubbish">#REF!</definedName>
    <definedName name="Rubble">'[34]Abs PMRL'!$B$661</definedName>
    <definedName name="Rupees" localSheetId="2">#REF!</definedName>
    <definedName name="Rupees">#REF!</definedName>
    <definedName name="s">#REF!</definedName>
    <definedName name="S.NO." localSheetId="2">[90]sheeet7!#REF!</definedName>
    <definedName name="S.NO.">[90]sheeet7!#REF!</definedName>
    <definedName name="S_AcctDes" localSheetId="2">#REF!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2">'[77]192'!#REF!</definedName>
    <definedName name="S192..2">'[77]192'!#REF!</definedName>
    <definedName name="S194..3" localSheetId="2">'[77]194C'!#REF!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2">[138]Summary!#REF!</definedName>
    <definedName name="sachintapi">[138]Summary!#REF!</definedName>
    <definedName name="sadasdas">[12]Sheet1!$A$1:$BP$87</definedName>
    <definedName name="saef" localSheetId="12" hidden="1">{"Execavation",#N/A,FALSE,"furniture (employer)"}</definedName>
    <definedName name="saef" localSheetId="14" hidden="1">{"Execavation",#N/A,FALSE,"furniture (employer)"}</definedName>
    <definedName name="saef" localSheetId="2" hidden="1">{"Execavation",#N/A,FALSE,"furniture (employer)"}</definedName>
    <definedName name="saef" localSheetId="10" hidden="1">{"Execavation",#N/A,FALSE,"furniture (employer)"}</definedName>
    <definedName name="saef" localSheetId="11" hidden="1">{"Execavation",#N/A,FALSE,"furniture (employer)"}</definedName>
    <definedName name="saef" localSheetId="13" hidden="1">{"Execavation",#N/A,FALSE,"furniture (employer)"}</definedName>
    <definedName name="saef" hidden="1">{"Execavation",#N/A,FALSE,"furniture (employer)"}</definedName>
    <definedName name="sajid" localSheetId="2">#REF!</definedName>
    <definedName name="sajid">#REF!</definedName>
    <definedName name="SALARY" localSheetId="2">[90]sheeet7!#REF!</definedName>
    <definedName name="SALARY">[90]sheeet7!#REF!</definedName>
    <definedName name="salballies" localSheetId="2">#REF!</definedName>
    <definedName name="salballies">#REF!</definedName>
    <definedName name="SALE">#REF!</definedName>
    <definedName name="Sales">'[40]Profit&amp;Loss'!$A$13:$IV$13</definedName>
    <definedName name="sanBasic" localSheetId="2">'[42]A.O.R r1'!#REF!</definedName>
    <definedName name="sanBasic">'[42]A.O.R r1'!#REF!</definedName>
    <definedName name="sand">'[34]Abs PMRL'!$B$415</definedName>
    <definedName name="Sand_12">NA()</definedName>
    <definedName name="Sand_7">NA()</definedName>
    <definedName name="Sand_8">NA()</definedName>
    <definedName name="Sand_Rate" localSheetId="2">#REF!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2">'[82]VIR CG'!#REF!</definedName>
    <definedName name="Sarvecapg">'[82]VIR CG'!#REF!</definedName>
    <definedName name="sbas" localSheetId="2">'[42]A.O.R r1Str'!#REF!</definedName>
    <definedName name="sbas">'[42]A.O.R r1Str'!#REF!</definedName>
    <definedName name="Schedules">[139]Sheet1!$F$4:$F$19</definedName>
    <definedName name="scraper" localSheetId="2">#REF!</definedName>
    <definedName name="scraper">#REF!</definedName>
    <definedName name="screening">#REF!</definedName>
    <definedName name="SD">[140]Input!$D$12</definedName>
    <definedName name="sda" localSheetId="2">[141]Keyratios!#REF!</definedName>
    <definedName name="sda">[141]Keyratios!#REF!</definedName>
    <definedName name="SDF">[142]Sheet1!$A$2:$H$2501</definedName>
    <definedName name="sdfasd" localSheetId="12" hidden="1">{"Execavation",#N/A,FALSE,"furniture (employer)"}</definedName>
    <definedName name="sdfasd" localSheetId="14" hidden="1">{"Execavation",#N/A,FALSE,"furniture (employer)"}</definedName>
    <definedName name="sdfasd" localSheetId="2" hidden="1">{"Execavation",#N/A,FALSE,"furniture (employer)"}</definedName>
    <definedName name="sdfasd" localSheetId="10" hidden="1">{"Execavation",#N/A,FALSE,"furniture (employer)"}</definedName>
    <definedName name="sdfasd" localSheetId="11" hidden="1">{"Execavation",#N/A,FALSE,"furniture (employer)"}</definedName>
    <definedName name="sdfasd" localSheetId="13" hidden="1">{"Execavation",#N/A,FALSE,"furniture (employer)"}</definedName>
    <definedName name="sdfasd" hidden="1">{"Execavation",#N/A,FALSE,"furniture (employer)"}</definedName>
    <definedName name="sdfhsfhjsfghfh">'[85]BOQ Distribution'!$A$35:$G$47</definedName>
    <definedName name="sdkjakfej" localSheetId="2">[75]Summary!#REF!</definedName>
    <definedName name="sdkjakfej">[75]Summary!#REF!</definedName>
    <definedName name="SE_NAME">""</definedName>
    <definedName name="SEC._DEPOSIT" localSheetId="2">#REF!</definedName>
    <definedName name="SEC._DEPOSIT">#REF!</definedName>
    <definedName name="SEC43B">#REF!</definedName>
    <definedName name="segpbt">#REF!</definedName>
    <definedName name="seishcof" localSheetId="2">[51]Intro!#REF!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2">#REF!</definedName>
    <definedName name="SEPTIC_TANK">#REF!</definedName>
    <definedName name="SEPTIC_TANL">#REF!</definedName>
    <definedName name="Service_Type">"Service Type"</definedName>
    <definedName name="SFAS131_9803__Export_List" localSheetId="2">#REF!</definedName>
    <definedName name="SFAS131_9803__Export_List">#REF!</definedName>
    <definedName name="sfh">#REF!</definedName>
    <definedName name="Sh_plat">[100]sheet!$E$82</definedName>
    <definedName name="SHABAD_FLOOR" localSheetId="2">#REF!</definedName>
    <definedName name="SHABAD_FLOOR">#REF!</definedName>
    <definedName name="Share_of_DLF">'[143]P&amp;L'!$C$44</definedName>
    <definedName name="sHEET" localSheetId="2">[144]Keyratios!#REF!</definedName>
    <definedName name="sHEET">[144]Keyratios!#REF!</definedName>
    <definedName name="sheet22.AccountType">'[145]PART C'!$J$46:$J$47</definedName>
    <definedName name="SHORT">'[33]YE-SW2'!$IM$8159</definedName>
    <definedName name="Shoulder" localSheetId="2">#REF!</definedName>
    <definedName name="Shoulder">#REF!</definedName>
    <definedName name="Shuttering" localSheetId="2">[65]Measurment!#REF!</definedName>
    <definedName name="Shuttering">[65]Measurment!#REF!</definedName>
    <definedName name="shutteringtimber" localSheetId="2">#REF!</definedName>
    <definedName name="shutteringtimber">#REF!</definedName>
    <definedName name="SI.NO">[41]LISTAS!$L$3:$L$4</definedName>
    <definedName name="SI_NAME">"Trend Micro HK eDoctor"</definedName>
    <definedName name="SIGHT" localSheetId="2">[146]CAPEX!#REF!</definedName>
    <definedName name="SIGHT">[146]CAPEX!#REF!</definedName>
    <definedName name="SIGMABUS" localSheetId="2">#REF!</definedName>
    <definedName name="SIGMABUS">#REF!</definedName>
    <definedName name="signal">'[32]Cost Breakup Depreciation&amp; Tax'!$C$17</definedName>
    <definedName name="silk">[147]TB!$E$1</definedName>
    <definedName name="SITE_OFFICES" localSheetId="2">#REF!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2">[89]国内work!#REF!</definedName>
    <definedName name="SKYMARK">[89]国内work!#REF!</definedName>
    <definedName name="SL" localSheetId="12" hidden="1">{"Execavation",#N/A,FALSE,"furniture (employer)"}</definedName>
    <definedName name="SL" localSheetId="14" hidden="1">{"Execavation",#N/A,FALSE,"furniture (employer)"}</definedName>
    <definedName name="SL" localSheetId="2" hidden="1">{"Execavation",#N/A,FALSE,"furniture (employer)"}</definedName>
    <definedName name="SL" localSheetId="10" hidden="1">{"Execavation",#N/A,FALSE,"furniture (employer)"}</definedName>
    <definedName name="SL" localSheetId="11" hidden="1">{"Execavation",#N/A,FALSE,"furniture (employer)"}</definedName>
    <definedName name="SL" localSheetId="13" hidden="1">{"Execavation",#N/A,FALSE,"furniture (employer)"}</definedName>
    <definedName name="SL" hidden="1">{"Execavation",#N/A,FALSE,"furniture (employer)"}</definedName>
    <definedName name="slab" localSheetId="2">#REF!</definedName>
    <definedName name="slab">#REF!</definedName>
    <definedName name="slab_p" localSheetId="12" hidden="1">{"form-D1",#N/A,FALSE,"FORM-D1";"form-D1_amt",#N/A,FALSE,"FORM-D1"}</definedName>
    <definedName name="slab_p" localSheetId="14" hidden="1">{"form-D1",#N/A,FALSE,"FORM-D1";"form-D1_amt",#N/A,FALSE,"FORM-D1"}</definedName>
    <definedName name="slab_p" localSheetId="2" hidden="1">{"form-D1",#N/A,FALSE,"FORM-D1";"form-D1_amt",#N/A,FALSE,"FORM-D1"}</definedName>
    <definedName name="slab_p" localSheetId="10" hidden="1">{"form-D1",#N/A,FALSE,"FORM-D1";"form-D1_amt",#N/A,FALSE,"FORM-D1"}</definedName>
    <definedName name="slab_p" localSheetId="11" hidden="1">{"form-D1",#N/A,FALSE,"FORM-D1";"form-D1_amt",#N/A,FALSE,"FORM-D1"}</definedName>
    <definedName name="slab_p" localSheetId="13"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2">#REF!</definedName>
    <definedName name="sms">#REF!</definedName>
    <definedName name="softcostonetime">'[32]Cost Breakup Depreciation&amp; Tax'!$C$35</definedName>
    <definedName name="soilht" localSheetId="2">[51]Intro!#REF!</definedName>
    <definedName name="soilht">[51]Intro!#REF!</definedName>
    <definedName name="soling" localSheetId="2">#REF!</definedName>
    <definedName name="soling">#REF!</definedName>
    <definedName name="Sonota">[94]その他!$A$1:$N$2</definedName>
    <definedName name="sort" localSheetId="2">#REF!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2">#REF!</definedName>
    <definedName name="Span">#REF!</definedName>
    <definedName name="Spaver">#REF!</definedName>
    <definedName name="Spaver_24">NA()</definedName>
    <definedName name="Spaver_7">NA()</definedName>
    <definedName name="spr" localSheetId="2">[12]Sheet3!#REF!</definedName>
    <definedName name="spr">[12]Sheet3!#REF!</definedName>
    <definedName name="sprayer" localSheetId="2">#REF!</definedName>
    <definedName name="sprayer">#REF!</definedName>
    <definedName name="SrDebt">[73]INPUT!$C$49</definedName>
    <definedName name="ss" localSheetId="12" hidden="1">{"Execavation",#N/A,FALSE,"furniture (employer)"}</definedName>
    <definedName name="ss" localSheetId="14" hidden="1">{"Execavation",#N/A,FALSE,"furniture (employer)"}</definedName>
    <definedName name="ss" localSheetId="2" hidden="1">{"Execavation",#N/A,FALSE,"furniture (employer)"}</definedName>
    <definedName name="ss" localSheetId="10" hidden="1">{"Execavation",#N/A,FALSE,"furniture (employer)"}</definedName>
    <definedName name="ss" localSheetId="11" hidden="1">{"Execavation",#N/A,FALSE,"furniture (employer)"}</definedName>
    <definedName name="ss" localSheetId="13"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12">{"'Bill No. 7'!$A$1:$G$32"}</definedName>
    <definedName name="ssc" localSheetId="14">{"'Bill No. 7'!$A$1:$G$32"}</definedName>
    <definedName name="ssc" localSheetId="2">{"'Bill No. 7'!$A$1:$G$32"}</definedName>
    <definedName name="ssc" localSheetId="10">{"'Bill No. 7'!$A$1:$G$32"}</definedName>
    <definedName name="ssc" localSheetId="11">{"'Bill No. 7'!$A$1:$G$32"}</definedName>
    <definedName name="ssc" localSheetId="13">{"'Bill No. 7'!$A$1:$G$32"}</definedName>
    <definedName name="ssc">{"'Bill No. 7'!$A$1:$G$32"}</definedName>
    <definedName name="ssd" localSheetId="12">{"'Bill No. 7'!$A$1:$G$32"}</definedName>
    <definedName name="ssd" localSheetId="14">{"'Bill No. 7'!$A$1:$G$32"}</definedName>
    <definedName name="ssd" localSheetId="2">{"'Bill No. 7'!$A$1:$G$32"}</definedName>
    <definedName name="ssd" localSheetId="10">{"'Bill No. 7'!$A$1:$G$32"}</definedName>
    <definedName name="ssd" localSheetId="11">{"'Bill No. 7'!$A$1:$G$32"}</definedName>
    <definedName name="ssd" localSheetId="13">{"'Bill No. 7'!$A$1:$G$32"}</definedName>
    <definedName name="ssd">{"'Bill No. 7'!$A$1:$G$32"}</definedName>
    <definedName name="ssemulsion">#REF!</definedName>
    <definedName name="ssemulsion_24">NA()</definedName>
    <definedName name="ssemulsion_7">NA()</definedName>
    <definedName name="sski_eps" localSheetId="2">#REF!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2">[148]PROCTOR!#REF!</definedName>
    <definedName name="SSSS">[148]PROCTOR!#REF!</definedName>
    <definedName name="SSSSSS" localSheetId="2">[148]PROCTOR!#REF!</definedName>
    <definedName name="SSSSSS">[148]PROCTOR!#REF!</definedName>
    <definedName name="ST43B">[149]COMPUTATION!#REF!</definedName>
    <definedName name="STAFF_REQUIRED_FOR_FINAL_BILL" localSheetId="2">#REF!</definedName>
    <definedName name="STAFF_REQUIRED_FOR_FINAL_BILL">#REF!</definedName>
    <definedName name="startupcost">'[32]Cost Breakup Depreciation&amp; Tax'!$C$33</definedName>
    <definedName name="states">'[150]Part A General'!$F$3:$F$38</definedName>
    <definedName name="staticpaver" localSheetId="2">#REF!</definedName>
    <definedName name="staticpaver">#REF!</definedName>
    <definedName name="station">'[32]Cost Breakup Depreciation&amp; Tax'!$C$5</definedName>
    <definedName name="STD" localSheetId="2">[12]Sheet1!#REF!</definedName>
    <definedName name="STD">[12]Sheet1!#REF!</definedName>
    <definedName name="STDDATE">[36]関係会社貸付金データ!$D$6</definedName>
    <definedName name="steel" localSheetId="2">#REF!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2">#REF!</definedName>
    <definedName name="stonebreaker">#REF!</definedName>
    <definedName name="STONEMAS">#REF!</definedName>
    <definedName name="stp" localSheetId="2">[24]Summary!#REF!</definedName>
    <definedName name="stp">[24]Summary!#REF!</definedName>
    <definedName name="strands" localSheetId="2">#REF!</definedName>
    <definedName name="strands">#REF!</definedName>
    <definedName name="structuralsteel">#REF!</definedName>
    <definedName name="Subbasedism" localSheetId="2">[24]Summary!#REF!</definedName>
    <definedName name="Subbasedism">[24]Summary!#REF!</definedName>
    <definedName name="SubDebt">[73]INPUT!$C$50</definedName>
    <definedName name="SUBFINAL" localSheetId="2">#REF!</definedName>
    <definedName name="SUBFINAL">#REF!</definedName>
    <definedName name="Subgrade">#REF!</definedName>
    <definedName name="subsidiary">#REF!</definedName>
    <definedName name="substructure">#REF!</definedName>
    <definedName name="SUM">#N/A</definedName>
    <definedName name="sumana" localSheetId="2">#REF!</definedName>
    <definedName name="sumana">#REF!</definedName>
    <definedName name="sumana_24">NA()</definedName>
    <definedName name="sumana_7">NA()</definedName>
    <definedName name="SUMP_TANK" localSheetId="2">#REF!</definedName>
    <definedName name="SUMP_TANK">#REF!</definedName>
    <definedName name="SUNKENPRN_PLASTERING">#REF!</definedName>
    <definedName name="super">#REF!</definedName>
    <definedName name="SWAPS">'[33]YE-SW2'!$IV$8175</definedName>
    <definedName name="sy" localSheetId="12" hidden="1">{#N/A,#N/A,FALSE,"Part ABC"}</definedName>
    <definedName name="sy" localSheetId="14" hidden="1">{#N/A,#N/A,FALSE,"Part ABC"}</definedName>
    <definedName name="sy" localSheetId="2" hidden="1">{#N/A,#N/A,FALSE,"Part ABC"}</definedName>
    <definedName name="sy" localSheetId="10" hidden="1">{#N/A,#N/A,FALSE,"Part ABC"}</definedName>
    <definedName name="sy" localSheetId="11" hidden="1">{#N/A,#N/A,FALSE,"Part ABC"}</definedName>
    <definedName name="sy" localSheetId="13" hidden="1">{#N/A,#N/A,FALSE,"Part ABC"}</definedName>
    <definedName name="sy" hidden="1">{#N/A,#N/A,FALSE,"Part ABC"}</definedName>
    <definedName name="SYAM" localSheetId="12" hidden="1">{"Execavation",#N/A,FALSE,"furniture (employer)"}</definedName>
    <definedName name="SYAM" localSheetId="14" hidden="1">{"Execavation",#N/A,FALSE,"furniture (employer)"}</definedName>
    <definedName name="SYAM" localSheetId="2" hidden="1">{"Execavation",#N/A,FALSE,"furniture (employer)"}</definedName>
    <definedName name="SYAM" localSheetId="10" hidden="1">{"Execavation",#N/A,FALSE,"furniture (employer)"}</definedName>
    <definedName name="SYAM" localSheetId="11" hidden="1">{"Execavation",#N/A,FALSE,"furniture (employer)"}</definedName>
    <definedName name="SYAM" localSheetId="13" hidden="1">{"Execavation",#N/A,FALSE,"furniture (employer)"}</definedName>
    <definedName name="SYAM" hidden="1">{"Execavation",#N/A,FALSE,"furniture (employer)"}</definedName>
    <definedName name="t" localSheetId="2">#REF!</definedName>
    <definedName name="t">#REF!</definedName>
    <definedName name="T_Basic_cost">#REF!</definedName>
    <definedName name="t_beam">#REF!</definedName>
    <definedName name="TA">#REF!</definedName>
    <definedName name="TA3Q">#REF!</definedName>
    <definedName name="TABLA" localSheetId="2">[41]DEBTORS!#REF!</definedName>
    <definedName name="TABLA">[41]DEBTORS!#REF!</definedName>
    <definedName name="table" localSheetId="2">#REF!</definedName>
    <definedName name="table">#REF!</definedName>
    <definedName name="Table_Md">'[28]Back_Cal_for OMC'!$G$7:$J$7</definedName>
    <definedName name="Table_Wt" localSheetId="2">'[28]Back_Cal_for OMC'!#REF!</definedName>
    <definedName name="Table_Wt">'[28]Back_Cal_for OMC'!#REF!</definedName>
    <definedName name="table1" localSheetId="2">#REF!</definedName>
    <definedName name="table1">#REF!</definedName>
    <definedName name="table2">#REF!</definedName>
    <definedName name="Tan_plat">[100]sheet!$E$124</definedName>
    <definedName name="Tan_specpay">[100]sheet!$E$108</definedName>
    <definedName name="TANDEMROLLER" localSheetId="2">#REF!</definedName>
    <definedName name="TANDEMROLLER">#REF!</definedName>
    <definedName name="TANDEMROLLER_24">NA()</definedName>
    <definedName name="TANDEMROLLER_7">NA()</definedName>
    <definedName name="tando">[100]sheet!$E$89</definedName>
    <definedName name="TANDOOR_BLUE" localSheetId="2">#REF!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2">#REF!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2">#REF!</definedName>
    <definedName name="taxworking">#REF!</definedName>
    <definedName name="TaxXL">5%</definedName>
    <definedName name="tbeam" localSheetId="2">#REF!</definedName>
    <definedName name="tbeam">#REF!</definedName>
    <definedName name="TB転記後ﾏｸﾛ名PRINT実行" localSheetId="2">'[127]総括（1～3Q）'!#REF!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2">#REF!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2">'[26]UNP-NCW '!#REF!</definedName>
    <definedName name="temp">'[26]UNP-NCW '!#REF!</definedName>
    <definedName name="temp1" localSheetId="2">'[26]UNP-NCW '!#REF!</definedName>
    <definedName name="temp1">'[26]UNP-NCW '!#REF!</definedName>
    <definedName name="tempstr">[24]Summary!#REF!</definedName>
    <definedName name="tendem" localSheetId="2">#REF!</definedName>
    <definedName name="tendem">#REF!</definedName>
    <definedName name="tendem_24">NA()</definedName>
    <definedName name="tendem_7">NA()</definedName>
    <definedName name="TENDER_EXPENCES" localSheetId="2">#REF!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2">#REF!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2">#REF!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12">TextRefCopy49</definedName>
    <definedName name="TextRefCopy107" localSheetId="14">TextRefCopy49</definedName>
    <definedName name="TextRefCopy107" localSheetId="2">TextRefCopy49</definedName>
    <definedName name="TextRefCopy107" localSheetId="10">TextRefCopy49</definedName>
    <definedName name="TextRefCopy107" localSheetId="11">TextRefCopy49</definedName>
    <definedName name="TextRefCopy107" localSheetId="13">TextRefCopy49</definedName>
    <definedName name="TextRefCopy107">TextRefCopy49</definedName>
    <definedName name="TextRefCopy108">[2]Schedules!$E$146</definedName>
    <definedName name="TextRefCopy109" localSheetId="12">TextRefCopy50</definedName>
    <definedName name="TextRefCopy109" localSheetId="14">TextRefCopy50</definedName>
    <definedName name="TextRefCopy109" localSheetId="2">TextRefCopy50</definedName>
    <definedName name="TextRefCopy109" localSheetId="10">TextRefCopy50</definedName>
    <definedName name="TextRefCopy109" localSheetId="11">TextRefCopy50</definedName>
    <definedName name="TextRefCopy109" localSheetId="13">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12">TextRefCopy113</definedName>
    <definedName name="TextRefCopy114" localSheetId="14">TextRefCopy113</definedName>
    <definedName name="TextRefCopy114" localSheetId="2">TextRefCopy113</definedName>
    <definedName name="TextRefCopy114" localSheetId="10">TextRefCopy113</definedName>
    <definedName name="TextRefCopy114" localSheetId="11">TextRefCopy113</definedName>
    <definedName name="TextRefCopy114" localSheetId="13">TextRefCopy113</definedName>
    <definedName name="TextRefCopy114">TextRefCopy113</definedName>
    <definedName name="TextRefCopy115" localSheetId="12">TextRefCopy113</definedName>
    <definedName name="TextRefCopy115" localSheetId="14">TextRefCopy113</definedName>
    <definedName name="TextRefCopy115" localSheetId="2">TextRefCopy113</definedName>
    <definedName name="TextRefCopy115" localSheetId="10">TextRefCopy113</definedName>
    <definedName name="TextRefCopy115" localSheetId="11">TextRefCopy113</definedName>
    <definedName name="TextRefCopy115" localSheetId="13">TextRefCopy113</definedName>
    <definedName name="TextRefCopy115">TextRefCopy113</definedName>
    <definedName name="TextRefCopy116">[2]Schedules!$E$162</definedName>
    <definedName name="TextRefCopy117">[2]Schedules!$E$163</definedName>
    <definedName name="TextRefCopy118" localSheetId="2">[2]Schedules!#REF!</definedName>
    <definedName name="TextRefCopy118">[2]Schedules!#REF!</definedName>
    <definedName name="TextRefCopy119">[2]Schedules!$E$164</definedName>
    <definedName name="TextRefCopy12">[2]Schedules!$E$91</definedName>
    <definedName name="TextRefCopy120" localSheetId="2">[2]Schedules!#REF!</definedName>
    <definedName name="TextRefCopy120">[2]Schedules!#REF!</definedName>
    <definedName name="TextRefCopy121">[2]Schedules!$E$165</definedName>
    <definedName name="TextRefCopy122" localSheetId="2">[2]Schedules!#REF!</definedName>
    <definedName name="TextRefCopy122">[2]Schedules!#REF!</definedName>
    <definedName name="TextRefCopy123" localSheetId="12">TextRefCopy122</definedName>
    <definedName name="TextRefCopy123" localSheetId="14">TextRefCopy122</definedName>
    <definedName name="TextRefCopy123" localSheetId="2">FCFF!TextRefCopy122</definedName>
    <definedName name="TextRefCopy123" localSheetId="10">TextRefCopy122</definedName>
    <definedName name="TextRefCopy123" localSheetId="11">TextRefCopy122</definedName>
    <definedName name="TextRefCopy123" localSheetId="13">TextRefCopy122</definedName>
    <definedName name="TextRefCopy123">TextRefCopy122</definedName>
    <definedName name="TextRefCopy124" localSheetId="12">TextRefCopy122</definedName>
    <definedName name="TextRefCopy124" localSheetId="14">TextRefCopy122</definedName>
    <definedName name="TextRefCopy124" localSheetId="2">FCFF!TextRefCopy122</definedName>
    <definedName name="TextRefCopy124" localSheetId="10">TextRefCopy122</definedName>
    <definedName name="TextRefCopy124" localSheetId="11">TextRefCopy122</definedName>
    <definedName name="TextRefCopy124" localSheetId="13">TextRefCopy122</definedName>
    <definedName name="TextRefCopy124">TextRefCopy122</definedName>
    <definedName name="TextRefCopy125" localSheetId="12">TextRefCopy122</definedName>
    <definedName name="TextRefCopy125" localSheetId="14">TextRefCopy122</definedName>
    <definedName name="TextRefCopy125" localSheetId="2">FCFF!TextRefCopy122</definedName>
    <definedName name="TextRefCopy125" localSheetId="10">TextRefCopy122</definedName>
    <definedName name="TextRefCopy125" localSheetId="11">TextRefCopy122</definedName>
    <definedName name="TextRefCopy125" localSheetId="13">TextRefCopy122</definedName>
    <definedName name="TextRefCopy125">TextRefCopy122</definedName>
    <definedName name="TextRefCopy126">[2]Schedules!$E$167</definedName>
    <definedName name="TextRefCopy127" localSheetId="12">TextRefCopy126</definedName>
    <definedName name="TextRefCopy127" localSheetId="14">TextRefCopy126</definedName>
    <definedName name="TextRefCopy127" localSheetId="2">TextRefCopy126</definedName>
    <definedName name="TextRefCopy127" localSheetId="10">TextRefCopy126</definedName>
    <definedName name="TextRefCopy127" localSheetId="11">TextRefCopy126</definedName>
    <definedName name="TextRefCopy127" localSheetId="13">TextRefCopy126</definedName>
    <definedName name="TextRefCopy127">TextRefCopy126</definedName>
    <definedName name="TextRefCopy128" localSheetId="2">[2]Schedules!#REF!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12">TextRefCopy60</definedName>
    <definedName name="TextRefCopy131" localSheetId="14">TextRefCopy60</definedName>
    <definedName name="TextRefCopy131" localSheetId="2">TextRefCopy60</definedName>
    <definedName name="TextRefCopy131" localSheetId="10">TextRefCopy60</definedName>
    <definedName name="TextRefCopy131" localSheetId="11">TextRefCopy60</definedName>
    <definedName name="TextRefCopy131" localSheetId="13">TextRefCopy60</definedName>
    <definedName name="TextRefCopy131">TextRefCopy60</definedName>
    <definedName name="TextRefCopy132" localSheetId="12">TextRefCopy60</definedName>
    <definedName name="TextRefCopy132" localSheetId="14">TextRefCopy60</definedName>
    <definedName name="TextRefCopy132" localSheetId="2">TextRefCopy60</definedName>
    <definedName name="TextRefCopy132" localSheetId="10">TextRefCopy60</definedName>
    <definedName name="TextRefCopy132" localSheetId="11">TextRefCopy60</definedName>
    <definedName name="TextRefCopy132" localSheetId="13">TextRefCopy60</definedName>
    <definedName name="TextRefCopy132">TextRefCopy60</definedName>
    <definedName name="TextRefCopy133" localSheetId="12">TextRefCopy111</definedName>
    <definedName name="TextRefCopy133" localSheetId="14">TextRefCopy111</definedName>
    <definedName name="TextRefCopy133" localSheetId="2">TextRefCopy111</definedName>
    <definedName name="TextRefCopy133" localSheetId="10">TextRefCopy111</definedName>
    <definedName name="TextRefCopy133" localSheetId="11">TextRefCopy111</definedName>
    <definedName name="TextRefCopy133" localSheetId="13">TextRefCopy111</definedName>
    <definedName name="TextRefCopy133">TextRefCopy111</definedName>
    <definedName name="TextRefCopy134" localSheetId="12">TextRefCopy112</definedName>
    <definedName name="TextRefCopy134" localSheetId="14">TextRefCopy112</definedName>
    <definedName name="TextRefCopy134" localSheetId="2">TextRefCopy112</definedName>
    <definedName name="TextRefCopy134" localSheetId="10">TextRefCopy112</definedName>
    <definedName name="TextRefCopy134" localSheetId="11">TextRefCopy112</definedName>
    <definedName name="TextRefCopy134" localSheetId="13">TextRefCopy112</definedName>
    <definedName name="TextRefCopy134">TextRefCopy112</definedName>
    <definedName name="TextRefCopy135" localSheetId="12">TextRefCopy117</definedName>
    <definedName name="TextRefCopy135" localSheetId="14">TextRefCopy117</definedName>
    <definedName name="TextRefCopy135" localSheetId="2">TextRefCopy117</definedName>
    <definedName name="TextRefCopy135" localSheetId="10">TextRefCopy117</definedName>
    <definedName name="TextRefCopy135" localSheetId="11">TextRefCopy117</definedName>
    <definedName name="TextRefCopy135" localSheetId="13">TextRefCopy117</definedName>
    <definedName name="TextRefCopy135">TextRefCopy117</definedName>
    <definedName name="TextRefCopy136" localSheetId="12">TextRefCopy117</definedName>
    <definedName name="TextRefCopy136" localSheetId="14">TextRefCopy117</definedName>
    <definedName name="TextRefCopy136" localSheetId="2">TextRefCopy117</definedName>
    <definedName name="TextRefCopy136" localSheetId="10">TextRefCopy117</definedName>
    <definedName name="TextRefCopy136" localSheetId="11">TextRefCopy117</definedName>
    <definedName name="TextRefCopy136" localSheetId="13">TextRefCopy117</definedName>
    <definedName name="TextRefCopy136">TextRefCopy117</definedName>
    <definedName name="TextRefCopy137" localSheetId="12">TextRefCopy117</definedName>
    <definedName name="TextRefCopy137" localSheetId="14">TextRefCopy117</definedName>
    <definedName name="TextRefCopy137" localSheetId="2">TextRefCopy117</definedName>
    <definedName name="TextRefCopy137" localSheetId="10">TextRefCopy117</definedName>
    <definedName name="TextRefCopy137" localSheetId="11">TextRefCopy117</definedName>
    <definedName name="TextRefCopy137" localSheetId="13">TextRefCopy117</definedName>
    <definedName name="TextRefCopy137">TextRefCopy117</definedName>
    <definedName name="TextRefCopy138" localSheetId="12">TextRefCopy121</definedName>
    <definedName name="TextRefCopy138" localSheetId="14">TextRefCopy121</definedName>
    <definedName name="TextRefCopy138" localSheetId="2">TextRefCopy121</definedName>
    <definedName name="TextRefCopy138" localSheetId="10">TextRefCopy121</definedName>
    <definedName name="TextRefCopy138" localSheetId="11">TextRefCopy121</definedName>
    <definedName name="TextRefCopy138" localSheetId="13">TextRefCopy121</definedName>
    <definedName name="TextRefCopy138">TextRefCopy121</definedName>
    <definedName name="TextRefCopy139" localSheetId="12">TextRefCopy121</definedName>
    <definedName name="TextRefCopy139" localSheetId="14">TextRefCopy121</definedName>
    <definedName name="TextRefCopy139" localSheetId="2">TextRefCopy121</definedName>
    <definedName name="TextRefCopy139" localSheetId="10">TextRefCopy121</definedName>
    <definedName name="TextRefCopy139" localSheetId="11">TextRefCopy121</definedName>
    <definedName name="TextRefCopy139" localSheetId="13">TextRefCopy121</definedName>
    <definedName name="TextRefCopy139">TextRefCopy121</definedName>
    <definedName name="TextRefCopy14" localSheetId="12">TextRefCopy11</definedName>
    <definedName name="TextRefCopy14" localSheetId="14">TextRefCopy11</definedName>
    <definedName name="TextRefCopy14" localSheetId="2">TextRefCopy11</definedName>
    <definedName name="TextRefCopy14" localSheetId="10">TextRefCopy11</definedName>
    <definedName name="TextRefCopy14" localSheetId="11">TextRefCopy11</definedName>
    <definedName name="TextRefCopy14" localSheetId="13">TextRefCopy11</definedName>
    <definedName name="TextRefCopy14">TextRefCopy11</definedName>
    <definedName name="TextRefCopy140" localSheetId="12">TextRefCopy128</definedName>
    <definedName name="TextRefCopy140" localSheetId="14">TextRefCopy128</definedName>
    <definedName name="TextRefCopy140" localSheetId="2">FCFF!TextRefCopy128</definedName>
    <definedName name="TextRefCopy140" localSheetId="10">TextRefCopy128</definedName>
    <definedName name="TextRefCopy140" localSheetId="11">TextRefCopy128</definedName>
    <definedName name="TextRefCopy140" localSheetId="13">TextRefCopy128</definedName>
    <definedName name="TextRefCopy140">TextRefCopy128</definedName>
    <definedName name="TextRefCopy141">#N/A</definedName>
    <definedName name="TextRefCopy142">#N/A</definedName>
    <definedName name="TextRefCopy143" localSheetId="12">TextRefCopy42</definedName>
    <definedName name="TextRefCopy143" localSheetId="14">TextRefCopy42</definedName>
    <definedName name="TextRefCopy143" localSheetId="2">FCFF!TextRefCopy42</definedName>
    <definedName name="TextRefCopy143" localSheetId="10">TextRefCopy42</definedName>
    <definedName name="TextRefCopy143" localSheetId="11">TextRefCopy42</definedName>
    <definedName name="TextRefCopy143" localSheetId="13">TextRefCopy42</definedName>
    <definedName name="TextRefCopy143">TextRefCopy42</definedName>
    <definedName name="TextRefCopy144" localSheetId="12">TextRefCopy113</definedName>
    <definedName name="TextRefCopy144" localSheetId="14">TextRefCopy113</definedName>
    <definedName name="TextRefCopy144" localSheetId="2">TextRefCopy113</definedName>
    <definedName name="TextRefCopy144" localSheetId="10">TextRefCopy113</definedName>
    <definedName name="TextRefCopy144" localSheetId="11">TextRefCopy113</definedName>
    <definedName name="TextRefCopy144" localSheetId="13">TextRefCopy113</definedName>
    <definedName name="TextRefCopy144">TextRefCopy113</definedName>
    <definedName name="TextRefCopy145" localSheetId="12">TextRefCopy60</definedName>
    <definedName name="TextRefCopy145" localSheetId="14">TextRefCopy60</definedName>
    <definedName name="TextRefCopy145" localSheetId="2">TextRefCopy60</definedName>
    <definedName name="TextRefCopy145" localSheetId="10">TextRefCopy60</definedName>
    <definedName name="TextRefCopy145" localSheetId="11">TextRefCopy60</definedName>
    <definedName name="TextRefCopy145" localSheetId="13">TextRefCopy60</definedName>
    <definedName name="TextRefCopy145">TextRefCopy60</definedName>
    <definedName name="TextRefCopy146" localSheetId="12">TextRefCopy113</definedName>
    <definedName name="TextRefCopy146" localSheetId="14">TextRefCopy113</definedName>
    <definedName name="TextRefCopy146" localSheetId="2">TextRefCopy113</definedName>
    <definedName name="TextRefCopy146" localSheetId="10">TextRefCopy113</definedName>
    <definedName name="TextRefCopy146" localSheetId="11">TextRefCopy113</definedName>
    <definedName name="TextRefCopy146" localSheetId="13">TextRefCopy113</definedName>
    <definedName name="TextRefCopy146">TextRefCopy113</definedName>
    <definedName name="TextRefCopy147" localSheetId="12">#REF!</definedName>
    <definedName name="TextRefCopy147" localSheetId="14">#REF!</definedName>
    <definedName name="TextRefCopy147" localSheetId="2">#REF!</definedName>
    <definedName name="TextRefCopy147" localSheetId="10">#REF!</definedName>
    <definedName name="TextRefCopy147" localSheetId="11">#REF!</definedName>
    <definedName name="TextRefCopy147" localSheetId="13">#REF!</definedName>
    <definedName name="TextRefCopy147">#REF!</definedName>
    <definedName name="TextRefCopy148" localSheetId="12">TextRefCopy55</definedName>
    <definedName name="TextRefCopy148" localSheetId="14">TextRefCopy55</definedName>
    <definedName name="TextRefCopy148" localSheetId="2">TextRefCopy55</definedName>
    <definedName name="TextRefCopy148" localSheetId="10">TextRefCopy55</definedName>
    <definedName name="TextRefCopy148" localSheetId="11">TextRefCopy55</definedName>
    <definedName name="TextRefCopy148" localSheetId="13">TextRefCopy55</definedName>
    <definedName name="TextRefCopy148">TextRefCopy55</definedName>
    <definedName name="TextRefCopy149" localSheetId="12">TextRefCopy116</definedName>
    <definedName name="TextRefCopy149" localSheetId="14">TextRefCopy116</definedName>
    <definedName name="TextRefCopy149" localSheetId="2">TextRefCopy116</definedName>
    <definedName name="TextRefCopy149" localSheetId="10">TextRefCopy116</definedName>
    <definedName name="TextRefCopy149" localSheetId="11">TextRefCopy116</definedName>
    <definedName name="TextRefCopy149" localSheetId="13">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12">TextRefCopy48</definedName>
    <definedName name="TextRefCopy158" localSheetId="14">TextRefCopy48</definedName>
    <definedName name="TextRefCopy158" localSheetId="2">TextRefCopy48</definedName>
    <definedName name="TextRefCopy158" localSheetId="10">TextRefCopy48</definedName>
    <definedName name="TextRefCopy158" localSheetId="11">TextRefCopy48</definedName>
    <definedName name="TextRefCopy158" localSheetId="13">TextRefCopy48</definedName>
    <definedName name="TextRefCopy158">TextRefCopy48</definedName>
    <definedName name="TextRefCopy159" localSheetId="12">TextRefCopy49</definedName>
    <definedName name="TextRefCopy159" localSheetId="14">TextRefCopy49</definedName>
    <definedName name="TextRefCopy159" localSheetId="2">TextRefCopy49</definedName>
    <definedName name="TextRefCopy159" localSheetId="10">TextRefCopy49</definedName>
    <definedName name="TextRefCopy159" localSheetId="11">TextRefCopy49</definedName>
    <definedName name="TextRefCopy159" localSheetId="13">TextRefCopy49</definedName>
    <definedName name="TextRefCopy159">TextRefCopy49</definedName>
    <definedName name="TextRefCopy16" localSheetId="12">TextRefCopy11</definedName>
    <definedName name="TextRefCopy16" localSheetId="14">TextRefCopy11</definedName>
    <definedName name="TextRefCopy16" localSheetId="2">TextRefCopy11</definedName>
    <definedName name="TextRefCopy16" localSheetId="10">TextRefCopy11</definedName>
    <definedName name="TextRefCopy16" localSheetId="11">TextRefCopy11</definedName>
    <definedName name="TextRefCopy16" localSheetId="13">TextRefCopy11</definedName>
    <definedName name="TextRefCopy16">TextRefCopy11</definedName>
    <definedName name="TextRefCopy160" localSheetId="12">TextRefCopy108</definedName>
    <definedName name="TextRefCopy160" localSheetId="14">TextRefCopy108</definedName>
    <definedName name="TextRefCopy160" localSheetId="2">TextRefCopy108</definedName>
    <definedName name="TextRefCopy160" localSheetId="10">TextRefCopy108</definedName>
    <definedName name="TextRefCopy160" localSheetId="11">TextRefCopy108</definedName>
    <definedName name="TextRefCopy160" localSheetId="13">TextRefCopy108</definedName>
    <definedName name="TextRefCopy160">TextRefCopy108</definedName>
    <definedName name="TextRefCopy161" localSheetId="12">TextRefCopy50</definedName>
    <definedName name="TextRefCopy161" localSheetId="14">TextRefCopy50</definedName>
    <definedName name="TextRefCopy161" localSheetId="2">TextRefCopy50</definedName>
    <definedName name="TextRefCopy161" localSheetId="10">TextRefCopy50</definedName>
    <definedName name="TextRefCopy161" localSheetId="11">TextRefCopy50</definedName>
    <definedName name="TextRefCopy161" localSheetId="13">TextRefCopy50</definedName>
    <definedName name="TextRefCopy161">TextRefCopy50</definedName>
    <definedName name="TextRefCopy162" localSheetId="12">TextRefCopy110</definedName>
    <definedName name="TextRefCopy162" localSheetId="14">TextRefCopy110</definedName>
    <definedName name="TextRefCopy162" localSheetId="2">TextRefCopy110</definedName>
    <definedName name="TextRefCopy162" localSheetId="10">TextRefCopy110</definedName>
    <definedName name="TextRefCopy162" localSheetId="11">TextRefCopy110</definedName>
    <definedName name="TextRefCopy162" localSheetId="13">TextRefCopy110</definedName>
    <definedName name="TextRefCopy162">TextRefCopy110</definedName>
    <definedName name="TextRefCopy163" localSheetId="12">TextRefCopy51</definedName>
    <definedName name="TextRefCopy163" localSheetId="14">TextRefCopy51</definedName>
    <definedName name="TextRefCopy163" localSheetId="2">TextRefCopy51</definedName>
    <definedName name="TextRefCopy163" localSheetId="10">TextRefCopy51</definedName>
    <definedName name="TextRefCopy163" localSheetId="11">TextRefCopy51</definedName>
    <definedName name="TextRefCopy163" localSheetId="13">TextRefCopy51</definedName>
    <definedName name="TextRefCopy163">TextRefCopy51</definedName>
    <definedName name="TextRefCopy164" localSheetId="12">TextRefCopy52</definedName>
    <definedName name="TextRefCopy164" localSheetId="14">TextRefCopy52</definedName>
    <definedName name="TextRefCopy164" localSheetId="2">TextRefCopy52</definedName>
    <definedName name="TextRefCopy164" localSheetId="10">TextRefCopy52</definedName>
    <definedName name="TextRefCopy164" localSheetId="11">TextRefCopy52</definedName>
    <definedName name="TextRefCopy164" localSheetId="13">TextRefCopy52</definedName>
    <definedName name="TextRefCopy164">TextRefCopy52</definedName>
    <definedName name="TextRefCopy165" localSheetId="12">TextRefCopy54</definedName>
    <definedName name="TextRefCopy165" localSheetId="14">TextRefCopy54</definedName>
    <definedName name="TextRefCopy165" localSheetId="2">TextRefCopy54</definedName>
    <definedName name="TextRefCopy165" localSheetId="10">TextRefCopy54</definedName>
    <definedName name="TextRefCopy165" localSheetId="11">TextRefCopy54</definedName>
    <definedName name="TextRefCopy165" localSheetId="13">TextRefCopy54</definedName>
    <definedName name="TextRefCopy165">TextRefCopy54</definedName>
    <definedName name="TextRefCopy166" localSheetId="12">TextRefCopy55</definedName>
    <definedName name="TextRefCopy166" localSheetId="14">TextRefCopy55</definedName>
    <definedName name="TextRefCopy166" localSheetId="2">TextRefCopy55</definedName>
    <definedName name="TextRefCopy166" localSheetId="10">TextRefCopy55</definedName>
    <definedName name="TextRefCopy166" localSheetId="11">TextRefCopy55</definedName>
    <definedName name="TextRefCopy166" localSheetId="13">TextRefCopy55</definedName>
    <definedName name="TextRefCopy166">TextRefCopy55</definedName>
    <definedName name="TextRefCopy167" localSheetId="12">TextRefCopy56</definedName>
    <definedName name="TextRefCopy167" localSheetId="14">TextRefCopy56</definedName>
    <definedName name="TextRefCopy167" localSheetId="2">TextRefCopy56</definedName>
    <definedName name="TextRefCopy167" localSheetId="10">TextRefCopy56</definedName>
    <definedName name="TextRefCopy167" localSheetId="11">TextRefCopy56</definedName>
    <definedName name="TextRefCopy167" localSheetId="13">TextRefCopy56</definedName>
    <definedName name="TextRefCopy167">TextRefCopy56</definedName>
    <definedName name="TextRefCopy168" localSheetId="12">TextRefCopy56</definedName>
    <definedName name="TextRefCopy168" localSheetId="14">TextRefCopy56</definedName>
    <definedName name="TextRefCopy168" localSheetId="2">TextRefCopy56</definedName>
    <definedName name="TextRefCopy168" localSheetId="10">TextRefCopy56</definedName>
    <definedName name="TextRefCopy168" localSheetId="11">TextRefCopy56</definedName>
    <definedName name="TextRefCopy168" localSheetId="13">TextRefCopy56</definedName>
    <definedName name="TextRefCopy168">TextRefCopy56</definedName>
    <definedName name="TextRefCopy169" localSheetId="12">TextRefCopy57</definedName>
    <definedName name="TextRefCopy169" localSheetId="14">TextRefCopy57</definedName>
    <definedName name="TextRefCopy169" localSheetId="2">TextRefCopy57</definedName>
    <definedName name="TextRefCopy169" localSheetId="10">TextRefCopy57</definedName>
    <definedName name="TextRefCopy169" localSheetId="11">TextRefCopy57</definedName>
    <definedName name="TextRefCopy169" localSheetId="13">TextRefCopy57</definedName>
    <definedName name="TextRefCopy169">TextRefCopy57</definedName>
    <definedName name="TextRefCopy17">'[152]FA Leadsheet &amp; Movement'!$L$49</definedName>
    <definedName name="TextRefCopy170" localSheetId="12">TextRefCopy58</definedName>
    <definedName name="TextRefCopy170" localSheetId="14">TextRefCopy58</definedName>
    <definedName name="TextRefCopy170" localSheetId="2">TextRefCopy58</definedName>
    <definedName name="TextRefCopy170" localSheetId="10">TextRefCopy58</definedName>
    <definedName name="TextRefCopy170" localSheetId="11">TextRefCopy58</definedName>
    <definedName name="TextRefCopy170" localSheetId="13">TextRefCopy58</definedName>
    <definedName name="TextRefCopy170">TextRefCopy58</definedName>
    <definedName name="TextRefCopy171" localSheetId="12">TextRefCopy111</definedName>
    <definedName name="TextRefCopy171" localSheetId="14">TextRefCopy111</definedName>
    <definedName name="TextRefCopy171" localSheetId="2">TextRefCopy111</definedName>
    <definedName name="TextRefCopy171" localSheetId="10">TextRefCopy111</definedName>
    <definedName name="TextRefCopy171" localSheetId="11">TextRefCopy111</definedName>
    <definedName name="TextRefCopy171" localSheetId="13">TextRefCopy111</definedName>
    <definedName name="TextRefCopy171">TextRefCopy111</definedName>
    <definedName name="TextRefCopy172" localSheetId="12">TextRefCopy112</definedName>
    <definedName name="TextRefCopy172" localSheetId="14">TextRefCopy112</definedName>
    <definedName name="TextRefCopy172" localSheetId="2">TextRefCopy112</definedName>
    <definedName name="TextRefCopy172" localSheetId="10">TextRefCopy112</definedName>
    <definedName name="TextRefCopy172" localSheetId="11">TextRefCopy112</definedName>
    <definedName name="TextRefCopy172" localSheetId="13">TextRefCopy112</definedName>
    <definedName name="TextRefCopy172">TextRefCopy112</definedName>
    <definedName name="TextRefCopy173" localSheetId="12">TextRefCopy113</definedName>
    <definedName name="TextRefCopy173" localSheetId="14">TextRefCopy113</definedName>
    <definedName name="TextRefCopy173" localSheetId="2">TextRefCopy113</definedName>
    <definedName name="TextRefCopy173" localSheetId="10">TextRefCopy113</definedName>
    <definedName name="TextRefCopy173" localSheetId="11">TextRefCopy113</definedName>
    <definedName name="TextRefCopy173" localSheetId="13">TextRefCopy113</definedName>
    <definedName name="TextRefCopy173">TextRefCopy113</definedName>
    <definedName name="TextRefCopy174" localSheetId="12">TextRefCopy116</definedName>
    <definedName name="TextRefCopy174" localSheetId="14">TextRefCopy116</definedName>
    <definedName name="TextRefCopy174" localSheetId="2">TextRefCopy116</definedName>
    <definedName name="TextRefCopy174" localSheetId="10">TextRefCopy116</definedName>
    <definedName name="TextRefCopy174" localSheetId="11">TextRefCopy116</definedName>
    <definedName name="TextRefCopy174" localSheetId="13">TextRefCopy116</definedName>
    <definedName name="TextRefCopy174">TextRefCopy116</definedName>
    <definedName name="TextRefCopy175" localSheetId="12">TextRefCopy117</definedName>
    <definedName name="TextRefCopy175" localSheetId="14">TextRefCopy117</definedName>
    <definedName name="TextRefCopy175" localSheetId="2">TextRefCopy117</definedName>
    <definedName name="TextRefCopy175" localSheetId="10">TextRefCopy117</definedName>
    <definedName name="TextRefCopy175" localSheetId="11">TextRefCopy117</definedName>
    <definedName name="TextRefCopy175" localSheetId="13">TextRefCopy117</definedName>
    <definedName name="TextRefCopy175">TextRefCopy117</definedName>
    <definedName name="TextRefCopy176" localSheetId="12">TextRefCopy119</definedName>
    <definedName name="TextRefCopy176" localSheetId="14">TextRefCopy119</definedName>
    <definedName name="TextRefCopy176" localSheetId="2">TextRefCopy119</definedName>
    <definedName name="TextRefCopy176" localSheetId="10">TextRefCopy119</definedName>
    <definedName name="TextRefCopy176" localSheetId="11">TextRefCopy119</definedName>
    <definedName name="TextRefCopy176" localSheetId="13">TextRefCopy119</definedName>
    <definedName name="TextRefCopy176">TextRefCopy119</definedName>
    <definedName name="TextRefCopy177" localSheetId="12">TextRefCopy121</definedName>
    <definedName name="TextRefCopy177" localSheetId="14">TextRefCopy121</definedName>
    <definedName name="TextRefCopy177" localSheetId="2">TextRefCopy121</definedName>
    <definedName name="TextRefCopy177" localSheetId="10">TextRefCopy121</definedName>
    <definedName name="TextRefCopy177" localSheetId="11">TextRefCopy121</definedName>
    <definedName name="TextRefCopy177" localSheetId="13">TextRefCopy121</definedName>
    <definedName name="TextRefCopy177">TextRefCopy121</definedName>
    <definedName name="TextRefCopy179" localSheetId="12">TextRefCopy126</definedName>
    <definedName name="TextRefCopy179" localSheetId="14">TextRefCopy126</definedName>
    <definedName name="TextRefCopy179" localSheetId="2">TextRefCopy126</definedName>
    <definedName name="TextRefCopy179" localSheetId="10">TextRefCopy126</definedName>
    <definedName name="TextRefCopy179" localSheetId="11">TextRefCopy126</definedName>
    <definedName name="TextRefCopy179" localSheetId="13">TextRefCopy126</definedName>
    <definedName name="TextRefCopy179">TextRefCopy126</definedName>
    <definedName name="TextRefCopy18" localSheetId="12">TextRefCopy15</definedName>
    <definedName name="TextRefCopy18" localSheetId="14">TextRefCopy15</definedName>
    <definedName name="TextRefCopy18" localSheetId="2">TextRefCopy15</definedName>
    <definedName name="TextRefCopy18" localSheetId="10">TextRefCopy15</definedName>
    <definedName name="TextRefCopy18" localSheetId="11">TextRefCopy15</definedName>
    <definedName name="TextRefCopy18" localSheetId="13">TextRefCopy15</definedName>
    <definedName name="TextRefCopy18">TextRefCopy15</definedName>
    <definedName name="TextRefCopy180" localSheetId="12">TextRefCopy19</definedName>
    <definedName name="TextRefCopy180" localSheetId="14">TextRefCopy19</definedName>
    <definedName name="TextRefCopy180" localSheetId="2">TextRefCopy19</definedName>
    <definedName name="TextRefCopy180" localSheetId="10">TextRefCopy19</definedName>
    <definedName name="TextRefCopy180" localSheetId="11">TextRefCopy19</definedName>
    <definedName name="TextRefCopy180" localSheetId="13">TextRefCopy19</definedName>
    <definedName name="TextRefCopy180">TextRefCopy19</definedName>
    <definedName name="TextRefCopy181" localSheetId="12">TextRefCopy23</definedName>
    <definedName name="TextRefCopy181" localSheetId="14">TextRefCopy23</definedName>
    <definedName name="TextRefCopy181" localSheetId="2">TextRefCopy23</definedName>
    <definedName name="TextRefCopy181" localSheetId="10">TextRefCopy23</definedName>
    <definedName name="TextRefCopy181" localSheetId="11">TextRefCopy23</definedName>
    <definedName name="TextRefCopy181" localSheetId="13">TextRefCopy23</definedName>
    <definedName name="TextRefCopy181">TextRefCopy23</definedName>
    <definedName name="TextRefCopy182" localSheetId="12">TextRefCopy21</definedName>
    <definedName name="TextRefCopy182" localSheetId="14">TextRefCopy21</definedName>
    <definedName name="TextRefCopy182" localSheetId="2">TextRefCopy21</definedName>
    <definedName name="TextRefCopy182" localSheetId="10">TextRefCopy21</definedName>
    <definedName name="TextRefCopy182" localSheetId="11">TextRefCopy21</definedName>
    <definedName name="TextRefCopy182" localSheetId="13">TextRefCopy21</definedName>
    <definedName name="TextRefCopy182">TextRefCopy21</definedName>
    <definedName name="TextRefCopy183" localSheetId="12">TextRefCopy21</definedName>
    <definedName name="TextRefCopy183" localSheetId="14">TextRefCopy21</definedName>
    <definedName name="TextRefCopy183" localSheetId="2">TextRefCopy21</definedName>
    <definedName name="TextRefCopy183" localSheetId="10">TextRefCopy21</definedName>
    <definedName name="TextRefCopy183" localSheetId="11">TextRefCopy21</definedName>
    <definedName name="TextRefCopy183" localSheetId="13">TextRefCopy21</definedName>
    <definedName name="TextRefCopy183">TextRefCopy21</definedName>
    <definedName name="TextRefCopy184" localSheetId="12">TextRefCopy19</definedName>
    <definedName name="TextRefCopy184" localSheetId="14">TextRefCopy19</definedName>
    <definedName name="TextRefCopy184" localSheetId="2">TextRefCopy19</definedName>
    <definedName name="TextRefCopy184" localSheetId="10">TextRefCopy19</definedName>
    <definedName name="TextRefCopy184" localSheetId="11">TextRefCopy19</definedName>
    <definedName name="TextRefCopy184" localSheetId="13">TextRefCopy19</definedName>
    <definedName name="TextRefCopy184">TextRefCopy19</definedName>
    <definedName name="TextRefCopy185" localSheetId="12">TextRefCopy23</definedName>
    <definedName name="TextRefCopy185" localSheetId="14">TextRefCopy23</definedName>
    <definedName name="TextRefCopy185" localSheetId="2">TextRefCopy23</definedName>
    <definedName name="TextRefCopy185" localSheetId="10">TextRefCopy23</definedName>
    <definedName name="TextRefCopy185" localSheetId="11">TextRefCopy23</definedName>
    <definedName name="TextRefCopy185" localSheetId="13">TextRefCopy23</definedName>
    <definedName name="TextRefCopy185">TextRefCopy23</definedName>
    <definedName name="TextRefCopy186" localSheetId="12">TextRefCopy21</definedName>
    <definedName name="TextRefCopy186" localSheetId="14">TextRefCopy21</definedName>
    <definedName name="TextRefCopy186" localSheetId="2">TextRefCopy21</definedName>
    <definedName name="TextRefCopy186" localSheetId="10">TextRefCopy21</definedName>
    <definedName name="TextRefCopy186" localSheetId="11">TextRefCopy21</definedName>
    <definedName name="TextRefCopy186" localSheetId="13">TextRefCopy21</definedName>
    <definedName name="TextRefCopy186">TextRefCopy21</definedName>
    <definedName name="TextRefCopy187" localSheetId="12">TextRefCopy23</definedName>
    <definedName name="TextRefCopy187" localSheetId="14">TextRefCopy23</definedName>
    <definedName name="TextRefCopy187" localSheetId="2">TextRefCopy23</definedName>
    <definedName name="TextRefCopy187" localSheetId="10">TextRefCopy23</definedName>
    <definedName name="TextRefCopy187" localSheetId="11">TextRefCopy23</definedName>
    <definedName name="TextRefCopy187" localSheetId="13">TextRefCopy23</definedName>
    <definedName name="TextRefCopy187">TextRefCopy23</definedName>
    <definedName name="TextRefCopy188" localSheetId="12">TextRefCopy24</definedName>
    <definedName name="TextRefCopy188" localSheetId="14">TextRefCopy24</definedName>
    <definedName name="TextRefCopy188" localSheetId="2">TextRefCopy24</definedName>
    <definedName name="TextRefCopy188" localSheetId="10">TextRefCopy24</definedName>
    <definedName name="TextRefCopy188" localSheetId="11">TextRefCopy24</definedName>
    <definedName name="TextRefCopy188" localSheetId="13">TextRefCopy24</definedName>
    <definedName name="TextRefCopy188">TextRefCopy24</definedName>
    <definedName name="TextRefCopy189" localSheetId="12">TextRefCopy61</definedName>
    <definedName name="TextRefCopy189" localSheetId="14">TextRefCopy61</definedName>
    <definedName name="TextRefCopy189" localSheetId="2">TextRefCopy61</definedName>
    <definedName name="TextRefCopy189" localSheetId="10">TextRefCopy61</definedName>
    <definedName name="TextRefCopy189" localSheetId="11">TextRefCopy61</definedName>
    <definedName name="TextRefCopy189" localSheetId="13">TextRefCopy61</definedName>
    <definedName name="TextRefCopy189">TextRefCopy61</definedName>
    <definedName name="TextRefCopy19">[2]Schedules!$D$99</definedName>
    <definedName name="TextRefCopy190" localSheetId="12">TextRefCopy78</definedName>
    <definedName name="TextRefCopy190" localSheetId="14">TextRefCopy78</definedName>
    <definedName name="TextRefCopy190" localSheetId="2">TextRefCopy78</definedName>
    <definedName name="TextRefCopy190" localSheetId="10">TextRefCopy78</definedName>
    <definedName name="TextRefCopy190" localSheetId="11">TextRefCopy78</definedName>
    <definedName name="TextRefCopy190" localSheetId="13">TextRefCopy78</definedName>
    <definedName name="TextRefCopy190">TextRefCopy78</definedName>
    <definedName name="TextRefCopy191">'[2]Balance Sheet'!$E$33</definedName>
    <definedName name="TextRefCopy192" localSheetId="12">TextRefCopy12</definedName>
    <definedName name="TextRefCopy192" localSheetId="14">TextRefCopy12</definedName>
    <definedName name="TextRefCopy192" localSheetId="2">TextRefCopy12</definedName>
    <definedName name="TextRefCopy192" localSheetId="10">TextRefCopy12</definedName>
    <definedName name="TextRefCopy192" localSheetId="11">TextRefCopy12</definedName>
    <definedName name="TextRefCopy192" localSheetId="13">TextRefCopy12</definedName>
    <definedName name="TextRefCopy192">TextRefCopy12</definedName>
    <definedName name="TextRefCopy193" localSheetId="12">TextRefCopy96</definedName>
    <definedName name="TextRefCopy193" localSheetId="14">TextRefCopy96</definedName>
    <definedName name="TextRefCopy193" localSheetId="2">TextRefCopy96</definedName>
    <definedName name="TextRefCopy193" localSheetId="10">TextRefCopy96</definedName>
    <definedName name="TextRefCopy193" localSheetId="11">TextRefCopy96</definedName>
    <definedName name="TextRefCopy193" localSheetId="13">TextRefCopy96</definedName>
    <definedName name="TextRefCopy193">TextRefCopy96</definedName>
    <definedName name="TextRefCopy194" localSheetId="12">TextRefCopy9</definedName>
    <definedName name="TextRefCopy194" localSheetId="14">TextRefCopy9</definedName>
    <definedName name="TextRefCopy194" localSheetId="2">TextRefCopy9</definedName>
    <definedName name="TextRefCopy194" localSheetId="10">TextRefCopy9</definedName>
    <definedName name="TextRefCopy194" localSheetId="11">TextRefCopy9</definedName>
    <definedName name="TextRefCopy194" localSheetId="13">TextRefCopy9</definedName>
    <definedName name="TextRefCopy194">TextRefCopy9</definedName>
    <definedName name="TextRefCopy195" localSheetId="12">TextRefCopy95</definedName>
    <definedName name="TextRefCopy195" localSheetId="14">TextRefCopy95</definedName>
    <definedName name="TextRefCopy195" localSheetId="2">TextRefCopy95</definedName>
    <definedName name="TextRefCopy195" localSheetId="10">TextRefCopy95</definedName>
    <definedName name="TextRefCopy195" localSheetId="11">TextRefCopy95</definedName>
    <definedName name="TextRefCopy195" localSheetId="13">TextRefCopy95</definedName>
    <definedName name="TextRefCopy195">TextRefCopy95</definedName>
    <definedName name="TextRefCopy196" localSheetId="12">TextRefCopy8</definedName>
    <definedName name="TextRefCopy196" localSheetId="14">TextRefCopy8</definedName>
    <definedName name="TextRefCopy196" localSheetId="2">TextRefCopy8</definedName>
    <definedName name="TextRefCopy196" localSheetId="10">TextRefCopy8</definedName>
    <definedName name="TextRefCopy196" localSheetId="11">TextRefCopy8</definedName>
    <definedName name="TextRefCopy196" localSheetId="13">TextRefCopy8</definedName>
    <definedName name="TextRefCopy196">TextRefCopy8</definedName>
    <definedName name="TextRefCopy197" localSheetId="12">TextRefCopy191</definedName>
    <definedName name="TextRefCopy197" localSheetId="14">TextRefCopy191</definedName>
    <definedName name="TextRefCopy197" localSheetId="2">TextRefCopy191</definedName>
    <definedName name="TextRefCopy197" localSheetId="10">TextRefCopy191</definedName>
    <definedName name="TextRefCopy197" localSheetId="11">TextRefCopy191</definedName>
    <definedName name="TextRefCopy197" localSheetId="13">TextRefCopy191</definedName>
    <definedName name="TextRefCopy197">TextRefCopy191</definedName>
    <definedName name="TextRefCopy198" localSheetId="2">[2]Schedules!#REF!</definedName>
    <definedName name="TextRefCopy198">[2]Schedules!#REF!</definedName>
    <definedName name="TextRefCopy2" localSheetId="2">#REF!</definedName>
    <definedName name="TextRefCopy2">#REF!</definedName>
    <definedName name="TextRefCopy20" localSheetId="2">[2]Schedules!#REF!</definedName>
    <definedName name="TextRefCopy20">[2]Schedules!#REF!</definedName>
    <definedName name="TextRefCopy21">[2]Schedules!$D$102</definedName>
    <definedName name="TextRefCopy22" localSheetId="12">TextRefCopy21</definedName>
    <definedName name="TextRefCopy22" localSheetId="14">TextRefCopy21</definedName>
    <definedName name="TextRefCopy22" localSheetId="2">TextRefCopy21</definedName>
    <definedName name="TextRefCopy22" localSheetId="10">TextRefCopy21</definedName>
    <definedName name="TextRefCopy22" localSheetId="11">TextRefCopy21</definedName>
    <definedName name="TextRefCopy22" localSheetId="13">TextRefCopy21</definedName>
    <definedName name="TextRefCopy22">TextRefCopy21</definedName>
    <definedName name="TextRefCopy23">[2]Schedules!$D$100</definedName>
    <definedName name="TextRefCopy24">[2]Schedules!$D$106</definedName>
    <definedName name="TextRefCopy25" localSheetId="2">#REF!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2">#REF!</definedName>
    <definedName name="TextRefCopy30">#REF!</definedName>
    <definedName name="TextRefCopy31">#REF!</definedName>
    <definedName name="TextRefCopy32" localSheetId="2">[153]Lead!#REF!</definedName>
    <definedName name="TextRefCopy32">[153]Lead!#REF!</definedName>
    <definedName name="TextRefCopy33" localSheetId="2">[153]Lead!#REF!</definedName>
    <definedName name="TextRefCopy33">[153]Lead!#REF!</definedName>
    <definedName name="TextRefCopy34" localSheetId="2">#REF!</definedName>
    <definedName name="TextRefCopy34">#REF!</definedName>
    <definedName name="TextRefCopy35" localSheetId="2">[153]Lead!#REF!</definedName>
    <definedName name="TextRefCopy35">[153]Lead!#REF!</definedName>
    <definedName name="TextRefCopy36" localSheetId="2">[153]Lead!#REF!</definedName>
    <definedName name="TextRefCopy36">[153]Lead!#REF!</definedName>
    <definedName name="TextRefCopy37" localSheetId="2">#REF!</definedName>
    <definedName name="TextRefCopy37">#REF!</definedName>
    <definedName name="TextRefCopy38">#REF!</definedName>
    <definedName name="TextRefCopy39">#REF!</definedName>
    <definedName name="TextRefCopy4">#N/A</definedName>
    <definedName name="TextRefCopy40" localSheetId="2">#REF!</definedName>
    <definedName name="TextRefCopy40">#REF!</definedName>
    <definedName name="TextRefCopy41">#REF!</definedName>
    <definedName name="TextRefCopy42" localSheetId="2">[2]Schedules!#REF!</definedName>
    <definedName name="TextRefCopy42">[2]Schedules!#REF!</definedName>
    <definedName name="TextRefCopy43" localSheetId="2">#REF!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2">[154]Tax!#REF!</definedName>
    <definedName name="TextRefCopy5">[154]Tax!#REF!</definedName>
    <definedName name="TextRefCopy50">[2]Schedules!$E$148</definedName>
    <definedName name="TextRefCopy51">[2]Schedules!$E$151</definedName>
    <definedName name="TextRefCopy52">[2]Schedules!$E$152</definedName>
    <definedName name="TextRefCopy53" localSheetId="12">TextRefCopy52</definedName>
    <definedName name="TextRefCopy53" localSheetId="14">TextRefCopy52</definedName>
    <definedName name="TextRefCopy53" localSheetId="2">TextRefCopy52</definedName>
    <definedName name="TextRefCopy53" localSheetId="10">TextRefCopy52</definedName>
    <definedName name="TextRefCopy53" localSheetId="11">TextRefCopy52</definedName>
    <definedName name="TextRefCopy53" localSheetId="13">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2">[2]Schedules!#REF!</definedName>
    <definedName name="TextRefCopy59">[2]Schedules!#REF!</definedName>
    <definedName name="TextRefCopy6" localSheetId="2">[2]Schedules!#REF!</definedName>
    <definedName name="TextRefCopy6">[2]Schedules!#REF!</definedName>
    <definedName name="TextRefCopy60">[2]Schedules!#REF!</definedName>
    <definedName name="TextRefCopy61">'[2]Profit &amp; Loss'!$E$23</definedName>
    <definedName name="TextRefCopy62" localSheetId="2">#REF!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2">[154]Tax!#REF!</definedName>
    <definedName name="TextRefCopy7">[154]Tax!#REF!</definedName>
    <definedName name="TextRefCopy70" localSheetId="2">#REF!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12">TextRefCopy28</definedName>
    <definedName name="TextRefCopy77" localSheetId="14">TextRefCopy28</definedName>
    <definedName name="TextRefCopy77" localSheetId="2">TextRefCopy28</definedName>
    <definedName name="TextRefCopy77" localSheetId="10">TextRefCopy28</definedName>
    <definedName name="TextRefCopy77" localSheetId="11">TextRefCopy28</definedName>
    <definedName name="TextRefCopy77" localSheetId="13">TextRefCopy28</definedName>
    <definedName name="TextRefCopy77">TextRefCopy28</definedName>
    <definedName name="TextRefCopy78">'[2]Balance Sheet'!$E$25</definedName>
    <definedName name="TextRefCopy79" localSheetId="12">TextRefCopy78</definedName>
    <definedName name="TextRefCopy79" localSheetId="14">TextRefCopy78</definedName>
    <definedName name="TextRefCopy79" localSheetId="2">TextRefCopy78</definedName>
    <definedName name="TextRefCopy79" localSheetId="10">TextRefCopy78</definedName>
    <definedName name="TextRefCopy79" localSheetId="11">TextRefCopy78</definedName>
    <definedName name="TextRefCopy79" localSheetId="13">TextRefCopy78</definedName>
    <definedName name="TextRefCopy79">TextRefCopy78</definedName>
    <definedName name="TextRefCopy8">[2]Schedules!$E$89</definedName>
    <definedName name="TextRefCopy80">'[2]Balance Sheet'!$F$40</definedName>
    <definedName name="TextRefCopy81" localSheetId="12">TextRefCopy80</definedName>
    <definedName name="TextRefCopy81" localSheetId="14">TextRefCopy80</definedName>
    <definedName name="TextRefCopy81" localSheetId="2">TextRefCopy80</definedName>
    <definedName name="TextRefCopy81" localSheetId="10">TextRefCopy80</definedName>
    <definedName name="TextRefCopy81" localSheetId="11">TextRefCopy80</definedName>
    <definedName name="TextRefCopy81" localSheetId="13">TextRefCopy80</definedName>
    <definedName name="TextRefCopy81">TextRefCopy80</definedName>
    <definedName name="TextRefCopy82" localSheetId="12">TextRefCopy80</definedName>
    <definedName name="TextRefCopy82" localSheetId="14">TextRefCopy80</definedName>
    <definedName name="TextRefCopy82" localSheetId="2">TextRefCopy80</definedName>
    <definedName name="TextRefCopy82" localSheetId="10">TextRefCopy80</definedName>
    <definedName name="TextRefCopy82" localSheetId="11">TextRefCopy80</definedName>
    <definedName name="TextRefCopy82" localSheetId="13">TextRefCopy80</definedName>
    <definedName name="TextRefCopy82">TextRefCopy80</definedName>
    <definedName name="TextRefCopy83">'[2]Profit &amp; Loss'!$E$22</definedName>
    <definedName name="TextRefCopy84" localSheetId="2">#REF!</definedName>
    <definedName name="TextRefCopy84">#REF!</definedName>
    <definedName name="TextRefCopy85">#REF!</definedName>
    <definedName name="TextRefCopy86">#REF!</definedName>
    <definedName name="TextRefCopy87" localSheetId="12">TextRefCopy61</definedName>
    <definedName name="TextRefCopy87" localSheetId="14">TextRefCopy61</definedName>
    <definedName name="TextRefCopy87" localSheetId="2">TextRefCopy61</definedName>
    <definedName name="TextRefCopy87" localSheetId="10">TextRefCopy61</definedName>
    <definedName name="TextRefCopy87" localSheetId="11">TextRefCopy61</definedName>
    <definedName name="TextRefCopy87" localSheetId="13">TextRefCopy61</definedName>
    <definedName name="TextRefCopy87">TextRefCopy61</definedName>
    <definedName name="TextRefCopy88" localSheetId="12">TextRefCopy19</definedName>
    <definedName name="TextRefCopy88" localSheetId="14">TextRefCopy19</definedName>
    <definedName name="TextRefCopy88" localSheetId="2">TextRefCopy19</definedName>
    <definedName name="TextRefCopy88" localSheetId="10">TextRefCopy19</definedName>
    <definedName name="TextRefCopy88" localSheetId="11">TextRefCopy19</definedName>
    <definedName name="TextRefCopy88" localSheetId="13">TextRefCopy19</definedName>
    <definedName name="TextRefCopy88">TextRefCopy19</definedName>
    <definedName name="TextRefCopy89" localSheetId="12">TextRefCopy23</definedName>
    <definedName name="TextRefCopy89" localSheetId="14">TextRefCopy23</definedName>
    <definedName name="TextRefCopy89" localSheetId="2">TextRefCopy23</definedName>
    <definedName name="TextRefCopy89" localSheetId="10">TextRefCopy23</definedName>
    <definedName name="TextRefCopy89" localSheetId="11">TextRefCopy23</definedName>
    <definedName name="TextRefCopy89" localSheetId="13">TextRefCopy23</definedName>
    <definedName name="TextRefCopy89">TextRefCopy23</definedName>
    <definedName name="TextRefCopy9">[2]Schedules!$E$87</definedName>
    <definedName name="TextRefCopy90" localSheetId="12">TextRefCopy21</definedName>
    <definedName name="TextRefCopy90" localSheetId="14">TextRefCopy21</definedName>
    <definedName name="TextRefCopy90" localSheetId="2">TextRefCopy21</definedName>
    <definedName name="TextRefCopy90" localSheetId="10">TextRefCopy21</definedName>
    <definedName name="TextRefCopy90" localSheetId="11">TextRefCopy21</definedName>
    <definedName name="TextRefCopy90" localSheetId="13">TextRefCopy21</definedName>
    <definedName name="TextRefCopy90">TextRefCopy21</definedName>
    <definedName name="TextRefCopy91" localSheetId="12">TextRefCopy24</definedName>
    <definedName name="TextRefCopy91" localSheetId="14">TextRefCopy24</definedName>
    <definedName name="TextRefCopy91" localSheetId="2">TextRefCopy24</definedName>
    <definedName name="TextRefCopy91" localSheetId="10">TextRefCopy24</definedName>
    <definedName name="TextRefCopy91" localSheetId="11">TextRefCopy24</definedName>
    <definedName name="TextRefCopy91" localSheetId="13">TextRefCopy24</definedName>
    <definedName name="TextRefCopy91">TextRefCopy24</definedName>
    <definedName name="TextRefCopy92" localSheetId="12">TextRefCopy24</definedName>
    <definedName name="TextRefCopy92" localSheetId="14">TextRefCopy24</definedName>
    <definedName name="TextRefCopy92" localSheetId="2">TextRefCopy24</definedName>
    <definedName name="TextRefCopy92" localSheetId="10">TextRefCopy24</definedName>
    <definedName name="TextRefCopy92" localSheetId="11">TextRefCopy24</definedName>
    <definedName name="TextRefCopy92" localSheetId="13">TextRefCopy24</definedName>
    <definedName name="TextRefCopy92">TextRefCopy24</definedName>
    <definedName name="TextRefCopy93" localSheetId="12">TextRefCopy9</definedName>
    <definedName name="TextRefCopy93" localSheetId="14">TextRefCopy9</definedName>
    <definedName name="TextRefCopy93" localSheetId="2">TextRefCopy9</definedName>
    <definedName name="TextRefCopy93" localSheetId="10">TextRefCopy9</definedName>
    <definedName name="TextRefCopy93" localSheetId="11">TextRefCopy9</definedName>
    <definedName name="TextRefCopy93" localSheetId="13">TextRefCopy9</definedName>
    <definedName name="TextRefCopy93">TextRefCopy9</definedName>
    <definedName name="TextRefCopy94" localSheetId="12">TextRefCopy8</definedName>
    <definedName name="TextRefCopy94" localSheetId="14">TextRefCopy8</definedName>
    <definedName name="TextRefCopy94" localSheetId="2">TextRefCopy8</definedName>
    <definedName name="TextRefCopy94" localSheetId="10">TextRefCopy8</definedName>
    <definedName name="TextRefCopy94" localSheetId="11">TextRefCopy8</definedName>
    <definedName name="TextRefCopy94" localSheetId="13">TextRefCopy8</definedName>
    <definedName name="TextRefCopy94">TextRefCopy8</definedName>
    <definedName name="TextRefCopy95">[2]Schedules!$E$88</definedName>
    <definedName name="TextRefCopy96">[2]Schedules!$E$85</definedName>
    <definedName name="TextRefCopy97" localSheetId="12">TextRefCopy9</definedName>
    <definedName name="TextRefCopy97" localSheetId="14">TextRefCopy9</definedName>
    <definedName name="TextRefCopy97" localSheetId="2">TextRefCopy9</definedName>
    <definedName name="TextRefCopy97" localSheetId="10">TextRefCopy9</definedName>
    <definedName name="TextRefCopy97" localSheetId="11">TextRefCopy9</definedName>
    <definedName name="TextRefCopy97" localSheetId="13">TextRefCopy9</definedName>
    <definedName name="TextRefCopy97">TextRefCopy9</definedName>
    <definedName name="TextRefCopy98" localSheetId="12">#REF!</definedName>
    <definedName name="TextRefCopy98" localSheetId="14">#REF!</definedName>
    <definedName name="TextRefCopy98" localSheetId="2">#REF!</definedName>
    <definedName name="TextRefCopy98" localSheetId="10">#REF!</definedName>
    <definedName name="TextRefCopy98" localSheetId="11">#REF!</definedName>
    <definedName name="TextRefCopy98" localSheetId="13">#REF!</definedName>
    <definedName name="TextRefCopy98">#REF!</definedName>
    <definedName name="TextRefCopy99" localSheetId="12">#REF!</definedName>
    <definedName name="TextRefCopy99" localSheetId="14">#REF!</definedName>
    <definedName name="TextRefCopy99" localSheetId="10">#REF!</definedName>
    <definedName name="TextRefCopy99" localSheetId="11">#REF!</definedName>
    <definedName name="TextRefCopy99" localSheetId="13">#REF!</definedName>
    <definedName name="TextRefCopy99">#REF!</definedName>
    <definedName name="TextRefCopyRangeCount" hidden="1">4</definedName>
    <definedName name="thousand">1000</definedName>
    <definedName name="Threshold" localSheetId="2">#REF!</definedName>
    <definedName name="Threshold">#REF!</definedName>
    <definedName name="Tiles">#REF!</definedName>
    <definedName name="timber">'[9]Material '!$G$30</definedName>
    <definedName name="TIME_OF_COMPLETION" localSheetId="2">#REF!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2">#REF!</definedName>
    <definedName name="tipp5t">#REF!</definedName>
    <definedName name="tipper" localSheetId="2">[45]Machinery!#REF!</definedName>
    <definedName name="tipper">[45]Machinery!#REF!</definedName>
    <definedName name="tipper_24">NA()</definedName>
    <definedName name="tipper_7">NA()</definedName>
    <definedName name="tipper5t" localSheetId="2">#REF!</definedName>
    <definedName name="tipper5t">#REF!</definedName>
    <definedName name="TIPPER6">#REF!</definedName>
    <definedName name="TIPPER6_24">NA()</definedName>
    <definedName name="TIPPER6_7">NA()</definedName>
    <definedName name="TIPPER8" localSheetId="2">#REF!</definedName>
    <definedName name="TIPPER8">#REF!</definedName>
    <definedName name="TIPPER8_24">NA()</definedName>
    <definedName name="TIPPER8_7">NA()</definedName>
    <definedName name="TL" localSheetId="2">[12]Sheet1!#REF!</definedName>
    <definedName name="TL">[12]Sheet1!#REF!</definedName>
    <definedName name="TLC" localSheetId="2">#REF!</definedName>
    <definedName name="TLC">#REF!</definedName>
    <definedName name="tlpandm" localSheetId="2">#REF!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2">[104]海外WORK!#REF!</definedName>
    <definedName name="TOLC">[104]海外WORK!#REF!</definedName>
    <definedName name="TOP">'[34]Abs PMRL'!$A$3</definedName>
    <definedName name="Tot_Investmetn" localSheetId="2">#REF!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2">#REF!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2">[24]Summary!#REF!</definedName>
    <definedName name="tr1800c">[24]Summary!#REF!</definedName>
    <definedName name="tr1800m" localSheetId="2">[24]Summary!#REF!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2">#REF!</definedName>
    <definedName name="tractor">#REF!</definedName>
    <definedName name="tractor_24">NA()</definedName>
    <definedName name="tractor_7">NA()</definedName>
    <definedName name="traduccion">[98]traducciones!$A:$IV</definedName>
    <definedName name="Traffic" localSheetId="2">'[157]REAL Mandal Plaza'!#REF!</definedName>
    <definedName name="Traffic">'[157]REAL Mandal Plaza'!#REF!</definedName>
    <definedName name="Traffic_Wkg" localSheetId="2">#REF!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2">#REF!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2">[45]Machinery!#REF!</definedName>
    <definedName name="trmixer">[45]Machinery!#REF!</definedName>
    <definedName name="Troller" localSheetId="2">#REF!</definedName>
    <definedName name="Troller">#REF!</definedName>
    <definedName name="Troller_24">NA()</definedName>
    <definedName name="Troller_7">NA()</definedName>
    <definedName name="trrm" localSheetId="2">[24]Summary!#REF!</definedName>
    <definedName name="trrm">[24]Summary!#REF!</definedName>
    <definedName name="truck">[45]Machinery!#REF!</definedName>
    <definedName name="truck5t" localSheetId="2">#REF!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2">#REF!</definedName>
    <definedName name="ttt">#REF!</definedName>
    <definedName name="tweb">[76]section!$G$44</definedName>
    <definedName name="TWL" localSheetId="2">#REF!</definedName>
    <definedName name="TWL">#REF!</definedName>
    <definedName name="ty" localSheetId="2">#REF!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2">#REF!</definedName>
    <definedName name="UOL">#REF!</definedName>
    <definedName name="up_p">[111]Macros!$D$10</definedName>
    <definedName name="USD" localSheetId="2">'[83]PL PBC'!#REF!</definedName>
    <definedName name="USD">'[83]PL PBC'!#REF!</definedName>
    <definedName name="use" localSheetId="2">#REF!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2">[12]Sheet2!#REF!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2">#REF!</definedName>
    <definedName name="vibrator">#REF!</definedName>
    <definedName name="vibro">#REF!</definedName>
    <definedName name="vin" localSheetId="12">{"'Sheet1'!$A$4386:$N$4591"}</definedName>
    <definedName name="vin" localSheetId="14">{"'Sheet1'!$A$4386:$N$4591"}</definedName>
    <definedName name="vin" localSheetId="2">{"'Sheet1'!$A$4386:$N$4591"}</definedName>
    <definedName name="vin" localSheetId="10">{"'Sheet1'!$A$4386:$N$4591"}</definedName>
    <definedName name="vin" localSheetId="11">{"'Sheet1'!$A$4386:$N$4591"}</definedName>
    <definedName name="vin" localSheetId="13">{"'Sheet1'!$A$4386:$N$4591"}</definedName>
    <definedName name="vin">{"'Sheet1'!$A$4386:$N$4591"}</definedName>
    <definedName name="viv">#REF!</definedName>
    <definedName name="VR10T">[5]Basicrates!$D$97</definedName>
    <definedName name="vroller" localSheetId="2">#REF!</definedName>
    <definedName name="vroller">#REF!</definedName>
    <definedName name="vroller_24">NA()</definedName>
    <definedName name="vroller_7">NA()</definedName>
    <definedName name="vsa_entry" localSheetId="2">#REF!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2">#REF!</definedName>
    <definedName name="WATER_CHARGES">#REF!</definedName>
    <definedName name="waterproofing" localSheetId="2">[65]Measurment!#REF!</definedName>
    <definedName name="waterproofing">[65]Measurment!#REF!</definedName>
    <definedName name="watertank" localSheetId="2">#REF!</definedName>
    <definedName name="watertank">#REF!</definedName>
    <definedName name="watertanker">#REF!</definedName>
    <definedName name="wbmg1">#REF!</definedName>
    <definedName name="wbmg2">#REF!</definedName>
    <definedName name="wbmg3">#REF!</definedName>
    <definedName name="wbowser" localSheetId="2">[45]Machinery!#REF!</definedName>
    <definedName name="wbowser">[45]Machinery!#REF!</definedName>
    <definedName name="wcon">[76]section!$G$49</definedName>
    <definedName name="wcthd" localSheetId="2">[51]Intro!#REF!</definedName>
    <definedName name="wcthd">[51]Intro!#REF!</definedName>
    <definedName name="we" localSheetId="2">[24]Summary!#REF!</definedName>
    <definedName name="we">[24]Summary!#REF!</definedName>
    <definedName name="wearingcoatdism">[24]Summary!#REF!</definedName>
    <definedName name="wearingcourse" localSheetId="2">#REF!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2">#REF!</definedName>
    <definedName name="WMM">#REF!</definedName>
    <definedName name="WmmLead">#REF!</definedName>
    <definedName name="wmmp">#REF!</definedName>
    <definedName name="wmmp_24">NA()</definedName>
    <definedName name="wmmp_7">NA()</definedName>
    <definedName name="wmmplant" localSheetId="2">#REF!</definedName>
    <definedName name="wmmplant">#REF!</definedName>
    <definedName name="WMP60T">[5]Basicrates!$D$134</definedName>
    <definedName name="WOODWORK" localSheetId="2">'[78]A.O.R.'!#REF!</definedName>
    <definedName name="WOODWORK">'[78]A.O.R.'!#REF!</definedName>
    <definedName name="WPC" localSheetId="2">#REF!</definedName>
    <definedName name="WPC">#REF!</definedName>
    <definedName name="wrn.abc." localSheetId="12" hidden="1">{"Execavation",#N/A,FALSE,"furniture (employer)"}</definedName>
    <definedName name="wrn.abc." localSheetId="14" hidden="1">{"Execavation",#N/A,FALSE,"furniture (employer)"}</definedName>
    <definedName name="wrn.abc." localSheetId="2" hidden="1">{"Execavation",#N/A,FALSE,"furniture (employer)"}</definedName>
    <definedName name="wrn.abc." localSheetId="10" hidden="1">{"Execavation",#N/A,FALSE,"furniture (employer)"}</definedName>
    <definedName name="wrn.abc." localSheetId="11" hidden="1">{"Execavation",#N/A,FALSE,"furniture (employer)"}</definedName>
    <definedName name="wrn.abc." localSheetId="13" hidden="1">{"Execavation",#N/A,FALSE,"furniture (employer)"}</definedName>
    <definedName name="wrn.abc." hidden="1">{"Execavation",#N/A,FALSE,"furniture (employer)"}</definedName>
    <definedName name="WRN.ABL." localSheetId="12" hidden="1">{"Execavation",#N/A,FALSE,"furniture (employer)"}</definedName>
    <definedName name="WRN.ABL." localSheetId="14" hidden="1">{"Execavation",#N/A,FALSE,"furniture (employer)"}</definedName>
    <definedName name="WRN.ABL." localSheetId="2" hidden="1">{"Execavation",#N/A,FALSE,"furniture (employer)"}</definedName>
    <definedName name="WRN.ABL." localSheetId="10" hidden="1">{"Execavation",#N/A,FALSE,"furniture (employer)"}</definedName>
    <definedName name="WRN.ABL." localSheetId="11" hidden="1">{"Execavation",#N/A,FALSE,"furniture (employer)"}</definedName>
    <definedName name="WRN.ABL." localSheetId="13" hidden="1">{"Execavation",#N/A,FALSE,"furniture (employer)"}</definedName>
    <definedName name="WRN.ABL." hidden="1">{"Execavation",#N/A,FALSE,"furniture (employer)"}</definedName>
    <definedName name="wrn.Aging" localSheetId="12" hidden="1">{#N/A,#N/A,FALSE,"Aging Summary";#N/A,#N/A,FALSE,"Ratio Analysis";#N/A,#N/A,FALSE,"Test 120 Day Accts";#N/A,#N/A,FALSE,"Tickmarks"}</definedName>
    <definedName name="wrn.Aging" localSheetId="14" hidden="1">{#N/A,#N/A,FALSE,"Aging Summary";#N/A,#N/A,FALSE,"Ratio Analysis";#N/A,#N/A,FALSE,"Test 120 Day Accts";#N/A,#N/A,FALSE,"Tickmarks"}</definedName>
    <definedName name="wrn.Aging" localSheetId="2" hidden="1">{#N/A,#N/A,FALSE,"Aging Summary";#N/A,#N/A,FALSE,"Ratio Analysis";#N/A,#N/A,FALSE,"Test 120 Day Accts";#N/A,#N/A,FALSE,"Tickmarks"}</definedName>
    <definedName name="wrn.Aging" localSheetId="10" hidden="1">{#N/A,#N/A,FALSE,"Aging Summary";#N/A,#N/A,FALSE,"Ratio Analysis";#N/A,#N/A,FALSE,"Test 120 Day Accts";#N/A,#N/A,FALSE,"Tickmarks"}</definedName>
    <definedName name="wrn.Aging" localSheetId="11" hidden="1">{#N/A,#N/A,FALSE,"Aging Summary";#N/A,#N/A,FALSE,"Ratio Analysis";#N/A,#N/A,FALSE,"Test 120 Day Accts";#N/A,#N/A,FALSE,"Tickmarks"}</definedName>
    <definedName name="wrn.Aging" localSheetId="13"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12" hidden="1">{"form-D1",#N/A,FALSE,"FORM-D1";"form-D1_amt",#N/A,FALSE,"FORM-D1"}</definedName>
    <definedName name="wrn.budget." localSheetId="14" hidden="1">{"form-D1",#N/A,FALSE,"FORM-D1";"form-D1_amt",#N/A,FALSE,"FORM-D1"}</definedName>
    <definedName name="wrn.budget." localSheetId="2" hidden="1">{"form-D1",#N/A,FALSE,"FORM-D1";"form-D1_amt",#N/A,FALSE,"FORM-D1"}</definedName>
    <definedName name="wrn.budget." localSheetId="10" hidden="1">{"form-D1",#N/A,FALSE,"FORM-D1";"form-D1_amt",#N/A,FALSE,"FORM-D1"}</definedName>
    <definedName name="wrn.budget." localSheetId="11" hidden="1">{"form-D1",#N/A,FALSE,"FORM-D1";"form-D1_amt",#N/A,FALSE,"FORM-D1"}</definedName>
    <definedName name="wrn.budget." localSheetId="13" hidden="1">{"form-D1",#N/A,FALSE,"FORM-D1";"form-D1_amt",#N/A,FALSE,"FORM-D1"}</definedName>
    <definedName name="wrn.budget." hidden="1">{"form-D1",#N/A,FALSE,"FORM-D1";"form-D1_amt",#N/A,FALSE,"FORM-D1"}</definedName>
    <definedName name="wrn.DRB._.CLAIMS._.FOR._.BILL._.A3._.SIZ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12" hidden="1">{#N/A,#N/A,FALSE,"Wadhal";#N/A,#N/A,FALSE,"Manglad U-S";#N/A,#N/A,FALSE,"Manglad D-S";#N/A,#N/A,FALSE,"Ratanpur U-S";#N/A,#N/A,FALSE,"Ratanpur D-S";#N/A,#N/A,FALSE,"VI Face"}</definedName>
    <definedName name="wrn.item1." localSheetId="14" hidden="1">{#N/A,#N/A,FALSE,"Wadhal";#N/A,#N/A,FALSE,"Manglad U-S";#N/A,#N/A,FALSE,"Manglad D-S";#N/A,#N/A,FALSE,"Ratanpur U-S";#N/A,#N/A,FALSE,"Ratanpur D-S";#N/A,#N/A,FALSE,"VI Face"}</definedName>
    <definedName name="wrn.item1." localSheetId="2" hidden="1">{#N/A,#N/A,FALSE,"Wadhal";#N/A,#N/A,FALSE,"Manglad U-S";#N/A,#N/A,FALSE,"Manglad D-S";#N/A,#N/A,FALSE,"Ratanpur U-S";#N/A,#N/A,FALSE,"Ratanpur D-S";#N/A,#N/A,FALSE,"VI Face"}</definedName>
    <definedName name="wrn.item1." localSheetId="10" hidden="1">{#N/A,#N/A,FALSE,"Wadhal";#N/A,#N/A,FALSE,"Manglad U-S";#N/A,#N/A,FALSE,"Manglad D-S";#N/A,#N/A,FALSE,"Ratanpur U-S";#N/A,#N/A,FALSE,"Ratanpur D-S";#N/A,#N/A,FALSE,"VI Face"}</definedName>
    <definedName name="wrn.item1." localSheetId="11" hidden="1">{#N/A,#N/A,FALSE,"Wadhal";#N/A,#N/A,FALSE,"Manglad U-S";#N/A,#N/A,FALSE,"Manglad D-S";#N/A,#N/A,FALSE,"Ratanpur U-S";#N/A,#N/A,FALSE,"Ratanpur D-S";#N/A,#N/A,FALSE,"VI Face"}</definedName>
    <definedName name="wrn.item1." localSheetId="13"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12" hidden="1">{#N/A,#N/A,FALSE,"Part ABC"}</definedName>
    <definedName name="wrn.Tier._.I." localSheetId="14" hidden="1">{#N/A,#N/A,FALSE,"Part ABC"}</definedName>
    <definedName name="wrn.Tier._.I." localSheetId="2" hidden="1">{#N/A,#N/A,FALSE,"Part ABC"}</definedName>
    <definedName name="wrn.Tier._.I." localSheetId="10" hidden="1">{#N/A,#N/A,FALSE,"Part ABC"}</definedName>
    <definedName name="wrn.Tier._.I." localSheetId="11" hidden="1">{#N/A,#N/A,FALSE,"Part ABC"}</definedName>
    <definedName name="wrn.Tier._.I." localSheetId="13" hidden="1">{#N/A,#N/A,FALSE,"Part ABC"}</definedName>
    <definedName name="wrn.Tier._.I." hidden="1">{#N/A,#N/A,FALSE,"Part ABC"}</definedName>
    <definedName name="wsegment">[76]section!$N$20</definedName>
    <definedName name="wsoffit">[76]section!$G$39</definedName>
    <definedName name="Wtan1">[5]Basicrates!$D$96</definedName>
    <definedName name="wtanker" localSheetId="2">#REF!</definedName>
    <definedName name="wtanker">#REF!</definedName>
    <definedName name="wtanker_24">NA()</definedName>
    <definedName name="wtanker_7">NA()</definedName>
    <definedName name="wtd_avg_shares" localSheetId="2">#REF!</definedName>
    <definedName name="wtd_avg_shares">#REF!</definedName>
    <definedName name="wtfnd">#REF!</definedName>
    <definedName name="wtpr">#REF!</definedName>
    <definedName name="wtprca">#REF!</definedName>
    <definedName name="wtsbfd">#REF!</definedName>
    <definedName name="wtsub">#REF!</definedName>
    <definedName name="ww" localSheetId="2" hidden="1">'[158]O Equip.'!#REF!</definedName>
    <definedName name="ww" hidden="1">'[158]O Equip.'!#REF!</definedName>
    <definedName name="x" localSheetId="2">[25]Summary!#REF!</definedName>
    <definedName name="x">[25]Summary!#REF!</definedName>
    <definedName name="x_dataentry">[159]Instructions!#REF!</definedName>
    <definedName name="X_DESCUENTO">[88]HOJA!#REF!</definedName>
    <definedName name="XCtblkcntbdl" localSheetId="2">#REF!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2" hidden="1">[161]blockwise!#REF!</definedName>
    <definedName name="XREF_COLUMN_1" hidden="1">[161]blockwise!#REF!</definedName>
    <definedName name="XREF_COLUMN_10" localSheetId="2"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2" hidden="1">#REF!</definedName>
    <definedName name="XREF_COLUMN_2" hidden="1">#REF!</definedName>
    <definedName name="XREF_COLUMN_20" localSheetId="2" hidden="1">'[164]Leasehold mprovements'!#REF!</definedName>
    <definedName name="XREF_COLUMN_20" hidden="1">'[164]Leasehold mprovements'!#REF!</definedName>
    <definedName name="XREF_COLUMN_21" localSheetId="2"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2" hidden="1">#REF!</definedName>
    <definedName name="XREF_COLUMN_32" hidden="1">#REF!</definedName>
    <definedName name="XREF_COLUMN_33" hidden="1">#REF!</definedName>
    <definedName name="XREF_COLUMN_4" hidden="1">#REF!</definedName>
    <definedName name="XREF_COLUMN_40" localSheetId="2" hidden="1">[163]TopSheet!#REF!</definedName>
    <definedName name="XREF_COLUMN_40" hidden="1">[163]TopSheet!#REF!</definedName>
    <definedName name="XREF_COLUMN_5" localSheetId="2" hidden="1">#REF!</definedName>
    <definedName name="XREF_COLUMN_5" hidden="1">#REF!</definedName>
    <definedName name="XREF_COLUMN_6" localSheetId="2" hidden="1">'[158]O Equip.'!#REF!</definedName>
    <definedName name="XREF_COLUMN_6" hidden="1">'[158]O Equip.'!#REF!</definedName>
    <definedName name="XREF_COLUMN_60" localSheetId="2" hidden="1">#REF!</definedName>
    <definedName name="XREF_COLUMN_60" hidden="1">#REF!</definedName>
    <definedName name="XREF_COLUMN_65" hidden="1">#REF!</definedName>
    <definedName name="XREF_COLUMN_7" localSheetId="2" hidden="1">'[158]O Equip.'!#REF!</definedName>
    <definedName name="XREF_COLUMN_7" hidden="1">'[158]O Equip.'!#REF!</definedName>
    <definedName name="XREF_COLUMN_8" localSheetId="2" hidden="1">'[158]O Equip.'!#REF!</definedName>
    <definedName name="XREF_COLUMN_8" hidden="1">'[158]O Equip.'!#REF!</definedName>
    <definedName name="XREF_COLUMN_88" localSheetId="2" hidden="1">#REF!</definedName>
    <definedName name="XREF_COLUMN_88" hidden="1">#REF!</definedName>
    <definedName name="XREF_COLUMN_9" localSheetId="2" hidden="1">'[158]O Equip.'!#REF!</definedName>
    <definedName name="XREF_COLUMN_9" hidden="1">'[158]O Equip.'!#REF!</definedName>
    <definedName name="XREF11" localSheetId="2"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2" hidden="1">[166]ANNE2!#REF!</definedName>
    <definedName name="XREF21" hidden="1">[166]ANNE2!#REF!</definedName>
    <definedName name="XRefActiveRow" localSheetId="2" hidden="1">#REF!</definedName>
    <definedName name="XRefActiveRow" hidden="1">#REF!</definedName>
    <definedName name="XRefColumnsCount">4</definedName>
    <definedName name="XRefCopy1" localSheetId="2"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2" hidden="1">#REF!</definedName>
    <definedName name="XRefCopy101Row" hidden="1">#REF!</definedName>
    <definedName name="XRefCopy102" localSheetId="2" hidden="1">[163]TopSheet!#REF!</definedName>
    <definedName name="XRefCopy102" hidden="1">[163]TopSheet!#REF!</definedName>
    <definedName name="XRefCopy102Row" localSheetId="2" hidden="1">#REF!</definedName>
    <definedName name="XRefCopy102Row" hidden="1">#REF!</definedName>
    <definedName name="XRefCopy103" localSheetId="2" hidden="1">[163]TopSheet!#REF!</definedName>
    <definedName name="XRefCopy103" hidden="1">[163]TopSheet!#REF!</definedName>
    <definedName name="XRefCopy103Row" localSheetId="2" hidden="1">#REF!</definedName>
    <definedName name="XRefCopy103Row" hidden="1">#REF!</definedName>
    <definedName name="XRefCopy104" localSheetId="2" hidden="1">[163]TopSheet!#REF!</definedName>
    <definedName name="XRefCopy104" hidden="1">[163]TopSheet!#REF!</definedName>
    <definedName name="XRefCopy104Row" localSheetId="2" hidden="1">#REF!</definedName>
    <definedName name="XRefCopy104Row" hidden="1">#REF!</definedName>
    <definedName name="XRefCopy105" localSheetId="2" hidden="1">[163]TopSheet!#REF!</definedName>
    <definedName name="XRefCopy105" hidden="1">[163]TopSheet!#REF!</definedName>
    <definedName name="XRefCopy105Row" localSheetId="2" hidden="1">#REF!</definedName>
    <definedName name="XRefCopy105Row" hidden="1">#REF!</definedName>
    <definedName name="XRefCopy106" localSheetId="2" hidden="1">[163]TopSheet!#REF!</definedName>
    <definedName name="XRefCopy106" hidden="1">[163]TopSheet!#REF!</definedName>
    <definedName name="XRefCopy106Row" localSheetId="2" hidden="1">#REF!</definedName>
    <definedName name="XRefCopy106Row" hidden="1">#REF!</definedName>
    <definedName name="XRefCopy107" localSheetId="2" hidden="1">[163]TopSheet!#REF!</definedName>
    <definedName name="XRefCopy107" hidden="1">[163]TopSheet!#REF!</definedName>
    <definedName name="XRefCopy107Row" localSheetId="2" hidden="1">#REF!</definedName>
    <definedName name="XRefCopy107Row" hidden="1">#REF!</definedName>
    <definedName name="XRefCopy108" localSheetId="2" hidden="1">[163]TopSheet!#REF!</definedName>
    <definedName name="XRefCopy108" hidden="1">[163]TopSheet!#REF!</definedName>
    <definedName name="XRefCopy108Row" localSheetId="2" hidden="1">#REF!</definedName>
    <definedName name="XRefCopy108Row" hidden="1">#REF!</definedName>
    <definedName name="XRefCopy109" localSheetId="2" hidden="1">[163]TopSheet!#REF!</definedName>
    <definedName name="XRefCopy109" hidden="1">[163]TopSheet!#REF!</definedName>
    <definedName name="XRefCopy109Row" localSheetId="2" hidden="1">#REF!</definedName>
    <definedName name="XRefCopy109Row" hidden="1">#REF!</definedName>
    <definedName name="XRefCopy10Row" hidden="1">#REF!</definedName>
    <definedName name="XRefCopy11" hidden="1">#REF!</definedName>
    <definedName name="XRefCopy110" localSheetId="2" hidden="1">[163]TopSheet!#REF!</definedName>
    <definedName name="XRefCopy110" hidden="1">[163]TopSheet!#REF!</definedName>
    <definedName name="XRefCopy110Row" localSheetId="2" hidden="1">#REF!</definedName>
    <definedName name="XRefCopy110Row" hidden="1">#REF!</definedName>
    <definedName name="XRefCopy111" localSheetId="2" hidden="1">[163]TopSheet!#REF!</definedName>
    <definedName name="XRefCopy111" hidden="1">[163]TopSheet!#REF!</definedName>
    <definedName name="XRefCopy111Row" localSheetId="2" hidden="1">#REF!</definedName>
    <definedName name="XRefCopy111Row" hidden="1">#REF!</definedName>
    <definedName name="XRefCopy112" localSheetId="2" hidden="1">[163]TopSheet!#REF!</definedName>
    <definedName name="XRefCopy112" hidden="1">[163]TopSheet!#REF!</definedName>
    <definedName name="XRefCopy112Row" localSheetId="2" hidden="1">#REF!</definedName>
    <definedName name="XRefCopy112Row" hidden="1">#REF!</definedName>
    <definedName name="XRefCopy113" localSheetId="2" hidden="1">[163]TopSheet!#REF!</definedName>
    <definedName name="XRefCopy113" hidden="1">[163]TopSheet!#REF!</definedName>
    <definedName name="XRefCopy113Row" localSheetId="2" hidden="1">#REF!</definedName>
    <definedName name="XRefCopy113Row" hidden="1">#REF!</definedName>
    <definedName name="XRefCopy114" localSheetId="2" hidden="1">[163]TopSheet!#REF!</definedName>
    <definedName name="XRefCopy114" hidden="1">[163]TopSheet!#REF!</definedName>
    <definedName name="XRefCopy114Row" localSheetId="2" hidden="1">#REF!</definedName>
    <definedName name="XRefCopy114Row" hidden="1">#REF!</definedName>
    <definedName name="XRefCopy115" localSheetId="2" hidden="1">[163]TopSheet!#REF!</definedName>
    <definedName name="XRefCopy115" hidden="1">[163]TopSheet!#REF!</definedName>
    <definedName name="XRefCopy115Row" localSheetId="2" hidden="1">#REF!</definedName>
    <definedName name="XRefCopy115Row" hidden="1">#REF!</definedName>
    <definedName name="XRefCopy116" localSheetId="2" hidden="1">[163]TopSheet!#REF!</definedName>
    <definedName name="XRefCopy116" hidden="1">[163]TopSheet!#REF!</definedName>
    <definedName name="XRefCopy116Row" localSheetId="2" hidden="1">#REF!</definedName>
    <definedName name="XRefCopy116Row" hidden="1">#REF!</definedName>
    <definedName name="XRefCopy117" localSheetId="2" hidden="1">[163]TopSheet!#REF!</definedName>
    <definedName name="XRefCopy117" hidden="1">[163]TopSheet!#REF!</definedName>
    <definedName name="XRefCopy117Row" localSheetId="2" hidden="1">#REF!</definedName>
    <definedName name="XRefCopy117Row" hidden="1">#REF!</definedName>
    <definedName name="XRefCopy118" localSheetId="2" hidden="1">[163]TopSheet!#REF!</definedName>
    <definedName name="XRefCopy118" hidden="1">[163]TopSheet!#REF!</definedName>
    <definedName name="XRefCopy118Row" localSheetId="2"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2" hidden="1">[167]XREF!#REF!</definedName>
    <definedName name="XRefCopy120Row" hidden="1">[167]XREF!#REF!</definedName>
    <definedName name="XRefCopy121" localSheetId="2"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2" hidden="1">[167]XREF!#REF!</definedName>
    <definedName name="XRefCopy126Row" hidden="1">[167]XREF!#REF!</definedName>
    <definedName name="XRefCopy127" localSheetId="2"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2" hidden="1">'[168]Sept 06'!#REF!</definedName>
    <definedName name="XRefCopy151" hidden="1">'[168]Sept 06'!#REF!</definedName>
    <definedName name="XRefCopy151Row" localSheetId="2" hidden="1">#REF!</definedName>
    <definedName name="XRefCopy151Row" hidden="1">#REF!</definedName>
    <definedName name="XRefCopy152" localSheetId="2" hidden="1">'[168]Sept 06'!#REF!</definedName>
    <definedName name="XRefCopy152" hidden="1">'[168]Sept 06'!#REF!</definedName>
    <definedName name="XRefCopy152Row" localSheetId="2" hidden="1">#REF!</definedName>
    <definedName name="XRefCopy152Row" hidden="1">#REF!</definedName>
    <definedName name="XRefCopy153" localSheetId="2" hidden="1">'[168]Sept 06'!#REF!</definedName>
    <definedName name="XRefCopy153" hidden="1">'[168]Sept 06'!#REF!</definedName>
    <definedName name="XRefCopy153Row" localSheetId="2" hidden="1">#REF!</definedName>
    <definedName name="XRefCopy153Row" hidden="1">#REF!</definedName>
    <definedName name="XRefCopy154" localSheetId="2" hidden="1">'[168]Sept 06'!#REF!</definedName>
    <definedName name="XRefCopy154" hidden="1">'[168]Sept 06'!#REF!</definedName>
    <definedName name="XRefCopy154Row" localSheetId="2" hidden="1">#REF!</definedName>
    <definedName name="XRefCopy154Row" hidden="1">#REF!</definedName>
    <definedName name="XRefCopy155" localSheetId="2" hidden="1">'[168]Sept 06'!#REF!</definedName>
    <definedName name="XRefCopy155" hidden="1">'[168]Sept 06'!#REF!</definedName>
    <definedName name="XRefCopy155Row" localSheetId="2" hidden="1">#REF!</definedName>
    <definedName name="XRefCopy155Row" hidden="1">#REF!</definedName>
    <definedName name="XRefCopy156" localSheetId="2" hidden="1">'[168]Sept 06'!#REF!</definedName>
    <definedName name="XRefCopy156" hidden="1">'[168]Sept 06'!#REF!</definedName>
    <definedName name="XRefCopy156Row" localSheetId="2" hidden="1">#REF!</definedName>
    <definedName name="XRefCopy156Row" hidden="1">#REF!</definedName>
    <definedName name="XRefCopy157" localSheetId="2" hidden="1">'[168]Sept 06'!#REF!</definedName>
    <definedName name="XRefCopy157" hidden="1">'[168]Sept 06'!#REF!</definedName>
    <definedName name="XRefCopy157Row" localSheetId="2" hidden="1">#REF!</definedName>
    <definedName name="XRefCopy157Row" hidden="1">#REF!</definedName>
    <definedName name="XRefCopy158" localSheetId="2" hidden="1">'[168]Sept 06'!#REF!</definedName>
    <definedName name="XRefCopy158" hidden="1">'[168]Sept 06'!#REF!</definedName>
    <definedName name="XRefCopy158Row" localSheetId="2" hidden="1">#REF!</definedName>
    <definedName name="XRefCopy158Row" hidden="1">#REF!</definedName>
    <definedName name="XRefCopy159" localSheetId="2" hidden="1">'[168]Sept 06'!#REF!</definedName>
    <definedName name="XRefCopy159" hidden="1">'[168]Sept 06'!#REF!</definedName>
    <definedName name="XRefCopy159Row" localSheetId="2" hidden="1">#REF!</definedName>
    <definedName name="XRefCopy159Row" hidden="1">#REF!</definedName>
    <definedName name="XRefCopy15Row" hidden="1">#REF!</definedName>
    <definedName name="XRefCopy16" hidden="1">#REF!</definedName>
    <definedName name="XRefCopy160" localSheetId="2" hidden="1">'[168]Sept 06'!#REF!</definedName>
    <definedName name="XRefCopy160" hidden="1">'[168]Sept 06'!#REF!</definedName>
    <definedName name="XRefCopy160Row" localSheetId="2" hidden="1">#REF!</definedName>
    <definedName name="XRefCopy160Row" hidden="1">#REF!</definedName>
    <definedName name="XRefCopy161" localSheetId="2" hidden="1">'[168]Sept 06'!#REF!</definedName>
    <definedName name="XRefCopy161" hidden="1">'[168]Sept 06'!#REF!</definedName>
    <definedName name="XRefCopy161Row" localSheetId="2" hidden="1">#REF!</definedName>
    <definedName name="XRefCopy161Row" hidden="1">#REF!</definedName>
    <definedName name="XRefCopy162" localSheetId="2" hidden="1">'[168]Sept 06'!#REF!</definedName>
    <definedName name="XRefCopy162" hidden="1">'[168]Sept 06'!#REF!</definedName>
    <definedName name="XRefCopy162Row" localSheetId="2" hidden="1">#REF!</definedName>
    <definedName name="XRefCopy162Row" hidden="1">#REF!</definedName>
    <definedName name="XRefCopy163" localSheetId="2" hidden="1">'[168]Sept 06'!#REF!</definedName>
    <definedName name="XRefCopy163" hidden="1">'[168]Sept 06'!#REF!</definedName>
    <definedName name="XRefCopy163Row" localSheetId="2" hidden="1">#REF!</definedName>
    <definedName name="XRefCopy163Row" hidden="1">#REF!</definedName>
    <definedName name="XRefCopy164" localSheetId="2" hidden="1">'[168]Sept 06'!#REF!</definedName>
    <definedName name="XRefCopy164" hidden="1">'[168]Sept 06'!#REF!</definedName>
    <definedName name="XRefCopy164Row" localSheetId="2" hidden="1">#REF!</definedName>
    <definedName name="XRefCopy164Row" hidden="1">#REF!</definedName>
    <definedName name="XRefCopy165" localSheetId="2" hidden="1">'[168]Sept 06'!#REF!</definedName>
    <definedName name="XRefCopy165" hidden="1">'[168]Sept 06'!#REF!</definedName>
    <definedName name="XRefCopy165Row" localSheetId="2" hidden="1">#REF!</definedName>
    <definedName name="XRefCopy165Row" hidden="1">#REF!</definedName>
    <definedName name="XRefCopy166" localSheetId="2" hidden="1">'[168]Sept 06'!#REF!</definedName>
    <definedName name="XRefCopy166" hidden="1">'[168]Sept 06'!#REF!</definedName>
    <definedName name="XRefCopy166Row" localSheetId="2" hidden="1">#REF!</definedName>
    <definedName name="XRefCopy166Row" hidden="1">#REF!</definedName>
    <definedName name="XRefCopy167" localSheetId="2" hidden="1">'[168]Sept 06'!#REF!</definedName>
    <definedName name="XRefCopy167" hidden="1">'[168]Sept 06'!#REF!</definedName>
    <definedName name="XRefCopy167Row" localSheetId="2" hidden="1">#REF!</definedName>
    <definedName name="XRefCopy167Row" hidden="1">#REF!</definedName>
    <definedName name="XRefCopy168" localSheetId="2" hidden="1">'[168]Sept 06'!#REF!</definedName>
    <definedName name="XRefCopy168" hidden="1">'[168]Sept 06'!#REF!</definedName>
    <definedName name="XRefCopy168Row" localSheetId="2" hidden="1">#REF!</definedName>
    <definedName name="XRefCopy168Row" hidden="1">#REF!</definedName>
    <definedName name="XRefCopy169" localSheetId="2" hidden="1">'[168]Sept 06'!#REF!</definedName>
    <definedName name="XRefCopy169" hidden="1">'[168]Sept 06'!#REF!</definedName>
    <definedName name="XRefCopy169Row" localSheetId="2" hidden="1">#REF!</definedName>
    <definedName name="XRefCopy169Row" hidden="1">#REF!</definedName>
    <definedName name="XRefCopy16Row" hidden="1">#REF!</definedName>
    <definedName name="XRefCopy17" hidden="1">#REF!</definedName>
    <definedName name="XRefCopy170" localSheetId="2" hidden="1">'[168]Sept 06'!#REF!</definedName>
    <definedName name="XRefCopy170" hidden="1">'[168]Sept 06'!#REF!</definedName>
    <definedName name="XRefCopy170Row" localSheetId="2" hidden="1">#REF!</definedName>
    <definedName name="XRefCopy170Row" hidden="1">#REF!</definedName>
    <definedName name="XRefCopy171" localSheetId="2" hidden="1">'[168]Sept 06'!#REF!</definedName>
    <definedName name="XRefCopy171" hidden="1">'[168]Sept 06'!#REF!</definedName>
    <definedName name="XRefCopy171Row" localSheetId="2" hidden="1">#REF!</definedName>
    <definedName name="XRefCopy171Row" hidden="1">#REF!</definedName>
    <definedName name="XRefCopy172" localSheetId="2" hidden="1">'[168]Sept 06'!#REF!</definedName>
    <definedName name="XRefCopy172" hidden="1">'[168]Sept 06'!#REF!</definedName>
    <definedName name="XRefCopy172Row" localSheetId="2" hidden="1">#REF!</definedName>
    <definedName name="XRefCopy172Row" hidden="1">#REF!</definedName>
    <definedName name="XRefCopy173" localSheetId="2" hidden="1">'[168]Sept 06'!#REF!</definedName>
    <definedName name="XRefCopy173" hidden="1">'[168]Sept 06'!#REF!</definedName>
    <definedName name="XRefCopy173Row" localSheetId="2" hidden="1">#REF!</definedName>
    <definedName name="XRefCopy173Row" hidden="1">#REF!</definedName>
    <definedName name="XRefCopy174" localSheetId="2" hidden="1">'[168]Sept 06'!#REF!</definedName>
    <definedName name="XRefCopy174" hidden="1">'[168]Sept 06'!#REF!</definedName>
    <definedName name="XRefCopy174Row" localSheetId="2" hidden="1">#REF!</definedName>
    <definedName name="XRefCopy174Row" hidden="1">#REF!</definedName>
    <definedName name="XRefCopy175" localSheetId="2" hidden="1">'[168]Sept 06'!#REF!</definedName>
    <definedName name="XRefCopy175" hidden="1">'[168]Sept 06'!#REF!</definedName>
    <definedName name="XRefCopy175Row" localSheetId="2" hidden="1">#REF!</definedName>
    <definedName name="XRefCopy175Row" hidden="1">#REF!</definedName>
    <definedName name="XRefCopy176" localSheetId="2" hidden="1">'[168]Sept 06'!#REF!</definedName>
    <definedName name="XRefCopy176" hidden="1">'[168]Sept 06'!#REF!</definedName>
    <definedName name="XRefCopy176Row" localSheetId="2" hidden="1">#REF!</definedName>
    <definedName name="XRefCopy176Row" hidden="1">#REF!</definedName>
    <definedName name="XRefCopy177" localSheetId="2" hidden="1">'[168]Sept 06'!#REF!</definedName>
    <definedName name="XRefCopy177" hidden="1">'[168]Sept 06'!#REF!</definedName>
    <definedName name="XRefCopy177Row" localSheetId="2" hidden="1">#REF!</definedName>
    <definedName name="XRefCopy177Row" hidden="1">#REF!</definedName>
    <definedName name="XRefCopy178" localSheetId="2" hidden="1">'[168]Sept 06'!#REF!</definedName>
    <definedName name="XRefCopy178" hidden="1">'[168]Sept 06'!#REF!</definedName>
    <definedName name="XRefCopy178Row" localSheetId="2" hidden="1">#REF!</definedName>
    <definedName name="XRefCopy178Row" hidden="1">#REF!</definedName>
    <definedName name="XRefCopy179" localSheetId="2" hidden="1">'[168]Sept 06'!#REF!</definedName>
    <definedName name="XRefCopy179" hidden="1">'[168]Sept 06'!#REF!</definedName>
    <definedName name="XRefCopy179Row" localSheetId="2" hidden="1">#REF!</definedName>
    <definedName name="XRefCopy179Row" hidden="1">#REF!</definedName>
    <definedName name="XRefCopy17Row" hidden="1">#REF!</definedName>
    <definedName name="XRefCopy18" hidden="1">#REF!</definedName>
    <definedName name="XRefCopy180" localSheetId="2" hidden="1">'[168]Sept 06'!#REF!</definedName>
    <definedName name="XRefCopy180" hidden="1">'[168]Sept 06'!#REF!</definedName>
    <definedName name="XRefCopy180Row" localSheetId="2" hidden="1">#REF!</definedName>
    <definedName name="XRefCopy180Row" hidden="1">#REF!</definedName>
    <definedName name="XRefCopy181" localSheetId="2" hidden="1">'[168]Sept 06'!#REF!</definedName>
    <definedName name="XRefCopy181" hidden="1">'[168]Sept 06'!#REF!</definedName>
    <definedName name="XRefCopy181Row" localSheetId="2" hidden="1">#REF!</definedName>
    <definedName name="XRefCopy181Row" hidden="1">#REF!</definedName>
    <definedName name="XRefCopy182" localSheetId="2" hidden="1">'[168]Sept 06'!#REF!</definedName>
    <definedName name="XRefCopy182" hidden="1">'[168]Sept 06'!#REF!</definedName>
    <definedName name="XRefCopy182Row" localSheetId="2" hidden="1">#REF!</definedName>
    <definedName name="XRefCopy182Row" hidden="1">#REF!</definedName>
    <definedName name="XRefCopy183" localSheetId="2" hidden="1">'[168]Sept 06'!#REF!</definedName>
    <definedName name="XRefCopy183" hidden="1">'[168]Sept 06'!#REF!</definedName>
    <definedName name="XRefCopy183Row" localSheetId="2" hidden="1">#REF!</definedName>
    <definedName name="XRefCopy183Row" hidden="1">#REF!</definedName>
    <definedName name="XRefCopy184" localSheetId="2" hidden="1">'[168]Sept 06'!#REF!</definedName>
    <definedName name="XRefCopy184" hidden="1">'[168]Sept 06'!#REF!</definedName>
    <definedName name="XRefCopy184Row" localSheetId="2" hidden="1">#REF!</definedName>
    <definedName name="XRefCopy184Row" hidden="1">#REF!</definedName>
    <definedName name="XRefCopy185" localSheetId="2" hidden="1">'[168]Sept 06'!#REF!</definedName>
    <definedName name="XRefCopy185" hidden="1">'[168]Sept 06'!#REF!</definedName>
    <definedName name="XRefCopy185Row" localSheetId="2"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2" hidden="1">[161]blockwise!#REF!</definedName>
    <definedName name="XRefCopy2" hidden="1">[161]blockwise!#REF!</definedName>
    <definedName name="XRefCopy20" localSheetId="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2" hidden="1">[161]blockwise!#REF!</definedName>
    <definedName name="XRefCopy3" hidden="1">[161]blockwise!#REF!</definedName>
    <definedName name="XRefCopy30" localSheetId="2"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2" hidden="1">[169]XREF!#REF!</definedName>
    <definedName name="XRefCopy33Row" hidden="1">[169]XREF!#REF!</definedName>
    <definedName name="XRefCopy34" localSheetId="2" hidden="1">'[164]Leasehold mprovements'!#REF!</definedName>
    <definedName name="XRefCopy34" hidden="1">'[164]Leasehold mprovements'!#REF!</definedName>
    <definedName name="XRefCopy34Row" localSheetId="2"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2" hidden="1">[161]blockwise!#REF!</definedName>
    <definedName name="XRefCopy4" hidden="1">[161]blockwise!#REF!</definedName>
    <definedName name="XRefCopy40" localSheetId="2"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2" hidden="1">[170]XREF!#REF!</definedName>
    <definedName name="XRefCopy43Row" hidden="1">[170]XREF!#REF!</definedName>
    <definedName name="XRefCopy44" localSheetId="2"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2" hidden="1">[161]blockwise!#REF!</definedName>
    <definedName name="XRefCopy5" hidden="1">[161]blockwise!#REF!</definedName>
    <definedName name="XRefCopy50" localSheetId="2" hidden="1">#REF!</definedName>
    <definedName name="XRefCopy50" hidden="1">#REF!</definedName>
    <definedName name="XRefCopy50Row" hidden="1">#REF!</definedName>
    <definedName name="XRefCopy51" hidden="1">#REF!</definedName>
    <definedName name="XRefCopy51Row" localSheetId="2" hidden="1">[171]XREF!#REF!</definedName>
    <definedName name="XRefCopy51Row" hidden="1">[171]XREF!#REF!</definedName>
    <definedName name="XRefCopy52" localSheetId="2" hidden="1">#REF!</definedName>
    <definedName name="XRefCopy52" hidden="1">#REF!</definedName>
    <definedName name="XRefCopy52Row" hidden="1">#REF!</definedName>
    <definedName name="XRefCopy53" hidden="1">#REF!</definedName>
    <definedName name="XRefCopy53Row" localSheetId="2" hidden="1">[171]XREF!#REF!</definedName>
    <definedName name="XRefCopy53Row" hidden="1">[171]XREF!#REF!</definedName>
    <definedName name="XRefCopy54" localSheetId="2" hidden="1">#REF!</definedName>
    <definedName name="XRefCopy54" hidden="1">#REF!</definedName>
    <definedName name="XRefCopy54Row" hidden="1">#REF!</definedName>
    <definedName name="XRefCopy55" hidden="1">#REF!</definedName>
    <definedName name="XRefCopy55Row" localSheetId="2" hidden="1">[171]XREF!#REF!</definedName>
    <definedName name="XRefCopy55Row" hidden="1">[171]XREF!#REF!</definedName>
    <definedName name="XRefCopy56" localSheetId="2"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2" hidden="1">[161]blockwise!#REF!</definedName>
    <definedName name="XRefCopy6" hidden="1">[161]blockwise!#REF!</definedName>
    <definedName name="XRefCopy60" localSheetId="2"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2" hidden="1">[161]blockwise!#REF!</definedName>
    <definedName name="XRefCopy7" hidden="1">[161]blockwise!#REF!</definedName>
    <definedName name="XRefCopy70" localSheetId="2"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2" hidden="1">#REF!</definedName>
    <definedName name="XRefCopy74" hidden="1">#REF!</definedName>
    <definedName name="XRefCopy74Row" hidden="1">#REF!</definedName>
    <definedName name="XRefCopy75" hidden="1">#REF!</definedName>
    <definedName name="XRefCopy75Row" hidden="1">#REF!</definedName>
    <definedName name="XRefCopy76" localSheetId="2" hidden="1">'[164]Leasehold mprovements'!#REF!</definedName>
    <definedName name="XRefCopy76" hidden="1">'[164]Leasehold mprovements'!#REF!</definedName>
    <definedName name="XRefCopy76Row" localSheetId="2" hidden="1">[164]XREF!#REF!</definedName>
    <definedName name="XRefCopy76Row" hidden="1">[164]XREF!#REF!</definedName>
    <definedName name="XRefCopy77" hidden="1">[163]TopSheet!#REF!</definedName>
    <definedName name="XRefCopy77Row" localSheetId="2" hidden="1">#REF!</definedName>
    <definedName name="XRefCopy77Row" hidden="1">#REF!</definedName>
    <definedName name="XRefCopy78" localSheetId="2" hidden="1">[163]TopSheet!#REF!</definedName>
    <definedName name="XRefCopy78" hidden="1">[163]TopSheet!#REF!</definedName>
    <definedName name="XRefCopy78Row" localSheetId="2" hidden="1">#REF!</definedName>
    <definedName name="XRefCopy78Row" hidden="1">#REF!</definedName>
    <definedName name="XRefCopy79" localSheetId="2" hidden="1">[163]TopSheet!#REF!</definedName>
    <definedName name="XRefCopy79" hidden="1">[163]TopSheet!#REF!</definedName>
    <definedName name="XRefCopy79Row" localSheetId="2" hidden="1">#REF!</definedName>
    <definedName name="XRefCopy79Row" hidden="1">#REF!</definedName>
    <definedName name="XRefCopy7Row" hidden="1">#REF!</definedName>
    <definedName name="XRefCopy8" localSheetId="2" hidden="1">[161]blockwise!#REF!</definedName>
    <definedName name="XRefCopy8" hidden="1">[161]blockwise!#REF!</definedName>
    <definedName name="XRefCopy80" localSheetId="2"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2"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2" hidden="1">[171]XREF!#REF!</definedName>
    <definedName name="XRefCopy86Row" hidden="1">[171]XREF!#REF!</definedName>
    <definedName name="XRefCopy87" localSheetId="2" hidden="1">#REF!</definedName>
    <definedName name="XRefCopy87" hidden="1">#REF!</definedName>
    <definedName name="XRefCopy87Row" localSheetId="2" hidden="1">[171]XREF!#REF!</definedName>
    <definedName name="XRefCopy87Row" hidden="1">[171]XREF!#REF!</definedName>
    <definedName name="XRefCopy88" localSheetId="2"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2" hidden="1">[161]blockwise!#REF!</definedName>
    <definedName name="XRefCopy9" hidden="1">[161]blockwise!#REF!</definedName>
    <definedName name="XRefCopy90" localSheetId="2" hidden="1">[163]TopSheet!#REF!</definedName>
    <definedName name="XRefCopy90" hidden="1">[163]TopSheet!#REF!</definedName>
    <definedName name="XRefCopy90Row" hidden="1">[171]XREF!#REF!</definedName>
    <definedName name="XRefCopy91" hidden="1">[163]TopSheet!#REF!</definedName>
    <definedName name="XRefCopy91Row" localSheetId="2" hidden="1">#REF!</definedName>
    <definedName name="XRefCopy91Row" hidden="1">#REF!</definedName>
    <definedName name="XRefCopy92" localSheetId="2"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2" hidden="1">#REF!</definedName>
    <definedName name="XRefCopy9Row" hidden="1">#REF!</definedName>
    <definedName name="XRefCopyRangeCount">2</definedName>
    <definedName name="XRefPaste1" localSheetId="2" hidden="1">[161]blockwise!#REF!</definedName>
    <definedName name="XRefPaste1" hidden="1">[161]blockwise!#REF!</definedName>
    <definedName name="XRefPaste10" localSheetId="2" hidden="1">[158]DPE!#REF!</definedName>
    <definedName name="XRefPaste10" hidden="1">[158]DPE!#REF!</definedName>
    <definedName name="XRefPaste100" localSheetId="2" hidden="1">#REF!</definedName>
    <definedName name="XRefPaste100" hidden="1">#REF!</definedName>
    <definedName name="XRefPaste100Row" hidden="1">[172]XREF!$A$106:$IV$106</definedName>
    <definedName name="XRefPaste101" localSheetId="2" hidden="1">#REF!</definedName>
    <definedName name="XRefPaste101" hidden="1">#REF!</definedName>
    <definedName name="XRefPaste101Row" hidden="1">[172]XREF!$A$110:$IV$110</definedName>
    <definedName name="XRefPaste102" localSheetId="2" hidden="1">#REF!</definedName>
    <definedName name="XRefPaste102" hidden="1">#REF!</definedName>
    <definedName name="XRefPaste102Row" hidden="1">[172]XREF!$A$114:$IV$114</definedName>
    <definedName name="XRefPaste103" localSheetId="2" hidden="1">#REF!</definedName>
    <definedName name="XRefPaste103" hidden="1">#REF!</definedName>
    <definedName name="XRefPaste103Row" hidden="1">[172]XREF!$A$116:$IV$116</definedName>
    <definedName name="XRefPaste104" localSheetId="2" hidden="1">#REF!</definedName>
    <definedName name="XRefPaste104" hidden="1">#REF!</definedName>
    <definedName name="XRefPaste104Row" hidden="1">[172]XREF!$A$119:$IV$119</definedName>
    <definedName name="XRefPaste105" localSheetId="2" hidden="1">#REF!</definedName>
    <definedName name="XRefPaste105" hidden="1">#REF!</definedName>
    <definedName name="XRefPaste105Row" hidden="1">[172]XREF!$A$122:$IV$122</definedName>
    <definedName name="XRefPaste106" localSheetId="2" hidden="1">#REF!</definedName>
    <definedName name="XRefPaste106" hidden="1">#REF!</definedName>
    <definedName name="XRefPaste106Row" hidden="1">[172]XREF!$A$123:$IV$123</definedName>
    <definedName name="XRefPaste107" localSheetId="2" hidden="1">#REF!</definedName>
    <definedName name="XRefPaste107" hidden="1">#REF!</definedName>
    <definedName name="XRefPaste107Row" hidden="1">[172]XREF!$A$124:$IV$124</definedName>
    <definedName name="XRefPaste108" localSheetId="2" hidden="1">#REF!</definedName>
    <definedName name="XRefPaste108" hidden="1">#REF!</definedName>
    <definedName name="XRefPaste108Row" hidden="1">[172]XREF!$A$132:$IV$132</definedName>
    <definedName name="XRefPaste109" localSheetId="2" hidden="1">#REF!</definedName>
    <definedName name="XRefPaste109" hidden="1">#REF!</definedName>
    <definedName name="XRefPaste109Row" hidden="1">[172]XREF!$A$134:$IV$134</definedName>
    <definedName name="XRefPaste10Row" localSheetId="2" hidden="1">#REF!</definedName>
    <definedName name="XRefPaste10Row" hidden="1">#REF!</definedName>
    <definedName name="XRefPaste11" localSheetId="2" hidden="1">[158]DPE!#REF!</definedName>
    <definedName name="XRefPaste11" hidden="1">[158]DPE!#REF!</definedName>
    <definedName name="XRefPaste110" localSheetId="2" hidden="1">#REF!</definedName>
    <definedName name="XRefPaste110" hidden="1">#REF!</definedName>
    <definedName name="XRefPaste110Row" hidden="1">[172]XREF!$A$135:$IV$135</definedName>
    <definedName name="XRefPaste111" localSheetId="2" hidden="1">#REF!</definedName>
    <definedName name="XRefPaste111" hidden="1">#REF!</definedName>
    <definedName name="XRefPaste111Row" hidden="1">[172]XREF!$A$136:$IV$136</definedName>
    <definedName name="XRefPaste112" localSheetId="2" hidden="1">#REF!</definedName>
    <definedName name="XRefPaste112" hidden="1">#REF!</definedName>
    <definedName name="XRefPaste112Row" hidden="1">[172]XREF!$A$138:$IV$138</definedName>
    <definedName name="XRefPaste113" localSheetId="2" hidden="1">#REF!</definedName>
    <definedName name="XRefPaste113" hidden="1">#REF!</definedName>
    <definedName name="XRefPaste113Row" hidden="1">#REF!</definedName>
    <definedName name="XRefPaste114" localSheetId="2" hidden="1">'[168]Sept 06'!#REF!</definedName>
    <definedName name="XRefPaste114" hidden="1">'[168]Sept 06'!#REF!</definedName>
    <definedName name="XRefPaste114Row" localSheetId="2"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2" hidden="1">'[158]F &amp; F PY'!#REF!</definedName>
    <definedName name="XRefPaste2" hidden="1">'[158]F &amp; F PY'!#REF!</definedName>
    <definedName name="XRefPaste20" localSheetId="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2" hidden="1">[164]XREF!#REF!</definedName>
    <definedName name="XRefPaste26Row" hidden="1">[164]XREF!#REF!</definedName>
    <definedName name="XRefPaste27" localSheetId="2"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2" hidden="1">[169]XREF!#REF!</definedName>
    <definedName name="XRefPaste2Row" hidden="1">[169]XREF!#REF!</definedName>
    <definedName name="XRefPaste3" localSheetId="2" hidden="1">'[158]F &amp; F PY'!#REF!</definedName>
    <definedName name="XRefPaste3" hidden="1">'[158]F &amp; F PY'!#REF!</definedName>
    <definedName name="XRefPaste30" localSheetId="2"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'[158]F &amp; F PY'!#REF!</definedName>
    <definedName name="XRefPaste4" hidden="1">'[158]F &amp; F PY'!#REF!</definedName>
    <definedName name="XRefPaste40" localSheetId="2"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2" hidden="1">#REF!</definedName>
    <definedName name="XRefPaste54Row" hidden="1">#REF!</definedName>
    <definedName name="XRefPaste55" hidden="1">#REF!</definedName>
    <definedName name="XRefPaste55Row" hidden="1">#REF!</definedName>
    <definedName name="XRefPaste56" localSheetId="2" hidden="1">[173]Lead!#REF!</definedName>
    <definedName name="XRefPaste56" hidden="1">[173]Lead!#REF!</definedName>
    <definedName name="XRefPaste56Row" localSheetId="2"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2" hidden="1">[174]XREF!#REF!</definedName>
    <definedName name="XRefPaste5Row" hidden="1">[174]XREF!#REF!</definedName>
    <definedName name="XRefPaste6" localSheetId="2" hidden="1">'[158]O Equip.'!#REF!</definedName>
    <definedName name="XRefPaste6" hidden="1">'[158]O Equip.'!#REF!</definedName>
    <definedName name="XRefPaste60" localSheetId="2"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2" hidden="1">[173]Lead!#REF!</definedName>
    <definedName name="XRefPaste63" hidden="1">[173]Lead!#REF!</definedName>
    <definedName name="XRefPaste63Row" localSheetId="2" hidden="1">#REF!</definedName>
    <definedName name="XRefPaste63Row" hidden="1">#REF!</definedName>
    <definedName name="XRefPaste64" localSheetId="2" hidden="1">[173]Lead!#REF!</definedName>
    <definedName name="XRefPaste64" hidden="1">[173]Lead!#REF!</definedName>
    <definedName name="XRefPaste64Row" localSheetId="2"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2" hidden="1">'[158]O Equip.'!#REF!</definedName>
    <definedName name="XRefPaste7" hidden="1">'[158]O Equip.'!#REF!</definedName>
    <definedName name="XRefPaste70" localSheetId="2" hidden="1">#REF!</definedName>
    <definedName name="XRefPaste70" hidden="1">#REF!</definedName>
    <definedName name="XRefPaste70Row" hidden="1">#REF!</definedName>
    <definedName name="XRefPaste71" localSheetId="2" hidden="1">[173]Lead!#REF!</definedName>
    <definedName name="XRefPaste71" hidden="1">[173]Lead!#REF!</definedName>
    <definedName name="XRefPaste71Row" localSheetId="2" hidden="1">#REF!</definedName>
    <definedName name="XRefPaste71Row" hidden="1">#REF!</definedName>
    <definedName name="XRefPaste72" localSheetId="2" hidden="1">[173]Lead!#REF!</definedName>
    <definedName name="XRefPaste72" hidden="1">[173]Lead!#REF!</definedName>
    <definedName name="XRefPaste72Row" localSheetId="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2" hidden="1">'[158]O Equip.'!#REF!</definedName>
    <definedName name="XRefPaste8" hidden="1">'[158]O Equip.'!#REF!</definedName>
    <definedName name="XRefPaste80" localSheetId="2" hidden="1">[173]Lead!#REF!</definedName>
    <definedName name="XRefPaste80" hidden="1">[173]Lead!#REF!</definedName>
    <definedName name="XRefPaste80Row" localSheetId="2"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2" hidden="1">[173]Lead!#REF!</definedName>
    <definedName name="XRefPaste88" hidden="1">[173]Lead!#REF!</definedName>
    <definedName name="XRefPaste88Row" localSheetId="2" hidden="1">#REF!</definedName>
    <definedName name="XRefPaste88Row" hidden="1">#REF!</definedName>
    <definedName name="XRefPaste89" hidden="1">#REF!</definedName>
    <definedName name="XRefPaste89Row" hidden="1">#REF!</definedName>
    <definedName name="XRefPaste8Row" hidden="1">#REF!</definedName>
    <definedName name="XRefPaste9" localSheetId="2" hidden="1">'[158]O Equip.'!#REF!</definedName>
    <definedName name="XRefPaste9" hidden="1">'[158]O Equip.'!#REF!</definedName>
    <definedName name="XRefPaste90" localSheetId="2"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2" hidden="1">#REF!</definedName>
    <definedName name="XRefPaste94" hidden="1">#REF!</definedName>
    <definedName name="XRefPaste94Row" hidden="1">[172]XREF!$A$93:$IV$93</definedName>
    <definedName name="XRefPaste95" localSheetId="2" hidden="1">#REF!</definedName>
    <definedName name="XRefPaste95" hidden="1">#REF!</definedName>
    <definedName name="XRefPaste95Row" hidden="1">[172]XREF!$A$97:$IV$97</definedName>
    <definedName name="XRefPaste96" localSheetId="2" hidden="1">#REF!</definedName>
    <definedName name="XRefPaste96" hidden="1">#REF!</definedName>
    <definedName name="XRefPaste96Row" hidden="1">[172]XREF!$A$98:$IV$98</definedName>
    <definedName name="XRefPaste97" localSheetId="2" hidden="1">#REF!</definedName>
    <definedName name="XRefPaste97" hidden="1">#REF!</definedName>
    <definedName name="XRefPaste97Row" hidden="1">[172]XREF!$A$99:$IV$99</definedName>
    <definedName name="XRefPaste98" localSheetId="2" hidden="1">#REF!</definedName>
    <definedName name="XRefPaste98" hidden="1">#REF!</definedName>
    <definedName name="XRefPaste98Row" hidden="1">[172]XREF!$A$101:$IV$101</definedName>
    <definedName name="XRefPaste99" localSheetId="2" hidden="1">#REF!</definedName>
    <definedName name="XRefPaste99" hidden="1">#REF!</definedName>
    <definedName name="XRefPaste99Row" hidden="1">[172]XREF!$A$102:$IV$102</definedName>
    <definedName name="XRefPaste9Row" localSheetId="2" hidden="1">#REF!</definedName>
    <definedName name="XRefPaste9Row" hidden="1">#REF!</definedName>
    <definedName name="XRefPasteRangeCount">2</definedName>
    <definedName name="xsa" localSheetId="2">#REF!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2">#REF!</definedName>
    <definedName name="YESNO">#REF!</definedName>
    <definedName name="ygk"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2">#REF!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2">#REF!</definedName>
    <definedName name="Zero">#REF!</definedName>
    <definedName name="zxgsdfg" localSheetId="12" hidden="1">{"'Bill No. 7'!$A$1:$G$32"}</definedName>
    <definedName name="zxgsdfg" localSheetId="14" hidden="1">{"'Bill No. 7'!$A$1:$G$32"}</definedName>
    <definedName name="zxgsdfg" localSheetId="2" hidden="1">{"'Bill No. 7'!$A$1:$G$32"}</definedName>
    <definedName name="zxgsdfg" localSheetId="10" hidden="1">{"'Bill No. 7'!$A$1:$G$32"}</definedName>
    <definedName name="zxgsdfg" localSheetId="11" hidden="1">{"'Bill No. 7'!$A$1:$G$32"}</definedName>
    <definedName name="zxgsdfg" localSheetId="13" hidden="1">{"'Bill No. 7'!$A$1:$G$32"}</definedName>
    <definedName name="zxgsdfg" hidden="1">{"'Bill No. 7'!$A$1:$G$32"}</definedName>
    <definedName name="ZZXzcbv">#REF!</definedName>
    <definedName name="zzz" localSheetId="2"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2">[89]国内work!#REF!</definedName>
    <definedName name="ｼﾞｬﾊﾟﾝｽﾎﾟｰﾂﾁｬﾝﾈﾙ">[89]国内work!#REF!</definedName>
    <definedName name="ｽｶｲﾏｰｸｴｱﾗｲﾝｽﾞ" localSheetId="2">[89]国内work!#REF!</definedName>
    <definedName name="ｽｶｲﾏｰｸｴｱﾗｲﾝｽﾞ">[89]国内work!#REF!</definedName>
    <definedName name="ｾｶﾞ･ﾘｰｽ" localSheetId="2">#REF!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2">#REF!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2">[178]再ﾘｰｽ収益!#REF!</definedName>
    <definedName name="再ﾘｽ36期A">[178]再ﾘｰｽ収益!#REF!</definedName>
    <definedName name="再ﾘｽ36期B" localSheetId="2">[178]再ﾘｰｽ収益!#REF!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2">#REF!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2">#REF!</definedName>
    <definedName name="小田さん用">#REF!</definedName>
    <definedName name="山口ｷｬﾋﾟﾀﾙ" localSheetId="2">[89]国内work!#REF!</definedName>
    <definedName name="山口ｷｬﾋﾟﾀﾙ">[89]国内work!#REF!</definedName>
    <definedName name="山口ﾘｰｽ" localSheetId="2">#REF!</definedName>
    <definedName name="山口ﾘｰｽ">#REF!</definedName>
    <definedName name="山口抵当証券">#REF!</definedName>
    <definedName name="常務用BS" localSheetId="2">'[127]総括（1～3Q）'!#REF!</definedName>
    <definedName name="常務用BS">'[127]総括（1～3Q）'!#REF!</definedName>
    <definedName name="常務用PL" localSheetId="2">'[127]総括（1～3Q）'!#REF!</definedName>
    <definedName name="常務用PL">'[127]総括（1～3Q）'!#REF!</definedName>
    <definedName name="当月" localSheetId="2">#REF!</definedName>
    <definedName name="当月">#REF!</definedName>
    <definedName name="徳銀ｵﾘｯｸｽ">#REF!</definedName>
    <definedName name="手数34期">#REF!</definedName>
    <definedName name="手数34期B" localSheetId="2">[178]受取手数料!#REF!</definedName>
    <definedName name="手数34期B">[178]受取手数料!#REF!</definedName>
    <definedName name="手数35期" localSheetId="2">#REF!</definedName>
    <definedName name="手数35期">#REF!</definedName>
    <definedName name="手数35期B" localSheetId="2">[178]受取手数料!#REF!</definedName>
    <definedName name="手数35期B">[178]受取手数料!#REF!</definedName>
    <definedName name="手数36期" localSheetId="2">#REF!</definedName>
    <definedName name="手数36期">#REF!</definedName>
    <definedName name="手数36期A" localSheetId="2">[178]受取手数料!#REF!</definedName>
    <definedName name="手数36期A">[178]受取手数料!#REF!</definedName>
    <definedName name="手数36期B" localSheetId="2">[178]受取手数料!#REF!</definedName>
    <definedName name="手数36期B">[178]受取手数料!#REF!</definedName>
    <definedName name="投資有価証券の科目内訳資料記入" localSheetId="2">#REF!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2">[89]AFFI内訳!#REF!</definedName>
    <definedName name="未着分見積">[89]AFFI内訳!#REF!</definedName>
    <definedName name="東営１部" localSheetId="2">#REF!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2">[178]発生連結!#REF!</definedName>
    <definedName name="発生36期A">[178]発生連結!#REF!</definedName>
    <definedName name="発生36期B" localSheetId="2">[178]発生連結!#REF!</definedName>
    <definedName name="発生36期B">[178]発生連結!#REF!</definedName>
    <definedName name="発行済株式数">[181]関連会社明細!$AB$17:$AB$78</definedName>
    <definedName name="百五ﾘｰｽ" localSheetId="2">#REF!</definedName>
    <definedName name="百五ﾘｰｽ">#REF!</definedName>
    <definedName name="科目3_AMOUNT1" localSheetId="2">[182]売却可能公債!#REF!</definedName>
    <definedName name="科目3_AMOUNT1">[182]売却可能公債!#REF!</definedName>
    <definedName name="科目9_ACCOUNT" localSheetId="2">#REF!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2">'[183]3部提出用累計'!#REF!</definedName>
    <definedName name="税引前利益">'[183]3部提出用累計'!#REF!</definedName>
    <definedName name="総括表" localSheetId="2">#REF!</definedName>
    <definedName name="総括表">#REF!</definedName>
    <definedName name="繰入36期A" localSheetId="2">[178]繰入連結!#REF!</definedName>
    <definedName name="繰入36期A">[178]繰入連結!#REF!</definedName>
    <definedName name="繰入36期B" localSheetId="2">[178]繰入連結!#REF!</definedName>
    <definedName name="繰入36期B">[178]繰入連結!#REF!</definedName>
    <definedName name="背部">#N/A</definedName>
    <definedName name="脚注11_ACCOUNT" localSheetId="2">#REF!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2">'[183]3部提出用累計'!#REF!</definedName>
    <definedName name="諸原価">'[183]3部提出用累計'!#REF!</definedName>
    <definedName name="諸原価34期" localSheetId="2">[178]諸原価連結!#REF!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2">[185]単体SGA!#REF!</definedName>
    <definedName name="販管34期B">[185]単体SGA!#REF!</definedName>
    <definedName name="販管35期B" localSheetId="2">[185]単体SGA!#REF!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2">#REF!</definedName>
    <definedName name="貸倒HEAD">#REF!</definedName>
    <definedName name="貸引増減表前期">#REF!</definedName>
    <definedName name="資産平残" localSheetId="2">'[183]3部提出用累計'!#REF!</definedName>
    <definedName name="資産平残">'[183]3部提出用累計'!#REF!</definedName>
    <definedName name="資産平残34期" localSheetId="2">[178]平残連結!#REF!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2">#REF!</definedName>
    <definedName name="項___目">#REF!</definedName>
    <definedName name="香川銀ﾘｰｽ">#REF!</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25" l="1"/>
  <c r="E15" i="28"/>
  <c r="C33" i="26"/>
  <c r="F23" i="10"/>
  <c r="C15" i="28"/>
  <c r="C33" i="29"/>
  <c r="M27" i="29" l="1"/>
  <c r="L27" i="29"/>
  <c r="K27" i="29"/>
  <c r="J27" i="29"/>
  <c r="I27" i="29"/>
  <c r="H27" i="29"/>
  <c r="G27" i="29"/>
  <c r="F27" i="29"/>
  <c r="E27" i="29"/>
  <c r="D27" i="29"/>
  <c r="C27" i="29"/>
  <c r="C13" i="29"/>
  <c r="M12" i="29"/>
  <c r="L12" i="29"/>
  <c r="K12" i="29"/>
  <c r="J12" i="29"/>
  <c r="I12" i="29"/>
  <c r="H12" i="29"/>
  <c r="G12" i="29"/>
  <c r="F12" i="29"/>
  <c r="E12" i="29"/>
  <c r="D12" i="29"/>
  <c r="C12" i="29"/>
  <c r="M11" i="29"/>
  <c r="L11" i="29"/>
  <c r="K11" i="29"/>
  <c r="J11" i="29"/>
  <c r="I11" i="29"/>
  <c r="H11" i="29"/>
  <c r="G11" i="29"/>
  <c r="G14" i="29" s="1"/>
  <c r="F11" i="29"/>
  <c r="E11" i="29"/>
  <c r="D11" i="29"/>
  <c r="C11" i="29"/>
  <c r="M8" i="29"/>
  <c r="L8" i="29"/>
  <c r="K8" i="29"/>
  <c r="J8" i="29"/>
  <c r="I8" i="29"/>
  <c r="H8" i="29"/>
  <c r="G8" i="29"/>
  <c r="F8" i="29"/>
  <c r="E8" i="29"/>
  <c r="D8" i="29"/>
  <c r="C8" i="29"/>
  <c r="M6" i="29"/>
  <c r="L6" i="29"/>
  <c r="K6" i="29"/>
  <c r="J6" i="29"/>
  <c r="I6" i="29"/>
  <c r="H6" i="29"/>
  <c r="G6" i="29"/>
  <c r="F6" i="29"/>
  <c r="E6" i="29"/>
  <c r="D6" i="29"/>
  <c r="C6" i="29"/>
  <c r="B28" i="26"/>
  <c r="M27" i="26"/>
  <c r="L27" i="26"/>
  <c r="K27" i="26"/>
  <c r="J27" i="26"/>
  <c r="I27" i="26"/>
  <c r="H27" i="26"/>
  <c r="G27" i="26"/>
  <c r="F27" i="26"/>
  <c r="E27" i="26"/>
  <c r="D27" i="26"/>
  <c r="C27" i="26"/>
  <c r="B27" i="26"/>
  <c r="B26" i="26"/>
  <c r="M23" i="26"/>
  <c r="L23" i="26"/>
  <c r="K23" i="26"/>
  <c r="J23" i="26"/>
  <c r="I23" i="26"/>
  <c r="H23" i="26"/>
  <c r="G23" i="26"/>
  <c r="F23" i="26"/>
  <c r="E23" i="26"/>
  <c r="C23" i="26"/>
  <c r="B23" i="26"/>
  <c r="M22" i="26"/>
  <c r="L22" i="26"/>
  <c r="K22" i="26"/>
  <c r="J22" i="26"/>
  <c r="I22" i="26"/>
  <c r="H22" i="26"/>
  <c r="G22" i="26"/>
  <c r="F22" i="26"/>
  <c r="E22" i="26"/>
  <c r="D22" i="26"/>
  <c r="B22" i="26"/>
  <c r="D23" i="26"/>
  <c r="C22" i="26"/>
  <c r="B19" i="26"/>
  <c r="C11" i="26"/>
  <c r="D11" i="26"/>
  <c r="E11" i="26"/>
  <c r="E16" i="26" s="1"/>
  <c r="F11" i="26"/>
  <c r="G11" i="26"/>
  <c r="H11" i="26"/>
  <c r="I11" i="26"/>
  <c r="I16" i="26" s="1"/>
  <c r="J11" i="26"/>
  <c r="J16" i="26" s="1"/>
  <c r="K11" i="26"/>
  <c r="L11" i="26"/>
  <c r="M11" i="26"/>
  <c r="C12" i="26"/>
  <c r="D12" i="26"/>
  <c r="E12" i="26"/>
  <c r="F12" i="26"/>
  <c r="G12" i="26"/>
  <c r="H12" i="26"/>
  <c r="I12" i="26"/>
  <c r="J12" i="26"/>
  <c r="K12" i="26"/>
  <c r="L12" i="26"/>
  <c r="M12" i="26"/>
  <c r="C13" i="26"/>
  <c r="D13" i="26"/>
  <c r="D16" i="26" s="1"/>
  <c r="E13" i="26"/>
  <c r="F13" i="26"/>
  <c r="G13" i="26"/>
  <c r="H13" i="26"/>
  <c r="H16" i="26" s="1"/>
  <c r="I13" i="26"/>
  <c r="J13" i="26"/>
  <c r="K13" i="26"/>
  <c r="L13" i="26"/>
  <c r="M13" i="26"/>
  <c r="C14" i="26"/>
  <c r="D14" i="26"/>
  <c r="E14" i="26"/>
  <c r="F14" i="26"/>
  <c r="G14" i="26"/>
  <c r="H14" i="26"/>
  <c r="I14" i="26"/>
  <c r="J14" i="26"/>
  <c r="K14" i="26"/>
  <c r="L14" i="26"/>
  <c r="M14" i="26"/>
  <c r="M16" i="26" s="1"/>
  <c r="C15" i="26"/>
  <c r="D15" i="26"/>
  <c r="E15" i="26"/>
  <c r="F15" i="26"/>
  <c r="G15" i="26"/>
  <c r="H15" i="26"/>
  <c r="I15" i="26"/>
  <c r="J15" i="26"/>
  <c r="K15" i="26"/>
  <c r="L15" i="26"/>
  <c r="M15" i="26"/>
  <c r="D10" i="26"/>
  <c r="E10" i="26"/>
  <c r="F10" i="26"/>
  <c r="G10" i="26"/>
  <c r="H10" i="26"/>
  <c r="I10" i="26"/>
  <c r="J10" i="26"/>
  <c r="K10" i="26"/>
  <c r="L10" i="26"/>
  <c r="M10" i="26"/>
  <c r="C10" i="26"/>
  <c r="B16" i="26"/>
  <c r="B11" i="26"/>
  <c r="B12" i="26"/>
  <c r="B13" i="26"/>
  <c r="B14" i="26"/>
  <c r="B15" i="26"/>
  <c r="B10" i="26"/>
  <c r="B9" i="26"/>
  <c r="B8" i="26"/>
  <c r="B7" i="26"/>
  <c r="D8" i="26"/>
  <c r="E8" i="26"/>
  <c r="F8" i="26"/>
  <c r="G8" i="26"/>
  <c r="H8" i="26"/>
  <c r="I8" i="26"/>
  <c r="J8" i="26"/>
  <c r="K8" i="26"/>
  <c r="L8" i="26"/>
  <c r="M8" i="26"/>
  <c r="C8" i="26"/>
  <c r="B28" i="25"/>
  <c r="B27" i="25"/>
  <c r="B26" i="25"/>
  <c r="B23" i="25"/>
  <c r="B22" i="25"/>
  <c r="B19" i="25"/>
  <c r="B16" i="25"/>
  <c r="B8" i="25"/>
  <c r="B7" i="25"/>
  <c r="B9" i="25"/>
  <c r="B11" i="25"/>
  <c r="B12" i="25"/>
  <c r="B13" i="25"/>
  <c r="B14" i="25"/>
  <c r="B15" i="25"/>
  <c r="B10" i="25"/>
  <c r="D26" i="25"/>
  <c r="D27" i="25"/>
  <c r="E27" i="25"/>
  <c r="F27" i="25"/>
  <c r="C27" i="25"/>
  <c r="C23" i="25"/>
  <c r="D23" i="25"/>
  <c r="E23" i="25"/>
  <c r="F23" i="25"/>
  <c r="D22" i="25"/>
  <c r="E22" i="25"/>
  <c r="F22" i="25"/>
  <c r="C22" i="25"/>
  <c r="D19" i="25"/>
  <c r="E19" i="25"/>
  <c r="F19" i="25"/>
  <c r="C19" i="25"/>
  <c r="D10" i="25"/>
  <c r="E10" i="25"/>
  <c r="F10" i="25"/>
  <c r="D11" i="25"/>
  <c r="D16" i="25" s="1"/>
  <c r="E11" i="25"/>
  <c r="F11" i="25"/>
  <c r="D12" i="25"/>
  <c r="E12" i="25"/>
  <c r="E16" i="25" s="1"/>
  <c r="F12" i="25"/>
  <c r="D13" i="25"/>
  <c r="E13" i="25"/>
  <c r="F13" i="25"/>
  <c r="D14" i="25"/>
  <c r="E14" i="25"/>
  <c r="F14" i="25"/>
  <c r="D15" i="25"/>
  <c r="E15" i="25"/>
  <c r="F15" i="25"/>
  <c r="C11" i="25"/>
  <c r="F16" i="25"/>
  <c r="C12" i="25"/>
  <c r="C13" i="25"/>
  <c r="C14" i="25"/>
  <c r="C15" i="25"/>
  <c r="C10" i="25"/>
  <c r="C16" i="25" s="1"/>
  <c r="D8" i="25"/>
  <c r="E8" i="25"/>
  <c r="F8" i="25"/>
  <c r="C8" i="25"/>
  <c r="F9" i="25"/>
  <c r="D7" i="25"/>
  <c r="E7" i="25"/>
  <c r="F7" i="25"/>
  <c r="D9" i="25"/>
  <c r="C7" i="25"/>
  <c r="C36" i="29"/>
  <c r="D36" i="29" s="1"/>
  <c r="E36" i="29" s="1"/>
  <c r="F36" i="29" s="1"/>
  <c r="G36" i="29" s="1"/>
  <c r="H36" i="29" s="1"/>
  <c r="I36" i="29" s="1"/>
  <c r="J36" i="29" s="1"/>
  <c r="K36" i="29" s="1"/>
  <c r="L36" i="29" s="1"/>
  <c r="M36" i="29" s="1"/>
  <c r="M21" i="29"/>
  <c r="L21" i="29"/>
  <c r="K21" i="29"/>
  <c r="J21" i="29"/>
  <c r="I21" i="29"/>
  <c r="H21" i="29"/>
  <c r="G21" i="29"/>
  <c r="F21" i="29"/>
  <c r="E21" i="29"/>
  <c r="D21" i="29"/>
  <c r="C21" i="29"/>
  <c r="K14" i="29"/>
  <c r="C14" i="29"/>
  <c r="F6" i="28"/>
  <c r="F7" i="28"/>
  <c r="F9" i="28"/>
  <c r="C16" i="28"/>
  <c r="C17" i="28"/>
  <c r="D17" i="28" s="1"/>
  <c r="J10" i="27"/>
  <c r="K10" i="27" s="1"/>
  <c r="K9" i="27"/>
  <c r="J9" i="27"/>
  <c r="J8" i="27"/>
  <c r="K8" i="27" s="1"/>
  <c r="K7" i="27"/>
  <c r="J7" i="27"/>
  <c r="J6" i="27"/>
  <c r="J11" i="27" s="1"/>
  <c r="L16" i="26"/>
  <c r="F16" i="26"/>
  <c r="D6" i="26"/>
  <c r="E6" i="26" s="1"/>
  <c r="F6" i="26" s="1"/>
  <c r="G6" i="26" s="1"/>
  <c r="H6" i="26" s="1"/>
  <c r="I6" i="26" s="1"/>
  <c r="J6" i="26" s="1"/>
  <c r="K6" i="26" s="1"/>
  <c r="L6" i="26" s="1"/>
  <c r="M6" i="26" s="1"/>
  <c r="E9" i="25"/>
  <c r="D6" i="25"/>
  <c r="E6" i="25" s="1"/>
  <c r="F6" i="25" s="1"/>
  <c r="V11" i="7"/>
  <c r="P12" i="8"/>
  <c r="U11" i="7"/>
  <c r="D15" i="28" l="1"/>
  <c r="D16" i="28"/>
  <c r="C15" i="27" s="1"/>
  <c r="D14" i="29"/>
  <c r="L14" i="29"/>
  <c r="E14" i="29"/>
  <c r="I14" i="29"/>
  <c r="M14" i="29"/>
  <c r="F14" i="29"/>
  <c r="J14" i="29"/>
  <c r="H14" i="29"/>
  <c r="K16" i="26"/>
  <c r="C16" i="26"/>
  <c r="G16" i="26"/>
  <c r="C9" i="25"/>
  <c r="C14" i="27"/>
  <c r="K6" i="27"/>
  <c r="K11" i="27" s="1"/>
  <c r="D18" i="25"/>
  <c r="D33" i="25"/>
  <c r="C18" i="25"/>
  <c r="E33" i="25"/>
  <c r="E18" i="25"/>
  <c r="F33" i="25"/>
  <c r="F18" i="25"/>
  <c r="Q13" i="23"/>
  <c r="G9" i="23"/>
  <c r="G10" i="23"/>
  <c r="C114" i="1"/>
  <c r="H31" i="2"/>
  <c r="B128" i="1"/>
  <c r="I54" i="2"/>
  <c r="J54" i="2"/>
  <c r="K54" i="2"/>
  <c r="L54" i="2" s="1"/>
  <c r="M54" i="2" s="1"/>
  <c r="N54" i="2" s="1"/>
  <c r="O54" i="2" s="1"/>
  <c r="P54" i="2" s="1"/>
  <c r="Q54" i="2" s="1"/>
  <c r="H54" i="2"/>
  <c r="H95" i="2"/>
  <c r="C124" i="1"/>
  <c r="C119" i="1"/>
  <c r="C120" i="1"/>
  <c r="T11" i="7"/>
  <c r="C16" i="27" l="1"/>
  <c r="C19" i="27"/>
  <c r="C8" i="28" s="1"/>
  <c r="F21" i="25"/>
  <c r="F32" i="25" s="1"/>
  <c r="F25" i="25"/>
  <c r="F31" i="25"/>
  <c r="C21" i="25"/>
  <c r="C32" i="25" s="1"/>
  <c r="C25" i="25"/>
  <c r="C31" i="25"/>
  <c r="E31" i="25"/>
  <c r="E21" i="25"/>
  <c r="E32" i="25" s="1"/>
  <c r="E25" i="25"/>
  <c r="D25" i="25"/>
  <c r="D28" i="25" s="1"/>
  <c r="D30" i="25" s="1"/>
  <c r="D31" i="25"/>
  <c r="D21" i="25"/>
  <c r="D32" i="25" s="1"/>
  <c r="G52" i="2"/>
  <c r="G18" i="2"/>
  <c r="F138" i="10"/>
  <c r="I138" i="10"/>
  <c r="I340" i="10"/>
  <c r="D61" i="1" l="1"/>
  <c r="C61" i="1"/>
  <c r="D57" i="1" l="1"/>
  <c r="I205" i="10"/>
  <c r="I206" i="10"/>
  <c r="I207" i="10"/>
  <c r="I209" i="10"/>
  <c r="I196" i="10"/>
  <c r="I197" i="10"/>
  <c r="I198" i="10"/>
  <c r="I200" i="10"/>
  <c r="I195" i="10"/>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R7" i="7"/>
  <c r="P7" i="7"/>
  <c r="Q7" i="7"/>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30" i="2"/>
  <c r="E27" i="2"/>
  <c r="E26" i="2"/>
  <c r="E20" i="2"/>
  <c r="E16" i="2"/>
  <c r="E11" i="2"/>
  <c r="E9" i="2"/>
  <c r="E12" i="2" s="1"/>
  <c r="E22" i="2" s="1"/>
  <c r="E29" i="2" s="1"/>
  <c r="E32" i="2" s="1"/>
  <c r="E40" i="2" s="1"/>
  <c r="E37" i="2" s="1"/>
  <c r="E57" i="2" s="1"/>
  <c r="E80" i="2" s="1"/>
  <c r="E4" i="2"/>
  <c r="E3" i="2"/>
  <c r="E2" i="2"/>
  <c r="F79" i="2" l="1"/>
  <c r="F26" i="2"/>
  <c r="F4" i="2"/>
  <c r="F27" i="2"/>
  <c r="F25" i="2"/>
  <c r="F17" i="2"/>
  <c r="M44" i="8" l="1"/>
  <c r="M45" i="8"/>
  <c r="M46" i="8"/>
  <c r="M47" i="8"/>
  <c r="M48" i="8"/>
  <c r="M49" i="8"/>
  <c r="M50" i="8"/>
  <c r="M43" i="8"/>
  <c r="E23" i="7"/>
  <c r="R13" i="23"/>
  <c r="G13" i="23"/>
  <c r="H13" i="23"/>
  <c r="I13" i="23"/>
  <c r="J13" i="23"/>
  <c r="K13" i="23"/>
  <c r="L13" i="23"/>
  <c r="M13" i="23"/>
  <c r="N13" i="23"/>
  <c r="O13" i="23"/>
  <c r="P13" i="23"/>
  <c r="H72" i="2"/>
  <c r="I72" i="2" s="1"/>
  <c r="J72" i="2" s="1"/>
  <c r="K72" i="2" s="1"/>
  <c r="L72" i="2" s="1"/>
  <c r="M72" i="2" s="1"/>
  <c r="N72" i="2" s="1"/>
  <c r="O72" i="2" s="1"/>
  <c r="P72" i="2" s="1"/>
  <c r="Q72" i="2" s="1"/>
  <c r="R72" i="2" s="1"/>
  <c r="S72" i="2" s="1"/>
  <c r="C22" i="1" l="1"/>
  <c r="U27" i="10"/>
  <c r="U177" i="10"/>
  <c r="U178" i="10"/>
  <c r="U179" i="10"/>
  <c r="U180" i="10"/>
  <c r="U181" i="10"/>
  <c r="U182" i="10"/>
  <c r="U330" i="10"/>
  <c r="U331" i="10"/>
  <c r="U332" i="10"/>
  <c r="U333" i="10"/>
  <c r="U334" i="10"/>
  <c r="U335" i="10"/>
  <c r="S112" i="2"/>
  <c r="I105" i="1" l="1"/>
  <c r="D110" i="10"/>
  <c r="I204" i="10" s="1"/>
  <c r="E110" i="10"/>
  <c r="D111" i="10"/>
  <c r="E111" i="10"/>
  <c r="D112" i="10"/>
  <c r="E112" i="10"/>
  <c r="D113" i="10"/>
  <c r="E113" i="10"/>
  <c r="E114" i="10"/>
  <c r="D115" i="10"/>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C112" i="10"/>
  <c r="C113" i="10"/>
  <c r="C115" i="10"/>
  <c r="C110" i="10"/>
  <c r="E116" i="10" l="1"/>
  <c r="C23" i="1"/>
  <c r="B94" i="10" l="1"/>
  <c r="D114" i="10" l="1"/>
  <c r="C114" i="10"/>
  <c r="I199" i="10" s="1"/>
  <c r="D116" i="10" l="1"/>
  <c r="I208" i="10"/>
  <c r="AD66" i="1"/>
  <c r="I26" i="10"/>
  <c r="H26" i="10"/>
  <c r="B112" i="1" l="1"/>
  <c r="F16" i="2" l="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W75" i="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W76" i="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W77" i="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W78" i="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W79" i="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W80" i="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G5" i="10"/>
  <c r="G7" i="10"/>
  <c r="E7" i="10"/>
  <c r="D7" i="10"/>
  <c r="E5" i="10"/>
  <c r="D5" i="10"/>
  <c r="F5" i="10"/>
  <c r="H5" i="10"/>
  <c r="F6" i="10"/>
  <c r="H6" i="10"/>
  <c r="F7" i="10"/>
  <c r="C321" i="10" s="1"/>
  <c r="H7" i="10"/>
  <c r="C329" i="10" s="1"/>
  <c r="I89" i="9" l="1"/>
  <c r="D70" i="2"/>
  <c r="D63" i="2"/>
  <c r="D42" i="2"/>
  <c r="D49" i="2"/>
  <c r="D12" i="2"/>
  <c r="D22" i="2" s="1"/>
  <c r="D29" i="2" s="1"/>
  <c r="D66" i="2" l="1"/>
  <c r="D79" i="2" s="1"/>
  <c r="H91" i="9"/>
  <c r="D57" i="2"/>
  <c r="C20" i="1" l="1"/>
  <c r="C8" i="1"/>
  <c r="H13" i="1"/>
  <c r="H12" i="1"/>
  <c r="C143"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1" i="23"/>
  <c r="G7" i="23" s="1"/>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Q2" i="23"/>
  <c r="R2" i="23" l="1"/>
  <c r="R7" i="23"/>
  <c r="D26" i="7"/>
  <c r="J106" i="1" l="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G29" i="10" l="1"/>
  <c r="F29" i="10"/>
  <c r="B1" i="1" l="1"/>
  <c r="F185" i="10" l="1"/>
  <c r="F177" i="10"/>
  <c r="I326" i="10" l="1"/>
  <c r="I316" i="10"/>
  <c r="I317" i="10"/>
  <c r="I324" i="10"/>
  <c r="I315" i="10"/>
  <c r="I325" i="10"/>
  <c r="I323" i="10"/>
  <c r="I318" i="10"/>
  <c r="J209" i="10" l="1"/>
  <c r="K209" i="10" s="1"/>
  <c r="J326" i="10"/>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L209" i="10" l="1"/>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U264" i="10" l="1"/>
  <c r="U272" i="10"/>
  <c r="U326" i="10"/>
  <c r="U256" i="10"/>
  <c r="T326" i="10"/>
  <c r="S245" i="10"/>
  <c r="S218" i="10"/>
  <c r="S226" i="10"/>
  <c r="T198" i="10"/>
  <c r="S234" i="10"/>
  <c r="S247" i="10"/>
  <c r="S236" i="10"/>
  <c r="T200" i="10"/>
  <c r="T208" i="10"/>
  <c r="S283" i="10"/>
  <c r="S253" i="10"/>
  <c r="S282" i="10"/>
  <c r="S269" i="10"/>
  <c r="S261" i="10"/>
  <c r="T206" i="10"/>
  <c r="U206" i="10" s="1"/>
  <c r="T207" i="10"/>
  <c r="S254" i="10"/>
  <c r="T205" i="10"/>
  <c r="S281" i="10"/>
  <c r="S244" i="10"/>
  <c r="S217" i="10"/>
  <c r="S225" i="10"/>
  <c r="S233" i="10"/>
  <c r="T197" i="10"/>
  <c r="U197" i="10" s="1"/>
  <c r="S246" i="10"/>
  <c r="T199" i="10"/>
  <c r="S235" i="10"/>
  <c r="T196" i="10"/>
  <c r="S243" i="10"/>
  <c r="K332" i="10"/>
  <c r="L331" i="10"/>
  <c r="K333" i="10"/>
  <c r="J334" i="10"/>
  <c r="T323" i="10" l="1"/>
  <c r="U205" i="10"/>
  <c r="T325" i="10"/>
  <c r="U208" i="10"/>
  <c r="U244" i="10"/>
  <c r="U233" i="10"/>
  <c r="U217" i="10"/>
  <c r="U225" i="10"/>
  <c r="U261" i="10"/>
  <c r="U253" i="10"/>
  <c r="U282" i="10"/>
  <c r="U269" i="10"/>
  <c r="T324" i="10"/>
  <c r="U207" i="10"/>
  <c r="T317" i="10"/>
  <c r="U199" i="10"/>
  <c r="T318" i="10"/>
  <c r="U200" i="10"/>
  <c r="T315" i="10"/>
  <c r="U196" i="10"/>
  <c r="T316" i="10"/>
  <c r="U198" i="10"/>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U262" i="10" l="1"/>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N333" i="10" l="1"/>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47" i="1"/>
  <c r="C146" i="1"/>
  <c r="O107" i="9" l="1"/>
  <c r="P107" i="9" l="1"/>
  <c r="Q107" i="9" l="1"/>
  <c r="R107" i="9" l="1"/>
  <c r="S107" i="9" l="1"/>
  <c r="T107" i="9" l="1"/>
  <c r="U107" i="9" l="1"/>
  <c r="V107" i="9" l="1"/>
  <c r="W107" i="9" l="1"/>
  <c r="X107" i="9" l="1"/>
  <c r="Y107" i="9" l="1"/>
  <c r="Z107" i="9" l="1"/>
  <c r="AA107" i="9" l="1"/>
  <c r="AB107" i="9" l="1"/>
  <c r="AC107" i="9" l="1"/>
  <c r="AD107" i="9" l="1"/>
  <c r="AE107" i="9" l="1"/>
  <c r="AF107" i="9" l="1"/>
  <c r="AG107" i="9" l="1"/>
  <c r="AH107" i="9" l="1"/>
  <c r="AI107" i="9" l="1"/>
  <c r="AJ107" i="9" l="1"/>
  <c r="AK107" i="9" l="1"/>
  <c r="AL107" i="9" l="1"/>
  <c r="U82" i="9"/>
  <c r="V82" i="9"/>
  <c r="W82" i="9"/>
  <c r="X82" i="9"/>
  <c r="Y82" i="9"/>
  <c r="Z82" i="9"/>
  <c r="AA82" i="9"/>
  <c r="AB82" i="9"/>
  <c r="AC82" i="9"/>
  <c r="AD82" i="9"/>
  <c r="AE82" i="9"/>
  <c r="AF82" i="9"/>
  <c r="AG82" i="9"/>
  <c r="AH82" i="9"/>
  <c r="AI82" i="9"/>
  <c r="AJ82" i="9"/>
  <c r="AK82" i="9"/>
  <c r="AL82" i="9"/>
  <c r="AM82" i="9"/>
  <c r="AN82" i="9"/>
  <c r="AO82" i="9"/>
  <c r="G33" i="9"/>
  <c r="AM107" i="9" l="1"/>
  <c r="H23" i="9"/>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R54" i="2" s="1"/>
  <c r="S54" i="2" s="1"/>
  <c r="AN107" i="9"/>
  <c r="H25" i="9"/>
  <c r="H26" i="9" s="1"/>
  <c r="H43" i="9"/>
  <c r="H47" i="9" s="1"/>
  <c r="J71" i="2"/>
  <c r="H48" i="9" l="1"/>
  <c r="H49" i="9" s="1"/>
  <c r="H50" i="9" s="1"/>
  <c r="H44" i="9"/>
  <c r="H30" i="9"/>
  <c r="H32" i="9" s="1"/>
  <c r="H33" i="9" s="1"/>
  <c r="AO107" i="9"/>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U242" i="10" l="1"/>
  <c r="U215" i="10"/>
  <c r="U239" i="10"/>
  <c r="U223" i="10"/>
  <c r="U314" i="10"/>
  <c r="U319" i="10" s="1"/>
  <c r="U201" i="10"/>
  <c r="U231" i="10"/>
  <c r="T322" i="10"/>
  <c r="T327" i="10" s="1"/>
  <c r="U204" i="10"/>
  <c r="S330" i="10"/>
  <c r="S335" i="10" s="1"/>
  <c r="T275" i="10"/>
  <c r="T278" i="10"/>
  <c r="T210" i="10"/>
  <c r="T251" i="10"/>
  <c r="T267" i="10"/>
  <c r="T259" i="10"/>
  <c r="T252" i="10"/>
  <c r="T268" i="10"/>
  <c r="T260" i="10"/>
  <c r="U275" i="10" l="1"/>
  <c r="U267" i="10"/>
  <c r="U278" i="10"/>
  <c r="U322" i="10"/>
  <c r="U327" i="10" s="1"/>
  <c r="U251" i="10"/>
  <c r="U259" i="10"/>
  <c r="U210" i="10"/>
  <c r="T330" i="10"/>
  <c r="T335" i="10" s="1"/>
  <c r="AR24" i="7" l="1"/>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U337" i="10" l="1"/>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B115" i="1" s="1"/>
  <c r="B116" i="1" s="1"/>
  <c r="B117" i="1" s="1"/>
  <c r="B118" i="1" s="1"/>
  <c r="B119" i="1" s="1"/>
  <c r="B120" i="1" s="1"/>
  <c r="B121" i="1" s="1"/>
  <c r="B122" i="1" s="1"/>
  <c r="B123" i="1" s="1"/>
  <c r="B124" i="1" s="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D6" i="8" l="1"/>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E25" i="7" l="1"/>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G1" i="2"/>
  <c r="U28" i="10" l="1"/>
  <c r="U31" i="10" s="1"/>
  <c r="U70" i="10" s="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54" i="10" l="1"/>
  <c r="U46" i="10"/>
  <c r="U47" i="10"/>
  <c r="U48" i="10"/>
  <c r="U45" i="10"/>
  <c r="U53" i="10"/>
  <c r="U72" i="10"/>
  <c r="U71" i="10"/>
  <c r="U76" i="10"/>
  <c r="U55" i="10"/>
  <c r="U38" i="10"/>
  <c r="U56"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L52" i="1" l="1"/>
  <c r="K66" i="1"/>
  <c r="K102" i="1" s="1"/>
  <c r="I112" i="2"/>
  <c r="S25" i="7"/>
  <c r="S26" i="7" s="1"/>
  <c r="T23" i="7" s="1"/>
  <c r="T27" i="7" s="1"/>
  <c r="I68" i="2"/>
  <c r="W103" i="1"/>
  <c r="M2" i="9"/>
  <c r="M109" i="9" s="1"/>
  <c r="K10" i="9"/>
  <c r="K70" i="9"/>
  <c r="X5" i="9"/>
  <c r="L9" i="9"/>
  <c r="I102" i="2"/>
  <c r="K1" i="10"/>
  <c r="J1" i="2"/>
  <c r="M52" i="1" l="1"/>
  <c r="L66" i="1"/>
  <c r="L102" i="1" s="1"/>
  <c r="J112" i="2"/>
  <c r="J68" i="2"/>
  <c r="T25" i="7"/>
  <c r="X103" i="1"/>
  <c r="N2" i="9"/>
  <c r="N109" i="9" s="1"/>
  <c r="Y5" i="9"/>
  <c r="M9" i="9"/>
  <c r="L10" i="9"/>
  <c r="L70" i="9"/>
  <c r="J102" i="2"/>
  <c r="L1" i="10"/>
  <c r="K1" i="2"/>
  <c r="N52" i="1" l="1"/>
  <c r="M66" i="1"/>
  <c r="M102" i="1" s="1"/>
  <c r="K112" i="2"/>
  <c r="K68" i="2"/>
  <c r="T26" i="7"/>
  <c r="U23" i="7" s="1"/>
  <c r="U27" i="7" s="1"/>
  <c r="Y103" i="1"/>
  <c r="N9" i="9"/>
  <c r="M70" i="9"/>
  <c r="M10" i="9"/>
  <c r="Z5" i="9"/>
  <c r="O2" i="9"/>
  <c r="O109" i="9" s="1"/>
  <c r="K102" i="2"/>
  <c r="M1" i="10"/>
  <c r="L1" i="2"/>
  <c r="O52" i="1" l="1"/>
  <c r="N66" i="1"/>
  <c r="N102" i="1" s="1"/>
  <c r="L112" i="2"/>
  <c r="L68" i="2"/>
  <c r="U25" i="7"/>
  <c r="Z103" i="1"/>
  <c r="N70" i="9"/>
  <c r="N10" i="9"/>
  <c r="O9" i="9"/>
  <c r="P2" i="9"/>
  <c r="P109" i="9" s="1"/>
  <c r="AA5" i="9"/>
  <c r="L102" i="2"/>
  <c r="N1" i="10"/>
  <c r="M1" i="2"/>
  <c r="P52" i="1" l="1"/>
  <c r="O66" i="1"/>
  <c r="O102" i="1" s="1"/>
  <c r="M112" i="2"/>
  <c r="M68" i="2"/>
  <c r="U26" i="7"/>
  <c r="V23" i="7" s="1"/>
  <c r="V27" i="7" s="1"/>
  <c r="AA103" i="1"/>
  <c r="AB5" i="9"/>
  <c r="P9" i="9"/>
  <c r="Q2" i="9"/>
  <c r="Q109" i="9" s="1"/>
  <c r="O10" i="9"/>
  <c r="O70" i="9"/>
  <c r="M102" i="2"/>
  <c r="O1" i="10"/>
  <c r="N1" i="2"/>
  <c r="Q52" i="1" l="1"/>
  <c r="P66" i="1"/>
  <c r="P102" i="1" s="1"/>
  <c r="N112" i="2"/>
  <c r="N68" i="2"/>
  <c r="V25" i="7"/>
  <c r="AB103" i="1"/>
  <c r="R2" i="9"/>
  <c r="R109" i="9" s="1"/>
  <c r="P70" i="9"/>
  <c r="P10" i="9"/>
  <c r="Q9" i="9"/>
  <c r="AC5" i="9"/>
  <c r="N102" i="2"/>
  <c r="P1" i="10"/>
  <c r="O1" i="2"/>
  <c r="R52" i="1" l="1"/>
  <c r="Q66" i="1"/>
  <c r="Q102" i="1" s="1"/>
  <c r="O112" i="2"/>
  <c r="O68" i="2"/>
  <c r="V26" i="7"/>
  <c r="W23" i="7" s="1"/>
  <c r="W27" i="7" s="1"/>
  <c r="AC103" i="1"/>
  <c r="Q10" i="9"/>
  <c r="Q70" i="9"/>
  <c r="AD5" i="9"/>
  <c r="S2" i="9"/>
  <c r="S109" i="9" s="1"/>
  <c r="R9" i="9"/>
  <c r="O102" i="2"/>
  <c r="Q1" i="10"/>
  <c r="P1" i="2"/>
  <c r="S52" i="1" l="1"/>
  <c r="R66" i="1"/>
  <c r="R102" i="1" s="1"/>
  <c r="P112" i="2"/>
  <c r="P68" i="2"/>
  <c r="W25" i="7"/>
  <c r="AE5" i="9"/>
  <c r="S9" i="9"/>
  <c r="T2" i="9"/>
  <c r="T109" i="9" s="1"/>
  <c r="R70" i="9"/>
  <c r="R10" i="9"/>
  <c r="P102" i="2"/>
  <c r="R1" i="10"/>
  <c r="Q1" i="2"/>
  <c r="Q27" i="2" l="1"/>
  <c r="T52" i="1"/>
  <c r="S66" i="1"/>
  <c r="S102" i="1" s="1"/>
  <c r="Q112" i="2"/>
  <c r="Q68" i="2"/>
  <c r="W26" i="7"/>
  <c r="X23" i="7" s="1"/>
  <c r="X27" i="7" s="1"/>
  <c r="R58" i="9"/>
  <c r="AO58" i="9"/>
  <c r="V58" i="9"/>
  <c r="AD58" i="9"/>
  <c r="AH58" i="9"/>
  <c r="AN58" i="9"/>
  <c r="AC58" i="9"/>
  <c r="AG58" i="9"/>
  <c r="U58" i="9"/>
  <c r="AB58" i="9"/>
  <c r="AE58" i="9"/>
  <c r="AK58" i="9"/>
  <c r="AJ58" i="9"/>
  <c r="W58" i="9"/>
  <c r="AL58" i="9"/>
  <c r="I58" i="9"/>
  <c r="X58" i="9"/>
  <c r="AI58" i="9"/>
  <c r="Z58" i="9"/>
  <c r="AM58" i="9"/>
  <c r="AF58" i="9"/>
  <c r="AA58" i="9"/>
  <c r="Y58" i="9"/>
  <c r="J58" i="9"/>
  <c r="K58" i="9"/>
  <c r="P58" i="9"/>
  <c r="M58" i="9"/>
  <c r="O58" i="9"/>
  <c r="N58" i="9"/>
  <c r="L58" i="9"/>
  <c r="Q58" i="9"/>
  <c r="AF5" i="9"/>
  <c r="U2" i="9"/>
  <c r="U109" i="9" s="1"/>
  <c r="T9" i="9"/>
  <c r="S10" i="9"/>
  <c r="S58" i="9" s="1"/>
  <c r="S70" i="9"/>
  <c r="Q105" i="2"/>
  <c r="Q102" i="2"/>
  <c r="Q104" i="2"/>
  <c r="S1" i="10"/>
  <c r="R1" i="2"/>
  <c r="S1" i="2" s="1"/>
  <c r="S27" i="2" l="1"/>
  <c r="S86" i="2" s="1"/>
  <c r="S106" i="2" s="1"/>
  <c r="U1" i="10"/>
  <c r="S102" i="2"/>
  <c r="S105" i="2"/>
  <c r="S104" i="2"/>
  <c r="U52" i="1"/>
  <c r="T66" i="1"/>
  <c r="T102" i="1" s="1"/>
  <c r="R27" i="2"/>
  <c r="R112" i="2"/>
  <c r="R68" i="2"/>
  <c r="S68" i="2" s="1"/>
  <c r="X25" i="7"/>
  <c r="Q86" i="2"/>
  <c r="Q106" i="2" s="1"/>
  <c r="Q107" i="2" s="1"/>
  <c r="U9" i="9"/>
  <c r="U70" i="9" s="1"/>
  <c r="V2" i="9"/>
  <c r="V109" i="9" s="1"/>
  <c r="T70" i="9"/>
  <c r="T10" i="9"/>
  <c r="T58" i="9" s="1"/>
  <c r="AG5" i="9"/>
  <c r="R102" i="2"/>
  <c r="R105" i="2"/>
  <c r="R104" i="2"/>
  <c r="T1" i="10"/>
  <c r="S107" i="2" l="1"/>
  <c r="V52" i="1"/>
  <c r="U66" i="1"/>
  <c r="X26" i="7"/>
  <c r="Y23" i="7" s="1"/>
  <c r="Y27" i="7" s="1"/>
  <c r="H105" i="2"/>
  <c r="R86" i="2"/>
  <c r="R106" i="2" s="1"/>
  <c r="R107" i="2" s="1"/>
  <c r="V9" i="9"/>
  <c r="V70" i="9" s="1"/>
  <c r="W2" i="9"/>
  <c r="AH5" i="9"/>
  <c r="H52" i="2" l="1"/>
  <c r="H44" i="2"/>
  <c r="W109" i="9"/>
  <c r="W52" i="1"/>
  <c r="V66" i="1"/>
  <c r="Y25" i="7"/>
  <c r="W9" i="9"/>
  <c r="W70" i="9" s="1"/>
  <c r="AI5" i="9"/>
  <c r="X2" i="9"/>
  <c r="X109" i="9" s="1"/>
  <c r="X52" i="1" l="1"/>
  <c r="W66" i="1"/>
  <c r="Y26" i="7"/>
  <c r="Z23" i="7" s="1"/>
  <c r="Z27" i="7" s="1"/>
  <c r="X9" i="9"/>
  <c r="X70" i="9" s="1"/>
  <c r="Y2" i="9"/>
  <c r="Y109" i="9" s="1"/>
  <c r="AJ5" i="9"/>
  <c r="Y52" i="1" l="1"/>
  <c r="X66" i="1"/>
  <c r="Z25" i="7"/>
  <c r="Y9" i="9"/>
  <c r="Y70" i="9" s="1"/>
  <c r="Z2" i="9"/>
  <c r="Z109" i="9" s="1"/>
  <c r="AK5" i="9"/>
  <c r="Z52" i="1" l="1"/>
  <c r="Y66" i="1"/>
  <c r="Z26" i="7"/>
  <c r="AA23" i="7" s="1"/>
  <c r="AA27" i="7" s="1"/>
  <c r="Z9" i="9"/>
  <c r="Z70" i="9" s="1"/>
  <c r="AL5" i="9"/>
  <c r="AA2" i="9"/>
  <c r="AA109" i="9" s="1"/>
  <c r="AA52" i="1" l="1"/>
  <c r="Z66" i="1"/>
  <c r="AA25" i="7"/>
  <c r="AA9" i="9"/>
  <c r="AA70" i="9" s="1"/>
  <c r="AB2" i="9"/>
  <c r="AB109" i="9" s="1"/>
  <c r="AM5" i="9"/>
  <c r="AB52" i="1" l="1"/>
  <c r="AA66" i="1"/>
  <c r="AA26" i="7"/>
  <c r="AB23" i="7" s="1"/>
  <c r="AB27" i="7" s="1"/>
  <c r="AB9" i="9"/>
  <c r="AB70" i="9" s="1"/>
  <c r="AC2" i="9"/>
  <c r="AC109" i="9" s="1"/>
  <c r="AO5" i="9"/>
  <c r="AN5" i="9"/>
  <c r="E25" i="1"/>
  <c r="C144" i="1" s="1"/>
  <c r="D25" i="1"/>
  <c r="C30" i="1"/>
  <c r="AC52" i="1" l="1"/>
  <c r="AC66" i="1" s="1"/>
  <c r="AB66" i="1"/>
  <c r="AB25" i="7"/>
  <c r="L111" i="9"/>
  <c r="M111" i="9"/>
  <c r="H11" i="23" s="1"/>
  <c r="N111" i="9"/>
  <c r="I11" i="23" s="1"/>
  <c r="O111" i="9"/>
  <c r="J11" i="23" s="1"/>
  <c r="P111" i="9"/>
  <c r="K11" i="23" s="1"/>
  <c r="Q111" i="9"/>
  <c r="L11" i="23" s="1"/>
  <c r="R111" i="9"/>
  <c r="M11" i="23" s="1"/>
  <c r="S111" i="9"/>
  <c r="N11" i="23" s="1"/>
  <c r="T111" i="9"/>
  <c r="O11" i="23" s="1"/>
  <c r="U111" i="9"/>
  <c r="P11" i="23" s="1"/>
  <c r="V111" i="9"/>
  <c r="Q11" i="23" s="1"/>
  <c r="W111" i="9"/>
  <c r="R11" i="23" s="1"/>
  <c r="X111" i="9"/>
  <c r="Y111" i="9"/>
  <c r="Z111" i="9"/>
  <c r="AA111" i="9"/>
  <c r="C145" i="1"/>
  <c r="AB52" i="9" s="1"/>
  <c r="AC9" i="9"/>
  <c r="AC70" i="9" s="1"/>
  <c r="AD2" i="9"/>
  <c r="AD109" i="9" s="1"/>
  <c r="D19" i="1"/>
  <c r="E19" i="1"/>
  <c r="C24" i="1"/>
  <c r="E17" i="1"/>
  <c r="D17" i="1"/>
  <c r="D18" i="1"/>
  <c r="E18" i="1"/>
  <c r="E20" i="1"/>
  <c r="D20" i="1"/>
  <c r="K113" i="9" l="1"/>
  <c r="L114" i="9" s="1"/>
  <c r="G11" i="23"/>
  <c r="K89" i="2"/>
  <c r="Q89" i="2"/>
  <c r="J89" i="2"/>
  <c r="O89" i="2"/>
  <c r="P89" i="2"/>
  <c r="N89" i="2"/>
  <c r="L89" i="2"/>
  <c r="R89" i="2"/>
  <c r="M89" i="2"/>
  <c r="S89" i="2"/>
  <c r="H89" i="2"/>
  <c r="L112" i="9"/>
  <c r="U112" i="9"/>
  <c r="R112" i="9"/>
  <c r="V112" i="9"/>
  <c r="S112" i="9"/>
  <c r="T112" i="9"/>
  <c r="M112" i="9"/>
  <c r="C111" i="9"/>
  <c r="P112" i="9"/>
  <c r="N112" i="9"/>
  <c r="O112" i="9"/>
  <c r="Q112" i="9"/>
  <c r="T113" i="9"/>
  <c r="U113" i="9"/>
  <c r="V113" i="9"/>
  <c r="S113" i="9"/>
  <c r="R113" i="9"/>
  <c r="N113" i="9"/>
  <c r="O113" i="9"/>
  <c r="Q113" i="9"/>
  <c r="P113" i="9"/>
  <c r="I89" i="2"/>
  <c r="AB26" i="7"/>
  <c r="AC23" i="7" s="1"/>
  <c r="AC27" i="7" s="1"/>
  <c r="I105" i="2"/>
  <c r="P52" i="9"/>
  <c r="X52" i="9"/>
  <c r="T52" i="9"/>
  <c r="L52" i="9"/>
  <c r="AC52" i="9"/>
  <c r="Z52" i="9"/>
  <c r="V52" i="9"/>
  <c r="R52" i="9"/>
  <c r="N52" i="9"/>
  <c r="J52" i="9"/>
  <c r="Y52" i="9"/>
  <c r="U52" i="9"/>
  <c r="Q52" i="9"/>
  <c r="M52" i="9"/>
  <c r="I52" i="9"/>
  <c r="AA52" i="9"/>
  <c r="W52" i="9"/>
  <c r="S52" i="9"/>
  <c r="O52" i="9"/>
  <c r="K52" i="9"/>
  <c r="W113" i="9"/>
  <c r="AB111" i="9"/>
  <c r="AD52" i="9"/>
  <c r="AD9" i="9"/>
  <c r="AD70" i="9" s="1"/>
  <c r="AE2" i="9"/>
  <c r="AE109" i="9" s="1"/>
  <c r="E23" i="1"/>
  <c r="D23" i="1"/>
  <c r="E24" i="1"/>
  <c r="D24" i="1"/>
  <c r="M114" i="9" l="1"/>
  <c r="I44" i="2"/>
  <c r="I52" i="2"/>
  <c r="S2" i="2"/>
  <c r="S3" i="2"/>
  <c r="U2" i="10" s="1"/>
  <c r="D2" i="2"/>
  <c r="D3" i="2" s="1"/>
  <c r="AC25" i="7"/>
  <c r="X113" i="9"/>
  <c r="AC111" i="9"/>
  <c r="AE52" i="9"/>
  <c r="AE9" i="9"/>
  <c r="AE70" i="9" s="1"/>
  <c r="AF2" i="9"/>
  <c r="AF109" i="9" s="1"/>
  <c r="E3" i="9"/>
  <c r="F3" i="9"/>
  <c r="F2" i="2"/>
  <c r="G2" i="2"/>
  <c r="H2" i="2"/>
  <c r="I2" i="2"/>
  <c r="J2" i="2"/>
  <c r="K2" i="2"/>
  <c r="L2" i="2"/>
  <c r="M2" i="2"/>
  <c r="N2" i="2"/>
  <c r="O2" i="2"/>
  <c r="P2" i="2"/>
  <c r="Q2" i="2"/>
  <c r="R2" i="2"/>
  <c r="V3" i="9" s="1"/>
  <c r="W3" i="9"/>
  <c r="X3" i="9"/>
  <c r="Y3" i="9"/>
  <c r="Z3" i="9"/>
  <c r="AA3" i="9"/>
  <c r="AB3" i="9"/>
  <c r="AC3" i="9"/>
  <c r="AD3" i="9"/>
  <c r="AE3" i="9"/>
  <c r="R3" i="2" l="1"/>
  <c r="U3" i="10"/>
  <c r="U302" i="10"/>
  <c r="U294" i="10"/>
  <c r="U303" i="10"/>
  <c r="U291" i="10"/>
  <c r="U298" i="10"/>
  <c r="U290" i="10"/>
  <c r="U299" i="10"/>
  <c r="N114" i="9"/>
  <c r="H3" i="9"/>
  <c r="J3" i="9"/>
  <c r="F3" i="2"/>
  <c r="Q3" i="9"/>
  <c r="M3" i="2"/>
  <c r="I3" i="9"/>
  <c r="P3" i="9"/>
  <c r="L3" i="2"/>
  <c r="O3" i="9"/>
  <c r="K3" i="2"/>
  <c r="N3" i="9"/>
  <c r="J3" i="2"/>
  <c r="R3" i="9"/>
  <c r="N3" i="2"/>
  <c r="U3" i="9"/>
  <c r="Q3" i="2"/>
  <c r="T3" i="9"/>
  <c r="P3" i="2"/>
  <c r="M3" i="9"/>
  <c r="I3" i="2"/>
  <c r="L3" i="9"/>
  <c r="H3" i="2"/>
  <c r="S3" i="9"/>
  <c r="O3" i="2"/>
  <c r="K3" i="9"/>
  <c r="G3" i="2"/>
  <c r="AC26" i="7"/>
  <c r="AD23" i="7" s="1"/>
  <c r="AD27" i="7" s="1"/>
  <c r="Y113" i="9"/>
  <c r="E4" i="9"/>
  <c r="F4" i="9"/>
  <c r="AD111" i="9"/>
  <c r="AF52" i="9"/>
  <c r="AF9" i="9"/>
  <c r="AF70" i="9" s="1"/>
  <c r="AG2" i="9"/>
  <c r="AG109" i="9" s="1"/>
  <c r="AF3" i="9"/>
  <c r="U292" i="10" l="1"/>
  <c r="U300" i="10"/>
  <c r="U293" i="10"/>
  <c r="U301" i="10"/>
  <c r="AE4" i="9"/>
  <c r="G2" i="10"/>
  <c r="AD25" i="7"/>
  <c r="K4" i="9"/>
  <c r="AA4" i="9"/>
  <c r="L4" i="9"/>
  <c r="AB4" i="9"/>
  <c r="J4" i="9"/>
  <c r="K86" i="9" s="1"/>
  <c r="L2" i="10"/>
  <c r="U4" i="9"/>
  <c r="O2" i="10"/>
  <c r="M2" i="10"/>
  <c r="N2" i="10"/>
  <c r="P2" i="10"/>
  <c r="V4" i="9"/>
  <c r="Q2" i="10"/>
  <c r="T4" i="9"/>
  <c r="Z4" i="9"/>
  <c r="W4" i="9"/>
  <c r="H4" i="9"/>
  <c r="X4" i="9"/>
  <c r="M4" i="9"/>
  <c r="I4" i="9"/>
  <c r="Y4" i="9"/>
  <c r="I99" i="9"/>
  <c r="Q4" i="9"/>
  <c r="I100" i="9"/>
  <c r="I103" i="9"/>
  <c r="I98" i="9"/>
  <c r="O114" i="9"/>
  <c r="T2" i="10"/>
  <c r="AD112" i="9"/>
  <c r="Z113" i="9"/>
  <c r="C113" i="9" s="1"/>
  <c r="S2" i="10"/>
  <c r="R4" i="9"/>
  <c r="H2" i="10"/>
  <c r="K2" i="10"/>
  <c r="N4" i="9"/>
  <c r="AG52" i="9"/>
  <c r="AG9" i="9"/>
  <c r="AG70" i="9" s="1"/>
  <c r="AE111" i="9"/>
  <c r="AF4" i="9"/>
  <c r="O4" i="9"/>
  <c r="F2" i="10"/>
  <c r="J2" i="10"/>
  <c r="AH2" i="9"/>
  <c r="AH109" i="9" s="1"/>
  <c r="R2" i="10"/>
  <c r="I2" i="10"/>
  <c r="S4" i="9"/>
  <c r="P4" i="9"/>
  <c r="AC4" i="9"/>
  <c r="AD4" i="9"/>
  <c r="AG3" i="9"/>
  <c r="U304" i="10" l="1"/>
  <c r="U295" i="10"/>
  <c r="P114" i="9"/>
  <c r="Q114" i="9" s="1"/>
  <c r="R114" i="9" s="1"/>
  <c r="S114" i="9" s="1"/>
  <c r="T114" i="9" s="1"/>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AE112" i="9"/>
  <c r="K3" i="10"/>
  <c r="AF111" i="9"/>
  <c r="AH52" i="9"/>
  <c r="AH9" i="9"/>
  <c r="AH70" i="9" s="1"/>
  <c r="AA113" i="9"/>
  <c r="AG4" i="9"/>
  <c r="J3" i="10"/>
  <c r="AI2" i="9"/>
  <c r="AI109" i="9" s="1"/>
  <c r="I3" i="10"/>
  <c r="AH3" i="9"/>
  <c r="U306" i="10" l="1"/>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J101" i="9"/>
  <c r="J105" i="9" s="1"/>
  <c r="U114" i="9"/>
  <c r="V114" i="9" s="1"/>
  <c r="AF112" i="9"/>
  <c r="AB113" i="9"/>
  <c r="AG111" i="9"/>
  <c r="AI52" i="9"/>
  <c r="AI9" i="9"/>
  <c r="AI70" i="9" s="1"/>
  <c r="AH4" i="9"/>
  <c r="AJ2" i="9"/>
  <c r="AJ109" i="9" s="1"/>
  <c r="AI3" i="9"/>
  <c r="K98" i="9" l="1"/>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K100" i="9"/>
  <c r="H14" i="2"/>
  <c r="K103" i="9"/>
  <c r="W114" i="9"/>
  <c r="I16" i="2"/>
  <c r="L103" i="9"/>
  <c r="I17" i="2"/>
  <c r="L100" i="9"/>
  <c r="AG112" i="9"/>
  <c r="AH111" i="9"/>
  <c r="AC113" i="9"/>
  <c r="AJ52" i="9"/>
  <c r="AJ9" i="9"/>
  <c r="AJ70" i="9" s="1"/>
  <c r="AI4" i="9"/>
  <c r="AK2" i="9"/>
  <c r="AK109" i="9" s="1"/>
  <c r="AJ3" i="9"/>
  <c r="R306" i="10" l="1"/>
  <c r="R308" i="10" s="1"/>
  <c r="P7" i="2" s="1"/>
  <c r="L306" i="10"/>
  <c r="L308" i="10" s="1"/>
  <c r="J7" i="2" s="1"/>
  <c r="X114" i="9"/>
  <c r="Y114" i="9" s="1"/>
  <c r="K306" i="10"/>
  <c r="K308" i="10" s="1"/>
  <c r="I7" i="2" s="1"/>
  <c r="M306" i="10"/>
  <c r="M308" i="10" s="1"/>
  <c r="K7" i="2" s="1"/>
  <c r="P306" i="10"/>
  <c r="P308" i="10" s="1"/>
  <c r="N7" i="2" s="1"/>
  <c r="N306" i="10"/>
  <c r="N308" i="10" s="1"/>
  <c r="L7" i="2" s="1"/>
  <c r="T306" i="10"/>
  <c r="T308" i="10" s="1"/>
  <c r="R7" i="2" s="1"/>
  <c r="O306" i="10"/>
  <c r="O308" i="10" s="1"/>
  <c r="M7" i="2" s="1"/>
  <c r="S306" i="10"/>
  <c r="S308" i="10" s="1"/>
  <c r="Q7" i="2" s="1"/>
  <c r="I306" i="10"/>
  <c r="I308" i="10" s="1"/>
  <c r="Q306" i="10"/>
  <c r="J306" i="10"/>
  <c r="L98" i="9"/>
  <c r="K101" i="9"/>
  <c r="K105" i="9" s="1"/>
  <c r="I15" i="2"/>
  <c r="J15" i="2" s="1"/>
  <c r="AF25" i="7"/>
  <c r="L99" i="9"/>
  <c r="I14" i="2"/>
  <c r="J16" i="2"/>
  <c r="M103" i="9"/>
  <c r="J17" i="2"/>
  <c r="M100" i="9"/>
  <c r="AH112" i="9"/>
  <c r="AD113" i="9"/>
  <c r="AI111" i="9"/>
  <c r="AK52" i="9"/>
  <c r="AK9" i="9"/>
  <c r="AK70" i="9" s="1"/>
  <c r="AJ4" i="9"/>
  <c r="AL2" i="9"/>
  <c r="AL109" i="9" s="1"/>
  <c r="AK3" i="9"/>
  <c r="M7" i="29" l="1"/>
  <c r="M9" i="29" s="1"/>
  <c r="M16" i="29" s="1"/>
  <c r="M7" i="26"/>
  <c r="M9" i="26" s="1"/>
  <c r="D7" i="29"/>
  <c r="D9" i="29" s="1"/>
  <c r="D16" i="29" s="1"/>
  <c r="D7" i="26"/>
  <c r="D9" i="26" s="1"/>
  <c r="G7" i="26"/>
  <c r="G9" i="26" s="1"/>
  <c r="G7" i="29"/>
  <c r="G9" i="29" s="1"/>
  <c r="G16" i="29" s="1"/>
  <c r="L7" i="29"/>
  <c r="L9" i="29" s="1"/>
  <c r="L16" i="29" s="1"/>
  <c r="L7" i="26"/>
  <c r="L9" i="26" s="1"/>
  <c r="I7" i="29"/>
  <c r="I9" i="29" s="1"/>
  <c r="I16" i="29" s="1"/>
  <c r="I7" i="26"/>
  <c r="I9" i="26" s="1"/>
  <c r="E7" i="29"/>
  <c r="E9" i="29" s="1"/>
  <c r="E16" i="29" s="1"/>
  <c r="E7" i="26"/>
  <c r="E9" i="26" s="1"/>
  <c r="H7" i="29"/>
  <c r="H9" i="29" s="1"/>
  <c r="H16" i="29" s="1"/>
  <c r="H7" i="26"/>
  <c r="H9" i="26" s="1"/>
  <c r="F7" i="29"/>
  <c r="F9" i="29" s="1"/>
  <c r="F16" i="29" s="1"/>
  <c r="F7" i="26"/>
  <c r="F9" i="26" s="1"/>
  <c r="K7" i="26"/>
  <c r="K9" i="26" s="1"/>
  <c r="K7" i="29"/>
  <c r="K9" i="29" s="1"/>
  <c r="K16" i="29" s="1"/>
  <c r="Z114" i="9"/>
  <c r="AA114" i="9" s="1"/>
  <c r="J308" i="10"/>
  <c r="H7" i="2" s="1"/>
  <c r="C7" i="29" s="1"/>
  <c r="Q308" i="10"/>
  <c r="O7" i="2" s="1"/>
  <c r="M99" i="9"/>
  <c r="L101" i="9"/>
  <c r="L105" i="9" s="1"/>
  <c r="M98" i="9"/>
  <c r="H9" i="23"/>
  <c r="AF26" i="7"/>
  <c r="AG23" i="7" s="1"/>
  <c r="AG27" i="7" s="1"/>
  <c r="J105" i="2"/>
  <c r="J14" i="2"/>
  <c r="K15" i="2"/>
  <c r="N99" i="9"/>
  <c r="K17" i="2"/>
  <c r="N100" i="9"/>
  <c r="K16" i="2"/>
  <c r="N103" i="9"/>
  <c r="AE113" i="9"/>
  <c r="AI112" i="9"/>
  <c r="AJ111" i="9"/>
  <c r="AL52" i="9"/>
  <c r="AL9" i="9"/>
  <c r="AL70" i="9" s="1"/>
  <c r="AK4" i="9"/>
  <c r="AM2" i="9"/>
  <c r="AM109" i="9" s="1"/>
  <c r="AL3" i="9"/>
  <c r="C9" i="29" l="1"/>
  <c r="C16" i="29" s="1"/>
  <c r="C7" i="26"/>
  <c r="C9" i="26" s="1"/>
  <c r="C18" i="26" s="1"/>
  <c r="F18" i="26"/>
  <c r="F33" i="26"/>
  <c r="E33" i="26"/>
  <c r="E18" i="26"/>
  <c r="L33" i="26"/>
  <c r="L18" i="26"/>
  <c r="D18" i="26"/>
  <c r="D33" i="26"/>
  <c r="H33" i="26"/>
  <c r="H18" i="26"/>
  <c r="I18" i="26"/>
  <c r="I33" i="26"/>
  <c r="M33" i="26"/>
  <c r="M18" i="26"/>
  <c r="J7" i="26"/>
  <c r="J9" i="26" s="1"/>
  <c r="K33" i="26" s="1"/>
  <c r="J7" i="29"/>
  <c r="J9" i="29" s="1"/>
  <c r="J16" i="29" s="1"/>
  <c r="K18" i="26"/>
  <c r="G33" i="26"/>
  <c r="G18" i="26"/>
  <c r="J52" i="2"/>
  <c r="J44" i="2"/>
  <c r="C114" i="9"/>
  <c r="AB114" i="9"/>
  <c r="AC114" i="9" s="1"/>
  <c r="M101" i="9"/>
  <c r="M105" i="9" s="1"/>
  <c r="N98" i="9"/>
  <c r="N101" i="9" s="1"/>
  <c r="N105" i="9" s="1"/>
  <c r="I9" i="23"/>
  <c r="AG25" i="7"/>
  <c r="K14" i="2"/>
  <c r="L15" i="2"/>
  <c r="O99" i="9"/>
  <c r="L16" i="2"/>
  <c r="O103" i="9"/>
  <c r="L17" i="2"/>
  <c r="O100" i="9"/>
  <c r="AJ112" i="9"/>
  <c r="AF113" i="9"/>
  <c r="AM52" i="9"/>
  <c r="AM9" i="9"/>
  <c r="AM70" i="9" s="1"/>
  <c r="AK111" i="9"/>
  <c r="AL4" i="9"/>
  <c r="AN2" i="9"/>
  <c r="AN109" i="9" s="1"/>
  <c r="AM3" i="9"/>
  <c r="J33" i="26" l="1"/>
  <c r="J18" i="26"/>
  <c r="F31" i="26"/>
  <c r="M31" i="26"/>
  <c r="I31" i="26"/>
  <c r="E31" i="26"/>
  <c r="C31" i="26"/>
  <c r="G31" i="26"/>
  <c r="K31" i="26"/>
  <c r="H31" i="26"/>
  <c r="D31" i="26"/>
  <c r="L31" i="26"/>
  <c r="H5" i="2"/>
  <c r="I5" i="2"/>
  <c r="AD114" i="9"/>
  <c r="AE114" i="9" s="1"/>
  <c r="AF114" i="9" s="1"/>
  <c r="O98" i="9"/>
  <c r="J9" i="23"/>
  <c r="L14" i="2"/>
  <c r="P98" i="9" s="1"/>
  <c r="AG26" i="7"/>
  <c r="AH23" i="7" s="1"/>
  <c r="AH27" i="7" s="1"/>
  <c r="AK112" i="9"/>
  <c r="F9" i="2"/>
  <c r="G9" i="2"/>
  <c r="F14" i="23" s="1"/>
  <c r="H9" i="2"/>
  <c r="I9" i="2"/>
  <c r="H8" i="23" s="1"/>
  <c r="H14" i="23" s="1"/>
  <c r="O101" i="9"/>
  <c r="O105" i="9" s="1"/>
  <c r="M16" i="2"/>
  <c r="P103" i="9"/>
  <c r="M17" i="2"/>
  <c r="P100" i="9"/>
  <c r="M15" i="2"/>
  <c r="P99" i="9"/>
  <c r="AN52" i="9"/>
  <c r="AN9" i="9"/>
  <c r="AN70" i="9" s="1"/>
  <c r="AG113" i="9"/>
  <c r="AL111" i="9"/>
  <c r="AM4" i="9"/>
  <c r="AO2" i="9"/>
  <c r="S18" i="2" s="1"/>
  <c r="S88" i="2" s="1"/>
  <c r="AN3" i="9"/>
  <c r="J31" i="26" l="1"/>
  <c r="G8" i="23"/>
  <c r="G14" i="23" s="1"/>
  <c r="J5" i="2"/>
  <c r="E14" i="23"/>
  <c r="H116" i="2"/>
  <c r="I116" i="2"/>
  <c r="K9" i="23"/>
  <c r="D30" i="2"/>
  <c r="AO109" i="9"/>
  <c r="V124" i="9"/>
  <c r="M14" i="2"/>
  <c r="Q98" i="9" s="1"/>
  <c r="AH25" i="7"/>
  <c r="R124" i="9"/>
  <c r="N124" i="9"/>
  <c r="Q124" i="9"/>
  <c r="P124" i="9"/>
  <c r="S124" i="9"/>
  <c r="U124" i="9"/>
  <c r="T124" i="9"/>
  <c r="O124" i="9"/>
  <c r="AL112" i="9"/>
  <c r="P101" i="9"/>
  <c r="P105" i="9" s="1"/>
  <c r="N17" i="2"/>
  <c r="Q100" i="9"/>
  <c r="N15" i="2"/>
  <c r="Q99" i="9"/>
  <c r="N16" i="2"/>
  <c r="Q103" i="9"/>
  <c r="AG114" i="9"/>
  <c r="AG123" i="9" s="1"/>
  <c r="AF123" i="9"/>
  <c r="L18" i="2"/>
  <c r="AD123" i="9"/>
  <c r="O18" i="2"/>
  <c r="R18" i="2"/>
  <c r="W123" i="9"/>
  <c r="N18" i="2"/>
  <c r="P18" i="2"/>
  <c r="AC123" i="9"/>
  <c r="AA123" i="9"/>
  <c r="AB123" i="9"/>
  <c r="Y123" i="9"/>
  <c r="Z123" i="9"/>
  <c r="AE123" i="9"/>
  <c r="M18" i="2"/>
  <c r="X123" i="9"/>
  <c r="Q18" i="2"/>
  <c r="H18" i="2"/>
  <c r="I18" i="2"/>
  <c r="J18" i="2"/>
  <c r="AM111" i="9"/>
  <c r="AO52" i="9"/>
  <c r="AO9" i="9"/>
  <c r="AO70" i="9" s="1"/>
  <c r="AH113" i="9"/>
  <c r="AO3" i="9"/>
  <c r="AN4" i="9"/>
  <c r="D32" i="2" l="1"/>
  <c r="C26" i="25"/>
  <c r="C30" i="25" s="1"/>
  <c r="K5" i="2"/>
  <c r="T123" i="9"/>
  <c r="O12" i="23" s="1"/>
  <c r="P123" i="9"/>
  <c r="K12" i="23" s="1"/>
  <c r="Q123" i="9"/>
  <c r="L12" i="23" s="1"/>
  <c r="R123" i="9"/>
  <c r="M12" i="23" s="1"/>
  <c r="N123" i="9"/>
  <c r="I12" i="23" s="1"/>
  <c r="V123" i="9"/>
  <c r="Q12" i="23" s="1"/>
  <c r="S123" i="9"/>
  <c r="N12" i="23" s="1"/>
  <c r="U123" i="9"/>
  <c r="P12" i="23" s="1"/>
  <c r="L9" i="23"/>
  <c r="H88" i="2"/>
  <c r="N14" i="2"/>
  <c r="R98" i="9" s="1"/>
  <c r="AH26" i="7"/>
  <c r="AI23" i="7" s="1"/>
  <c r="AI27" i="7" s="1"/>
  <c r="N88" i="2"/>
  <c r="Q88" i="2"/>
  <c r="M88" i="2"/>
  <c r="P88" i="2"/>
  <c r="O88" i="2"/>
  <c r="R88" i="2"/>
  <c r="Q101" i="9"/>
  <c r="Q105" i="9" s="1"/>
  <c r="O17" i="2"/>
  <c r="R100" i="9"/>
  <c r="O15" i="2"/>
  <c r="R99" i="9"/>
  <c r="O16" i="2"/>
  <c r="R103" i="9"/>
  <c r="AH114" i="9"/>
  <c r="AH123" i="9" s="1"/>
  <c r="M20" i="2"/>
  <c r="H20" i="2"/>
  <c r="L88" i="2"/>
  <c r="L20" i="2"/>
  <c r="G20" i="2"/>
  <c r="J88" i="2"/>
  <c r="J20" i="2"/>
  <c r="AI113" i="9"/>
  <c r="AM112" i="9"/>
  <c r="I88" i="2"/>
  <c r="I20" i="2"/>
  <c r="F20" i="2"/>
  <c r="AN111" i="9"/>
  <c r="AO4" i="9"/>
  <c r="L5" i="2" l="1"/>
  <c r="O116" i="2"/>
  <c r="J116" i="2"/>
  <c r="N116" i="2"/>
  <c r="M116" i="2"/>
  <c r="R116" i="2"/>
  <c r="L116" i="2"/>
  <c r="P116" i="2"/>
  <c r="Q116" i="2"/>
  <c r="H45" i="2"/>
  <c r="I45" i="2" s="1"/>
  <c r="J45" i="2" s="1"/>
  <c r="M9" i="23"/>
  <c r="AI114" i="9"/>
  <c r="AI123" i="9" s="1"/>
  <c r="N20" i="2"/>
  <c r="O14" i="2"/>
  <c r="S98" i="9" s="1"/>
  <c r="AI25" i="7"/>
  <c r="J125" i="9"/>
  <c r="R101" i="9"/>
  <c r="R105" i="9" s="1"/>
  <c r="P16" i="2"/>
  <c r="S103" i="9"/>
  <c r="P15" i="2"/>
  <c r="S99" i="9"/>
  <c r="P17" i="2"/>
  <c r="S100" i="9"/>
  <c r="AN112" i="9"/>
  <c r="AO111" i="9"/>
  <c r="C117" i="9" s="1"/>
  <c r="AJ113" i="9"/>
  <c r="M5" i="2" l="1"/>
  <c r="N9" i="23"/>
  <c r="AO124" i="9"/>
  <c r="X124" i="9"/>
  <c r="AB124" i="9"/>
  <c r="W124" i="9"/>
  <c r="R12" i="23" s="1"/>
  <c r="Z124" i="9"/>
  <c r="Y124" i="9"/>
  <c r="AD124" i="9"/>
  <c r="AA124" i="9"/>
  <c r="AC124" i="9"/>
  <c r="AE124" i="9"/>
  <c r="AJ114" i="9"/>
  <c r="AJ123" i="9" s="1"/>
  <c r="P14" i="2"/>
  <c r="T98" i="9" s="1"/>
  <c r="O20" i="2"/>
  <c r="AI124" i="9"/>
  <c r="AK124" i="9"/>
  <c r="AH124" i="9"/>
  <c r="AN124" i="9"/>
  <c r="AL124" i="9"/>
  <c r="AJ124" i="9"/>
  <c r="AF124" i="9"/>
  <c r="AG124" i="9"/>
  <c r="AM124" i="9"/>
  <c r="AI26" i="7"/>
  <c r="AJ23" i="7" s="1"/>
  <c r="AJ27" i="7" s="1"/>
  <c r="K122" i="9"/>
  <c r="K125" i="9" s="1"/>
  <c r="AO112" i="9"/>
  <c r="S101" i="9"/>
  <c r="S105" i="9" s="1"/>
  <c r="Q15" i="2"/>
  <c r="T99" i="9"/>
  <c r="Q16" i="2"/>
  <c r="T103" i="9"/>
  <c r="Q17" i="2"/>
  <c r="T100" i="9"/>
  <c r="AO113" i="9"/>
  <c r="AM113" i="9"/>
  <c r="AL113" i="9"/>
  <c r="AK113" i="9"/>
  <c r="AN113" i="9"/>
  <c r="N5" i="2" l="1"/>
  <c r="S116" i="2"/>
  <c r="O9" i="23"/>
  <c r="AK114" i="9"/>
  <c r="AK123" i="9" s="1"/>
  <c r="P20" i="2"/>
  <c r="Q14" i="2"/>
  <c r="U98" i="9" s="1"/>
  <c r="T101" i="9"/>
  <c r="T105" i="9" s="1"/>
  <c r="AJ25" i="7"/>
  <c r="L122" i="9"/>
  <c r="L125" i="9" s="1"/>
  <c r="R16" i="2"/>
  <c r="S16" i="2" s="1"/>
  <c r="U103" i="9"/>
  <c r="R17" i="2"/>
  <c r="S17" i="2" s="1"/>
  <c r="U100" i="9"/>
  <c r="R15" i="2"/>
  <c r="S15" i="2" s="1"/>
  <c r="U99" i="9"/>
  <c r="O5" i="2" l="1"/>
  <c r="P9" i="23"/>
  <c r="AL114" i="9"/>
  <c r="AM114" i="9" s="1"/>
  <c r="Q20" i="2"/>
  <c r="R14" i="2"/>
  <c r="AJ26" i="7"/>
  <c r="AK23" i="7" s="1"/>
  <c r="AK27" i="7" s="1"/>
  <c r="K105" i="2"/>
  <c r="M122" i="9"/>
  <c r="M125" i="9" s="1"/>
  <c r="U101" i="9"/>
  <c r="U105" i="9" s="1"/>
  <c r="V100" i="9"/>
  <c r="V99" i="9"/>
  <c r="V103" i="9"/>
  <c r="AL123" i="9"/>
  <c r="K44" i="2" l="1"/>
  <c r="K52" i="2"/>
  <c r="P5" i="2"/>
  <c r="V98" i="9"/>
  <c r="V101" i="9" s="1"/>
  <c r="V105" i="9" s="1"/>
  <c r="S14" i="2"/>
  <c r="Q9" i="23"/>
  <c r="R20" i="2"/>
  <c r="AK25" i="7"/>
  <c r="N122" i="9"/>
  <c r="N125" i="9" s="1"/>
  <c r="J76" i="2" s="1"/>
  <c r="W99" i="9"/>
  <c r="W103" i="9"/>
  <c r="W100" i="9"/>
  <c r="AN114" i="9"/>
  <c r="AM123" i="9"/>
  <c r="J8" i="2" l="1"/>
  <c r="J9" i="2" s="1"/>
  <c r="I8" i="23" s="1"/>
  <c r="I14" i="23" s="1"/>
  <c r="Q5" i="2"/>
  <c r="S20" i="2"/>
  <c r="R9" i="23"/>
  <c r="W98" i="9"/>
  <c r="W101" i="9" s="1"/>
  <c r="W105" i="9" s="1"/>
  <c r="X98" i="9"/>
  <c r="AK26" i="7"/>
  <c r="AL23" i="7" s="1"/>
  <c r="AL27" i="7" s="1"/>
  <c r="O122" i="9"/>
  <c r="X103" i="9"/>
  <c r="X100" i="9"/>
  <c r="X99" i="9"/>
  <c r="AO114" i="9"/>
  <c r="C118" i="9" s="1"/>
  <c r="C119" i="9" s="1"/>
  <c r="AN123" i="9"/>
  <c r="R5" i="2" l="1"/>
  <c r="Y98" i="9"/>
  <c r="AL25" i="7"/>
  <c r="X101" i="9"/>
  <c r="X105" i="9" s="1"/>
  <c r="Y100" i="9"/>
  <c r="Y99" i="9"/>
  <c r="Y103" i="9"/>
  <c r="K18" i="2"/>
  <c r="AO123" i="9"/>
  <c r="O123" i="9" l="1"/>
  <c r="J12" i="23" s="1"/>
  <c r="Z98" i="9"/>
  <c r="AL26" i="7"/>
  <c r="AM23" i="7" s="1"/>
  <c r="AM27" i="7" s="1"/>
  <c r="Y101" i="9"/>
  <c r="Y105" i="9" s="1"/>
  <c r="Z100" i="9"/>
  <c r="Z99" i="9"/>
  <c r="Z103" i="9"/>
  <c r="K88" i="2"/>
  <c r="K45" i="2" s="1"/>
  <c r="L45" i="2" s="1"/>
  <c r="M45" i="2" s="1"/>
  <c r="N45" i="2" s="1"/>
  <c r="O45" i="2" s="1"/>
  <c r="P45" i="2" s="1"/>
  <c r="Q45" i="2" s="1"/>
  <c r="R45" i="2" s="1"/>
  <c r="S45" i="2" s="1"/>
  <c r="K20" i="2"/>
  <c r="K116" i="2" l="1"/>
  <c r="O125" i="9"/>
  <c r="K76" i="2" s="1"/>
  <c r="AA98" i="9"/>
  <c r="AM25" i="7"/>
  <c r="Z101" i="9"/>
  <c r="Z105" i="9" s="1"/>
  <c r="AA103" i="9"/>
  <c r="AA99" i="9"/>
  <c r="AA100" i="9"/>
  <c r="K8" i="2" l="1"/>
  <c r="K9" i="2" s="1"/>
  <c r="J8" i="23" s="1"/>
  <c r="J14" i="23" s="1"/>
  <c r="P122" i="9"/>
  <c r="P125" i="9" s="1"/>
  <c r="L76" i="2" s="1"/>
  <c r="AB98" i="9"/>
  <c r="AM26" i="7"/>
  <c r="AN23" i="7" s="1"/>
  <c r="AN27" i="7" s="1"/>
  <c r="AA101" i="9"/>
  <c r="AA105" i="9" s="1"/>
  <c r="AB100" i="9"/>
  <c r="AB103" i="9"/>
  <c r="AB99" i="9"/>
  <c r="L8" i="2" l="1"/>
  <c r="L9" i="2" s="1"/>
  <c r="K8" i="23" s="1"/>
  <c r="K14" i="23" s="1"/>
  <c r="Q122" i="9"/>
  <c r="Q125" i="9" s="1"/>
  <c r="M76" i="2" s="1"/>
  <c r="AC98" i="9"/>
  <c r="AN25" i="7"/>
  <c r="AB101" i="9"/>
  <c r="AB105" i="9" s="1"/>
  <c r="AC103" i="9"/>
  <c r="AC99" i="9"/>
  <c r="AC100" i="9"/>
  <c r="M8" i="2" l="1"/>
  <c r="M9" i="2" s="1"/>
  <c r="L8" i="23" s="1"/>
  <c r="L14" i="23" s="1"/>
  <c r="R122" i="9"/>
  <c r="R125" i="9" s="1"/>
  <c r="N76" i="2" s="1"/>
  <c r="AD98" i="9"/>
  <c r="AN26" i="7"/>
  <c r="AO23" i="7" s="1"/>
  <c r="AO27" i="7" s="1"/>
  <c r="L105" i="2"/>
  <c r="AC101" i="9"/>
  <c r="AC105" i="9" s="1"/>
  <c r="AD100" i="9"/>
  <c r="AD99" i="9"/>
  <c r="AD103" i="9"/>
  <c r="L52" i="2" l="1"/>
  <c r="L44" i="2"/>
  <c r="N8" i="2"/>
  <c r="N9" i="2" s="1"/>
  <c r="M8" i="23" s="1"/>
  <c r="M14" i="23" s="1"/>
  <c r="S122" i="9"/>
  <c r="S125" i="9" s="1"/>
  <c r="O76" i="2" s="1"/>
  <c r="AE98" i="9"/>
  <c r="AO25" i="7"/>
  <c r="AD101" i="9"/>
  <c r="AD105" i="9" s="1"/>
  <c r="AE103" i="9"/>
  <c r="AE99" i="9"/>
  <c r="AE100" i="9"/>
  <c r="AF98" i="9"/>
  <c r="O8" i="2" l="1"/>
  <c r="O9" i="2" s="1"/>
  <c r="N8" i="23" s="1"/>
  <c r="N14" i="23" s="1"/>
  <c r="T122" i="9"/>
  <c r="T125" i="9" s="1"/>
  <c r="P76" i="2" s="1"/>
  <c r="AO26" i="7"/>
  <c r="AP23" i="7" s="1"/>
  <c r="AP27" i="7" s="1"/>
  <c r="AE101" i="9"/>
  <c r="AE105" i="9" s="1"/>
  <c r="AF100" i="9"/>
  <c r="AF99" i="9"/>
  <c r="AF103" i="9"/>
  <c r="AG98" i="9"/>
  <c r="P8" i="2" l="1"/>
  <c r="P9" i="2" s="1"/>
  <c r="O8" i="23" s="1"/>
  <c r="O14" i="23" s="1"/>
  <c r="D18" i="23" s="1"/>
  <c r="U122" i="9"/>
  <c r="U125" i="9" s="1"/>
  <c r="Q76" i="2" s="1"/>
  <c r="AP25" i="7"/>
  <c r="AF101" i="9"/>
  <c r="AF105" i="9" s="1"/>
  <c r="AG100" i="9"/>
  <c r="AG103" i="9"/>
  <c r="AG99" i="9"/>
  <c r="AH98" i="9"/>
  <c r="Q8" i="2" l="1"/>
  <c r="Q9" i="2" s="1"/>
  <c r="P8" i="23" s="1"/>
  <c r="P14" i="23" s="1"/>
  <c r="V122" i="9"/>
  <c r="V125" i="9" s="1"/>
  <c r="R76" i="2" s="1"/>
  <c r="AP26" i="7"/>
  <c r="AQ23" i="7" s="1"/>
  <c r="AQ27" i="7" s="1"/>
  <c r="AG101" i="9"/>
  <c r="AG105" i="9" s="1"/>
  <c r="AH100" i="9"/>
  <c r="AH103" i="9"/>
  <c r="AH99" i="9"/>
  <c r="AI98" i="9"/>
  <c r="R8" i="2" l="1"/>
  <c r="R9" i="2" s="1"/>
  <c r="Q8" i="23" s="1"/>
  <c r="W122" i="9"/>
  <c r="W125" i="9" s="1"/>
  <c r="S76" i="2" s="1"/>
  <c r="S8" i="2" s="1"/>
  <c r="S9" i="2" s="1"/>
  <c r="AQ25" i="7"/>
  <c r="AH101" i="9"/>
  <c r="AH105" i="9" s="1"/>
  <c r="AI99" i="9"/>
  <c r="AI100" i="9"/>
  <c r="AI103" i="9"/>
  <c r="AJ98" i="9"/>
  <c r="S12" i="2" l="1"/>
  <c r="S22" i="2" s="1"/>
  <c r="R8" i="23"/>
  <c r="R14" i="23" s="1"/>
  <c r="X122" i="9"/>
  <c r="X125" i="9" s="1"/>
  <c r="Y122" i="9" s="1"/>
  <c r="Y125" i="9" s="1"/>
  <c r="AQ26" i="7"/>
  <c r="AR23" i="7" s="1"/>
  <c r="AR27" i="7" s="1"/>
  <c r="AI101" i="9"/>
  <c r="AI105" i="9" s="1"/>
  <c r="AJ99" i="9"/>
  <c r="AJ103" i="9"/>
  <c r="AJ100" i="9"/>
  <c r="AK98" i="9"/>
  <c r="Z122" i="9" l="1"/>
  <c r="Z125" i="9" s="1"/>
  <c r="AR25" i="7"/>
  <c r="AJ101" i="9"/>
  <c r="AJ105" i="9" s="1"/>
  <c r="AK103" i="9"/>
  <c r="AK100" i="9"/>
  <c r="AK99" i="9"/>
  <c r="AL98" i="9"/>
  <c r="AA122" i="9" l="1"/>
  <c r="AA125" i="9" s="1"/>
  <c r="AR26" i="7"/>
  <c r="AS23" i="7" s="1"/>
  <c r="AS27" i="7" s="1"/>
  <c r="M105" i="2"/>
  <c r="AK101" i="9"/>
  <c r="AK105" i="9" s="1"/>
  <c r="AL100" i="9"/>
  <c r="AL99" i="9"/>
  <c r="AL103" i="9"/>
  <c r="AM98" i="9"/>
  <c r="M52" i="2" l="1"/>
  <c r="M44" i="2"/>
  <c r="AB122" i="9"/>
  <c r="AB125" i="9" s="1"/>
  <c r="AS25" i="7"/>
  <c r="AL101" i="9"/>
  <c r="AL105" i="9" s="1"/>
  <c r="AM99" i="9"/>
  <c r="AM103" i="9"/>
  <c r="AM100" i="9"/>
  <c r="AN98" i="9"/>
  <c r="AC122" i="9" l="1"/>
  <c r="AC125" i="9" s="1"/>
  <c r="AS26" i="7"/>
  <c r="AT23" i="7" s="1"/>
  <c r="AT27" i="7" s="1"/>
  <c r="AM101" i="9"/>
  <c r="AM105" i="9" s="1"/>
  <c r="AN99" i="9"/>
  <c r="AO99" i="9"/>
  <c r="AN103" i="9"/>
  <c r="AO103" i="9"/>
  <c r="AN100" i="9"/>
  <c r="AO100" i="9"/>
  <c r="AD122" i="9" l="1"/>
  <c r="AD125" i="9" s="1"/>
  <c r="AT25" i="7"/>
  <c r="AN101" i="9"/>
  <c r="AN105" i="9" s="1"/>
  <c r="AO98" i="9"/>
  <c r="AO101" i="9" s="1"/>
  <c r="AO105" i="9" s="1"/>
  <c r="AE122" i="9" l="1"/>
  <c r="AE125" i="9" s="1"/>
  <c r="AT26" i="7"/>
  <c r="AU23" i="7" s="1"/>
  <c r="AU27" i="7" s="1"/>
  <c r="AF122" i="9" l="1"/>
  <c r="AF125" i="9" s="1"/>
  <c r="AG122" i="9" s="1"/>
  <c r="AG125" i="9" s="1"/>
  <c r="AU25" i="7"/>
  <c r="AU26" i="7" l="1"/>
  <c r="AV23" i="7" s="1"/>
  <c r="AV27" i="7" s="1"/>
  <c r="AH122" i="9"/>
  <c r="AH125" i="9" s="1"/>
  <c r="AV25" i="7" l="1"/>
  <c r="AI122" i="9"/>
  <c r="AI125" i="9" s="1"/>
  <c r="AV26" i="7" l="1"/>
  <c r="AW23" i="7" s="1"/>
  <c r="AW27" i="7" s="1"/>
  <c r="N105" i="2"/>
  <c r="AJ122" i="9"/>
  <c r="AJ125" i="9" s="1"/>
  <c r="N44" i="2" l="1"/>
  <c r="N52" i="2"/>
  <c r="AW25" i="7"/>
  <c r="AK122" i="9"/>
  <c r="AK125" i="9" s="1"/>
  <c r="AW26" i="7" l="1"/>
  <c r="AX23" i="7" s="1"/>
  <c r="AX27" i="7" s="1"/>
  <c r="AL122" i="9"/>
  <c r="AL125" i="9" s="1"/>
  <c r="AX25" i="7" l="1"/>
  <c r="AM122" i="9"/>
  <c r="AM125" i="9" s="1"/>
  <c r="AX26" i="7" l="1"/>
  <c r="AY23" i="7" s="1"/>
  <c r="AY27" i="7" s="1"/>
  <c r="AN122" i="9"/>
  <c r="AN125" i="9" s="1"/>
  <c r="AY25" i="7" l="1"/>
  <c r="AO122" i="9"/>
  <c r="AO125" i="9" s="1"/>
  <c r="AY26" i="7" l="1"/>
  <c r="AZ23" i="7" s="1"/>
  <c r="AZ27" i="7" s="1"/>
  <c r="AZ25" i="7" l="1"/>
  <c r="AZ26" i="7" l="1"/>
  <c r="BA23" i="7" s="1"/>
  <c r="BA27" i="7" s="1"/>
  <c r="O105" i="2"/>
  <c r="O52" i="2" l="1"/>
  <c r="O44" i="2"/>
  <c r="BA25" i="7"/>
  <c r="BA26" i="7" s="1"/>
  <c r="A27" i="7"/>
  <c r="H84" i="9" l="1"/>
  <c r="A25" i="7"/>
  <c r="P105" i="2"/>
  <c r="P44" i="2" s="1"/>
  <c r="Q44" i="2" s="1"/>
  <c r="R44" i="2" s="1"/>
  <c r="S44" i="2" s="1"/>
  <c r="P52" i="2" l="1"/>
  <c r="I10" i="7"/>
  <c r="Q52" i="2" l="1"/>
  <c r="P49" i="2"/>
  <c r="I31" i="7"/>
  <c r="R52" i="2" l="1"/>
  <c r="Q49" i="2"/>
  <c r="J10" i="7"/>
  <c r="S52" i="2" l="1"/>
  <c r="J31" i="7"/>
  <c r="D80" i="2" l="1"/>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H22" i="2" s="1"/>
  <c r="F11" i="7" l="1"/>
  <c r="F12" i="7" s="1"/>
  <c r="G9" i="7" s="1"/>
  <c r="G13" i="7" s="1"/>
  <c r="E31" i="7"/>
  <c r="E32" i="7"/>
  <c r="E34" i="7"/>
  <c r="E35" i="7" s="1"/>
  <c r="I12" i="2"/>
  <c r="I22" i="2" s="1"/>
  <c r="J12" i="2"/>
  <c r="J22" i="2" s="1"/>
  <c r="J77" i="2"/>
  <c r="E19" i="7" l="1"/>
  <c r="E33" i="7" s="1"/>
  <c r="K77" i="2"/>
  <c r="K12" i="2"/>
  <c r="K22" i="2" s="1"/>
  <c r="G11" i="7"/>
  <c r="G12" i="7" s="1"/>
  <c r="F16" i="7" l="1"/>
  <c r="F20" i="7" s="1"/>
  <c r="L12" i="2"/>
  <c r="L22" i="2" s="1"/>
  <c r="L77" i="2"/>
  <c r="H9" i="7"/>
  <c r="H13" i="7" s="1"/>
  <c r="F30" i="7" l="1"/>
  <c r="F34" i="7"/>
  <c r="F32" i="7"/>
  <c r="M77" i="2"/>
  <c r="M12" i="2"/>
  <c r="M22" i="2" s="1"/>
  <c r="H11" i="7"/>
  <c r="H12" i="7" s="1"/>
  <c r="F35" i="7" l="1"/>
  <c r="F19" i="7"/>
  <c r="N12" i="2"/>
  <c r="N22" i="2" s="1"/>
  <c r="N77" i="2"/>
  <c r="I9" i="7"/>
  <c r="I13" i="7" s="1"/>
  <c r="G16" i="7" l="1"/>
  <c r="G20" i="7" s="1"/>
  <c r="F33" i="7"/>
  <c r="O77" i="2"/>
  <c r="O12" i="2"/>
  <c r="O22" i="2" s="1"/>
  <c r="I11" i="7"/>
  <c r="I12" i="7" s="1"/>
  <c r="G34" i="7" l="1"/>
  <c r="G30" i="7"/>
  <c r="P12" i="2"/>
  <c r="P22" i="2" s="1"/>
  <c r="P77" i="2"/>
  <c r="J9" i="7"/>
  <c r="J13" i="7" s="1"/>
  <c r="G35" i="7" l="1"/>
  <c r="G19" i="7"/>
  <c r="G32" i="7"/>
  <c r="Q12" i="2"/>
  <c r="Q22" i="2" s="1"/>
  <c r="Q77" i="2"/>
  <c r="J11" i="7"/>
  <c r="H16" i="7" l="1"/>
  <c r="H20" i="7" s="1"/>
  <c r="G33" i="7"/>
  <c r="R77" i="2"/>
  <c r="S77" i="2" s="1"/>
  <c r="R12" i="2"/>
  <c r="R22"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AL12" i="9" l="1"/>
  <c r="AK12" i="9"/>
  <c r="AH12" i="9"/>
  <c r="AN12" i="9"/>
  <c r="AG12" i="9"/>
  <c r="AJ12" i="9"/>
  <c r="AO12" i="9"/>
  <c r="AM12" i="9"/>
  <c r="AI12" i="9"/>
  <c r="AF12" i="9"/>
  <c r="AF63" i="9" l="1"/>
  <c r="AF24" i="9"/>
  <c r="AO63" i="9"/>
  <c r="AO24" i="9"/>
  <c r="AM24" i="9"/>
  <c r="AM63" i="9"/>
  <c r="AJ24" i="9"/>
  <c r="AJ63" i="9"/>
  <c r="AH24" i="9"/>
  <c r="AH63" i="9"/>
  <c r="AG63" i="9"/>
  <c r="AG24" i="9"/>
  <c r="AK63" i="9"/>
  <c r="AK24" i="9"/>
  <c r="AL24" i="9"/>
  <c r="AL63" i="9"/>
  <c r="AI24" i="9"/>
  <c r="AI63" i="9"/>
  <c r="AN24" i="9"/>
  <c r="AN63" i="9"/>
  <c r="AF11" i="9" l="1"/>
  <c r="AF17" i="9" s="1"/>
  <c r="AF18" i="9" s="1"/>
  <c r="AG11" i="9"/>
  <c r="AG17" i="9" s="1"/>
  <c r="AG23" i="9" s="1"/>
  <c r="AG25" i="9" s="1"/>
  <c r="AH11" i="9"/>
  <c r="AH41" i="9" s="1"/>
  <c r="AI11" i="9"/>
  <c r="AI17" i="9" s="1"/>
  <c r="AJ11" i="9"/>
  <c r="AJ17" i="9" s="1"/>
  <c r="AJ18" i="9" s="1"/>
  <c r="AK11" i="9"/>
  <c r="AK17" i="9" s="1"/>
  <c r="AK23" i="9" s="1"/>
  <c r="AK25" i="9" s="1"/>
  <c r="AK30" i="9" s="1"/>
  <c r="AL11" i="9"/>
  <c r="AL17" i="9" s="1"/>
  <c r="AL18" i="9" s="1"/>
  <c r="AM11" i="9"/>
  <c r="AM17" i="9" s="1"/>
  <c r="AM23" i="9" s="1"/>
  <c r="AM25" i="9" s="1"/>
  <c r="AN11" i="9"/>
  <c r="AN17" i="9" s="1"/>
  <c r="AN18" i="9" s="1"/>
  <c r="AO11" i="9"/>
  <c r="AO17" i="9" s="1"/>
  <c r="AO23" i="9" s="1"/>
  <c r="AO25" i="9" s="1"/>
  <c r="AH17" i="9" l="1"/>
  <c r="AH18" i="9" s="1"/>
  <c r="AJ41" i="9"/>
  <c r="AK41" i="9"/>
  <c r="AF41" i="9"/>
  <c r="AN41" i="9"/>
  <c r="AJ23" i="9"/>
  <c r="AJ25" i="9" s="1"/>
  <c r="AJ29" i="9" s="1"/>
  <c r="AG18" i="9"/>
  <c r="AL41" i="9"/>
  <c r="AN23" i="9"/>
  <c r="AN25" i="9" s="1"/>
  <c r="AN30" i="9" s="1"/>
  <c r="AF23" i="9"/>
  <c r="AF25" i="9" s="1"/>
  <c r="AO18" i="9"/>
  <c r="AG41" i="9"/>
  <c r="AO41" i="9"/>
  <c r="AL23" i="9"/>
  <c r="AL25" i="9" s="1"/>
  <c r="AK18" i="9"/>
  <c r="AM29" i="9"/>
  <c r="AM30" i="9"/>
  <c r="AM32" i="9" s="1"/>
  <c r="AM33" i="9" s="1"/>
  <c r="AI23" i="9"/>
  <c r="AI25" i="9" s="1"/>
  <c r="AI18" i="9"/>
  <c r="AO29" i="9"/>
  <c r="AO30" i="9"/>
  <c r="AO32" i="9" s="1"/>
  <c r="AO33" i="9" s="1"/>
  <c r="AH23" i="9"/>
  <c r="AH25" i="9" s="1"/>
  <c r="AM41" i="9"/>
  <c r="AI41" i="9"/>
  <c r="AG29" i="9"/>
  <c r="AG30" i="9"/>
  <c r="AG32" i="9" s="1"/>
  <c r="AG33" i="9" s="1"/>
  <c r="AM18" i="9"/>
  <c r="AK32" i="9"/>
  <c r="AK33" i="9" s="1"/>
  <c r="AK29" i="9"/>
  <c r="AJ30" i="9" l="1"/>
  <c r="AJ32" i="9" s="1"/>
  <c r="AJ33" i="9" s="1"/>
  <c r="AN29" i="9"/>
  <c r="AN32" i="9"/>
  <c r="AN33" i="9" s="1"/>
  <c r="AF30" i="9"/>
  <c r="AF32" i="9" s="1"/>
  <c r="AF33" i="9" s="1"/>
  <c r="AF29" i="9"/>
  <c r="AL30" i="9"/>
  <c r="AL32" i="9" s="1"/>
  <c r="AL33" i="9" s="1"/>
  <c r="AL29" i="9"/>
  <c r="AI29" i="9"/>
  <c r="AI30" i="9"/>
  <c r="AI32" i="9" s="1"/>
  <c r="AI33" i="9" s="1"/>
  <c r="AH30" i="9"/>
  <c r="AH32" i="9" s="1"/>
  <c r="AH33" i="9" s="1"/>
  <c r="AH29" i="9"/>
  <c r="I24" i="9" l="1"/>
  <c r="I63" i="9"/>
  <c r="I42" i="9"/>
  <c r="I64" i="9"/>
  <c r="I91" i="9" l="1"/>
  <c r="I65" i="9"/>
  <c r="I84" i="9" l="1"/>
  <c r="J81" i="9" s="1"/>
  <c r="I66" i="9"/>
  <c r="S53" i="9" l="1"/>
  <c r="T53" i="9"/>
  <c r="R53" i="9"/>
  <c r="Q53" i="9"/>
  <c r="P53" i="9"/>
  <c r="O53" i="9"/>
  <c r="N53" i="9"/>
  <c r="M53" i="9"/>
  <c r="K53" i="9"/>
  <c r="L53" i="9"/>
  <c r="Z11" i="9"/>
  <c r="Z17" i="9" s="1"/>
  <c r="X11" i="9"/>
  <c r="X17" i="9" s="1"/>
  <c r="AB11" i="9"/>
  <c r="Y11" i="9"/>
  <c r="Y17" i="9" s="1"/>
  <c r="AE11" i="9"/>
  <c r="AE41" i="9" s="1"/>
  <c r="AC11" i="9"/>
  <c r="AC41" i="9" s="1"/>
  <c r="AA11" i="9"/>
  <c r="AA41" i="9" s="1"/>
  <c r="AB12" i="9"/>
  <c r="AB63" i="9" s="1"/>
  <c r="AC12" i="9"/>
  <c r="AC63" i="9" s="1"/>
  <c r="AD12" i="9"/>
  <c r="AD63" i="9" s="1"/>
  <c r="Y12" i="9"/>
  <c r="AA12" i="9"/>
  <c r="AA63" i="9" s="1"/>
  <c r="X12" i="9"/>
  <c r="X63" i="9" s="1"/>
  <c r="AD11" i="9"/>
  <c r="AD41" i="9" s="1"/>
  <c r="Z12" i="9"/>
  <c r="Z63" i="9" s="1"/>
  <c r="AE12" i="9"/>
  <c r="AE63" i="9" s="1"/>
  <c r="AB24" i="9" l="1"/>
  <c r="Z24" i="9"/>
  <c r="AA17" i="9"/>
  <c r="X41" i="9"/>
  <c r="AA24" i="9"/>
  <c r="AC24" i="9"/>
  <c r="AE17" i="9"/>
  <c r="AE23" i="9" s="1"/>
  <c r="Y23" i="9"/>
  <c r="Y18" i="9"/>
  <c r="AD17" i="9"/>
  <c r="X24" i="9"/>
  <c r="AE24" i="9"/>
  <c r="Y63" i="9"/>
  <c r="Y24" i="9"/>
  <c r="AD24" i="9"/>
  <c r="AB17" i="9"/>
  <c r="AB41" i="9"/>
  <c r="AC17" i="9"/>
  <c r="X23" i="9"/>
  <c r="X18" i="9"/>
  <c r="Y41" i="9"/>
  <c r="Z23" i="9"/>
  <c r="Z18" i="9"/>
  <c r="Z41" i="9"/>
  <c r="Z25" i="9" l="1"/>
  <c r="AE25" i="9"/>
  <c r="AE29" i="9" s="1"/>
  <c r="AA23" i="9"/>
  <c r="AA25" i="9" s="1"/>
  <c r="AA29" i="9" s="1"/>
  <c r="AA18" i="9"/>
  <c r="X25" i="9"/>
  <c r="X30" i="9" s="1"/>
  <c r="X32" i="9" s="1"/>
  <c r="X33" i="9" s="1"/>
  <c r="AE18" i="9"/>
  <c r="AD23" i="9"/>
  <c r="AD25" i="9" s="1"/>
  <c r="AD18" i="9"/>
  <c r="AC23" i="9"/>
  <c r="AC25" i="9" s="1"/>
  <c r="AC18" i="9"/>
  <c r="Z29" i="9"/>
  <c r="Z30" i="9"/>
  <c r="Z32" i="9" s="1"/>
  <c r="Z33" i="9" s="1"/>
  <c r="AE30" i="9"/>
  <c r="AE32" i="9" s="1"/>
  <c r="AE33" i="9" s="1"/>
  <c r="AB23" i="9"/>
  <c r="AB25" i="9" s="1"/>
  <c r="AB18" i="9"/>
  <c r="Y25" i="9"/>
  <c r="X29" i="9" l="1"/>
  <c r="AA30" i="9"/>
  <c r="AA32" i="9" s="1"/>
  <c r="AA33" i="9" s="1"/>
  <c r="AD30" i="9"/>
  <c r="AD32" i="9" s="1"/>
  <c r="AD33" i="9" s="1"/>
  <c r="AD29" i="9"/>
  <c r="AC30" i="9"/>
  <c r="AC32" i="9" s="1"/>
  <c r="AC33" i="9" s="1"/>
  <c r="AC29" i="9"/>
  <c r="Y29" i="9"/>
  <c r="Y30" i="9"/>
  <c r="Y32" i="9" s="1"/>
  <c r="Y33" i="9" s="1"/>
  <c r="AB30" i="9"/>
  <c r="AB32" i="9" s="1"/>
  <c r="AB33" i="9" s="1"/>
  <c r="AB29" i="9"/>
  <c r="F12" i="2"/>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T7" i="7" s="1"/>
  <c r="U7" i="7" s="1"/>
  <c r="AE78" i="9"/>
  <c r="AB78" i="9"/>
  <c r="AO78" i="9"/>
  <c r="AI78" i="9"/>
  <c r="AG78" i="9"/>
  <c r="AD78" i="9"/>
  <c r="AC78" i="9"/>
  <c r="AM78" i="9"/>
  <c r="R78" i="9"/>
  <c r="AJ78" i="9"/>
  <c r="AH78" i="9"/>
  <c r="AA78" i="9"/>
  <c r="X78" i="9"/>
  <c r="Z78" i="9"/>
  <c r="Y78" i="9"/>
  <c r="AK78" i="9"/>
  <c r="W78" i="9"/>
  <c r="S78" i="9"/>
  <c r="AN78" i="9"/>
  <c r="M78" i="9"/>
  <c r="L78" i="9"/>
  <c r="Q78" i="9"/>
  <c r="K78" i="9"/>
  <c r="V78" i="9"/>
  <c r="AL78" i="9"/>
  <c r="N78" i="9"/>
  <c r="AF78" i="9"/>
  <c r="U78" i="9"/>
  <c r="P78" i="9"/>
  <c r="J78" i="9"/>
  <c r="J75" i="9" s="1"/>
  <c r="O78" i="9"/>
  <c r="T78" i="9"/>
  <c r="J90" i="9" l="1"/>
  <c r="U9" i="7"/>
  <c r="J89" i="9"/>
  <c r="J82" i="9"/>
  <c r="T16" i="7"/>
  <c r="S33" i="7"/>
  <c r="S35" i="7"/>
  <c r="K12" i="9" l="1"/>
  <c r="K24" i="9" s="1"/>
  <c r="U12" i="7"/>
  <c r="U13" i="7"/>
  <c r="T20" i="7"/>
  <c r="T34" i="7" s="1"/>
  <c r="T19" i="7"/>
  <c r="T30" i="7"/>
  <c r="AG86" i="9"/>
  <c r="AA86" i="9"/>
  <c r="V86" i="9"/>
  <c r="AF86" i="9"/>
  <c r="AO86" i="9"/>
  <c r="O86" i="9"/>
  <c r="AL86" i="9"/>
  <c r="AN86" i="9"/>
  <c r="AE86" i="9"/>
  <c r="AJ86" i="9"/>
  <c r="AC86" i="9"/>
  <c r="R86" i="9"/>
  <c r="Z86" i="9"/>
  <c r="X86" i="9"/>
  <c r="N86" i="9"/>
  <c r="J86" i="9"/>
  <c r="AI86" i="9"/>
  <c r="S86" i="9"/>
  <c r="Q86" i="9"/>
  <c r="AK86" i="9"/>
  <c r="AB86" i="9"/>
  <c r="M86" i="9"/>
  <c r="AD86" i="9"/>
  <c r="W86" i="9"/>
  <c r="T86" i="9"/>
  <c r="Y86" i="9"/>
  <c r="L86" i="9"/>
  <c r="P86" i="9"/>
  <c r="AH86" i="9"/>
  <c r="U86" i="9"/>
  <c r="AM86" i="9"/>
  <c r="J91" i="9"/>
  <c r="K89" i="9"/>
  <c r="J12" i="9"/>
  <c r="K90" i="9"/>
  <c r="K63" i="9" l="1"/>
  <c r="K13" i="9"/>
  <c r="J83" i="9"/>
  <c r="J84" i="9" s="1"/>
  <c r="K81" i="9" s="1"/>
  <c r="V9" i="7"/>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V14" i="7" s="1"/>
  <c r="N89" i="9"/>
  <c r="F42" i="2"/>
  <c r="U35" i="7"/>
  <c r="K84" i="9" l="1"/>
  <c r="L81" i="9" s="1"/>
  <c r="L72" i="9"/>
  <c r="K65" i="9"/>
  <c r="O89" i="9"/>
  <c r="W9" i="7"/>
  <c r="V20" i="7"/>
  <c r="V34" i="7" s="1"/>
  <c r="V32" i="7"/>
  <c r="V19" i="7"/>
  <c r="W16" i="7" s="1"/>
  <c r="V30" i="7"/>
  <c r="AN74" i="9" l="1"/>
  <c r="AJ74" i="9"/>
  <c r="AB74" i="9"/>
  <c r="T74" i="9"/>
  <c r="P25" i="2" s="1"/>
  <c r="AF74" i="9"/>
  <c r="AE74" i="9"/>
  <c r="Q74" i="9"/>
  <c r="M25" i="2" s="1"/>
  <c r="U74" i="9"/>
  <c r="Q25" i="2" s="1"/>
  <c r="AO74" i="9"/>
  <c r="V74" i="9"/>
  <c r="R25" i="2" s="1"/>
  <c r="P74" i="9"/>
  <c r="L25" i="2" s="1"/>
  <c r="M74" i="9"/>
  <c r="I25" i="2" s="1"/>
  <c r="AL74" i="9"/>
  <c r="AM74" i="9"/>
  <c r="L74" i="9"/>
  <c r="L75" i="9" s="1"/>
  <c r="M72" i="9" s="1"/>
  <c r="AA74" i="9"/>
  <c r="AK74" i="9"/>
  <c r="O74" i="9"/>
  <c r="K25" i="2" s="1"/>
  <c r="X74" i="9"/>
  <c r="AI74" i="9"/>
  <c r="S74" i="9"/>
  <c r="O25" i="2" s="1"/>
  <c r="Y74" i="9"/>
  <c r="AG74" i="9"/>
  <c r="W74" i="9"/>
  <c r="S25" i="2" s="1"/>
  <c r="AC74" i="9"/>
  <c r="Z74" i="9"/>
  <c r="N74" i="9"/>
  <c r="J25" i="2" s="1"/>
  <c r="AH74" i="9"/>
  <c r="AD74" i="9"/>
  <c r="R74" i="9"/>
  <c r="N25" i="2" s="1"/>
  <c r="AO83" i="9"/>
  <c r="AO13" i="9" s="1"/>
  <c r="R83" i="9"/>
  <c r="R13" i="9" s="1"/>
  <c r="P83" i="9"/>
  <c r="P13" i="9" s="1"/>
  <c r="AB83" i="9"/>
  <c r="AB13" i="9" s="1"/>
  <c r="W83" i="9"/>
  <c r="W13" i="9" s="1"/>
  <c r="AG83" i="9"/>
  <c r="AG13" i="9" s="1"/>
  <c r="AF83" i="9"/>
  <c r="AF13" i="9" s="1"/>
  <c r="AA83" i="9"/>
  <c r="AA13" i="9" s="1"/>
  <c r="L83" i="9"/>
  <c r="V83" i="9"/>
  <c r="V13" i="9" s="1"/>
  <c r="O83" i="9"/>
  <c r="O13" i="9" s="1"/>
  <c r="U83" i="9"/>
  <c r="U13" i="9" s="1"/>
  <c r="S83" i="9"/>
  <c r="S13" i="9" s="1"/>
  <c r="AC83" i="9"/>
  <c r="AC13" i="9" s="1"/>
  <c r="AM83" i="9"/>
  <c r="AM13" i="9" s="1"/>
  <c r="AD83" i="9"/>
  <c r="AD13" i="9" s="1"/>
  <c r="AH83" i="9"/>
  <c r="AH13" i="9" s="1"/>
  <c r="T83" i="9"/>
  <c r="T13" i="9" s="1"/>
  <c r="Y83" i="9"/>
  <c r="Y13" i="9" s="1"/>
  <c r="AK83" i="9"/>
  <c r="AK13" i="9" s="1"/>
  <c r="AI83" i="9"/>
  <c r="AI13" i="9" s="1"/>
  <c r="AJ83" i="9"/>
  <c r="AJ13" i="9" s="1"/>
  <c r="N83" i="9"/>
  <c r="N13" i="9" s="1"/>
  <c r="AL83" i="9"/>
  <c r="AL13" i="9" s="1"/>
  <c r="AN83" i="9"/>
  <c r="AN13" i="9" s="1"/>
  <c r="X83" i="9"/>
  <c r="X13" i="9" s="1"/>
  <c r="Q83" i="9"/>
  <c r="Q13" i="9" s="1"/>
  <c r="AE83" i="9"/>
  <c r="AE13" i="9" s="1"/>
  <c r="Z83" i="9"/>
  <c r="Z13" i="9" s="1"/>
  <c r="M83" i="9"/>
  <c r="M13" i="9" s="1"/>
  <c r="K66" i="9"/>
  <c r="W11" i="7"/>
  <c r="W12" i="7" s="1"/>
  <c r="W30" i="7"/>
  <c r="W13" i="7"/>
  <c r="V33" i="7"/>
  <c r="W20" i="7"/>
  <c r="W19" i="7"/>
  <c r="X16" i="7" s="1"/>
  <c r="V35" i="7"/>
  <c r="P89" i="9"/>
  <c r="K17" i="29" l="1"/>
  <c r="K19" i="26"/>
  <c r="M75" i="9"/>
  <c r="N72" i="9" s="1"/>
  <c r="N75" i="9" s="1"/>
  <c r="O72" i="9" s="1"/>
  <c r="O75" i="9" s="1"/>
  <c r="P72" i="9" s="1"/>
  <c r="P75" i="9" s="1"/>
  <c r="Q72" i="9" s="1"/>
  <c r="Q75" i="9" s="1"/>
  <c r="R72" i="9" s="1"/>
  <c r="R75" i="9" s="1"/>
  <c r="S72" i="9" s="1"/>
  <c r="G17" i="29"/>
  <c r="G19" i="26"/>
  <c r="H17" i="29"/>
  <c r="H19" i="26"/>
  <c r="L17" i="29"/>
  <c r="L19" i="26"/>
  <c r="I19" i="26"/>
  <c r="I17" i="29"/>
  <c r="F19" i="26"/>
  <c r="F17" i="29"/>
  <c r="M19" i="26"/>
  <c r="M17" i="29"/>
  <c r="D17" i="29"/>
  <c r="D19" i="26"/>
  <c r="E17" i="29"/>
  <c r="E19" i="26"/>
  <c r="J19" i="26"/>
  <c r="J17" i="29"/>
  <c r="AL64" i="9"/>
  <c r="AL42" i="9"/>
  <c r="AL43" i="9" s="1"/>
  <c r="AD64" i="9"/>
  <c r="AD42" i="9"/>
  <c r="AD43" i="9" s="1"/>
  <c r="AA42" i="9"/>
  <c r="AA43" i="9" s="1"/>
  <c r="AA64" i="9"/>
  <c r="N85" i="2"/>
  <c r="R12" i="9"/>
  <c r="N64" i="9"/>
  <c r="N42" i="9"/>
  <c r="AM64" i="9"/>
  <c r="AM42" i="9"/>
  <c r="AM43" i="9" s="1"/>
  <c r="AF42" i="9"/>
  <c r="AF43" i="9" s="1"/>
  <c r="AF64" i="9"/>
  <c r="S12" i="9"/>
  <c r="O85" i="2"/>
  <c r="M64" i="9"/>
  <c r="M42" i="9"/>
  <c r="AJ64" i="9"/>
  <c r="AJ42" i="9"/>
  <c r="AJ43" i="9" s="1"/>
  <c r="AC64" i="9"/>
  <c r="AC42" i="9"/>
  <c r="AC43" i="9" s="1"/>
  <c r="AG42" i="9"/>
  <c r="AG43" i="9" s="1"/>
  <c r="AG64" i="9"/>
  <c r="M12" i="9"/>
  <c r="I85" i="2"/>
  <c r="P85" i="2"/>
  <c r="T12" i="9"/>
  <c r="AI42" i="9"/>
  <c r="AI43" i="9" s="1"/>
  <c r="AI64" i="9"/>
  <c r="S42" i="9"/>
  <c r="S64" i="9"/>
  <c r="W64" i="9"/>
  <c r="W42" i="9"/>
  <c r="N12" i="9"/>
  <c r="J85" i="2"/>
  <c r="P12" i="9"/>
  <c r="L85" i="2"/>
  <c r="AK42" i="9"/>
  <c r="AK43" i="9" s="1"/>
  <c r="AK64" i="9"/>
  <c r="U64" i="9"/>
  <c r="U42" i="9"/>
  <c r="AB42" i="9"/>
  <c r="AB43" i="9" s="1"/>
  <c r="AB64" i="9"/>
  <c r="K85" i="2"/>
  <c r="O12" i="9"/>
  <c r="V12" i="9"/>
  <c r="R85" i="2"/>
  <c r="R29" i="2"/>
  <c r="V11" i="9" s="1"/>
  <c r="AE64" i="9"/>
  <c r="AE42" i="9"/>
  <c r="AE43" i="9" s="1"/>
  <c r="Q42" i="9"/>
  <c r="Q64" i="9"/>
  <c r="Y42" i="9"/>
  <c r="Y43" i="9" s="1"/>
  <c r="Y64" i="9"/>
  <c r="O64" i="9"/>
  <c r="O42" i="9"/>
  <c r="P42" i="9"/>
  <c r="P64" i="9"/>
  <c r="Z42" i="9"/>
  <c r="Z43" i="9" s="1"/>
  <c r="Z64" i="9"/>
  <c r="T64" i="9"/>
  <c r="T42" i="9"/>
  <c r="V64" i="9"/>
  <c r="V42" i="9"/>
  <c r="R42" i="9"/>
  <c r="R64" i="9"/>
  <c r="S85" i="2"/>
  <c r="S29" i="2"/>
  <c r="W11" i="9" s="1"/>
  <c r="W12" i="9"/>
  <c r="Q29" i="2"/>
  <c r="U11" i="9" s="1"/>
  <c r="Q85" i="2"/>
  <c r="U12" i="9"/>
  <c r="X64" i="9"/>
  <c r="X42" i="9"/>
  <c r="X43" i="9" s="1"/>
  <c r="AN64" i="9"/>
  <c r="AN42" i="9"/>
  <c r="AN43" i="9" s="1"/>
  <c r="AH42" i="9"/>
  <c r="AH43" i="9" s="1"/>
  <c r="AH64" i="9"/>
  <c r="L13" i="9"/>
  <c r="L84" i="9"/>
  <c r="M81" i="9" s="1"/>
  <c r="M84" i="9" s="1"/>
  <c r="N81" i="9" s="1"/>
  <c r="N84" i="9" s="1"/>
  <c r="O81" i="9" s="1"/>
  <c r="O84" i="9" s="1"/>
  <c r="P81" i="9" s="1"/>
  <c r="P84" i="9" s="1"/>
  <c r="Q81" i="9" s="1"/>
  <c r="AO64" i="9"/>
  <c r="AO42" i="9"/>
  <c r="AO43" i="9" s="1"/>
  <c r="H25" i="2"/>
  <c r="L90" i="9"/>
  <c r="M85" i="2"/>
  <c r="Q12" i="9"/>
  <c r="W33" i="7"/>
  <c r="X9" i="7"/>
  <c r="X20" i="7"/>
  <c r="X19" i="7"/>
  <c r="Y16" i="7" s="1"/>
  <c r="W34" i="7"/>
  <c r="Q89" i="9"/>
  <c r="W32" i="7"/>
  <c r="J21" i="26" l="1"/>
  <c r="J32" i="26" s="1"/>
  <c r="J25" i="26"/>
  <c r="L25" i="29"/>
  <c r="L19" i="29"/>
  <c r="L23" i="29" s="1"/>
  <c r="L31" i="29" s="1"/>
  <c r="E21" i="26"/>
  <c r="E32" i="26" s="1"/>
  <c r="E25" i="26"/>
  <c r="M25" i="29"/>
  <c r="M19" i="29"/>
  <c r="M23" i="29" s="1"/>
  <c r="M31" i="29" s="1"/>
  <c r="I25" i="29"/>
  <c r="I19" i="29"/>
  <c r="I23" i="29" s="1"/>
  <c r="I31" i="29" s="1"/>
  <c r="H21" i="26"/>
  <c r="H32" i="26" s="1"/>
  <c r="H25" i="26"/>
  <c r="D25" i="29"/>
  <c r="D19" i="29"/>
  <c r="D23" i="29" s="1"/>
  <c r="D31" i="29" s="1"/>
  <c r="G25" i="29"/>
  <c r="G19" i="29"/>
  <c r="G23" i="29" s="1"/>
  <c r="G31" i="29" s="1"/>
  <c r="E25" i="29"/>
  <c r="E19" i="29"/>
  <c r="E23" i="29" s="1"/>
  <c r="E31" i="29" s="1"/>
  <c r="M25" i="26"/>
  <c r="M21" i="26"/>
  <c r="M32" i="26" s="1"/>
  <c r="I25" i="26"/>
  <c r="I21" i="26"/>
  <c r="I32" i="26" s="1"/>
  <c r="H25" i="29"/>
  <c r="H19" i="29"/>
  <c r="H23" i="29" s="1"/>
  <c r="H31" i="29" s="1"/>
  <c r="K21" i="26"/>
  <c r="K32" i="26" s="1"/>
  <c r="K25" i="26"/>
  <c r="F21" i="26"/>
  <c r="F32" i="26" s="1"/>
  <c r="F25" i="26"/>
  <c r="C19" i="26"/>
  <c r="C17" i="29"/>
  <c r="J25" i="29"/>
  <c r="J19" i="29"/>
  <c r="J23" i="29" s="1"/>
  <c r="J31" i="29" s="1"/>
  <c r="D25" i="26"/>
  <c r="D21" i="26"/>
  <c r="D32" i="26" s="1"/>
  <c r="F25" i="29"/>
  <c r="F19" i="29"/>
  <c r="F23" i="29" s="1"/>
  <c r="F31" i="29" s="1"/>
  <c r="L21" i="26"/>
  <c r="L32" i="26" s="1"/>
  <c r="L25" i="26"/>
  <c r="G25" i="26"/>
  <c r="G21" i="26"/>
  <c r="G32" i="26" s="1"/>
  <c r="K25" i="29"/>
  <c r="K19" i="29"/>
  <c r="K23" i="29" s="1"/>
  <c r="K31" i="29" s="1"/>
  <c r="U17" i="9"/>
  <c r="U41" i="9"/>
  <c r="U43" i="9" s="1"/>
  <c r="V63" i="9"/>
  <c r="V24" i="9"/>
  <c r="AK48" i="9"/>
  <c r="AK49" i="9" s="1"/>
  <c r="AK50" i="9" s="1"/>
  <c r="AK53" i="9" s="1"/>
  <c r="AK47" i="9"/>
  <c r="AG47" i="9"/>
  <c r="AG48" i="9"/>
  <c r="AG49" i="9" s="1"/>
  <c r="AG50" i="9" s="1"/>
  <c r="AG53" i="9" s="1"/>
  <c r="S24" i="9"/>
  <c r="S63" i="9"/>
  <c r="O63" i="9"/>
  <c r="O24" i="9"/>
  <c r="AC47" i="9"/>
  <c r="AC48" i="9"/>
  <c r="AC49" i="9" s="1"/>
  <c r="AC50" i="9" s="1"/>
  <c r="AC53" i="9" s="1"/>
  <c r="Q24" i="9"/>
  <c r="Q63" i="9"/>
  <c r="W41" i="9"/>
  <c r="W43" i="9" s="1"/>
  <c r="W17" i="9"/>
  <c r="P63" i="9"/>
  <c r="P24" i="9"/>
  <c r="AI48" i="9"/>
  <c r="AI49" i="9" s="1"/>
  <c r="AI50" i="9" s="1"/>
  <c r="AI53" i="9" s="1"/>
  <c r="AI47" i="9"/>
  <c r="AF48" i="9"/>
  <c r="AF49" i="9" s="1"/>
  <c r="AF50" i="9" s="1"/>
  <c r="AF53" i="9" s="1"/>
  <c r="AF47" i="9"/>
  <c r="AA47" i="9"/>
  <c r="AA48" i="9"/>
  <c r="AA49" i="9" s="1"/>
  <c r="AA50" i="9" s="1"/>
  <c r="AA53" i="9" s="1"/>
  <c r="H85" i="2"/>
  <c r="H62" i="2" s="1"/>
  <c r="L12" i="9"/>
  <c r="Z47" i="9"/>
  <c r="Z48" i="9"/>
  <c r="Z49" i="9" s="1"/>
  <c r="Z50" i="9" s="1"/>
  <c r="Z53" i="9" s="1"/>
  <c r="T24" i="9"/>
  <c r="T63" i="9"/>
  <c r="AJ48" i="9"/>
  <c r="AJ49" i="9" s="1"/>
  <c r="AJ50" i="9" s="1"/>
  <c r="AJ53" i="9" s="1"/>
  <c r="AJ47" i="9"/>
  <c r="AM48" i="9"/>
  <c r="AM49" i="9" s="1"/>
  <c r="AM50" i="9" s="1"/>
  <c r="AM53" i="9" s="1"/>
  <c r="AM47" i="9"/>
  <c r="AD48" i="9"/>
  <c r="AD49" i="9" s="1"/>
  <c r="AD50" i="9" s="1"/>
  <c r="AD53" i="9" s="1"/>
  <c r="AD47" i="9"/>
  <c r="AH48" i="9"/>
  <c r="AH49" i="9" s="1"/>
  <c r="AH50" i="9" s="1"/>
  <c r="AH53" i="9" s="1"/>
  <c r="AH47" i="9"/>
  <c r="X48" i="9"/>
  <c r="X49" i="9" s="1"/>
  <c r="X50" i="9" s="1"/>
  <c r="X53" i="9" s="1"/>
  <c r="X47" i="9"/>
  <c r="AE47" i="9"/>
  <c r="AE48" i="9"/>
  <c r="AE49" i="9" s="1"/>
  <c r="AE50" i="9" s="1"/>
  <c r="AE53" i="9" s="1"/>
  <c r="AB47" i="9"/>
  <c r="AB48" i="9"/>
  <c r="AB49" i="9" s="1"/>
  <c r="AB50" i="9" s="1"/>
  <c r="AB53" i="9" s="1"/>
  <c r="N63" i="9"/>
  <c r="N24" i="9"/>
  <c r="W24" i="9"/>
  <c r="W63" i="9"/>
  <c r="AO47" i="9"/>
  <c r="AO48" i="9"/>
  <c r="AO49" i="9" s="1"/>
  <c r="AO50" i="9" s="1"/>
  <c r="AO53" i="9" s="1"/>
  <c r="AL48" i="9"/>
  <c r="AL49" i="9" s="1"/>
  <c r="AL50" i="9" s="1"/>
  <c r="AL53" i="9" s="1"/>
  <c r="AL47" i="9"/>
  <c r="Y48" i="9"/>
  <c r="Y49" i="9" s="1"/>
  <c r="Y50" i="9" s="1"/>
  <c r="Y53" i="9" s="1"/>
  <c r="Y47" i="9"/>
  <c r="M90" i="9"/>
  <c r="L91" i="9"/>
  <c r="V41" i="9"/>
  <c r="V43" i="9" s="1"/>
  <c r="V17" i="9"/>
  <c r="M63" i="9"/>
  <c r="M24" i="9"/>
  <c r="AN47" i="9"/>
  <c r="AN48" i="9"/>
  <c r="AN49" i="9" s="1"/>
  <c r="AN50" i="9" s="1"/>
  <c r="AN53" i="9" s="1"/>
  <c r="U63" i="9"/>
  <c r="U24" i="9"/>
  <c r="L64" i="9"/>
  <c r="L42" i="9"/>
  <c r="R63" i="9"/>
  <c r="R24" i="9"/>
  <c r="Q84" i="9"/>
  <c r="R81" i="9" s="1"/>
  <c r="S75" i="9"/>
  <c r="T72" i="9" s="1"/>
  <c r="Y20" i="7"/>
  <c r="Y19" i="7"/>
  <c r="Z16" i="7" s="1"/>
  <c r="R89" i="9"/>
  <c r="W35" i="7"/>
  <c r="X11" i="7"/>
  <c r="X12" i="7" s="1"/>
  <c r="X30" i="7"/>
  <c r="X13" i="7"/>
  <c r="X34" i="7" s="1"/>
  <c r="X35" i="7" s="1"/>
  <c r="C25" i="29" l="1"/>
  <c r="C19" i="29"/>
  <c r="C23" i="29" s="1"/>
  <c r="C31" i="29" s="1"/>
  <c r="C25" i="26"/>
  <c r="C21" i="26"/>
  <c r="C32" i="26" s="1"/>
  <c r="AG55" i="9"/>
  <c r="AG57" i="9"/>
  <c r="AF55" i="9"/>
  <c r="AF57" i="9"/>
  <c r="V18" i="9"/>
  <c r="V23" i="9"/>
  <c r="V25" i="9" s="1"/>
  <c r="AB55" i="9"/>
  <c r="AB57" i="9"/>
  <c r="Z57" i="9"/>
  <c r="Z55" i="9"/>
  <c r="AC55" i="9"/>
  <c r="AC57" i="9"/>
  <c r="AH55" i="9"/>
  <c r="AH57" i="9"/>
  <c r="AD57" i="9"/>
  <c r="AD55" i="9"/>
  <c r="AI55" i="9"/>
  <c r="AI57" i="9"/>
  <c r="AK55" i="9"/>
  <c r="AK57" i="9"/>
  <c r="AO55" i="9"/>
  <c r="AO57" i="9"/>
  <c r="AE55" i="9"/>
  <c r="AE57" i="9"/>
  <c r="L24" i="9"/>
  <c r="L63" i="9"/>
  <c r="L65" i="9" s="1"/>
  <c r="N90" i="9"/>
  <c r="M91" i="9"/>
  <c r="AM57" i="9"/>
  <c r="AM55" i="9"/>
  <c r="I62" i="2"/>
  <c r="J62" i="2" s="1"/>
  <c r="K62" i="2" s="1"/>
  <c r="L62" i="2" s="1"/>
  <c r="M62" i="2" s="1"/>
  <c r="N62" i="2" s="1"/>
  <c r="O62" i="2" s="1"/>
  <c r="P62" i="2" s="1"/>
  <c r="Q62" i="2" s="1"/>
  <c r="R62" i="2" s="1"/>
  <c r="S62" i="2" s="1"/>
  <c r="S63" i="2" s="1"/>
  <c r="S66" i="2" s="1"/>
  <c r="H63" i="2"/>
  <c r="AA55" i="9"/>
  <c r="AA57" i="9"/>
  <c r="W23" i="9"/>
  <c r="W25" i="9" s="1"/>
  <c r="W18" i="9"/>
  <c r="AL57" i="9"/>
  <c r="AL55" i="9"/>
  <c r="AN55" i="9"/>
  <c r="AN57" i="9"/>
  <c r="Y55" i="9"/>
  <c r="Y57" i="9"/>
  <c r="X55" i="9"/>
  <c r="X57" i="9"/>
  <c r="AJ57" i="9"/>
  <c r="AJ55" i="9"/>
  <c r="U23" i="9"/>
  <c r="U25" i="9" s="1"/>
  <c r="U18" i="9"/>
  <c r="R84" i="9"/>
  <c r="S81" i="9" s="1"/>
  <c r="T75" i="9"/>
  <c r="U72" i="9" s="1"/>
  <c r="Z20" i="7"/>
  <c r="Z19" i="7"/>
  <c r="AA16" i="7" s="1"/>
  <c r="X33" i="7"/>
  <c r="Y9" i="7"/>
  <c r="X32" i="7"/>
  <c r="H104" i="2"/>
  <c r="H43" i="2" s="1"/>
  <c r="S89" i="9"/>
  <c r="N91" i="9" l="1"/>
  <c r="O90" i="9"/>
  <c r="M65" i="9"/>
  <c r="L66" i="9"/>
  <c r="I63" i="2"/>
  <c r="H66" i="2"/>
  <c r="N65" i="9"/>
  <c r="O65" i="9" s="1"/>
  <c r="S84" i="9"/>
  <c r="T81" i="9" s="1"/>
  <c r="U75" i="9"/>
  <c r="V72" i="9" s="1"/>
  <c r="AA20" i="7"/>
  <c r="AA19" i="7"/>
  <c r="AB16" i="7" s="1"/>
  <c r="Y30" i="7"/>
  <c r="Y11" i="7"/>
  <c r="Y12" i="7" s="1"/>
  <c r="Y13" i="7"/>
  <c r="Y34" i="7" s="1"/>
  <c r="G49" i="2"/>
  <c r="T89" i="9"/>
  <c r="M66" i="9" l="1"/>
  <c r="N66" i="9" s="1"/>
  <c r="O66" i="9" s="1"/>
  <c r="P65" i="9"/>
  <c r="Q65" i="9" s="1"/>
  <c r="R65" i="9" s="1"/>
  <c r="S65" i="9" s="1"/>
  <c r="J63" i="2"/>
  <c r="I66" i="2"/>
  <c r="P90" i="9"/>
  <c r="O91" i="9"/>
  <c r="T84" i="9"/>
  <c r="U81" i="9" s="1"/>
  <c r="V75" i="9"/>
  <c r="W72" i="9" s="1"/>
  <c r="Y33" i="7"/>
  <c r="Z9" i="7"/>
  <c r="G42" i="2"/>
  <c r="AB20" i="7"/>
  <c r="AB19" i="7"/>
  <c r="AC16" i="7" s="1"/>
  <c r="Y35" i="7"/>
  <c r="U89" i="9"/>
  <c r="Y32" i="7"/>
  <c r="P66" i="9" l="1"/>
  <c r="Q66" i="9" s="1"/>
  <c r="R66" i="9" s="1"/>
  <c r="S66" i="9" s="1"/>
  <c r="P91" i="9"/>
  <c r="Q90" i="9"/>
  <c r="K63" i="2"/>
  <c r="J66" i="2"/>
  <c r="T65" i="9"/>
  <c r="T66" i="9" s="1"/>
  <c r="U84" i="9"/>
  <c r="V81" i="9" s="1"/>
  <c r="W75" i="9"/>
  <c r="X72" i="9" s="1"/>
  <c r="Z11" i="7"/>
  <c r="Z30" i="7"/>
  <c r="Z13" i="7"/>
  <c r="Z34" i="7" s="1"/>
  <c r="V89" i="9"/>
  <c r="AC20" i="7"/>
  <c r="AC19" i="7"/>
  <c r="AD16" i="7" s="1"/>
  <c r="R90" i="9" l="1"/>
  <c r="Q91" i="9"/>
  <c r="U65" i="9"/>
  <c r="V65" i="9" s="1"/>
  <c r="W65" i="9" s="1"/>
  <c r="X65" i="9" s="1"/>
  <c r="Y65" i="9" s="1"/>
  <c r="Z65" i="9" s="1"/>
  <c r="AA65" i="9" s="1"/>
  <c r="AB65" i="9" s="1"/>
  <c r="AC65" i="9" s="1"/>
  <c r="AD65" i="9" s="1"/>
  <c r="AE65" i="9" s="1"/>
  <c r="AF65" i="9" s="1"/>
  <c r="AG65" i="9" s="1"/>
  <c r="AH65" i="9" s="1"/>
  <c r="AI65" i="9" s="1"/>
  <c r="AJ65" i="9" s="1"/>
  <c r="AK65" i="9" s="1"/>
  <c r="AL65" i="9" s="1"/>
  <c r="AM65" i="9" s="1"/>
  <c r="AN65" i="9" s="1"/>
  <c r="AO65" i="9" s="1"/>
  <c r="L63" i="2"/>
  <c r="K66" i="2"/>
  <c r="V84" i="9"/>
  <c r="W81" i="9" s="1"/>
  <c r="X75" i="9"/>
  <c r="Y72" i="9" s="1"/>
  <c r="Z35" i="7"/>
  <c r="W89" i="9"/>
  <c r="Z32" i="7"/>
  <c r="AD20" i="7"/>
  <c r="AD19" i="7"/>
  <c r="AE16" i="7" s="1"/>
  <c r="Z12" i="7"/>
  <c r="M63" i="2" l="1"/>
  <c r="L66" i="2"/>
  <c r="R91" i="9"/>
  <c r="S90" i="9"/>
  <c r="U66" i="9"/>
  <c r="V66" i="9" s="1"/>
  <c r="W66" i="9" s="1"/>
  <c r="X66" i="9" s="1"/>
  <c r="Y66" i="9" s="1"/>
  <c r="Z66" i="9" s="1"/>
  <c r="AA66" i="9" s="1"/>
  <c r="AB66" i="9" s="1"/>
  <c r="AC66" i="9" s="1"/>
  <c r="AD66" i="9" s="1"/>
  <c r="AE66" i="9" s="1"/>
  <c r="AF66" i="9" s="1"/>
  <c r="AG66" i="9" s="1"/>
  <c r="AH66" i="9" s="1"/>
  <c r="AI66" i="9" s="1"/>
  <c r="AJ66" i="9" s="1"/>
  <c r="AK66" i="9" s="1"/>
  <c r="AL66" i="9" s="1"/>
  <c r="AM66" i="9" s="1"/>
  <c r="AN66" i="9" s="1"/>
  <c r="AO66" i="9" s="1"/>
  <c r="W84" i="9"/>
  <c r="X81" i="9" s="1"/>
  <c r="Y75" i="9"/>
  <c r="Z72" i="9" s="1"/>
  <c r="X89" i="9"/>
  <c r="AE20" i="7"/>
  <c r="AE19" i="7"/>
  <c r="AF16" i="7" s="1"/>
  <c r="Z33" i="7"/>
  <c r="AA9" i="7"/>
  <c r="S91" i="9" l="1"/>
  <c r="T90" i="9"/>
  <c r="N63" i="2"/>
  <c r="M66" i="2"/>
  <c r="X84" i="9"/>
  <c r="Y81" i="9" s="1"/>
  <c r="Z75" i="9"/>
  <c r="AA72" i="9" s="1"/>
  <c r="AF20" i="7"/>
  <c r="AF19" i="7"/>
  <c r="AG16" i="7" s="1"/>
  <c r="Y89" i="9"/>
  <c r="AA11" i="7"/>
  <c r="AA30" i="7"/>
  <c r="AA13" i="7"/>
  <c r="AA34" i="7" s="1"/>
  <c r="U90" i="9" l="1"/>
  <c r="T91" i="9"/>
  <c r="O63" i="2"/>
  <c r="N66" i="2"/>
  <c r="Y84" i="9"/>
  <c r="Z81" i="9" s="1"/>
  <c r="AA75" i="9"/>
  <c r="AB72" i="9" s="1"/>
  <c r="AA32" i="7"/>
  <c r="AG20" i="7"/>
  <c r="AG19" i="7"/>
  <c r="AH16" i="7" s="1"/>
  <c r="Z89" i="9"/>
  <c r="AA12" i="7"/>
  <c r="AA35" i="7"/>
  <c r="P63" i="2" l="1"/>
  <c r="O66" i="2"/>
  <c r="V90" i="9"/>
  <c r="U91" i="9"/>
  <c r="Z84" i="9"/>
  <c r="AA81" i="9" s="1"/>
  <c r="AB75" i="9"/>
  <c r="AC72" i="9" s="1"/>
  <c r="AH20" i="7"/>
  <c r="AH19" i="7"/>
  <c r="AI16" i="7" s="1"/>
  <c r="AA89" i="9"/>
  <c r="AA33" i="7"/>
  <c r="AB9" i="7"/>
  <c r="V91" i="9" l="1"/>
  <c r="W90" i="9"/>
  <c r="Q63" i="2"/>
  <c r="P66" i="2"/>
  <c r="AA84" i="9"/>
  <c r="AB81" i="9" s="1"/>
  <c r="AC75" i="9"/>
  <c r="AD72" i="9" s="1"/>
  <c r="AB13" i="7"/>
  <c r="AB34" i="7" s="1"/>
  <c r="AB11" i="7"/>
  <c r="AB30" i="7"/>
  <c r="AB89" i="9"/>
  <c r="AI20" i="7"/>
  <c r="AI19" i="7"/>
  <c r="AJ16" i="7" s="1"/>
  <c r="R63" i="2" l="1"/>
  <c r="R66" i="2" s="1"/>
  <c r="Q66" i="2"/>
  <c r="X90" i="9"/>
  <c r="W91" i="9"/>
  <c r="AB84" i="9"/>
  <c r="AC81" i="9" s="1"/>
  <c r="AD75" i="9"/>
  <c r="AE72" i="9" s="1"/>
  <c r="AJ20" i="7"/>
  <c r="AJ19" i="7"/>
  <c r="AK16" i="7" s="1"/>
  <c r="AB32" i="7"/>
  <c r="I104" i="2"/>
  <c r="I43" i="2" s="1"/>
  <c r="AB35" i="7"/>
  <c r="AC89" i="9"/>
  <c r="AB12" i="7"/>
  <c r="Y90" i="9" l="1"/>
  <c r="X91" i="9"/>
  <c r="AC84" i="9"/>
  <c r="AD81" i="9" s="1"/>
  <c r="AE75" i="9"/>
  <c r="AF72" i="9" s="1"/>
  <c r="AB33" i="7"/>
  <c r="AC9" i="7"/>
  <c r="H49" i="2"/>
  <c r="AK20" i="7"/>
  <c r="AK19" i="7"/>
  <c r="AL16" i="7" s="1"/>
  <c r="AD89" i="9"/>
  <c r="Z90" i="9" l="1"/>
  <c r="Y91" i="9"/>
  <c r="AD84" i="9"/>
  <c r="AE81" i="9" s="1"/>
  <c r="AF75" i="9"/>
  <c r="AG72" i="9" s="1"/>
  <c r="H42" i="2"/>
  <c r="AC13" i="7"/>
  <c r="AC34" i="7" s="1"/>
  <c r="AC30" i="7"/>
  <c r="AC11" i="7"/>
  <c r="AC12" i="7" s="1"/>
  <c r="AE89" i="9"/>
  <c r="AL20" i="7"/>
  <c r="AL19" i="7"/>
  <c r="AM16" i="7" s="1"/>
  <c r="AA90" i="9" l="1"/>
  <c r="Z91" i="9"/>
  <c r="AE84" i="9"/>
  <c r="AF81" i="9" s="1"/>
  <c r="AG75" i="9"/>
  <c r="AH72" i="9" s="1"/>
  <c r="AC33" i="7"/>
  <c r="AD9" i="7"/>
  <c r="AM20" i="7"/>
  <c r="AM19" i="7"/>
  <c r="AN16" i="7" s="1"/>
  <c r="AC35" i="7"/>
  <c r="AC32" i="7"/>
  <c r="AF89" i="9"/>
  <c r="AB90" i="9" l="1"/>
  <c r="AA91" i="9"/>
  <c r="AF84" i="9"/>
  <c r="AG81" i="9" s="1"/>
  <c r="AH75" i="9"/>
  <c r="AI72" i="9" s="1"/>
  <c r="AN20" i="7"/>
  <c r="AN19" i="7"/>
  <c r="AO16" i="7" s="1"/>
  <c r="AG89" i="9"/>
  <c r="AD13" i="7"/>
  <c r="AD34" i="7" s="1"/>
  <c r="AD11" i="7"/>
  <c r="AD12" i="7" s="1"/>
  <c r="AD30" i="7"/>
  <c r="AC90" i="9" l="1"/>
  <c r="AB91" i="9"/>
  <c r="AG84" i="9"/>
  <c r="AH81" i="9" s="1"/>
  <c r="AI75" i="9"/>
  <c r="AJ72" i="9" s="1"/>
  <c r="AO20" i="7"/>
  <c r="AO19" i="7"/>
  <c r="AP16" i="7" s="1"/>
  <c r="AD33" i="7"/>
  <c r="AE9" i="7"/>
  <c r="AD35" i="7"/>
  <c r="AD32" i="7"/>
  <c r="AH89" i="9"/>
  <c r="AD90" i="9" l="1"/>
  <c r="AC91" i="9"/>
  <c r="AH84" i="9"/>
  <c r="AI81" i="9" s="1"/>
  <c r="AJ75" i="9"/>
  <c r="AK72" i="9" s="1"/>
  <c r="AE13" i="7"/>
  <c r="AE34" i="7" s="1"/>
  <c r="AE11" i="7"/>
  <c r="AE12" i="7" s="1"/>
  <c r="AE30" i="7"/>
  <c r="AI89" i="9"/>
  <c r="AP20" i="7"/>
  <c r="AP19" i="7"/>
  <c r="AQ16" i="7" s="1"/>
  <c r="AE90" i="9" l="1"/>
  <c r="AD91" i="9"/>
  <c r="AI84" i="9"/>
  <c r="AJ81" i="9" s="1"/>
  <c r="AK75" i="9"/>
  <c r="AL72" i="9" s="1"/>
  <c r="AE33" i="7"/>
  <c r="AF9" i="7"/>
  <c r="AQ20" i="7"/>
  <c r="AQ19" i="7"/>
  <c r="AR16" i="7" s="1"/>
  <c r="AE35" i="7"/>
  <c r="AE32" i="7"/>
  <c r="AJ89" i="9"/>
  <c r="AF90" i="9" l="1"/>
  <c r="AE91" i="9"/>
  <c r="AJ84" i="9"/>
  <c r="AK81" i="9" s="1"/>
  <c r="AL75" i="9"/>
  <c r="AM72" i="9" s="1"/>
  <c r="AR20" i="7"/>
  <c r="AR19" i="7"/>
  <c r="AS16" i="7" s="1"/>
  <c r="AK89" i="9"/>
  <c r="AF13" i="7"/>
  <c r="AF34" i="7" s="1"/>
  <c r="AF30" i="7"/>
  <c r="AF11" i="7"/>
  <c r="AG90" i="9" l="1"/>
  <c r="AF91" i="9"/>
  <c r="AK84" i="9"/>
  <c r="AL81" i="9" s="1"/>
  <c r="AM75" i="9"/>
  <c r="AN72" i="9" s="1"/>
  <c r="AF32" i="7"/>
  <c r="J104" i="2"/>
  <c r="J43" i="2" s="1"/>
  <c r="AS20" i="7"/>
  <c r="AS19" i="7"/>
  <c r="AT16" i="7" s="1"/>
  <c r="AF35" i="7"/>
  <c r="AL89" i="9"/>
  <c r="AF12" i="7"/>
  <c r="AH90" i="9" l="1"/>
  <c r="AG91" i="9"/>
  <c r="AL84" i="9"/>
  <c r="AM81" i="9" s="1"/>
  <c r="AN75" i="9"/>
  <c r="AO72" i="9" s="1"/>
  <c r="AO75" i="9" s="1"/>
  <c r="AM89" i="9"/>
  <c r="AF33" i="7"/>
  <c r="AG9" i="7"/>
  <c r="AT20" i="7"/>
  <c r="AT19" i="7"/>
  <c r="AU16" i="7" s="1"/>
  <c r="I49" i="2"/>
  <c r="AI90" i="9" l="1"/>
  <c r="AH91" i="9"/>
  <c r="AM84" i="9"/>
  <c r="AN81" i="9" s="1"/>
  <c r="AN89" i="9"/>
  <c r="AU20" i="7"/>
  <c r="AU19" i="7"/>
  <c r="AV16" i="7" s="1"/>
  <c r="I42" i="2"/>
  <c r="AG30" i="7"/>
  <c r="AG11" i="7"/>
  <c r="AG13" i="7"/>
  <c r="AG34" i="7" s="1"/>
  <c r="AJ90" i="9" l="1"/>
  <c r="AI91" i="9"/>
  <c r="AN84" i="9"/>
  <c r="AO81" i="9" s="1"/>
  <c r="AO84" i="9" s="1"/>
  <c r="AG35" i="7"/>
  <c r="AO89" i="9"/>
  <c r="AG32" i="7"/>
  <c r="AG12" i="7"/>
  <c r="AV19" i="7"/>
  <c r="AW16" i="7" s="1"/>
  <c r="AV20" i="7"/>
  <c r="AK90" i="9" l="1"/>
  <c r="AJ91" i="9"/>
  <c r="AW20" i="7"/>
  <c r="AW19" i="7"/>
  <c r="AX16" i="7" s="1"/>
  <c r="AG33" i="7"/>
  <c r="AH9" i="7"/>
  <c r="AL90" i="9" l="1"/>
  <c r="AK91" i="9"/>
  <c r="AX19" i="7"/>
  <c r="AY16" i="7" s="1"/>
  <c r="AX20" i="7"/>
  <c r="AH11" i="7"/>
  <c r="AH12" i="7" s="1"/>
  <c r="AH13" i="7"/>
  <c r="AH34" i="7" s="1"/>
  <c r="AH30" i="7"/>
  <c r="AM90" i="9" l="1"/>
  <c r="AL91" i="9"/>
  <c r="AH33" i="7"/>
  <c r="AI9" i="7"/>
  <c r="AY20" i="7"/>
  <c r="AY19" i="7"/>
  <c r="AZ16" i="7" s="1"/>
  <c r="AH35" i="7"/>
  <c r="AH32" i="7"/>
  <c r="AN90" i="9" l="1"/>
  <c r="AM91" i="9"/>
  <c r="AZ20" i="7"/>
  <c r="AZ19" i="7"/>
  <c r="BA16" i="7" s="1"/>
  <c r="AI13" i="7"/>
  <c r="AI34" i="7" s="1"/>
  <c r="AI30" i="7"/>
  <c r="AI11" i="7"/>
  <c r="AI12" i="7" s="1"/>
  <c r="AO90" i="9" l="1"/>
  <c r="AO91" i="9" s="1"/>
  <c r="AN91" i="9"/>
  <c r="AI33" i="7"/>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J42" i="2"/>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K42" i="2"/>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L42" i="2"/>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M42" i="2"/>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N42" i="2" l="1"/>
  <c r="BA34" i="7"/>
  <c r="A13" i="7"/>
  <c r="P104" i="2"/>
  <c r="P43" i="2" s="1"/>
  <c r="Q43" i="2" s="1"/>
  <c r="R43" i="2" s="1"/>
  <c r="S43" i="2" s="1"/>
  <c r="S42" i="2" s="1"/>
  <c r="BA32" i="7"/>
  <c r="A11" i="7"/>
  <c r="P27" i="2" l="1"/>
  <c r="H27" i="2"/>
  <c r="I27" i="2"/>
  <c r="J27" i="2"/>
  <c r="K27" i="2"/>
  <c r="L27" i="2"/>
  <c r="M27" i="2"/>
  <c r="N27" i="2"/>
  <c r="O27" i="2"/>
  <c r="O42" i="2"/>
  <c r="BA35" i="7"/>
  <c r="A32" i="7"/>
  <c r="O49" i="2"/>
  <c r="L86" i="2" l="1"/>
  <c r="L106" i="2" s="1"/>
  <c r="L107" i="2" s="1"/>
  <c r="L29" i="2"/>
  <c r="P11" i="9" s="1"/>
  <c r="K86" i="2"/>
  <c r="K106" i="2" s="1"/>
  <c r="K107" i="2" s="1"/>
  <c r="K29" i="2"/>
  <c r="O11" i="9" s="1"/>
  <c r="J86" i="2"/>
  <c r="J106" i="2" s="1"/>
  <c r="J107" i="2" s="1"/>
  <c r="J29" i="2"/>
  <c r="N11" i="9" s="1"/>
  <c r="I86" i="2"/>
  <c r="I106" i="2" s="1"/>
  <c r="I107" i="2" s="1"/>
  <c r="I29" i="2"/>
  <c r="M11" i="9" s="1"/>
  <c r="H86" i="2"/>
  <c r="H106" i="2" s="1"/>
  <c r="H107" i="2" s="1"/>
  <c r="H29" i="2"/>
  <c r="L11" i="9" s="1"/>
  <c r="O86" i="2"/>
  <c r="O106" i="2" s="1"/>
  <c r="O107" i="2" s="1"/>
  <c r="G29" i="2"/>
  <c r="K11" i="9" s="1"/>
  <c r="N86" i="2"/>
  <c r="N106" i="2" s="1"/>
  <c r="N107" i="2" s="1"/>
  <c r="N29" i="2"/>
  <c r="R11" i="9" s="1"/>
  <c r="F29" i="2"/>
  <c r="J11" i="9" s="1"/>
  <c r="M86" i="2"/>
  <c r="M106" i="2" s="1"/>
  <c r="M107" i="2" s="1"/>
  <c r="M29" i="2"/>
  <c r="Q11" i="9" s="1"/>
  <c r="P86" i="2"/>
  <c r="P106" i="2" s="1"/>
  <c r="P107" i="2" s="1"/>
  <c r="P29" i="2"/>
  <c r="O29" i="2"/>
  <c r="R41" i="9" l="1"/>
  <c r="R43" i="9" s="1"/>
  <c r="R17" i="9"/>
  <c r="O41" i="9"/>
  <c r="O43" i="9" s="1"/>
  <c r="O17" i="9"/>
  <c r="Q41" i="9"/>
  <c r="Q43" i="9" s="1"/>
  <c r="Q17" i="9"/>
  <c r="L41" i="9"/>
  <c r="L43" i="9" s="1"/>
  <c r="L17" i="9"/>
  <c r="M17" i="9"/>
  <c r="M41" i="9"/>
  <c r="M43" i="9" s="1"/>
  <c r="K41" i="9"/>
  <c r="K43" i="9" s="1"/>
  <c r="K17" i="9"/>
  <c r="P41" i="9"/>
  <c r="P43" i="9" s="1"/>
  <c r="P17" i="9"/>
  <c r="J17" i="9"/>
  <c r="J41" i="9"/>
  <c r="J43" i="9" s="1"/>
  <c r="N41" i="9"/>
  <c r="N43" i="9" s="1"/>
  <c r="N17" i="9"/>
  <c r="T11" i="9"/>
  <c r="S11" i="9"/>
  <c r="P42" i="2"/>
  <c r="J44" i="9" l="1"/>
  <c r="K44" i="9" s="1"/>
  <c r="L44" i="9" s="1"/>
  <c r="M44" i="9" s="1"/>
  <c r="N44" i="9" s="1"/>
  <c r="O44" i="9" s="1"/>
  <c r="P44" i="9" s="1"/>
  <c r="Q44" i="9" s="1"/>
  <c r="R44" i="9" s="1"/>
  <c r="O23" i="9"/>
  <c r="O25" i="9" s="1"/>
  <c r="O18" i="9"/>
  <c r="J18" i="9"/>
  <c r="J23" i="9"/>
  <c r="J25" i="9" s="1"/>
  <c r="P18" i="9"/>
  <c r="P23" i="9"/>
  <c r="P25" i="9" s="1"/>
  <c r="Q18" i="9"/>
  <c r="Q23" i="9"/>
  <c r="Q25" i="9" s="1"/>
  <c r="L23" i="9"/>
  <c r="L25" i="9" s="1"/>
  <c r="L18" i="9"/>
  <c r="K23" i="9"/>
  <c r="K25" i="9" s="1"/>
  <c r="K18" i="9"/>
  <c r="N23" i="9"/>
  <c r="N25" i="9" s="1"/>
  <c r="N18" i="9"/>
  <c r="R18" i="9"/>
  <c r="R23" i="9"/>
  <c r="R25" i="9" s="1"/>
  <c r="M23" i="9"/>
  <c r="M25" i="9" s="1"/>
  <c r="M18" i="9"/>
  <c r="S41" i="9"/>
  <c r="S43" i="9" s="1"/>
  <c r="S17" i="9"/>
  <c r="R42" i="2"/>
  <c r="Q42" i="2"/>
  <c r="T41" i="9"/>
  <c r="T43" i="9" s="1"/>
  <c r="T17" i="9"/>
  <c r="J26" i="9" l="1"/>
  <c r="K26" i="9" s="1"/>
  <c r="L26" i="9" s="1"/>
  <c r="M26" i="9" s="1"/>
  <c r="N26" i="9" s="1"/>
  <c r="O26" i="9" s="1"/>
  <c r="P26" i="9" s="1"/>
  <c r="Q26" i="9" s="1"/>
  <c r="R26" i="9" s="1"/>
  <c r="P19" i="9"/>
  <c r="U19" i="9"/>
  <c r="T19" i="9"/>
  <c r="AC19" i="9"/>
  <c r="S19" i="9"/>
  <c r="AK19" i="9"/>
  <c r="Z19" i="9"/>
  <c r="R19" i="9"/>
  <c r="AD19" i="9"/>
  <c r="O19" i="9"/>
  <c r="I19" i="9"/>
  <c r="I20" i="9" s="1"/>
  <c r="I38" i="9" s="1"/>
  <c r="I47" i="9" s="1"/>
  <c r="I48" i="9" s="1"/>
  <c r="I49" i="9" s="1"/>
  <c r="I50" i="9" s="1"/>
  <c r="I53" i="9" s="1"/>
  <c r="V19" i="9"/>
  <c r="W19" i="9"/>
  <c r="K19" i="9"/>
  <c r="AA19" i="9"/>
  <c r="Q19" i="9"/>
  <c r="AG19" i="9"/>
  <c r="N19" i="9"/>
  <c r="AF19" i="9"/>
  <c r="AI19" i="9"/>
  <c r="AL19" i="9"/>
  <c r="AH19" i="9"/>
  <c r="AB19" i="9"/>
  <c r="Y19" i="9"/>
  <c r="M19" i="9"/>
  <c r="AO19" i="9"/>
  <c r="J19" i="9"/>
  <c r="AM19" i="9"/>
  <c r="X19" i="9"/>
  <c r="AE19" i="9"/>
  <c r="AJ19" i="9"/>
  <c r="L19" i="9"/>
  <c r="AN19" i="9"/>
  <c r="S18" i="9"/>
  <c r="S23" i="9"/>
  <c r="S25" i="9" s="1"/>
  <c r="T18" i="9"/>
  <c r="T23" i="9"/>
  <c r="T25" i="9" s="1"/>
  <c r="S44" i="9"/>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M20" i="9" l="1"/>
  <c r="M38" i="9" s="1"/>
  <c r="L20" i="9"/>
  <c r="L38" i="9" s="1"/>
  <c r="O20" i="9"/>
  <c r="O38" i="9" s="1"/>
  <c r="K20" i="9"/>
  <c r="K38" i="9" s="1"/>
  <c r="I57" i="9"/>
  <c r="I55" i="9"/>
  <c r="I56" i="9" s="1"/>
  <c r="I60" i="9" s="1"/>
  <c r="P20" i="9"/>
  <c r="P38" i="9" s="1"/>
  <c r="J20" i="9"/>
  <c r="S20" i="9"/>
  <c r="S38" i="9" s="1"/>
  <c r="R20" i="9"/>
  <c r="R38" i="9" s="1"/>
  <c r="Q20" i="9"/>
  <c r="N20" i="9"/>
  <c r="N38" i="9" s="1"/>
  <c r="AG20" i="9"/>
  <c r="AG38" i="9" s="1"/>
  <c r="U20" i="9"/>
  <c r="U38" i="9" s="1"/>
  <c r="AL20" i="9"/>
  <c r="AL38" i="9" s="1"/>
  <c r="AC20" i="9"/>
  <c r="AC38" i="9" s="1"/>
  <c r="AA20" i="9"/>
  <c r="AA38" i="9" s="1"/>
  <c r="Z20" i="9"/>
  <c r="Z38" i="9" s="1"/>
  <c r="AE20" i="9"/>
  <c r="AE38" i="9" s="1"/>
  <c r="X20" i="9"/>
  <c r="X38" i="9" s="1"/>
  <c r="AK20" i="9"/>
  <c r="AK38" i="9" s="1"/>
  <c r="W20" i="9"/>
  <c r="W38" i="9" s="1"/>
  <c r="AI20" i="9"/>
  <c r="AI38" i="9" s="1"/>
  <c r="AN20" i="9"/>
  <c r="AN38" i="9" s="1"/>
  <c r="AD20" i="9"/>
  <c r="AD38" i="9" s="1"/>
  <c r="Y20" i="9"/>
  <c r="Y38" i="9" s="1"/>
  <c r="V20" i="9"/>
  <c r="V38" i="9" s="1"/>
  <c r="AF20" i="9"/>
  <c r="AF38" i="9" s="1"/>
  <c r="T20" i="9"/>
  <c r="T38" i="9" s="1"/>
  <c r="AJ20" i="9"/>
  <c r="AJ38" i="9" s="1"/>
  <c r="AM20" i="9"/>
  <c r="AM38" i="9" s="1"/>
  <c r="AO20" i="9"/>
  <c r="AO38" i="9" s="1"/>
  <c r="AH20" i="9"/>
  <c r="AH38" i="9" s="1"/>
  <c r="AB20" i="9"/>
  <c r="AB38" i="9" s="1"/>
  <c r="S26" i="9"/>
  <c r="T26" i="9" s="1"/>
  <c r="U26" i="9" s="1"/>
  <c r="J38" i="9" l="1"/>
  <c r="J47" i="9" s="1"/>
  <c r="J48" i="9" s="1"/>
  <c r="J29" i="9"/>
  <c r="J30" i="9" s="1"/>
  <c r="Q38" i="9"/>
  <c r="I59" i="9"/>
  <c r="V26" i="9"/>
  <c r="J32" i="9" l="1"/>
  <c r="J33" i="9" s="1"/>
  <c r="K29" i="9"/>
  <c r="K30" i="9" s="1"/>
  <c r="K47" i="9"/>
  <c r="K48" i="9" s="1"/>
  <c r="J49" i="9"/>
  <c r="J50" i="9" s="1"/>
  <c r="J53" i="9" s="1"/>
  <c r="W26" i="9"/>
  <c r="X26" i="9" l="1"/>
  <c r="Y26" i="9" s="1"/>
  <c r="Z26" i="9" s="1"/>
  <c r="AA26" i="9" s="1"/>
  <c r="AB26" i="9" s="1"/>
  <c r="AC26" i="9" s="1"/>
  <c r="AD26" i="9" s="1"/>
  <c r="AE26" i="9" s="1"/>
  <c r="AF26" i="9" s="1"/>
  <c r="AG26" i="9" s="1"/>
  <c r="AH26" i="9" s="1"/>
  <c r="AI26" i="9" s="1"/>
  <c r="AJ26" i="9" s="1"/>
  <c r="AK26" i="9" s="1"/>
  <c r="AL26" i="9" s="1"/>
  <c r="AM26" i="9" s="1"/>
  <c r="AN26" i="9" s="1"/>
  <c r="AO26" i="9" s="1"/>
  <c r="J55" i="9"/>
  <c r="J56" i="9" s="1"/>
  <c r="J60" i="9" s="1"/>
  <c r="F30" i="2" s="1"/>
  <c r="K32" i="9"/>
  <c r="K33" i="9" s="1"/>
  <c r="L29" i="9"/>
  <c r="L30" i="9" s="1"/>
  <c r="J57" i="9"/>
  <c r="K49" i="9"/>
  <c r="K50" i="9" s="1"/>
  <c r="L47" i="9"/>
  <c r="L48" i="9" s="1"/>
  <c r="F32" i="2" l="1"/>
  <c r="E26" i="25"/>
  <c r="E28" i="25" s="1"/>
  <c r="E30" i="25" s="1"/>
  <c r="L32" i="9"/>
  <c r="L33" i="9" s="1"/>
  <c r="L55" i="9" s="1"/>
  <c r="J59" i="9"/>
  <c r="L49" i="9"/>
  <c r="L50" i="9" s="1"/>
  <c r="F40" i="2"/>
  <c r="M47" i="9"/>
  <c r="M48" i="9" s="1"/>
  <c r="N47" i="9" s="1"/>
  <c r="N48" i="9" s="1"/>
  <c r="N49" i="9" s="1"/>
  <c r="N50" i="9" s="1"/>
  <c r="K57" i="9"/>
  <c r="K55" i="9"/>
  <c r="M29" i="9"/>
  <c r="M30" i="9" s="1"/>
  <c r="F37" i="2" l="1"/>
  <c r="F57" i="2" s="1"/>
  <c r="F80" i="2" s="1"/>
  <c r="L57" i="9"/>
  <c r="M32" i="9"/>
  <c r="M33" i="9" s="1"/>
  <c r="N29" i="9"/>
  <c r="N30" i="9" s="1"/>
  <c r="M49" i="9"/>
  <c r="M50" i="9" s="1"/>
  <c r="O47" i="9"/>
  <c r="O48" i="9" s="1"/>
  <c r="K56" i="9"/>
  <c r="K59" i="9" s="1"/>
  <c r="L56" i="9" s="1"/>
  <c r="L60" i="9" s="1"/>
  <c r="H30" i="2" s="1"/>
  <c r="H32" i="2" l="1"/>
  <c r="C28" i="26" s="1"/>
  <c r="C30" i="26" s="1"/>
  <c r="C26" i="26"/>
  <c r="N32" i="9"/>
  <c r="N33" i="9" s="1"/>
  <c r="N57" i="9" s="1"/>
  <c r="H84" i="2"/>
  <c r="H96" i="2" s="1"/>
  <c r="H115" i="2" s="1"/>
  <c r="M57" i="9"/>
  <c r="M55" i="9"/>
  <c r="O29" i="9"/>
  <c r="O30" i="9" s="1"/>
  <c r="K60" i="9"/>
  <c r="G30" i="2" s="1"/>
  <c r="L59" i="9"/>
  <c r="O49" i="9"/>
  <c r="O50" i="9" s="1"/>
  <c r="P47" i="9"/>
  <c r="P48" i="9" s="1"/>
  <c r="G32" i="2" l="1"/>
  <c r="G40" i="2" s="1"/>
  <c r="F26" i="25"/>
  <c r="F28" i="25" s="1"/>
  <c r="F30" i="25" s="1"/>
  <c r="N55" i="9"/>
  <c r="P49" i="9"/>
  <c r="P50" i="9" s="1"/>
  <c r="Q47" i="9"/>
  <c r="Q48" i="9" s="1"/>
  <c r="R47" i="9" s="1"/>
  <c r="R48" i="9" s="1"/>
  <c r="R49" i="9" s="1"/>
  <c r="R50" i="9" s="1"/>
  <c r="M56" i="9"/>
  <c r="M60" i="9" s="1"/>
  <c r="I30" i="2" s="1"/>
  <c r="O32" i="9"/>
  <c r="O33" i="9" s="1"/>
  <c r="P29" i="9"/>
  <c r="P30" i="9" s="1"/>
  <c r="I32" i="2" l="1"/>
  <c r="D28" i="26" s="1"/>
  <c r="D30" i="26" s="1"/>
  <c r="D26" i="26"/>
  <c r="P32" i="9"/>
  <c r="P33" i="9" s="1"/>
  <c r="P57" i="9" s="1"/>
  <c r="Q49" i="9"/>
  <c r="Q50" i="9" s="1"/>
  <c r="S47" i="9"/>
  <c r="S48" i="9" s="1"/>
  <c r="I84" i="2"/>
  <c r="I96" i="2" s="1"/>
  <c r="I115" i="2" s="1"/>
  <c r="O55" i="9"/>
  <c r="O57" i="9"/>
  <c r="H40" i="2"/>
  <c r="G37" i="2"/>
  <c r="G57" i="2" s="1"/>
  <c r="M59" i="9"/>
  <c r="N56" i="9" s="1"/>
  <c r="N60" i="9" s="1"/>
  <c r="J30" i="2" s="1"/>
  <c r="H114" i="2"/>
  <c r="H119" i="2" s="1"/>
  <c r="G70" i="2"/>
  <c r="G79" i="2" s="1"/>
  <c r="Q29" i="9"/>
  <c r="Q30" i="9" s="1"/>
  <c r="R29" i="9" s="1"/>
  <c r="R30" i="9" s="1"/>
  <c r="R32" i="9" s="1"/>
  <c r="R33" i="9" s="1"/>
  <c r="J32" i="2" l="1"/>
  <c r="E28" i="26" s="1"/>
  <c r="E30" i="26" s="1"/>
  <c r="E26" i="26"/>
  <c r="P55" i="9"/>
  <c r="S29" i="9"/>
  <c r="S30" i="9" s="1"/>
  <c r="R55" i="9"/>
  <c r="R57" i="9"/>
  <c r="Q32" i="9"/>
  <c r="Q33" i="9" s="1"/>
  <c r="Q55" i="9" s="1"/>
  <c r="S49" i="9"/>
  <c r="S50" i="9" s="1"/>
  <c r="T47" i="9"/>
  <c r="T48" i="9" s="1"/>
  <c r="G80" i="2"/>
  <c r="I114" i="2"/>
  <c r="I119" i="2" s="1"/>
  <c r="H75" i="2"/>
  <c r="H70" i="2" s="1"/>
  <c r="H79" i="2" s="1"/>
  <c r="N59" i="9"/>
  <c r="O56" i="9" s="1"/>
  <c r="O60" i="9" s="1"/>
  <c r="K30" i="2" s="1"/>
  <c r="J84" i="2"/>
  <c r="J96" i="2" s="1"/>
  <c r="J115" i="2" s="1"/>
  <c r="H37" i="2"/>
  <c r="H57" i="2" s="1"/>
  <c r="I40" i="2"/>
  <c r="K32" i="2" l="1"/>
  <c r="F28" i="26" s="1"/>
  <c r="F30" i="26" s="1"/>
  <c r="F26" i="26"/>
  <c r="S32" i="9"/>
  <c r="S33" i="9" s="1"/>
  <c r="T29" i="9"/>
  <c r="T30" i="9" s="1"/>
  <c r="Q57" i="9"/>
  <c r="T49" i="9"/>
  <c r="T50" i="9" s="1"/>
  <c r="U47" i="9"/>
  <c r="U48" i="9" s="1"/>
  <c r="H80" i="2"/>
  <c r="J40" i="2"/>
  <c r="I37" i="2"/>
  <c r="I57" i="2" s="1"/>
  <c r="I75" i="2"/>
  <c r="I70" i="2" s="1"/>
  <c r="I79" i="2" s="1"/>
  <c r="J114" i="2"/>
  <c r="J119" i="2" s="1"/>
  <c r="O59" i="9"/>
  <c r="P56" i="9" s="1"/>
  <c r="K84" i="2"/>
  <c r="K96" i="2" s="1"/>
  <c r="K115" i="2" s="1"/>
  <c r="T32" i="9" l="1"/>
  <c r="T33" i="9" s="1"/>
  <c r="U29" i="9"/>
  <c r="U30" i="9" s="1"/>
  <c r="S57" i="9"/>
  <c r="S55" i="9"/>
  <c r="U49" i="9"/>
  <c r="U50" i="9" s="1"/>
  <c r="U53" i="9" s="1"/>
  <c r="V47" i="9"/>
  <c r="V48" i="9" s="1"/>
  <c r="I80" i="2"/>
  <c r="K114" i="2"/>
  <c r="K119" i="2" s="1"/>
  <c r="J75" i="2"/>
  <c r="J70" i="2" s="1"/>
  <c r="J79" i="2" s="1"/>
  <c r="P60" i="9"/>
  <c r="L30" i="2" s="1"/>
  <c r="P59" i="9"/>
  <c r="Q56" i="9" s="1"/>
  <c r="Q60" i="9" s="1"/>
  <c r="M30" i="2" s="1"/>
  <c r="J37" i="2"/>
  <c r="J57" i="2" s="1"/>
  <c r="K40" i="2"/>
  <c r="M32" i="2" l="1"/>
  <c r="H28" i="26" s="1"/>
  <c r="H30" i="26" s="1"/>
  <c r="H26" i="26"/>
  <c r="L32" i="2"/>
  <c r="G28" i="26" s="1"/>
  <c r="G30" i="26" s="1"/>
  <c r="G26" i="26"/>
  <c r="U32" i="9"/>
  <c r="U33" i="9" s="1"/>
  <c r="U57" i="9" s="1"/>
  <c r="V29" i="9"/>
  <c r="V30" i="9" s="1"/>
  <c r="V32" i="9" s="1"/>
  <c r="V33" i="9" s="1"/>
  <c r="T55" i="9"/>
  <c r="T57" i="9"/>
  <c r="W47" i="9"/>
  <c r="W48" i="9" s="1"/>
  <c r="W49" i="9" s="1"/>
  <c r="W50" i="9" s="1"/>
  <c r="W53" i="9" s="1"/>
  <c r="V49" i="9"/>
  <c r="V50" i="9" s="1"/>
  <c r="V53" i="9" s="1"/>
  <c r="J80" i="2"/>
  <c r="L84" i="2"/>
  <c r="L96" i="2" s="1"/>
  <c r="L115" i="2" s="1"/>
  <c r="L40" i="2"/>
  <c r="K37" i="2"/>
  <c r="K57" i="2" s="1"/>
  <c r="K75" i="2"/>
  <c r="K70" i="2" s="1"/>
  <c r="K79" i="2" s="1"/>
  <c r="L114" i="2"/>
  <c r="M84" i="2"/>
  <c r="M96" i="2" s="1"/>
  <c r="M115" i="2" s="1"/>
  <c r="Q59" i="9"/>
  <c r="R56" i="9" s="1"/>
  <c r="R60" i="9" s="1"/>
  <c r="N30" i="2" s="1"/>
  <c r="N32" i="2" l="1"/>
  <c r="I28" i="26" s="1"/>
  <c r="I30" i="26" s="1"/>
  <c r="I26" i="26"/>
  <c r="U55" i="9"/>
  <c r="W29" i="9"/>
  <c r="W30" i="9" s="1"/>
  <c r="W32" i="9" s="1"/>
  <c r="W33" i="9" s="1"/>
  <c r="W55" i="9" s="1"/>
  <c r="V55" i="9"/>
  <c r="V57" i="9"/>
  <c r="K80" i="2"/>
  <c r="L119" i="2"/>
  <c r="M114" i="2" s="1"/>
  <c r="M119" i="2" s="1"/>
  <c r="M40" i="2"/>
  <c r="L37" i="2"/>
  <c r="L57" i="2" s="1"/>
  <c r="R59" i="9"/>
  <c r="S56" i="9" s="1"/>
  <c r="S60" i="9" s="1"/>
  <c r="O30" i="2" s="1"/>
  <c r="N84" i="2"/>
  <c r="N96" i="2" s="1"/>
  <c r="N115" i="2" s="1"/>
  <c r="O32" i="2" l="1"/>
  <c r="J28" i="26" s="1"/>
  <c r="J30" i="26" s="1"/>
  <c r="J26" i="26"/>
  <c r="W57" i="9"/>
  <c r="L75" i="2"/>
  <c r="L70" i="2" s="1"/>
  <c r="L79" i="2" s="1"/>
  <c r="L80" i="2" s="1"/>
  <c r="S59" i="9"/>
  <c r="T56" i="9" s="1"/>
  <c r="T60" i="9" s="1"/>
  <c r="P30" i="2" s="1"/>
  <c r="M75" i="2"/>
  <c r="M70" i="2" s="1"/>
  <c r="M79" i="2" s="1"/>
  <c r="N114" i="2"/>
  <c r="N119" i="2" s="1"/>
  <c r="M37" i="2"/>
  <c r="M57" i="2" s="1"/>
  <c r="N40" i="2"/>
  <c r="O84" i="2"/>
  <c r="O96" i="2" s="1"/>
  <c r="O115" i="2" s="1"/>
  <c r="P32" i="2" l="1"/>
  <c r="K26" i="26"/>
  <c r="T59" i="9"/>
  <c r="U56" i="9" s="1"/>
  <c r="U60" i="9" s="1"/>
  <c r="Q30" i="2" s="1"/>
  <c r="M80" i="2"/>
  <c r="N75" i="2"/>
  <c r="N70" i="2" s="1"/>
  <c r="N79" i="2" s="1"/>
  <c r="O114" i="2"/>
  <c r="O119" i="2" s="1"/>
  <c r="O40" i="2"/>
  <c r="N37" i="2"/>
  <c r="N57" i="2" s="1"/>
  <c r="Q32" i="2" l="1"/>
  <c r="L28" i="26" s="1"/>
  <c r="L30" i="26" s="1"/>
  <c r="L26" i="26"/>
  <c r="P84" i="2"/>
  <c r="P96" i="2" s="1"/>
  <c r="P115" i="2" s="1"/>
  <c r="K28" i="26"/>
  <c r="K30" i="26" s="1"/>
  <c r="N80" i="2"/>
  <c r="U59" i="9"/>
  <c r="V56" i="9" s="1"/>
  <c r="V60" i="9" s="1"/>
  <c r="R30" i="2" s="1"/>
  <c r="Q84" i="2"/>
  <c r="Q96" i="2" s="1"/>
  <c r="Q115" i="2" s="1"/>
  <c r="O37" i="2"/>
  <c r="O57" i="2" s="1"/>
  <c r="P40" i="2"/>
  <c r="O75" i="2"/>
  <c r="O70" i="2" s="1"/>
  <c r="O79" i="2" s="1"/>
  <c r="P114" i="2"/>
  <c r="P119" i="2" s="1"/>
  <c r="R32" i="2" l="1"/>
  <c r="M26" i="26"/>
  <c r="V59" i="9"/>
  <c r="W56" i="9" s="1"/>
  <c r="W60" i="9" s="1"/>
  <c r="S30" i="2" s="1"/>
  <c r="S32" i="2" s="1"/>
  <c r="S84" i="2" s="1"/>
  <c r="S96" i="2" s="1"/>
  <c r="S115" i="2" s="1"/>
  <c r="P75" i="2"/>
  <c r="P70" i="2" s="1"/>
  <c r="P79" i="2" s="1"/>
  <c r="Q114" i="2"/>
  <c r="Q119" i="2" s="1"/>
  <c r="P37" i="2"/>
  <c r="P57" i="2" s="1"/>
  <c r="Q40" i="2"/>
  <c r="O80" i="2"/>
  <c r="R84" i="2" l="1"/>
  <c r="M28" i="26"/>
  <c r="M30" i="26" s="1"/>
  <c r="W59" i="9"/>
  <c r="X56" i="9" s="1"/>
  <c r="X60" i="9" s="1"/>
  <c r="R114" i="2"/>
  <c r="Q75" i="2"/>
  <c r="Q70" i="2" s="1"/>
  <c r="Q79" i="2" s="1"/>
  <c r="R40" i="2"/>
  <c r="S40" i="2" s="1"/>
  <c r="S37" i="2" s="1"/>
  <c r="Q37" i="2"/>
  <c r="Q57" i="2" s="1"/>
  <c r="P80" i="2"/>
  <c r="X59" i="9" l="1"/>
  <c r="Y56" i="9" s="1"/>
  <c r="Y60" i="9" s="1"/>
  <c r="R37" i="2"/>
  <c r="Q80" i="2"/>
  <c r="Y59" i="9" l="1"/>
  <c r="Z56" i="9" s="1"/>
  <c r="Z60" i="9" s="1"/>
  <c r="Z59" i="9" l="1"/>
  <c r="AA56" i="9" s="1"/>
  <c r="AA60" i="9" s="1"/>
  <c r="AA59" i="9" l="1"/>
  <c r="AB56" i="9" s="1"/>
  <c r="AB60" i="9" s="1"/>
  <c r="AB59" i="9" l="1"/>
  <c r="AC56" i="9" s="1"/>
  <c r="AC60" i="9" s="1"/>
  <c r="AC59" i="9" l="1"/>
  <c r="AD56" i="9" s="1"/>
  <c r="AD60" i="9" s="1"/>
  <c r="AD59" i="9" l="1"/>
  <c r="AE56" i="9" s="1"/>
  <c r="AE59" i="9" s="1"/>
  <c r="AF56" i="9" s="1"/>
  <c r="AF60" i="9" s="1"/>
  <c r="AE60" i="9" l="1"/>
  <c r="AF59" i="9"/>
  <c r="AG56" i="9" s="1"/>
  <c r="AG60" i="9" s="1"/>
  <c r="AG59" i="9" l="1"/>
  <c r="AH56" i="9" s="1"/>
  <c r="AH60" i="9" s="1"/>
  <c r="AH59" i="9" l="1"/>
  <c r="AI56" i="9" s="1"/>
  <c r="AI60" i="9" s="1"/>
  <c r="AI59" i="9" l="1"/>
  <c r="AJ56" i="9" s="1"/>
  <c r="AJ60" i="9" s="1"/>
  <c r="AJ59" i="9" l="1"/>
  <c r="AK56" i="9" s="1"/>
  <c r="AK59" i="9" s="1"/>
  <c r="AL56" i="9" s="1"/>
  <c r="AL59" i="9" s="1"/>
  <c r="AM56" i="9" s="1"/>
  <c r="AM60" i="9" s="1"/>
  <c r="AL60" i="9" l="1"/>
  <c r="AM59" i="9"/>
  <c r="AN56" i="9" s="1"/>
  <c r="AN59" i="9" s="1"/>
  <c r="AO56" i="9" s="1"/>
  <c r="AO60" i="9" s="1"/>
  <c r="AK60" i="9"/>
  <c r="AO59" i="9" l="1"/>
  <c r="AN60" i="9"/>
  <c r="Q14" i="23"/>
  <c r="C18" i="23" s="1"/>
  <c r="C21" i="23" s="1"/>
  <c r="R53" i="2"/>
  <c r="R49" i="2" s="1"/>
  <c r="R57" i="2" s="1"/>
  <c r="R96" i="2"/>
  <c r="R115" i="2" s="1"/>
  <c r="R119" i="2" s="1"/>
  <c r="S53" i="2" l="1"/>
  <c r="S49" i="2" s="1"/>
  <c r="S57" i="2" s="1"/>
  <c r="R75" i="2"/>
  <c r="R70" i="2" s="1"/>
  <c r="R79" i="2" s="1"/>
  <c r="R80" i="2" s="1"/>
  <c r="S114" i="2"/>
  <c r="S119" i="2" s="1"/>
  <c r="S75" i="2" s="1"/>
  <c r="S70" i="2" s="1"/>
  <c r="S79" i="2" s="1"/>
  <c r="S80" i="2" l="1"/>
  <c r="C9" i="28" l="1"/>
  <c r="E16" i="28" s="1"/>
  <c r="E17" i="28" s="1"/>
  <c r="C20" i="28" s="1"/>
  <c r="C49" i="29" s="1"/>
  <c r="C54" i="29" s="1"/>
  <c r="C55" i="29" l="1"/>
  <c r="C53" i="29"/>
  <c r="G38" i="29"/>
  <c r="G40" i="29" s="1"/>
  <c r="L38" i="29"/>
  <c r="L40" i="29" s="1"/>
  <c r="C38" i="29"/>
  <c r="C40" i="29" s="1"/>
  <c r="M38" i="29"/>
  <c r="M40" i="29" s="1"/>
  <c r="K38" i="29"/>
  <c r="K40" i="29" s="1"/>
  <c r="F38" i="29"/>
  <c r="F40" i="29" s="1"/>
  <c r="H38" i="29"/>
  <c r="H40" i="29" s="1"/>
  <c r="J38" i="29"/>
  <c r="J40" i="29" s="1"/>
  <c r="D38" i="29"/>
  <c r="D40" i="29" s="1"/>
  <c r="E38" i="29"/>
  <c r="I38" i="29"/>
  <c r="I40" i="29" s="1"/>
  <c r="E40" i="29" l="1"/>
  <c r="C4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27" authorId="0" shapeId="0" xr:uid="{07C115E7-C1DD-4897-BF77-DB51268EF709}">
      <text>
        <r>
          <rPr>
            <b/>
            <sz val="9"/>
            <color indexed="81"/>
            <rFont val="Tahoma"/>
            <family val="2"/>
          </rPr>
          <t>Author:</t>
        </r>
        <r>
          <rPr>
            <sz val="9"/>
            <color indexed="81"/>
            <rFont val="Tahoma"/>
            <family val="2"/>
          </rPr>
          <t xml:space="preserve">
Author:
7.64 cr is interest accrued, not considered for valuation of FCFF as FCFF is fund available to all capital(i.e., both debt and equity)
</t>
        </r>
      </text>
    </comment>
  </commentList>
</comments>
</file>

<file path=xl/sharedStrings.xml><?xml version="1.0" encoding="utf-8"?>
<sst xmlns="http://schemas.openxmlformats.org/spreadsheetml/2006/main" count="755" uniqueCount="396">
  <si>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</si>
  <si>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</si>
  <si>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</si>
  <si>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</si>
  <si>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</si>
  <si>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</si>
  <si>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</si>
  <si>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</si>
  <si>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</si>
  <si>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</si>
  <si>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</si>
  <si>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</si>
  <si>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</si>
  <si>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</si>
  <si>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</si>
  <si>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</si>
  <si>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</si>
  <si>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</si>
  <si>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</si>
  <si>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</si>
  <si>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</si>
  <si>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</si>
  <si>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</si>
  <si>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</si>
  <si>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</si>
  <si>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</si>
  <si>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</si>
  <si>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</si>
  <si>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</si>
  <si>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</si>
  <si>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</si>
  <si>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</si>
  <si>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</si>
  <si>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</si>
  <si>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</si>
  <si>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</si>
  <si>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</si>
  <si>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</si>
  <si>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</si>
  <si>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</si>
  <si>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</si>
  <si>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</si>
  <si>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</si>
  <si>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</si>
  <si>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</si>
  <si>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</si>
  <si>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</si>
  <si>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</si>
  <si>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</si>
  <si>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</si>
  <si>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</si>
  <si>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</si>
  <si>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</si>
  <si>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</si>
  <si>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</si>
  <si>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</si>
  <si>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</si>
  <si>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</si>
  <si>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</si>
  <si>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</si>
  <si>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</si>
  <si>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</si>
  <si>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</si>
  <si>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</si>
  <si>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</si>
  <si>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</si>
  <si>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</si>
  <si>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</si>
  <si>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</si>
  <si>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</si>
  <si>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</si>
  <si>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</si>
  <si>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</si>
  <si>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</si>
  <si>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</si>
  <si>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</si>
  <si>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</si>
  <si>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</si>
  <si>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</si>
  <si>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</si>
  <si>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</si>
  <si>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</si>
  <si>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</si>
  <si>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</si>
  <si>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</si>
  <si>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</si>
  <si>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</si>
  <si>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</si>
  <si>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</si>
  <si>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</si>
  <si>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</si>
  <si>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</si>
  <si>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</si>
  <si>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</si>
  <si>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</si>
  <si>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</si>
  <si>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</si>
  <si>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</si>
  <si>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</si>
  <si>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</si>
  <si>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</si>
  <si>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</si>
  <si>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</si>
  <si>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</si>
  <si>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</si>
  <si>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</si>
  <si>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</si>
  <si>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</si>
  <si>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</si>
  <si>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</si>
  <si>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</si>
  <si>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</si>
  <si>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</si>
  <si>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</si>
  <si>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</si>
  <si>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</si>
  <si>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</si>
  <si>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</si>
  <si>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</si>
  <si>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</si>
  <si>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</si>
  <si>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</si>
  <si>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</si>
  <si>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</si>
  <si>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</si>
  <si>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</si>
  <si>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</si>
  <si>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</si>
  <si>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</si>
  <si>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</si>
  <si>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</si>
  <si>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</si>
  <si>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</si>
  <si>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</si>
  <si>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</si>
  <si>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</si>
  <si>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</si>
  <si>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</si>
  <si>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</si>
  <si>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</si>
  <si>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</si>
  <si>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</si>
  <si>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</si>
  <si>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</si>
  <si>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</si>
  <si>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</si>
  <si>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</si>
  <si>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</si>
  <si>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</si>
  <si>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</si>
  <si>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</si>
  <si>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</si>
  <si>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</si>
  <si>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</si>
  <si>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</si>
  <si>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</si>
  <si>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</si>
  <si>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</si>
  <si>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</si>
  <si>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</si>
  <si>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</si>
  <si>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</si>
  <si>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</si>
  <si>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</si>
  <si>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</si>
  <si>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</si>
  <si>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</si>
  <si>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</si>
  <si>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</si>
  <si>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</si>
  <si>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</si>
  <si>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</si>
  <si>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</si>
  <si>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</si>
  <si>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</si>
  <si>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</si>
  <si>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</si>
  <si>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</si>
  <si>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</si>
  <si>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</si>
  <si>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</si>
  <si>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</si>
  <si>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</si>
  <si>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</si>
  <si>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</si>
  <si>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</si>
  <si>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</si>
  <si>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</si>
  <si>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</si>
  <si>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</si>
  <si>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</si>
  <si>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</si>
  <si>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</si>
  <si>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</si>
  <si>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</si>
  <si>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</si>
  <si>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</si>
  <si>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</si>
  <si>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</si>
  <si>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</si>
  <si>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</si>
  <si>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</si>
  <si>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</si>
  <si>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</si>
  <si>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</si>
  <si>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</si>
  <si>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</si>
  <si>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</si>
  <si>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</si>
  <si>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</si>
  <si>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</si>
  <si>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</si>
  <si>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</si>
  <si>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</si>
  <si>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</si>
  <si>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</si>
  <si>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</si>
  <si>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</si>
  <si>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</si>
  <si>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</si>
  <si>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</si>
  <si>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</si>
  <si>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</si>
  <si>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</si>
  <si>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</si>
  <si>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</si>
  <si>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</si>
  <si>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</si>
  <si>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</si>
  <si>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</si>
  <si>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</si>
  <si>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</si>
  <si>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</si>
  <si>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</si>
  <si>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</si>
  <si>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</si>
  <si>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</si>
  <si>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</si>
  <si>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</si>
  <si>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</si>
  <si>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</si>
  <si>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</si>
  <si>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</si>
  <si>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</si>
  <si>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</si>
  <si>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</si>
  <si>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</si>
  <si>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</si>
  <si>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</si>
  <si>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</si>
  <si>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</si>
  <si>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</si>
  <si>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</si>
  <si>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</si>
  <si>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</si>
  <si>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</si>
  <si>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</si>
  <si>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</si>
  <si>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</si>
  <si>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</si>
  <si>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</si>
  <si>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</si>
  <si>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</si>
  <si>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</si>
  <si>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</si>
  <si>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</si>
  <si>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</si>
  <si>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</si>
  <si>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</si>
  <si>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</si>
  <si>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</si>
  <si>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</si>
  <si>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</si>
  <si>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</si>
  <si>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</si>
  <si>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</si>
  <si>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</si>
  <si>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</si>
  <si>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</si>
  <si>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</si>
  <si>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</si>
  <si>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</si>
  <si>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</si>
  <si>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</si>
  <si>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</si>
  <si>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</si>
  <si>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</si>
  <si>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</si>
  <si>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</si>
  <si>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</si>
  <si>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</si>
  <si>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</si>
  <si>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</si>
  <si>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</si>
  <si>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</si>
  <si>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</si>
  <si>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</si>
  <si>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</si>
  <si>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</si>
  <si>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</si>
  <si>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</si>
  <si>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</si>
  <si>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</si>
  <si>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</si>
  <si>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</si>
  <si>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</si>
  <si>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</si>
  <si>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</si>
  <si>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</si>
  <si>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</si>
  <si>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</si>
  <si>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</si>
  <si>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(Prov.)</t>
  </si>
  <si>
    <t>Total O/s Debt</t>
  </si>
  <si>
    <t>EV as % of Debt</t>
  </si>
  <si>
    <t>AADT (FY 21)</t>
  </si>
  <si>
    <t>NHAI Penalty &amp; Descope</t>
  </si>
  <si>
    <t>NPV</t>
  </si>
  <si>
    <t>NHAI Descope &amp; Penalties</t>
  </si>
  <si>
    <t>M/S Surat-Hazira NH-6 Tollways Private Limited</t>
  </si>
  <si>
    <t>Historical Profit &amp; Loss Statement</t>
  </si>
  <si>
    <t>Particular</t>
  </si>
  <si>
    <t>EBITDA</t>
  </si>
  <si>
    <t>EBIT</t>
  </si>
  <si>
    <t>Net Profit Margin</t>
  </si>
  <si>
    <t>EBITDA Margin</t>
  </si>
  <si>
    <t>EBIT Margin</t>
  </si>
  <si>
    <t>Revenue Growth % (YOY)</t>
  </si>
  <si>
    <t>Projected Profit &amp; Loss Statement</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</si>
  <si>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</si>
  <si>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</si>
  <si>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</si>
  <si>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</si>
  <si>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</si>
  <si>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</si>
  <si>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</si>
  <si>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</si>
  <si>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</si>
  <si>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</si>
  <si>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</si>
  <si>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</si>
  <si>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</si>
  <si>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</si>
  <si>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</si>
  <si>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</si>
  <si>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Appropriate Discount Rate</t>
  </si>
  <si>
    <t>Company Risk Premium</t>
  </si>
  <si>
    <t>Equity Shared Capital</t>
  </si>
  <si>
    <t>Sustainable Debt</t>
  </si>
  <si>
    <t>Required Return</t>
  </si>
  <si>
    <t>Weightage</t>
  </si>
  <si>
    <t>Total Amount</t>
  </si>
  <si>
    <t>Particulars</t>
  </si>
  <si>
    <t>Weighted Average Cost of Capital (WACC)</t>
  </si>
  <si>
    <t>Post-Tax Cost of Debt (Kd)</t>
  </si>
  <si>
    <t>Cost of Equity (Ke)</t>
  </si>
  <si>
    <t>Beta (B)</t>
  </si>
  <si>
    <t>(Marginal corporate tax rate)</t>
  </si>
  <si>
    <t>Tax Rate (t)</t>
  </si>
  <si>
    <t>https://kunaldesai.blog/nifty-returns/</t>
  </si>
  <si>
    <t>Cost of Debt (Kd)</t>
  </si>
  <si>
    <t>Risk Free Rate (Rf)</t>
  </si>
  <si>
    <t>https://in.investing.com/rates-bonds/india-10-year-bond-yield-historical-data</t>
  </si>
  <si>
    <t>Cost of Debt</t>
  </si>
  <si>
    <t>Cost of Equity</t>
  </si>
  <si>
    <t>Calculation of free Cash Flow to Firm (FCFF)</t>
  </si>
  <si>
    <t>Operating Revenue</t>
  </si>
  <si>
    <t>Other Revenue</t>
  </si>
  <si>
    <t>Total Revenue</t>
  </si>
  <si>
    <t>Total Expenses</t>
  </si>
  <si>
    <t>Less: (Dep &amp; Amortization)</t>
  </si>
  <si>
    <t>Tax Rate (T)</t>
  </si>
  <si>
    <t>(1-T)</t>
  </si>
  <si>
    <t>NOPAT= EBIT*(1-T)</t>
  </si>
  <si>
    <t>Add: Depreciation &amp; Amortization</t>
  </si>
  <si>
    <t>Less: Changes in Working Capital</t>
  </si>
  <si>
    <t>Less: CAPEX</t>
  </si>
  <si>
    <t>Discount Rate (WACC)</t>
  </si>
  <si>
    <t>Period</t>
  </si>
  <si>
    <t>Discount Factor</t>
  </si>
  <si>
    <t>PV of FCFF</t>
  </si>
  <si>
    <t>Enterprise Value Of the Firm</t>
  </si>
  <si>
    <t>Expected Market Return (Rm) Nifty Fifty 5-year return 2022</t>
  </si>
  <si>
    <t>Free Cash Flow to Firm (FCFF)</t>
  </si>
  <si>
    <t>Crores</t>
  </si>
  <si>
    <t xml:space="preserve"> EIGHT HUNDRED THIRTY FIVE CRORES AND SIX LAKHS</t>
  </si>
  <si>
    <t>Valuation Date</t>
  </si>
  <si>
    <t>Discount Rate</t>
  </si>
  <si>
    <t>Discount Rate Change</t>
  </si>
  <si>
    <t>Sensitivity Analysis</t>
  </si>
  <si>
    <t>INPUTS</t>
  </si>
  <si>
    <t>Scenario</t>
  </si>
  <si>
    <t>Enterprise Value</t>
  </si>
  <si>
    <t>Bull Case</t>
  </si>
  <si>
    <t>Present Case</t>
  </si>
  <si>
    <t>Bear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</si>
</sst>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0.00\ &quot;Cr&quot;"/>
    <numFmt numFmtId="172" formatCode="[$-409]mmm\-yy;@"/>
    <numFmt numFmtId="173" formatCode="0.0%"/>
    <numFmt numFmtId="174" formatCode="_ * #,##0_ ;_ * \-#,##0_ ;_ * &quot;-&quot;??_ ;_ @_ "/>
    <numFmt numFmtId="175" formatCode="[$$-409]#,##0.0"/>
    <numFmt numFmtId="176" formatCode="#,##0.0000000000000"/>
    <numFmt numFmtId="177" formatCode="_-* #,##0.00\ [$€]_-;\-* #,##0.00\ [$€]_-;_-* &quot;-&quot;??\ [$€]_-;_-@_-"/>
    <numFmt numFmtId="178" formatCode="_-* #,##0_-;\-* #,##0_-;_-* &quot;-&quot;_-;_-@_-"/>
    <numFmt numFmtId="179" formatCode="0.0&quot; %&quot;;&quot;(&quot;0.0&quot;)%&quot;;0.0&quot; %&quot;;@&quot;  &quot;"/>
    <numFmt numFmtId="180" formatCode="#,##0.0&quot;  &quot;;&quot;(&quot;#,##0.0&quot;) &quot;;0.0&quot;  &quot;;@&quot;  &quot;"/>
    <numFmt numFmtId="181" formatCode="_-* #,##0_-;\-* #,##0_-;_-* &quot;-&quot;??_-;_-@_-"/>
    <numFmt numFmtId="182" formatCode="#,##0.0_)_%;\(#,##0.0\)_%;0.0_)_%;@_)_%"/>
    <numFmt numFmtId="183" formatCode="0.000000"/>
    <numFmt numFmtId="184" formatCode="_([$€-2]* #,##0.00_);_([$€-2]* \(#,##0.00\);_([$€-2]* &quot;-&quot;??_)"/>
    <numFmt numFmtId="185" formatCode="#,##0.0_);\(#,##0.0\)"/>
    <numFmt numFmtId="186" formatCode="0.0;\(0.0\)"/>
    <numFmt numFmtId="187" formatCode="#,##0.0_);\(#,##0.0\);#,##0.0_);@_)"/>
    <numFmt numFmtId="188" formatCode="#,##0.0&quot; &quot;;&quot;(&quot;#,##0.0&quot;)&quot;;#,##0.0&quot; &quot;;@&quot; &quot;"/>
    <numFmt numFmtId="189" formatCode="yyyy"/>
    <numFmt numFmtId="190" formatCode="#,##0.0&quot; &quot;;&quot;(&quot;#,##0.0&quot;)&quot;"/>
    <numFmt numFmtId="191" formatCode="#,##0.0&quot;x  &quot;;&quot;(&quot;#,##0.0&quot;x) &quot;;#,##0.0&quot;x  &quot;;@&quot; &quot;"/>
    <numFmt numFmtId="192" formatCode="&quot;$&quot;_(#,##0.00_);&quot;$&quot;\(#,##0.00\)"/>
    <numFmt numFmtId="193" formatCode="&quot;$&quot;#,##0.0&quot; &quot;;&quot;($&quot;#,##0.0&quot;)&quot;"/>
    <numFmt numFmtId="194" formatCode="&quot;L.&quot;#,##0.0&quot; &quot;;&quot;(L.&quot;#,##0.0&quot;)&quot;"/>
    <numFmt numFmtId="195" formatCode="&quot;£&quot;#,##0.0&quot; &quot;;&quot;(£&quot;#,##0.0&quot;)&quot;"/>
    <numFmt numFmtId="196" formatCode="#,##0.00&quot;  &quot;;&quot;(&quot;#,##0.00&quot;) &quot;;#,##0.00&quot;  &quot;;@&quot;  &quot;"/>
    <numFmt numFmtId="197" formatCode="#,##0.000&quot;% &quot;;&quot;(&quot;#,##0.000&quot;%)&quot;;#,##0.000&quot;% &quot;;@&quot;  &quot;"/>
    <numFmt numFmtId="198" formatCode="&quot;€ &quot;0.00000"/>
    <numFmt numFmtId="199" formatCode="&quot; &quot;#,##0&quot; £ &quot;;&quot; &quot;#,##0&quot; £-&quot;;&quot; - £ &quot;;&quot; &quot;@&quot; &quot;"/>
    <numFmt numFmtId="200" formatCode="#,##0&quot;M€ &quot;;&quot;(&quot;#,##0&quot;)&quot;;#,###&quot;-&quot;"/>
    <numFmt numFmtId="201" formatCode="&quot; &quot;#,##0.0&quot; &quot;;&quot; (&quot;#,##0.0&quot;)&quot;;&quot; -&quot;0&quot; &quot;;&quot; &quot;@&quot; &quot;"/>
    <numFmt numFmtId="202" formatCode="&quot; &quot;#,##0.0&quot; &quot;;&quot;-&quot;#,##0.0&quot; &quot;;&quot; -&quot;00&quot; &quot;;&quot; &quot;@&quot; &quot;"/>
    <numFmt numFmtId="203" formatCode="&quot; F&quot;#,##0.00&quot; &quot;;&quot; F(&quot;#,##0.00&quot;)&quot;;&quot; F-&quot;00&quot; &quot;;&quot; &quot;@&quot; &quot;"/>
    <numFmt numFmtId="204" formatCode="0.00E+00;;;"/>
    <numFmt numFmtId="205" formatCode="&quot;$&quot;#,##0&quot;  &quot;;&quot;($&quot;#,##0&quot;) &quot;;&quot;$&quot;#,##0&quot;  &quot;;@&quot;  &quot;"/>
    <numFmt numFmtId="206" formatCode="[$€]#,##0&quot;  &quot;;&quot;(&quot;[$€]#,##0&quot;) &quot;;[$€]#,##0&quot;  &quot;;@&quot;  &quot;"/>
    <numFmt numFmtId="207" formatCode="&quot;L.&quot;#,##0&quot;  &quot;;&quot;(L.&quot;#,##0&quot;) &quot;;&quot;L.&quot;#,##0&quot;  &quot;;@&quot;  &quot;"/>
    <numFmt numFmtId="208" formatCode="&quot;£&quot;#,##0&quot;  &quot;;&quot;(£&quot;#,##0&quot;) &quot;;&quot;£&quot;#,##0&quot;  &quot;;@&quot;  &quot;"/>
    <numFmt numFmtId="209" formatCode="\€_(#,##0.00_);\€\(#,##0.00\);\€_(0.00_);@_)"/>
    <numFmt numFmtId="210" formatCode="_-* #,##0\ _D_M_-;\-* #,##0\ _D_M_-;_-* &quot;-&quot;\ _D_M_-;_-@_-"/>
    <numFmt numFmtId="211" formatCode="_-* #,##0_-;_-* #,##0\-;_-* &quot;-&quot;_-;_-@_-"/>
    <numFmt numFmtId="212" formatCode="_-* #,##0\ _€_-;\-* #,##0\ _€_-;_-* &quot;-&quot;\ _€_-;_-@_-"/>
    <numFmt numFmtId="213" formatCode="0.00%;[Red]\(0.00%\)"/>
    <numFmt numFmtId="214" formatCode="#,##0.0_)\x;\(#,##0.0\)\x"/>
    <numFmt numFmtId="215" formatCode="#,##0.0_)_x;\(#,##0.0\)_x"/>
    <numFmt numFmtId="216" formatCode="#,##0.000"/>
    <numFmt numFmtId="217" formatCode="0.0_)\%;\(0.0\)\%"/>
    <numFmt numFmtId="218" formatCode="#,##0.0_)_%;\(#,##0.0\)_%"/>
    <numFmt numFmtId="219" formatCode="#,##0;\(#,##0\);&quot;-&quot;"/>
    <numFmt numFmtId="220" formatCode="&quot;R$&quot;#,##0.00_);\(&quot;R$&quot;#,##0.00\)"/>
    <numFmt numFmtId="221" formatCode="&quot;R$&quot;#,##0_);[Red]\(&quot;R$&quot;#,##0\)"/>
    <numFmt numFmtId="222" formatCode="0%_);\(0%\);&quot;-&quot;_)"/>
    <numFmt numFmtId="223" formatCode="_(#,##0.0%_);_)\(#,##0.0%\);_(0.0%_);@_)"/>
    <numFmt numFmtId="224" formatCode="General&quot;A&quot;_)"/>
    <numFmt numFmtId="225" formatCode="_(* #,##0.0_);_(* \(#,##0.0\);_(* &quot;-&quot;??_);_(@_)"/>
    <numFmt numFmtId="226" formatCode="d\ mmm\ yy"/>
    <numFmt numFmtId="227" formatCode="#,##0.0%;\(#,##0.0\)%"/>
    <numFmt numFmtId="228" formatCode="#,##0.0\ &quot; years&quot;"/>
    <numFmt numFmtId="229" formatCode="[=1]&quot;Yes&quot;;[=0]&quot;No&quot;;&quot;Error&quot;"/>
    <numFmt numFmtId="230" formatCode="General_)"/>
    <numFmt numFmtId="231" formatCode="#\ ###\ ###\ ##0\ "/>
    <numFmt numFmtId="232" formatCode="#,##0;&quot;(&quot;#,##0&quot;)&quot;;&quot;-&quot;"/>
    <numFmt numFmtId="233" formatCode="_(* #,##0.0_);_(* \(#,##0.0\);_(* &quot;-&quot;?_);@_)"/>
    <numFmt numFmtId="234" formatCode="_(* #,##0,_);[Red]_(* \(#,##0,\);_(* &quot;&quot;\ \-\ &quot;&quot;_);_(@_)"/>
    <numFmt numFmtId="235" formatCode="#,##0.00&quot;£&quot;_);\(#,##0.00&quot;£&quot;\)"/>
    <numFmt numFmtId="236" formatCode="#,##0&quot;$&quot;;\-#,##0&quot;$&quot;"/>
    <numFmt numFmtId="237" formatCode="#,##0.00&quot;£&quot;_);[Red]\(#,##0.00&quot;£&quot;\)"/>
    <numFmt numFmtId="238" formatCode="&quot;Cr$&quot;#,##0_);[Red]\(&quot;Cr$&quot;#,##0\)"/>
    <numFmt numFmtId="239" formatCode="_ * #,##0_)&quot;£&quot;_ ;_ * \(#,##0\)&quot;£&quot;_ ;_ * &quot;-&quot;_)&quot;£&quot;_ ;_ @_ "/>
    <numFmt numFmtId="240" formatCode="&quot;Cr$&quot;#,##0.00_);\(&quot;Cr$&quot;#,##0.00\)"/>
    <numFmt numFmtId="241" formatCode="_ * #,##0_)_£_ ;_ * \(#,##0\)_£_ ;_ * &quot;-&quot;_)_£_ ;_ @_ "/>
    <numFmt numFmtId="242" formatCode="#,##0&quot;£&quot;_);[Red]\(#,##0&quot;£&quot;\)"/>
    <numFmt numFmtId="243" formatCode="#,##0\ &quot;Pts&quot;;\-#,##0\ &quot;Pts&quot;"/>
    <numFmt numFmtId="244" formatCode="_ * #,##0.00_)&quot;£&quot;_ ;_ * \(#,##0.00\)&quot;£&quot;_ ;_ * &quot;-&quot;??_)&quot;£&quot;_ ;_ @_ "/>
    <numFmt numFmtId="245" formatCode="#,##0;\(#,##0\)"/>
    <numFmt numFmtId="246" formatCode="0.0000"/>
    <numFmt numFmtId="247" formatCode="_-* #,##0.00\ &quot;DM&quot;_-;\-* #,##0.00\ &quot;DM&quot;_-;_-* &quot;-&quot;??\ &quot;DM&quot;_-;_-@_-"/>
    <numFmt numFmtId="248" formatCode="[Blue]#,##0;[Red]&quot;(&quot;#,##0&quot;)&quot;;&quot;-&quot;"/>
    <numFmt numFmtId="249" formatCode="#,##0.00_ ;[Red]\-#,##0.00\ "/>
    <numFmt numFmtId="250" formatCode="#,##0,;\(#,##0,\);_(&quot;-&quot;;"/>
    <numFmt numFmtId="251" formatCode="#,##0,;\(#,##0,\);_(&quot;0&quot;;"/>
    <numFmt numFmtId="252" formatCode="_(* #,##0.00_);_(* \(#,##0.00\);_(* \-??_);_(@_)"/>
    <numFmt numFmtId="253" formatCode="#,##0\ &quot;DM&quot;;[Red]\-#,##0\ &quot;DM&quot;"/>
    <numFmt numFmtId="254" formatCode="_-* #,##0.00\ &quot;€&quot;_-;\-* #,##0.00\ &quot;€&quot;_-;_-* &quot;-&quot;??\ &quot;€&quot;_-;_-@_-"/>
    <numFmt numFmtId="255" formatCode="_-* #,##0.00\ _€_-;\-* #,##0.00\ _€_-;_-* &quot;-&quot;??\ _€_-;_-@_-"/>
    <numFmt numFmtId="256" formatCode="#,##0.00\ &quot;DM&quot;;[Red]\-#,##0.00\ &quot;DM&quot;"/>
    <numFmt numFmtId="257" formatCode="_(* #,##0.00000_);_(* \(#,##0.00000\);_(* &quot;-&quot;?????_);_(@_)"/>
    <numFmt numFmtId="258" formatCode="_-* #,##0.00_-;\-* #,##0.00_-;_-* &quot;-&quot;??_-;_-@_-"/>
    <numFmt numFmtId="259" formatCode="&quot;On&quot;;&quot;On&quot;;&quot;Off&quot;"/>
    <numFmt numFmtId="260" formatCode="[$-41E]d\ mmmm\ yyyy"/>
    <numFmt numFmtId="261" formatCode="#&quot; Yr &quot;##&quot; Mth&quot;"/>
    <numFmt numFmtId="262" formatCode="0.000"/>
    <numFmt numFmtId="263" formatCode="&quot;o.k.&quot;;&quot;false&quot;;&quot;error&quot;"/>
    <numFmt numFmtId="264" formatCode="&quot;$&quot;#,##0.00;[Red]\-&quot;$&quot;#,##0.00"/>
    <numFmt numFmtId="265" formatCode="&quot;£&quot;#,##0.00;\(&quot;£&quot;#,##0.00\)"/>
    <numFmt numFmtId="266" formatCode="_-&quot;£&quot;* #,##0.00_-;\-&quot;£&quot;* #,##0.00_-;_-&quot;£&quot;* &quot;-&quot;??_-;_-@_-"/>
    <numFmt numFmtId="267" formatCode="_-&quot;R$&quot;\ * #,##0.00_-;\-&quot;R$&quot;\ * #,##0.00_-;_-&quot;R$&quot;\ * &quot;-&quot;??_-;_-@_-"/>
    <numFmt numFmtId="268" formatCode="&quot;€&quot;_-0.00"/>
    <numFmt numFmtId="269" formatCode="&quot;£&quot;_-0.00"/>
    <numFmt numFmtId="270" formatCode="0.0000000%"/>
    <numFmt numFmtId="271" formatCode="dd\ mmm\ yyyy_);&quot;Error &lt;0  &quot;;dd\ mmm\ yyyy_);&quot;  &quot;@"/>
    <numFmt numFmtId="272" formatCode="mmm\ yyyy_);&quot;Error &lt;0  &quot;;dd\ mmm\ yyyy_);&quot;  &quot;@"/>
    <numFmt numFmtId="273" formatCode="#,##0_);\(#,##0\);&quot;- &quot;;&quot;  &quot;@"/>
    <numFmt numFmtId="274" formatCode="General&quot;E&quot;_)"/>
    <numFmt numFmtId="275" formatCode="#,##0.0_ ;\-#,##0.0\ "/>
    <numFmt numFmtId="276" formatCode="#,##0_);[Red]\(#,##0\);\-_)"/>
    <numFmt numFmtId="277" formatCode="#,##0.0000_);\(#,##0.0000\);&quot;-  &quot;;&quot;  &quot;@"/>
    <numFmt numFmtId="278" formatCode="_(#,##0_);\(#,##0\)"/>
    <numFmt numFmtId="279" formatCode="0_);[Red]\(0\)"/>
    <numFmt numFmtId="280" formatCode="0.00_);[Red]\(0.00\)"/>
    <numFmt numFmtId="281" formatCode="0.0000_);[Red]\(0.0000\)"/>
    <numFmt numFmtId="282" formatCode="#,#00"/>
    <numFmt numFmtId="283" formatCode="#,##0;\(#,##0\);\-"/>
    <numFmt numFmtId="284" formatCode="&quot;R$&quot;#,##0_);\(&quot;R$&quot;#,##0\)"/>
    <numFmt numFmtId="285" formatCode="\ ;\ ;"/>
    <numFmt numFmtId="286" formatCode="#\ ###\ ###\ ###\ ##0.00"/>
    <numFmt numFmtId="287" formatCode="0.00%;\(0.00%\);&quot;-&quot;"/>
    <numFmt numFmtId="288" formatCode="#,##0.0"/>
    <numFmt numFmtId="289" formatCode="_-* #,##0_-;\(#,###\);_-* &quot;-&quot;??_-;_-@_-"/>
    <numFmt numFmtId="290" formatCode="0.0"/>
    <numFmt numFmtId="291" formatCode="#,##0.000_ ;\(#,##0.000\);&quot;-&quot;___ "/>
    <numFmt numFmtId="292" formatCode="_-* #,##0.00_-;_-* #,##0.00\-;_-* &quot;-&quot;??_-;_-@_-"/>
    <numFmt numFmtId="293" formatCode="#,##0&quot; m3&quot;"/>
    <numFmt numFmtId="294" formatCode="#,##0_*;\(#,##0\);0_*"/>
    <numFmt numFmtId="295" formatCode="#,##0;[Red]&quot;-&quot;#,##0"/>
    <numFmt numFmtId="296" formatCode="0.0000000"/>
    <numFmt numFmtId="297" formatCode="_-* #,##0.00\ _P_t_s_-;\-* #,##0.00\ _P_t_s_-;_-* &quot;-&quot;??\ _P_t_s_-;_-@_-"/>
    <numFmt numFmtId="298" formatCode="&quot;&quot;&quot;&quot;"/>
    <numFmt numFmtId="299" formatCode="#,##0.00\ &quot;pta&quot;;\-#,##0.00\ &quot;pta&quot;"/>
    <numFmt numFmtId="300" formatCode="#,##0.0000"/>
    <numFmt numFmtId="301" formatCode="?.?,,_);[Red]\(?.?,,\)"/>
    <numFmt numFmtId="302" formatCode="_-* #,##0\ &quot;Esc.&quot;_-;\-* #,##0\ &quot;Esc.&quot;_-;_-* &quot;-&quot;\ &quot;Esc.&quot;_-;_-@_-"/>
    <numFmt numFmtId="303" formatCode="_(&quot;R$ &quot;* #,##0.00_);_(&quot;R$ &quot;* \(#,##0.00\);_(&quot;R$ &quot;* &quot;-&quot;??_);_(@_)"/>
    <numFmt numFmtId="304" formatCode="_-&quot;R$&quot;* #,##0.00_-;\-&quot;R$&quot;* #,##0.00_-;_-&quot;R$&quot;* &quot;-&quot;??_-;_-@_-"/>
    <numFmt numFmtId="305" formatCode="_-* #,##0.00\ &quot;Esc.&quot;_-;\-* #,##0.00\ &quot;Esc.&quot;_-;_-* &quot;-&quot;??\ &quot;Esc.&quot;_-;_-@_-"/>
    <numFmt numFmtId="306" formatCode="_-&quot;$&quot;* #,##0.00_-;\-&quot;$&quot;* #,##0.00_-;_-&quot;$&quot;* &quot;-&quot;??_-;_-@_-"/>
    <numFmt numFmtId="307" formatCode="_-* #,##0.00\ &quot;Pts&quot;_-;\-* #,##0.00\ &quot;Pts&quot;_-;_-* &quot;-&quot;??\ &quot;Pts&quot;_-;_-@_-"/>
    <numFmt numFmtId="308" formatCode="#,##0\ &quot;€&quot;;\-#,##0\ &quot;€&quot;"/>
    <numFmt numFmtId="309" formatCode="\$#,##0.00\ ;\(\$#,##0.00\)"/>
    <numFmt numFmtId="310" formatCode="\$#,##0\ ;\(\$#,##0\)"/>
    <numFmt numFmtId="311" formatCode="_(* #,##0\x_);_(* \(#,##0\x\);_(* &quot;0x&quot;_);_(@_)"/>
    <numFmt numFmtId="312" formatCode="_(* #,##0.0\x_);_(* \(#,##0.0\x\);_(* &quot;0,0x&quot;_);_(@_)"/>
    <numFmt numFmtId="313" formatCode="_(* #,##0.00\x_);_(* \(#,##0.00\x\);_(* &quot;0,00x&quot;_);_(@_)"/>
    <numFmt numFmtId="314" formatCode="&quot;Invalid name &quot;0;&quot;Invalid name &quot;\-0;&quot;Invalid name &quot;0;&quot;:::[ &quot;@&quot; ]&quot;*:"/>
    <numFmt numFmtId="315" formatCode="dd\ mmm\ yy"/>
    <numFmt numFmtId="316" formatCode="0.00_)"/>
    <numFmt numFmtId="317" formatCode="&quot;DM&quot;#,##0.00;[Red]\-&quot;DM&quot;#,##0.00"/>
    <numFmt numFmtId="318" formatCode="#,##0;[Red]\-#,##0;&quot;&quot;"/>
    <numFmt numFmtId="319" formatCode="_([$€]* #,##0.00_);_([$€]* \(#,##0.00\);_([$€]* &quot;-&quot;??_);_(@_)"/>
    <numFmt numFmtId="320" formatCode="[$$-500A]\ #,##0.00000"/>
    <numFmt numFmtId="321" formatCode="_-* #,##0.00\ [$€-1]_-;\-* #,##0.00\ [$€-1]_-;_-* &quot;-&quot;??\ [$€-1]_-"/>
    <numFmt numFmtId="322" formatCode="[$-409]mmmm\-yy;@"/>
    <numFmt numFmtId="323" formatCode="#,##0\ ;[Red]\(#,##0\)"/>
    <numFmt numFmtId="324" formatCode="_(* #,##0_);_(* \(#,##0\);_(* &quot;0&quot;_);_(@_)"/>
    <numFmt numFmtId="325" formatCode="_(* #,##0.0_);_(* \(#,##0.0\);_(* &quot;0,0&quot;_);_(@_)"/>
    <numFmt numFmtId="326" formatCode="_(* #,##0.00_);_(* \(#,##0.00\);_(* &quot;0,00&quot;_);_(@_)"/>
    <numFmt numFmtId="327" formatCode="#,##0.00\ &quot;Pts&quot;;\-#,##0.00\ &quot;Pts&quot;"/>
    <numFmt numFmtId="328" formatCode="#,##0.0,;\(#,##0.0,\);\-_)_0"/>
    <numFmt numFmtId="329" formatCode="_(* #,##0%_);_(* \(#,##0%\);_(* &quot;0%&quot;??_);_(@_)"/>
    <numFmt numFmtId="330" formatCode="0%;\(0%\)"/>
    <numFmt numFmtId="331" formatCode="_(* #,##0.0%_);_(* \(#,##0.0%\);_(* &quot;0,0%&quot;_);_(@_)"/>
    <numFmt numFmtId="332" formatCode="_(* #,##0.00%_);_(* \(#,##0.00%\);_(* &quot;0,00%&quot;??_);_(@_)"/>
    <numFmt numFmtId="333" formatCode="0.00%;\(0.00%\)"/>
    <numFmt numFmtId="334" formatCode="#,##0.000_);[Red]\(#,##0.000\)"/>
    <numFmt numFmtId="335" formatCode="%#,#00"/>
    <numFmt numFmtId="336" formatCode="0%;\-0%;&quot;-&quot;"/>
    <numFmt numFmtId="337" formatCode="0.0%_*;\(0.0%\)"/>
    <numFmt numFmtId="338" formatCode="0\+000"/>
    <numFmt numFmtId="339" formatCode="#.##000"/>
    <numFmt numFmtId="340" formatCode="0.0%_);\(0.0\)%"/>
    <numFmt numFmtId="341" formatCode="0.0&quot;x&quot;;@_)"/>
    <numFmt numFmtId="342" formatCode="0.00\ \ \x"/>
    <numFmt numFmtId="343" formatCode="[&lt;1000]\ 0_);[&gt;1000]\ dd\-mmm\-yy;General"/>
    <numFmt numFmtId="344" formatCode="#,##0.0%_);\(#,##0.0%\);\-_);@_)"/>
    <numFmt numFmtId="345" formatCode="mmm\ yy"/>
    <numFmt numFmtId="346" formatCode="#,##0.0,,_);[Red]\(#,##0.0,,\);\-_0_)"/>
    <numFmt numFmtId="347" formatCode="#,##0.0;\(#,##0.0\)"/>
    <numFmt numFmtId="348" formatCode="#,##0_*;\(#,##0\);0_*;@_)"/>
    <numFmt numFmtId="349" formatCode="&quot;£&quot;\ #,##0.00;\(\€\ #,##0.00\)"/>
    <numFmt numFmtId="350" formatCode="#,##0_ ;\(#,##0\)_-;&quot;-&quot;"/>
    <numFmt numFmtId="351" formatCode="#,##0;[Red]\ \ \(#,##0\)"/>
    <numFmt numFmtId="352" formatCode="_(* #,##0_);_(* \(#,##0\);_(* &quot;-&quot;??_);_(@_)"/>
    <numFmt numFmtId="353" formatCode="#,##0;\-#,##0;\-"/>
    <numFmt numFmtId="354" formatCode="_ * #,##0.00_)_£_ ;_ * \(#,##0.00\)_£_ ;_ * &quot;-&quot;??_)_£_ ;_ @_ "/>
    <numFmt numFmtId="355" formatCode="#,##0\ &quot;F&quot;;\-#,##0\ &quot;F&quot;"/>
    <numFmt numFmtId="356" formatCode="#,"/>
    <numFmt numFmtId="357" formatCode="_-&quot;F&quot;\ * #,##0_-;_-&quot;F&quot;\ * #,##0\-;_-&quot;F&quot;\ * &quot;-&quot;_-;_-@_-"/>
    <numFmt numFmtId="358" formatCode="_-&quot;F&quot;\ * #,##0.00_-;_-&quot;F&quot;\ * #,##0.00\-;_-&quot;F&quot;\ * &quot;-&quot;??_-;_-@_-"/>
    <numFmt numFmtId="359" formatCode="_(* #,##0\ &quot;pta&quot;_);_(* \(#,##0\ &quot;pta&quot;\);_(* &quot;-&quot;??\ &quot;pta&quot;_);_(@_)"/>
    <numFmt numFmtId="360" formatCode="_-&quot;£&quot;* #,##0_-;&quot;\&quot;&quot;\&quot;&quot;\&quot;&quot;\&quot;&quot;\&quot;\-&quot;£&quot;* #,##0_-;_-&quot;£&quot;* &quot;-&quot;_-;_-@_-"/>
    <numFmt numFmtId="361" formatCode="0.00\ &quot;kms&quot;"/>
    <numFmt numFmtId="362" formatCode="0.00\ &quot;km&quot;"/>
    <numFmt numFmtId="363" formatCode="_(* #,##0.0000_);_(* \(#,##0.0000\);_(* &quot;-&quot;??_);_(@_)"/>
    <numFmt numFmtId="364" formatCode="#,##0.0\ &quot;years&quot;"/>
    <numFmt numFmtId="365" formatCode="&quot;FY&quot;\ 0\ &quot;A&quot;"/>
    <numFmt numFmtId="366" formatCode="&quot;FY&quot;\ 0\ &quot;P&quot;"/>
    <numFmt numFmtId="367" formatCode="dd\ mmm\ yyyy"/>
    <numFmt numFmtId="368" formatCode="&quot;FY&quot;\ 0\ &quot;E&quot;"/>
  </numFmts>
  <fonts count="244">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charset val="177"/>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charset val="177"/>
    </font>
    <font>
      <b/>
      <sz val="14"/>
      <color theme="0"/>
      <name val="Calibri"/>
      <family val="2"/>
      <scheme val="minor"/>
    </font>
    <font>
      <sz val="14"/>
      <color theme="0"/>
      <name val="Calibri"/>
      <family val="2"/>
      <scheme val="minor"/>
    </font>
    <font>
      <b/>
      <sz val="9"/>
      <color theme="1"/>
      <name val="Arial"/>
      <family val="2"/>
    </font>
    <font>
      <sz val="9"/>
      <color theme="1"/>
      <name val="Arial"/>
      <family val="2"/>
    </font>
    <font>
      <b/>
      <sz val="9"/>
      <color theme="0"/>
      <name val="Arial"/>
      <family val="2"/>
    </font>
    <font>
      <sz val="11"/>
      <name val="Calibri"/>
      <family val="2"/>
    </font>
    <font>
      <b/>
      <sz val="11"/>
      <name val="Calibri"/>
      <family val="2"/>
    </font>
    <font>
      <u/>
      <sz val="11"/>
      <color theme="10"/>
      <name val="Calibri"/>
      <family val="2"/>
      <scheme val="minor"/>
    </font>
    <font>
      <b/>
      <sz val="14"/>
      <color theme="0"/>
      <name val="Calibri"/>
      <family val="2"/>
    </font>
    <font>
      <b/>
      <sz val="12"/>
      <color theme="0"/>
      <name val="Calibri"/>
      <family val="2"/>
    </font>
    <font>
      <b/>
      <sz val="12"/>
      <color theme="1"/>
      <name val="Calibri"/>
      <family val="2"/>
      <scheme val="minor"/>
    </font>
    <font>
      <sz val="11"/>
      <name val="Calibri"/>
      <family val="2"/>
      <scheme val="minor"/>
    </font>
    <font>
      <b/>
      <sz val="11"/>
      <name val="Calibri"/>
      <family val="2"/>
      <scheme val="minor"/>
    </font>
  </fonts>
  <fills count="111">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
      <patternFill patternType="solid">
        <fgColor theme="9" tint="-0.249977111117893"/>
        <bgColor indexed="64"/>
      </patternFill>
    </fill>
    <fill>
      <patternFill patternType="solid">
        <fgColor rgb="FF002060"/>
        <bgColor indexed="64"/>
      </patternFill>
    </fill>
    <fill>
      <patternFill patternType="solid">
        <fgColor theme="3" tint="-0.499984740745262"/>
        <bgColor indexed="64"/>
      </patternFill>
    </fill>
    <fill>
      <patternFill patternType="solid">
        <fgColor theme="4" tint="-0.499984740745262"/>
        <bgColor indexed="64"/>
      </patternFill>
    </fill>
  </fills>
  <borders count="90">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thin">
        <color theme="1"/>
      </top>
      <bottom style="thin">
        <color theme="1"/>
      </bottom>
      <diagonal/>
    </border>
    <border>
      <left/>
      <right style="thin">
        <color indexed="64"/>
      </right>
      <top style="thin">
        <color indexed="64"/>
      </top>
      <bottom/>
      <diagonal/>
    </border>
    <border>
      <left style="thin">
        <color indexed="64"/>
      </left>
      <right/>
      <top/>
      <bottom style="thin">
        <color indexed="64"/>
      </bottom>
      <diagonal/>
    </border>
  </borders>
  <cellStyleXfs count="25654">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175" fontId="22" fillId="0" borderId="0"/>
    <xf numFmtId="0" fontId="22" fillId="0" borderId="0"/>
    <xf numFmtId="176" fontId="27" fillId="0" borderId="0" applyBorder="0" applyProtection="0"/>
    <xf numFmtId="0" fontId="28" fillId="0" borderId="0" applyNumberFormat="0" applyBorder="0" applyProtection="0"/>
    <xf numFmtId="177"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5" fontId="22" fillId="0" borderId="0" applyNumberFormat="0" applyFont="0" applyFill="0" applyBorder="0" applyAlignment="0" applyProtection="0"/>
    <xf numFmtId="175" fontId="22" fillId="0" borderId="0" applyNumberFormat="0" applyFont="0" applyFill="0" applyBorder="0" applyAlignment="0" applyProtection="0"/>
    <xf numFmtId="175"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5"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5"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7" fontId="22" fillId="0" borderId="0"/>
    <xf numFmtId="178" fontId="46"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0" fontId="24" fillId="0" borderId="0" applyFont="0" applyFill="0" applyBorder="0" applyAlignment="0" applyProtection="0"/>
    <xf numFmtId="181"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2"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33" fillId="0" borderId="0"/>
    <xf numFmtId="0" fontId="33"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33" fillId="0" borderId="0"/>
    <xf numFmtId="0" fontId="33"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3" fillId="0" borderId="0"/>
    <xf numFmtId="0" fontId="33" fillId="0" borderId="0"/>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5" fontId="33" fillId="0" borderId="0"/>
    <xf numFmtId="0" fontId="33" fillId="0" borderId="0"/>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0" fontId="48" fillId="0" borderId="0" applyFill="0" applyBorder="0" applyAlignment="0" applyProtection="0"/>
    <xf numFmtId="184" fontId="50" fillId="0" borderId="0"/>
    <xf numFmtId="184" fontId="50" fillId="0" borderId="0"/>
    <xf numFmtId="184"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3"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31"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0" fontId="31" fillId="0" borderId="0" applyFont="0" applyFill="0" applyBorder="0" applyAlignment="0" applyProtection="0"/>
    <xf numFmtId="185" fontId="22" fillId="0" borderId="0" applyFont="0" applyFill="0" applyBorder="0" applyAlignment="0" applyProtection="0"/>
    <xf numFmtId="188" fontId="24" fillId="0" borderId="0" applyFont="0" applyFill="0" applyBorder="0" applyAlignment="0" applyProtection="0"/>
    <xf numFmtId="189" fontId="22" fillId="0" borderId="0" applyFont="0" applyFill="0" applyBorder="0" applyAlignment="0" applyProtection="0"/>
    <xf numFmtId="185" fontId="22" fillId="0" borderId="0" applyFont="0" applyFill="0" applyBorder="0" applyAlignment="0" applyProtection="0"/>
    <xf numFmtId="187" fontId="31" fillId="0" borderId="0" applyFont="0" applyFill="0" applyBorder="0" applyAlignment="0" applyProtection="0"/>
    <xf numFmtId="185" fontId="22"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185" fontId="22"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190"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1" fontId="24"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200" fontId="24" fillId="0" borderId="0" applyFont="0" applyFill="0" applyBorder="0" applyAlignment="0" applyProtection="0"/>
    <xf numFmtId="201" fontId="24" fillId="0" borderId="0" applyFont="0" applyFill="0" applyBorder="0" applyAlignment="0" applyProtection="0"/>
    <xf numFmtId="201" fontId="24" fillId="0" borderId="0" applyFont="0" applyFill="0" applyBorder="0" applyAlignment="0" applyProtection="0"/>
    <xf numFmtId="200" fontId="24" fillId="0" borderId="0" applyFont="0" applyFill="0" applyBorder="0" applyAlignment="0" applyProtection="0"/>
    <xf numFmtId="201"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2" fontId="24" fillId="0" borderId="0" applyFont="0" applyFill="0" applyBorder="0" applyAlignment="0" applyProtection="0"/>
    <xf numFmtId="198"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203"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8"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39" fontId="22" fillId="0" borderId="0" applyFont="0" applyFill="0" applyBorder="0" applyAlignment="0" applyProtection="0"/>
    <xf numFmtId="184" fontId="53" fillId="0" borderId="0"/>
    <xf numFmtId="184" fontId="53" fillId="0" borderId="0"/>
    <xf numFmtId="184"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4" fontId="50" fillId="0" borderId="0"/>
    <xf numFmtId="184" fontId="50" fillId="0" borderId="0"/>
    <xf numFmtId="184"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09"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8" fontId="46" fillId="0" borderId="0" applyFont="0" applyFill="0" applyBorder="0" applyAlignment="0" applyProtection="0"/>
    <xf numFmtId="38" fontId="63"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46" fillId="0" borderId="0" applyFont="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5" fontId="37" fillId="0" borderId="0"/>
    <xf numFmtId="0" fontId="37" fillId="0" borderId="0"/>
    <xf numFmtId="175" fontId="37" fillId="0" borderId="0"/>
    <xf numFmtId="0" fontId="37" fillId="0" borderId="0"/>
    <xf numFmtId="175"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7" fontId="40" fillId="0" borderId="0"/>
    <xf numFmtId="0" fontId="40" fillId="0" borderId="0"/>
    <xf numFmtId="177"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38" fontId="63" fillId="0" borderId="0" applyFont="0" applyFill="0" applyBorder="0" applyAlignment="0" applyProtection="0"/>
    <xf numFmtId="178" fontId="46" fillId="0" borderId="0" applyFont="0" applyFill="0" applyBorder="0" applyAlignment="0" applyProtection="0"/>
    <xf numFmtId="210" fontId="46"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6"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0" fontId="31"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22" fillId="0" borderId="0" applyNumberFormat="0" applyFill="0" applyBorder="0" applyAlignment="0" applyProtection="0"/>
    <xf numFmtId="177"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7"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7" fontId="22" fillId="0" borderId="0" applyFont="0" applyFill="0" applyBorder="0" applyAlignment="0" applyProtection="0"/>
    <xf numFmtId="177" fontId="22" fillId="0" borderId="0" applyFont="0" applyFill="0" applyBorder="0" applyAlignment="0" applyProtection="0"/>
    <xf numFmtId="219" fontId="78" fillId="0" borderId="29">
      <alignment horizontal="left" vertical="center"/>
    </xf>
    <xf numFmtId="9" fontId="22" fillId="57" borderId="0"/>
    <xf numFmtId="184" fontId="33" fillId="0" borderId="0" applyNumberFormat="0" applyFill="0" applyBorder="0" applyAlignment="0" applyProtection="0"/>
    <xf numFmtId="0" fontId="22" fillId="0" borderId="0"/>
    <xf numFmtId="177"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0" fontId="22" fillId="0" borderId="0">
      <alignment horizontal="left"/>
    </xf>
    <xf numFmtId="221" fontId="22" fillId="0" borderId="0">
      <alignment horizontal="left"/>
    </xf>
    <xf numFmtId="222"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5"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3" fontId="85" fillId="72" borderId="0" applyBorder="0" applyProtection="0"/>
    <xf numFmtId="224" fontId="53" fillId="0" borderId="0" applyFill="0" applyBorder="0" applyProtection="0">
      <alignment vertical="center"/>
    </xf>
    <xf numFmtId="177"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5" fontId="86" fillId="73" borderId="0" applyBorder="0">
      <alignment horizontal="left" vertical="center"/>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0" fontId="33" fillId="0" borderId="0"/>
    <xf numFmtId="230"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88" fillId="0" borderId="0" applyFont="0" applyFill="0" applyBorder="0" applyAlignment="0" applyProtection="0">
      <alignment horizontal="right"/>
    </xf>
    <xf numFmtId="177" fontId="89" fillId="0" borderId="0" applyNumberFormat="0" applyFill="0" applyBorder="0" applyAlignment="0" applyProtection="0"/>
    <xf numFmtId="177" fontId="89" fillId="0" borderId="0" applyNumberFormat="0" applyFill="0" applyBorder="0" applyAlignment="0" applyProtection="0"/>
    <xf numFmtId="0" fontId="90" fillId="0" borderId="0" applyNumberFormat="0" applyFill="0" applyBorder="0" applyAlignment="0" applyProtection="0"/>
    <xf numFmtId="230" fontId="91" fillId="0" borderId="0">
      <alignment vertical="top"/>
    </xf>
    <xf numFmtId="231" fontId="92" fillId="0" borderId="33"/>
    <xf numFmtId="230" fontId="93" fillId="0" borderId="0">
      <alignment horizontal="left"/>
    </xf>
    <xf numFmtId="175"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2" fontId="22" fillId="0" borderId="0" applyFont="0" applyFill="0" applyBorder="0" applyAlignment="0" applyProtection="0"/>
    <xf numFmtId="232" fontId="22" fillId="0" borderId="0" applyFont="0" applyFill="0" applyBorder="0" applyAlignment="0" applyProtection="0"/>
    <xf numFmtId="49" fontId="95" fillId="0" borderId="0" applyFont="0" applyFill="0" applyBorder="0" applyAlignment="0" applyProtection="0">
      <alignment horizontal="left"/>
    </xf>
    <xf numFmtId="233" fontId="31" fillId="0" borderId="0" applyAlignment="0" applyProtection="0"/>
    <xf numFmtId="173"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7" fontId="22" fillId="0" borderId="0" applyNumberFormat="0" applyFill="0" applyBorder="0" applyAlignment="0" applyProtection="0"/>
    <xf numFmtId="177" fontId="22" fillId="0" borderId="0" applyNumberFormat="0" applyFill="0" applyBorder="0" applyAlignment="0" applyProtection="0"/>
    <xf numFmtId="177" fontId="98" fillId="0" borderId="0" applyNumberFormat="0" applyFill="0" applyBorder="0" applyAlignment="0" applyProtection="0"/>
    <xf numFmtId="177"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7" fontId="22" fillId="0" borderId="0" applyFill="0" applyBorder="0" applyAlignment="0"/>
    <xf numFmtId="0" fontId="22" fillId="0" borderId="0" applyFill="0" applyBorder="0" applyAlignment="0"/>
    <xf numFmtId="234" fontId="22" fillId="0" borderId="0" applyFill="0" applyBorder="0" applyAlignment="0"/>
    <xf numFmtId="234" fontId="22" fillId="0" borderId="0" applyFill="0" applyBorder="0" applyAlignment="0"/>
    <xf numFmtId="23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236" fontId="99" fillId="0" borderId="0" applyFill="0" applyBorder="0" applyAlignment="0"/>
    <xf numFmtId="237" fontId="22" fillId="0" borderId="0" applyFill="0" applyBorder="0" applyAlignment="0"/>
    <xf numFmtId="237" fontId="22" fillId="0" borderId="0" applyFill="0" applyBorder="0" applyAlignment="0"/>
    <xf numFmtId="237" fontId="22" fillId="0" borderId="0" applyFill="0" applyBorder="0" applyAlignment="0"/>
    <xf numFmtId="238" fontId="99" fillId="0" borderId="0" applyFill="0" applyBorder="0" applyAlignment="0"/>
    <xf numFmtId="239" fontId="22" fillId="0" borderId="0" applyFill="0" applyBorder="0" applyAlignment="0"/>
    <xf numFmtId="239" fontId="22" fillId="0" borderId="0" applyFill="0" applyBorder="0" applyAlignment="0"/>
    <xf numFmtId="239" fontId="22" fillId="0" borderId="0" applyFill="0" applyBorder="0" applyAlignment="0"/>
    <xf numFmtId="240" fontId="99" fillId="0" borderId="0" applyFill="0" applyBorder="0" applyAlignment="0"/>
    <xf numFmtId="241" fontId="22" fillId="0" borderId="0" applyFill="0" applyBorder="0" applyAlignment="0"/>
    <xf numFmtId="241" fontId="22" fillId="0" borderId="0" applyFill="0" applyBorder="0" applyAlignment="0"/>
    <xf numFmtId="241" fontId="22" fillId="0" borderId="0" applyFill="0" applyBorder="0" applyAlignment="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3" fontId="47"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245" fontId="22" fillId="52" borderId="36" applyNumberFormat="0">
      <alignment vertical="center"/>
    </xf>
    <xf numFmtId="0" fontId="22" fillId="0" borderId="0"/>
    <xf numFmtId="0" fontId="22" fillId="0" borderId="0" applyBorder="0"/>
    <xf numFmtId="2" fontId="22" fillId="0" borderId="0"/>
    <xf numFmtId="246"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5"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5"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7" fontId="103" fillId="0" borderId="0" applyFill="0" applyBorder="0" applyProtection="0">
      <alignment horizontal="center" vertical="center"/>
    </xf>
    <xf numFmtId="247" fontId="103" fillId="0" borderId="0" applyFill="0" applyBorder="0" applyProtection="0">
      <alignment horizontal="center" vertical="center"/>
    </xf>
    <xf numFmtId="247" fontId="104" fillId="0" borderId="0" applyFill="0" applyBorder="0">
      <alignment horizontal="center" vertical="center"/>
    </xf>
    <xf numFmtId="247"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7" fontId="53" fillId="0" borderId="0" applyNumberFormat="0" applyFill="0" applyBorder="0" applyAlignment="0" applyProtection="0"/>
    <xf numFmtId="177" fontId="105" fillId="0" borderId="41" applyNumberFormat="0" applyFill="0" applyBorder="0" applyAlignment="0" applyProtection="0">
      <alignment horizontal="center"/>
    </xf>
    <xf numFmtId="4" fontId="53" fillId="41" borderId="0" applyFont="0" applyBorder="0" applyAlignment="0" applyProtection="0">
      <alignment vertical="top"/>
    </xf>
    <xf numFmtId="248" fontId="22" fillId="0" borderId="0" applyFont="0" applyFill="0" applyBorder="0" applyAlignment="0" applyProtection="0"/>
    <xf numFmtId="248"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2" fontId="22" fillId="0" borderId="0" applyFont="0" applyFill="0" applyBorder="0" applyAlignment="0" applyProtection="0"/>
    <xf numFmtId="242" fontId="22" fillId="0" borderId="0" applyFont="0" applyFill="0" applyBorder="0" applyAlignment="0" applyProtection="0"/>
    <xf numFmtId="249" fontId="82" fillId="0" borderId="0" applyFont="0" applyFill="0" applyBorder="0" applyAlignment="0" applyProtection="0"/>
    <xf numFmtId="0" fontId="107" fillId="0" borderId="0" applyFont="0" applyFill="0" applyBorder="0" applyAlignment="0" applyProtection="0">
      <alignment horizontal="right"/>
    </xf>
    <xf numFmtId="250" fontId="22" fillId="0" borderId="2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2" fontId="22" fillId="0" borderId="0" applyFill="0" applyBorder="0" applyAlignment="0" applyProtection="0"/>
    <xf numFmtId="253" fontId="22" fillId="0" borderId="0" applyFont="0" applyFill="0" applyBorder="0" applyAlignment="0" applyProtection="0"/>
    <xf numFmtId="252" fontId="22" fillId="0" borderId="0" applyFill="0" applyBorder="0" applyAlignment="0" applyProtection="0"/>
    <xf numFmtId="254" fontId="22" fillId="0" borderId="0" applyFont="0" applyFill="0" applyBorder="0" applyAlignment="0" applyProtection="0"/>
    <xf numFmtId="252" fontId="22" fillId="0" borderId="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2" fontId="22" fillId="0" borderId="0" applyFill="0" applyBorder="0" applyAlignment="0" applyProtection="0"/>
    <xf numFmtId="25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2" fontId="22" fillId="0" borderId="0" applyFill="0" applyBorder="0" applyAlignment="0" applyProtection="0"/>
    <xf numFmtId="169"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2"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2"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5" fontId="22" fillId="0" borderId="0" applyFont="0" applyFill="0" applyBorder="0" applyAlignment="0" applyProtection="0"/>
    <xf numFmtId="258" fontId="22" fillId="0" borderId="0" applyFont="0" applyFill="0" applyBorder="0" applyAlignment="0" applyProtection="0"/>
    <xf numFmtId="169" fontId="22"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169" fontId="23"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2" fontId="22" fillId="0" borderId="0" applyFill="0" applyBorder="0" applyAlignment="0" applyProtection="0"/>
    <xf numFmtId="169" fontId="22" fillId="0" borderId="0" applyFont="0" applyFill="0" applyBorder="0" applyAlignment="0" applyProtection="0"/>
    <xf numFmtId="252" fontId="22" fillId="0" borderId="0" applyFill="0" applyBorder="0" applyAlignment="0" applyProtection="0"/>
    <xf numFmtId="169" fontId="1"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0"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8" fontId="108" fillId="0" borderId="0" applyFont="0" applyFill="0" applyBorder="0" applyAlignment="0" applyProtection="0"/>
    <xf numFmtId="260" fontId="22"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8" fontId="108"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8" fontId="110"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3" fontId="22" fillId="0" borderId="0" applyFill="0" applyBorder="0" applyAlignment="0" applyProtection="0"/>
    <xf numFmtId="177" fontId="22" fillId="0" borderId="0"/>
    <xf numFmtId="177" fontId="22" fillId="0" borderId="0"/>
    <xf numFmtId="3" fontId="22" fillId="0" borderId="0"/>
    <xf numFmtId="3" fontId="22" fillId="0" borderId="0"/>
    <xf numFmtId="3" fontId="22" fillId="0" borderId="0"/>
    <xf numFmtId="177" fontId="22" fillId="0" borderId="0"/>
    <xf numFmtId="177" fontId="22" fillId="0" borderId="0"/>
    <xf numFmtId="185" fontId="22" fillId="0" borderId="0"/>
    <xf numFmtId="261" fontId="111" fillId="0" borderId="0" applyFill="0" applyBorder="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3"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5" fontId="22" fillId="0" borderId="0" applyFill="0" applyBorder="0" applyAlignment="0" applyProtection="0">
      <alignment horizontal="left"/>
    </xf>
    <xf numFmtId="0" fontId="40" fillId="0" borderId="43"/>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45" fontId="114" fillId="0" borderId="0" applyFill="0" applyBorder="0">
      <protection locked="0"/>
    </xf>
    <xf numFmtId="177" fontId="99" fillId="0" borderId="0" applyFont="0" applyFill="0" applyBorder="0" applyAlignment="0" applyProtection="0"/>
    <xf numFmtId="0" fontId="99" fillId="0" borderId="0" applyFont="0" applyFill="0" applyBorder="0" applyAlignment="0" applyProtection="0"/>
    <xf numFmtId="235" fontId="22" fillId="0" borderId="0" applyFont="0" applyFill="0" applyBorder="0" applyAlignment="0" applyProtection="0"/>
    <xf numFmtId="235" fontId="22" fillId="0" borderId="0" applyFont="0" applyFill="0" applyBorder="0" applyAlignment="0" applyProtection="0"/>
    <xf numFmtId="166" fontId="115" fillId="0" borderId="44">
      <protection locked="0"/>
    </xf>
    <xf numFmtId="265" fontId="22" fillId="0" borderId="0" applyFill="0" applyBorder="0"/>
    <xf numFmtId="265" fontId="22" fillId="0" borderId="0" applyFill="0" applyBorder="0"/>
    <xf numFmtId="265" fontId="114" fillId="0" borderId="0" applyFill="0" applyBorder="0">
      <protection locked="0"/>
    </xf>
    <xf numFmtId="265" fontId="22" fillId="0" borderId="0" applyFill="0" applyBorder="0"/>
    <xf numFmtId="0" fontId="107" fillId="0" borderId="0" applyFont="0" applyFill="0" applyBorder="0" applyAlignment="0" applyProtection="0">
      <alignment horizontal="right"/>
    </xf>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7"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7"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8" fontId="22" fillId="0" borderId="0" applyFont="0" applyFill="0" applyBorder="0" applyAlignment="0" applyProtection="0"/>
    <xf numFmtId="268" fontId="22"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166" fontId="40" fillId="0" borderId="0" applyFill="0" applyBorder="0">
      <alignment horizontal="right"/>
    </xf>
    <xf numFmtId="0" fontId="106" fillId="0" borderId="0"/>
    <xf numFmtId="270"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1" fontId="87" fillId="0" borderId="0" applyFont="0" applyFill="0" applyBorder="0" applyAlignment="0" applyProtection="0">
      <alignment vertical="top"/>
    </xf>
    <xf numFmtId="272"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6" fontId="22" fillId="0" borderId="0" applyFill="0" applyBorder="0">
      <alignment horizontal="right"/>
    </xf>
    <xf numFmtId="246" fontId="22" fillId="0" borderId="0" applyFill="0" applyBorder="0">
      <alignment horizontal="right"/>
    </xf>
    <xf numFmtId="246" fontId="114" fillId="0" borderId="0" applyFill="0" applyBorder="0">
      <protection locked="0"/>
    </xf>
    <xf numFmtId="246"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7" fontId="22" fillId="0" borderId="0">
      <protection locked="0"/>
    </xf>
    <xf numFmtId="177"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7" fontId="22" fillId="0" borderId="0">
      <protection locked="0"/>
    </xf>
    <xf numFmtId="177" fontId="22" fillId="0" borderId="0">
      <protection locked="0"/>
    </xf>
    <xf numFmtId="177" fontId="122" fillId="0" borderId="0"/>
    <xf numFmtId="0" fontId="122" fillId="0" borderId="0"/>
    <xf numFmtId="177"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3" fontId="47"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0" fontId="125" fillId="63" borderId="37" applyNumberFormat="0" applyAlignment="0" applyProtection="0"/>
    <xf numFmtId="273" fontId="22" fillId="45" borderId="20" applyNumberFormat="0" applyFont="0" applyAlignment="0">
      <protection locked="0"/>
    </xf>
    <xf numFmtId="273" fontId="22" fillId="45" borderId="20" applyNumberFormat="0" applyFont="0" applyAlignment="0">
      <protection locked="0"/>
    </xf>
    <xf numFmtId="273" fontId="22" fillId="45" borderId="20" applyNumberFormat="0" applyFont="0" applyAlignment="0">
      <protection locked="0"/>
    </xf>
    <xf numFmtId="273"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3" fontId="22" fillId="45" borderId="20" applyNumberFormat="0" applyFont="0" applyAlignment="0">
      <protection locked="0"/>
    </xf>
    <xf numFmtId="0" fontId="125" fillId="63" borderId="37" applyNumberFormat="0" applyAlignment="0" applyProtection="0"/>
    <xf numFmtId="273" fontId="22" fillId="45" borderId="20" applyNumberFormat="0" applyFont="0" applyAlignment="0">
      <protection locked="0"/>
    </xf>
    <xf numFmtId="0" fontId="125" fillId="63" borderId="37" applyNumberFormat="0" applyAlignment="0" applyProtection="0"/>
    <xf numFmtId="273" fontId="22" fillId="45" borderId="20" applyNumberFormat="0" applyFont="0" applyAlignment="0">
      <protection locked="0"/>
    </xf>
    <xf numFmtId="273" fontId="22" fillId="45" borderId="20" applyNumberFormat="0" applyFont="0" applyAlignment="0">
      <protection locked="0"/>
    </xf>
    <xf numFmtId="273"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7" fontId="22" fillId="0" borderId="0"/>
    <xf numFmtId="0" fontId="22" fillId="0" borderId="0"/>
    <xf numFmtId="175" fontId="22" fillId="0" borderId="0"/>
    <xf numFmtId="0" fontId="22" fillId="0" borderId="0"/>
    <xf numFmtId="0" fontId="22" fillId="0" borderId="0"/>
    <xf numFmtId="175" fontId="22" fillId="0" borderId="0"/>
    <xf numFmtId="175" fontId="22" fillId="0" borderId="0"/>
    <xf numFmtId="274" fontId="53" fillId="0" borderId="0" applyFill="0" applyBorder="0" applyProtection="0">
      <alignment vertical="center"/>
    </xf>
    <xf numFmtId="17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75"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27" fillId="0" borderId="0"/>
    <xf numFmtId="0" fontId="22" fillId="0" borderId="0"/>
    <xf numFmtId="17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6" fontId="33" fillId="0" borderId="0" applyFont="0" applyFill="0" applyBorder="0" applyAlignment="0" applyProtection="0"/>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277" fontId="62" fillId="0" borderId="0" applyFont="0" applyFill="0" applyBorder="0" applyAlignment="0" applyProtection="0">
      <alignment horizontal="right"/>
    </xf>
    <xf numFmtId="277" fontId="62" fillId="0" borderId="0" applyFont="0" applyFill="0" applyBorder="0" applyAlignment="0" applyProtection="0">
      <alignment horizontal="right"/>
    </xf>
    <xf numFmtId="278" fontId="33" fillId="0" borderId="0"/>
    <xf numFmtId="177" fontId="22" fillId="0" borderId="0" applyFont="0" applyFill="0" applyBorder="0" applyAlignment="0" applyProtection="0"/>
    <xf numFmtId="177"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7" fontId="22" fillId="0" borderId="0">
      <protection locked="0"/>
    </xf>
    <xf numFmtId="3" fontId="22" fillId="0" borderId="0" applyFont="0" applyFill="0" applyBorder="0" applyAlignment="0" applyProtection="0"/>
    <xf numFmtId="279" fontId="40" fillId="0" borderId="0" applyFill="0" applyBorder="0">
      <alignment horizontal="right"/>
    </xf>
    <xf numFmtId="280" fontId="40" fillId="0" borderId="0" applyFill="0" applyBorder="0">
      <alignment horizontal="right"/>
    </xf>
    <xf numFmtId="281" fontId="40" fillId="0" borderId="0" applyFill="0" applyBorder="0">
      <alignment horizontal="right"/>
    </xf>
    <xf numFmtId="282" fontId="129" fillId="0" borderId="0">
      <protection locked="0"/>
    </xf>
    <xf numFmtId="0" fontId="130" fillId="0" borderId="0" applyFill="0" applyBorder="0" applyProtection="0">
      <alignment horizontal="left"/>
    </xf>
    <xf numFmtId="177" fontId="131" fillId="0" borderId="0" applyNumberFormat="0" applyFill="0" applyBorder="0" applyAlignment="0" applyProtection="0"/>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73"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5"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3" fontId="134" fillId="85" borderId="51" applyNumberFormat="0">
      <alignment horizontal="center"/>
    </xf>
    <xf numFmtId="284" fontId="22" fillId="0" borderId="0" applyNumberFormat="0" applyFill="0" applyBorder="0" applyProtection="0">
      <alignment horizontal="right"/>
    </xf>
    <xf numFmtId="0" fontId="135" fillId="0" borderId="0" applyProtection="0">
      <alignment horizontal="right"/>
    </xf>
    <xf numFmtId="177" fontId="98" fillId="0" borderId="52" applyNumberFormat="0" applyAlignment="0" applyProtection="0">
      <alignment horizontal="left" vertical="center"/>
    </xf>
    <xf numFmtId="0" fontId="98" fillId="0" borderId="52" applyNumberFormat="0" applyAlignment="0" applyProtection="0">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136" fillId="0" borderId="0">
      <alignment horizontal="center"/>
    </xf>
    <xf numFmtId="177" fontId="136" fillId="0" borderId="0">
      <alignment horizontal="center"/>
    </xf>
    <xf numFmtId="0" fontId="122" fillId="0" borderId="0"/>
    <xf numFmtId="0" fontId="137" fillId="0" borderId="54" applyNumberFormat="0" applyFill="0" applyAlignment="0" applyProtection="0"/>
    <xf numFmtId="177"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7" fontId="144" fillId="0" borderId="0"/>
    <xf numFmtId="0" fontId="144" fillId="0" borderId="0"/>
    <xf numFmtId="0" fontId="145" fillId="0" borderId="0">
      <alignment horizontal="left"/>
    </xf>
    <xf numFmtId="185" fontId="139" fillId="0" borderId="0" applyProtection="0"/>
    <xf numFmtId="0" fontId="146" fillId="0" borderId="0">
      <alignment vertical="center"/>
    </xf>
    <xf numFmtId="0" fontId="146" fillId="0" borderId="0"/>
    <xf numFmtId="0" fontId="147" fillId="0" borderId="0"/>
    <xf numFmtId="285"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7" fontId="150" fillId="0" borderId="0" applyNumberFormat="0" applyFill="0" applyBorder="0" applyAlignment="0" applyProtection="0">
      <alignment vertical="top"/>
      <protection locked="0"/>
    </xf>
    <xf numFmtId="0" fontId="151" fillId="0" borderId="0" applyNumberFormat="0" applyFill="0" applyBorder="0" applyAlignment="0" applyProtection="0"/>
    <xf numFmtId="286"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7" fontId="82" fillId="51" borderId="0">
      <alignment horizontal="center"/>
    </xf>
    <xf numFmtId="173"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8"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5"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5" fontId="125" fillId="63" borderId="37" applyNumberFormat="0" applyAlignment="0" applyProtection="0"/>
    <xf numFmtId="175" fontId="125" fillId="63" borderId="37" applyNumberFormat="0" applyAlignment="0" applyProtection="0"/>
    <xf numFmtId="0" fontId="125" fillId="63" borderId="37" applyNumberFormat="0" applyAlignment="0" applyProtection="0"/>
    <xf numFmtId="175" fontId="125" fillId="63" borderId="37" applyNumberFormat="0" applyAlignment="0" applyProtection="0"/>
    <xf numFmtId="175"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7"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89" fontId="22" fillId="87" borderId="0">
      <alignment vertical="center"/>
    </xf>
    <xf numFmtId="289" fontId="22" fillId="45" borderId="0">
      <alignment vertical="center"/>
    </xf>
    <xf numFmtId="177" fontId="87" fillId="0" borderId="0" applyNumberFormat="0" applyFill="0" applyBorder="0" applyAlignment="0">
      <protection locked="0"/>
    </xf>
    <xf numFmtId="1" fontId="53" fillId="0" borderId="0"/>
    <xf numFmtId="290" fontId="112" fillId="0" borderId="0">
      <alignment vertical="center"/>
    </xf>
    <xf numFmtId="290" fontId="112" fillId="0" borderId="0">
      <alignment vertical="center"/>
    </xf>
    <xf numFmtId="290" fontId="112" fillId="0" borderId="0">
      <alignment vertical="center"/>
    </xf>
    <xf numFmtId="290" fontId="112" fillId="0" borderId="0">
      <alignment vertical="center"/>
    </xf>
    <xf numFmtId="0" fontId="112" fillId="0" borderId="0" applyNumberFormat="0">
      <alignment vertical="center"/>
    </xf>
    <xf numFmtId="291"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1" fontId="22" fillId="0" borderId="0" applyFont="0" applyFill="0" applyBorder="0" applyAlignment="0" applyProtection="0"/>
    <xf numFmtId="292"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7" fontId="159" fillId="0" borderId="0" applyNumberFormat="0" applyFill="0" applyBorder="0" applyAlignment="0" applyProtection="0">
      <alignment vertical="top"/>
      <protection locked="0"/>
    </xf>
    <xf numFmtId="177"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7" fontId="160" fillId="0" borderId="0" applyNumberFormat="0" applyFill="0" applyBorder="0" applyAlignment="0" applyProtection="0">
      <alignment vertical="top"/>
      <protection locked="0"/>
    </xf>
    <xf numFmtId="177"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5" fontId="161" fillId="0" borderId="46" applyNumberFormat="0" applyFont="0" applyFill="0" applyAlignment="0">
      <alignment horizontal="left" vertical="center"/>
    </xf>
    <xf numFmtId="177" fontId="162" fillId="0" borderId="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3" fontId="47"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5" fontId="40" fillId="0" borderId="0" applyFill="0" applyBorder="0">
      <alignment horizontal="right"/>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4" fontId="145" fillId="0" borderId="0" applyFill="0" applyBorder="0" applyProtection="0"/>
    <xf numFmtId="295" fontId="63"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12"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3"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98"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8"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7" fontId="22" fillId="0" borderId="0" applyFont="0" applyFill="0" applyBorder="0" applyAlignment="0" applyProtection="0"/>
    <xf numFmtId="259" fontId="22" fillId="0" borderId="0" applyFont="0" applyFill="0" applyBorder="0" applyAlignment="0" applyProtection="0"/>
    <xf numFmtId="258" fontId="53"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0"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300"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8" fontId="23"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66" fillId="0" borderId="0" applyFont="0" applyFill="0" applyBorder="0" applyAlignment="0" applyProtection="0"/>
    <xf numFmtId="258"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29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9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9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98" fontId="22"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1" fontId="40" fillId="0" borderId="0" applyFill="0" applyBorder="0">
      <alignment horizontal="right"/>
    </xf>
    <xf numFmtId="0" fontId="167" fillId="0" borderId="0" applyNumberFormat="0" applyFill="0" applyBorder="0">
      <alignment horizontal="center" vertical="center"/>
    </xf>
    <xf numFmtId="302" fontId="22" fillId="0" borderId="0" applyFont="0" applyFill="0" applyBorder="0" applyAlignment="0" applyProtection="0"/>
    <xf numFmtId="303" fontId="1" fillId="0" borderId="0" applyFont="0" applyFill="0" applyBorder="0" applyAlignment="0" applyProtection="0"/>
    <xf numFmtId="303" fontId="1" fillId="0" borderId="0" applyFont="0" applyFill="0" applyBorder="0" applyAlignment="0" applyProtection="0"/>
    <xf numFmtId="303" fontId="1" fillId="0" borderId="0" applyFont="0" applyFill="0" applyBorder="0" applyAlignment="0" applyProtection="0"/>
    <xf numFmtId="304" fontId="108" fillId="0" borderId="0" applyFont="0" applyFill="0" applyBorder="0" applyAlignment="0" applyProtection="0"/>
    <xf numFmtId="303" fontId="22" fillId="0" borderId="0" applyFont="0" applyFill="0" applyBorder="0" applyAlignment="0" applyProtection="0"/>
    <xf numFmtId="305"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254" fontId="23" fillId="0" borderId="0" applyFont="0" applyFill="0" applyBorder="0" applyAlignment="0" applyProtection="0"/>
    <xf numFmtId="306" fontId="23"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306" fontId="23"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306" fontId="23"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254"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8" fontId="22" fillId="0" borderId="0"/>
    <xf numFmtId="0" fontId="22" fillId="0" borderId="0" applyFont="0" applyFill="0" applyBorder="0" applyAlignment="0" applyProtection="0"/>
    <xf numFmtId="0" fontId="22" fillId="0" borderId="0" applyFont="0" applyFill="0" applyBorder="0" applyAlignment="0" applyProtection="0"/>
    <xf numFmtId="309" fontId="22" fillId="0" borderId="0" applyFont="0" applyFill="0" applyBorder="0" applyAlignment="0" applyProtection="0"/>
    <xf numFmtId="310" fontId="22" fillId="0" borderId="0" applyFont="0" applyFill="0" applyBorder="0" applyAlignment="0" applyProtection="0"/>
    <xf numFmtId="310" fontId="22" fillId="0" borderId="0" applyFont="0" applyFill="0" applyBorder="0" applyAlignment="0" applyProtection="0"/>
    <xf numFmtId="0" fontId="107" fillId="0" borderId="0" applyFont="0" applyFill="0" applyBorder="0" applyAlignment="0" applyProtection="0">
      <alignment horizontal="right"/>
    </xf>
    <xf numFmtId="311" fontId="22" fillId="0" borderId="0" applyFont="0" applyFill="0" applyBorder="0" applyAlignment="0" applyProtection="0"/>
    <xf numFmtId="312" fontId="22" fillId="0" borderId="0" applyFont="0" applyFill="0" applyBorder="0" applyAlignment="0" applyProtection="0"/>
    <xf numFmtId="313" fontId="22" fillId="0" borderId="0" applyFont="0" applyFill="0" applyBorder="0" applyAlignment="0" applyProtection="0"/>
    <xf numFmtId="0" fontId="168" fillId="52" borderId="62" applyNumberFormat="0" applyFont="0" applyFill="0" applyAlignment="0" applyProtection="0">
      <alignment vertical="center"/>
      <protection locked="0"/>
    </xf>
    <xf numFmtId="314" fontId="169" fillId="0" borderId="0" applyBorder="0">
      <alignment horizontal="centerContinuous" vertical="center"/>
    </xf>
    <xf numFmtId="181" fontId="169" fillId="0" borderId="63">
      <alignment vertical="center"/>
    </xf>
    <xf numFmtId="315" fontId="169" fillId="0" borderId="0" applyBorder="0">
      <alignment horizontal="centerContinuous" vertical="center"/>
    </xf>
    <xf numFmtId="175"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5"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5" fontId="173" fillId="0" borderId="0"/>
    <xf numFmtId="0" fontId="47" fillId="0" borderId="0"/>
    <xf numFmtId="0" fontId="173" fillId="0" borderId="0"/>
    <xf numFmtId="0" fontId="173" fillId="0" borderId="0"/>
    <xf numFmtId="0" fontId="173" fillId="0" borderId="0"/>
    <xf numFmtId="175" fontId="173" fillId="0" borderId="0"/>
    <xf numFmtId="0" fontId="173" fillId="0" borderId="0"/>
    <xf numFmtId="316" fontId="174" fillId="0" borderId="0"/>
    <xf numFmtId="175" fontId="22" fillId="0" borderId="0"/>
    <xf numFmtId="175" fontId="22" fillId="0" borderId="0"/>
    <xf numFmtId="290" fontId="174" fillId="0" borderId="0"/>
    <xf numFmtId="290" fontId="174" fillId="0" borderId="0"/>
    <xf numFmtId="317" fontId="22" fillId="0" borderId="0"/>
    <xf numFmtId="317" fontId="22" fillId="0" borderId="0"/>
    <xf numFmtId="318" fontId="113" fillId="0" borderId="0"/>
    <xf numFmtId="175" fontId="22" fillId="0" borderId="0" applyFont="0" applyFill="0" applyBorder="0" applyAlignment="0" applyProtection="0"/>
    <xf numFmtId="0" fontId="1" fillId="0" borderId="0"/>
    <xf numFmtId="0" fontId="1" fillId="0" borderId="0"/>
    <xf numFmtId="0" fontId="1" fillId="0" borderId="0"/>
    <xf numFmtId="319" fontId="22" fillId="0" borderId="0"/>
    <xf numFmtId="0" fontId="1" fillId="0" borderId="0"/>
    <xf numFmtId="0" fontId="1" fillId="0" borderId="0"/>
    <xf numFmtId="0" fontId="1" fillId="0" borderId="0"/>
    <xf numFmtId="31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0" fontId="22" fillId="0" borderId="0"/>
    <xf numFmtId="175"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20" fontId="22" fillId="0" borderId="0"/>
    <xf numFmtId="320" fontId="22" fillId="0" borderId="0"/>
    <xf numFmtId="320" fontId="22" fillId="0" borderId="0"/>
    <xf numFmtId="0" fontId="1" fillId="0" borderId="0"/>
    <xf numFmtId="320" fontId="22" fillId="0" borderId="0"/>
    <xf numFmtId="320" fontId="22" fillId="0" borderId="0"/>
    <xf numFmtId="320" fontId="22" fillId="0" borderId="0"/>
    <xf numFmtId="320" fontId="22" fillId="0" borderId="0"/>
    <xf numFmtId="320" fontId="22" fillId="0" borderId="0"/>
    <xf numFmtId="175" fontId="22" fillId="0" borderId="0" applyNumberFormat="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5" fontId="22" fillId="0" borderId="0" applyNumberFormat="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0" fontId="22" fillId="0" borderId="0"/>
    <xf numFmtId="0" fontId="1" fillId="0" borderId="0"/>
    <xf numFmtId="0" fontId="1" fillId="0" borderId="0"/>
    <xf numFmtId="0" fontId="1" fillId="0" borderId="0"/>
    <xf numFmtId="175" fontId="176"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7" fontId="22" fillId="0" borderId="0"/>
    <xf numFmtId="0" fontId="1" fillId="0" borderId="0"/>
    <xf numFmtId="320" fontId="1" fillId="0" borderId="0"/>
    <xf numFmtId="0" fontId="1" fillId="0" borderId="0"/>
    <xf numFmtId="320" fontId="1" fillId="0" borderId="0"/>
    <xf numFmtId="320" fontId="1" fillId="0" borderId="0"/>
    <xf numFmtId="32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7" fontId="22" fillId="0" borderId="0"/>
    <xf numFmtId="0" fontId="1" fillId="0" borderId="0"/>
    <xf numFmtId="320" fontId="1" fillId="0" borderId="0"/>
    <xf numFmtId="0" fontId="1" fillId="0" borderId="0"/>
    <xf numFmtId="320" fontId="1" fillId="0" borderId="0"/>
    <xf numFmtId="320" fontId="1" fillId="0" borderId="0"/>
    <xf numFmtId="320" fontId="1" fillId="0" borderId="0"/>
    <xf numFmtId="37" fontId="22"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0"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0"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5" fontId="22" fillId="0" borderId="0"/>
    <xf numFmtId="175"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5"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53"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53" fillId="0" borderId="0"/>
    <xf numFmtId="0" fontId="179" fillId="0" borderId="0"/>
    <xf numFmtId="0" fontId="22" fillId="0" borderId="0"/>
    <xf numFmtId="37" fontId="22" fillId="0" borderId="0"/>
    <xf numFmtId="0" fontId="22" fillId="0" borderId="0"/>
    <xf numFmtId="175"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22"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7" fontId="22" fillId="0" borderId="0"/>
    <xf numFmtId="0" fontId="1" fillId="0" borderId="0"/>
    <xf numFmtId="320" fontId="1" fillId="0" borderId="0"/>
    <xf numFmtId="0" fontId="1" fillId="0" borderId="0"/>
    <xf numFmtId="0" fontId="22" fillId="0" borderId="0"/>
    <xf numFmtId="320" fontId="1" fillId="0" borderId="0"/>
    <xf numFmtId="32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22" fillId="0" borderId="0"/>
    <xf numFmtId="0" fontId="1" fillId="0" borderId="0"/>
    <xf numFmtId="0" fontId="1" fillId="0" borderId="0"/>
    <xf numFmtId="0" fontId="1" fillId="0" borderId="0"/>
    <xf numFmtId="320" fontId="1" fillId="0" borderId="0"/>
    <xf numFmtId="37" fontId="22" fillId="0" borderId="0"/>
    <xf numFmtId="0" fontId="1" fillId="0" borderId="0"/>
    <xf numFmtId="320" fontId="1" fillId="0" borderId="0"/>
    <xf numFmtId="0" fontId="1" fillId="0" borderId="0"/>
    <xf numFmtId="0" fontId="22" fillId="0" borderId="0"/>
    <xf numFmtId="320" fontId="1" fillId="0" borderId="0"/>
    <xf numFmtId="37" fontId="22" fillId="0" borderId="0"/>
    <xf numFmtId="0" fontId="1" fillId="0" borderId="0"/>
    <xf numFmtId="175" fontId="1" fillId="0" borderId="0"/>
    <xf numFmtId="0" fontId="1" fillId="0" borderId="0"/>
    <xf numFmtId="175"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5"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320" fontId="1" fillId="0" borderId="0"/>
    <xf numFmtId="320" fontId="1" fillId="0" borderId="0"/>
    <xf numFmtId="320" fontId="1" fillId="0" borderId="0"/>
    <xf numFmtId="0" fontId="22" fillId="0" borderId="0"/>
    <xf numFmtId="37" fontId="22" fillId="0" borderId="0"/>
    <xf numFmtId="320" fontId="1" fillId="0" borderId="0"/>
    <xf numFmtId="175" fontId="22" fillId="0" borderId="0"/>
    <xf numFmtId="0" fontId="1" fillId="0" borderId="0"/>
    <xf numFmtId="0" fontId="22" fillId="0" borderId="0"/>
    <xf numFmtId="177" fontId="22" fillId="0" borderId="0"/>
    <xf numFmtId="0" fontId="22" fillId="0" borderId="0"/>
    <xf numFmtId="177" fontId="22" fillId="0" borderId="0"/>
    <xf numFmtId="0" fontId="22" fillId="0" borderId="0"/>
    <xf numFmtId="177" fontId="22" fillId="0" borderId="0"/>
    <xf numFmtId="0" fontId="22" fillId="0" borderId="0"/>
    <xf numFmtId="177"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22" fillId="0" borderId="0"/>
    <xf numFmtId="0" fontId="1" fillId="0" borderId="0"/>
    <xf numFmtId="320" fontId="1" fillId="0" borderId="0"/>
    <xf numFmtId="0" fontId="1" fillId="0" borderId="0"/>
    <xf numFmtId="0" fontId="22" fillId="0" borderId="0"/>
    <xf numFmtId="320" fontId="1" fillId="0" borderId="0"/>
    <xf numFmtId="32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175"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175"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320" fontId="22" fillId="0" borderId="0"/>
    <xf numFmtId="320" fontId="22" fillId="0" borderId="0"/>
    <xf numFmtId="320" fontId="22" fillId="0" borderId="0"/>
    <xf numFmtId="0" fontId="1" fillId="0" borderId="0"/>
    <xf numFmtId="0" fontId="1" fillId="0" borderId="0"/>
    <xf numFmtId="0" fontId="1" fillId="0" borderId="0"/>
    <xf numFmtId="320" fontId="22" fillId="0" borderId="0"/>
    <xf numFmtId="320" fontId="22" fillId="0" borderId="0"/>
    <xf numFmtId="0" fontId="1" fillId="0" borderId="0"/>
    <xf numFmtId="0" fontId="1" fillId="0" borderId="0"/>
    <xf numFmtId="320" fontId="22" fillId="0" borderId="0"/>
    <xf numFmtId="320" fontId="22" fillId="0" borderId="0"/>
    <xf numFmtId="0" fontId="1" fillId="0" borderId="0"/>
    <xf numFmtId="37" fontId="22" fillId="0" borderId="0"/>
    <xf numFmtId="320" fontId="22" fillId="0" borderId="0"/>
    <xf numFmtId="320" fontId="22" fillId="0" borderId="0"/>
    <xf numFmtId="37" fontId="22" fillId="0" borderId="0"/>
    <xf numFmtId="37"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2" fontId="1" fillId="0" borderId="0"/>
    <xf numFmtId="322" fontId="1" fillId="0" borderId="0"/>
    <xf numFmtId="322" fontId="1" fillId="0" borderId="0"/>
    <xf numFmtId="322" fontId="1" fillId="0" borderId="0"/>
    <xf numFmtId="23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0" fontId="1" fillId="0" borderId="0"/>
    <xf numFmtId="320" fontId="1" fillId="0" borderId="0"/>
    <xf numFmtId="320" fontId="1" fillId="0" borderId="0"/>
    <xf numFmtId="0" fontId="22" fillId="0" borderId="0">
      <alignment vertical="center"/>
    </xf>
    <xf numFmtId="320" fontId="1" fillId="0" borderId="0"/>
    <xf numFmtId="320" fontId="1" fillId="0" borderId="0"/>
    <xf numFmtId="320" fontId="1" fillId="0" borderId="0"/>
    <xf numFmtId="0" fontId="1" fillId="0" borderId="0"/>
    <xf numFmtId="0" fontId="1" fillId="0" borderId="0"/>
    <xf numFmtId="0" fontId="176" fillId="0" borderId="0"/>
    <xf numFmtId="320" fontId="1" fillId="0" borderId="0"/>
    <xf numFmtId="320" fontId="1" fillId="0" borderId="0"/>
    <xf numFmtId="320" fontId="1" fillId="0" borderId="0"/>
    <xf numFmtId="0" fontId="22" fillId="0" borderId="0">
      <alignment vertical="center"/>
    </xf>
    <xf numFmtId="320" fontId="1" fillId="0" borderId="0"/>
    <xf numFmtId="320" fontId="1" fillId="0" borderId="0"/>
    <xf numFmtId="320" fontId="1" fillId="0" borderId="0"/>
    <xf numFmtId="0" fontId="1" fillId="0" borderId="0"/>
    <xf numFmtId="0" fontId="1" fillId="0" borderId="0"/>
    <xf numFmtId="0" fontId="176" fillId="0" borderId="0"/>
    <xf numFmtId="320" fontId="1" fillId="0" borderId="0"/>
    <xf numFmtId="320" fontId="1" fillId="0" borderId="0"/>
    <xf numFmtId="320" fontId="1" fillId="0" borderId="0"/>
    <xf numFmtId="0" fontId="22" fillId="0" borderId="0">
      <alignment vertical="center"/>
    </xf>
    <xf numFmtId="320" fontId="1" fillId="0" borderId="0"/>
    <xf numFmtId="320" fontId="1" fillId="0" borderId="0"/>
    <xf numFmtId="320" fontId="1" fillId="0" borderId="0"/>
    <xf numFmtId="0" fontId="176" fillId="0" borderId="0"/>
    <xf numFmtId="0" fontId="176" fillId="0" borderId="0"/>
    <xf numFmtId="0" fontId="22" fillId="0" borderId="0">
      <alignment vertical="center"/>
    </xf>
    <xf numFmtId="320" fontId="1" fillId="0" borderId="0"/>
    <xf numFmtId="320" fontId="1" fillId="0" borderId="0"/>
    <xf numFmtId="0" fontId="176" fillId="0" borderId="0"/>
    <xf numFmtId="175"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22" fillId="0" borderId="0"/>
    <xf numFmtId="320" fontId="1" fillId="0" borderId="0"/>
    <xf numFmtId="320" fontId="1" fillId="0" borderId="0"/>
    <xf numFmtId="320" fontId="1" fillId="0" borderId="0"/>
    <xf numFmtId="320" fontId="1" fillId="0" borderId="0"/>
    <xf numFmtId="0" fontId="22" fillId="0" borderId="0"/>
    <xf numFmtId="0" fontId="22" fillId="0" borderId="0"/>
    <xf numFmtId="32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6" fillId="0" borderId="0"/>
    <xf numFmtId="320" fontId="1" fillId="0" borderId="0"/>
    <xf numFmtId="320" fontId="1" fillId="0" borderId="0"/>
    <xf numFmtId="320" fontId="1" fillId="0" borderId="0"/>
    <xf numFmtId="320" fontId="1" fillId="0" borderId="0"/>
    <xf numFmtId="0" fontId="176" fillId="0" borderId="0"/>
    <xf numFmtId="320" fontId="1" fillId="0" borderId="0"/>
    <xf numFmtId="0" fontId="176" fillId="0" borderId="0"/>
    <xf numFmtId="320" fontId="1" fillId="0" borderId="0"/>
    <xf numFmtId="0" fontId="176" fillId="0" borderId="0"/>
    <xf numFmtId="320" fontId="1" fillId="0" borderId="0"/>
    <xf numFmtId="0" fontId="176" fillId="0" borderId="0"/>
    <xf numFmtId="0" fontId="22" fillId="0" borderId="0"/>
    <xf numFmtId="320" fontId="1" fillId="0" borderId="0"/>
    <xf numFmtId="0" fontId="22" fillId="0" borderId="0"/>
    <xf numFmtId="0" fontId="22" fillId="0" borderId="0"/>
    <xf numFmtId="320"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5"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5"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5"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22" fillId="0" borderId="0"/>
    <xf numFmtId="320" fontId="22" fillId="0" borderId="0"/>
    <xf numFmtId="0" fontId="22" fillId="0" borderId="0"/>
    <xf numFmtId="175" fontId="22" fillId="0" borderId="0"/>
    <xf numFmtId="0" fontId="1" fillId="0" borderId="0"/>
    <xf numFmtId="0" fontId="1" fillId="0" borderId="0"/>
    <xf numFmtId="0" fontId="1" fillId="0" borderId="0"/>
    <xf numFmtId="320" fontId="22" fillId="0" borderId="0"/>
    <xf numFmtId="0" fontId="175" fillId="0" borderId="0"/>
    <xf numFmtId="0" fontId="1" fillId="0" borderId="0"/>
    <xf numFmtId="0" fontId="1" fillId="0" borderId="0"/>
    <xf numFmtId="320" fontId="22" fillId="0" borderId="0"/>
    <xf numFmtId="0" fontId="175"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78"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78"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22" fillId="0" borderId="0" applyNumberForma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22" fillId="0" borderId="0"/>
    <xf numFmtId="320"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22" fillId="0" borderId="0"/>
    <xf numFmtId="0" fontId="1" fillId="0" borderId="0"/>
    <xf numFmtId="320" fontId="1" fillId="0" borderId="0"/>
    <xf numFmtId="0"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22" fillId="0" borderId="0"/>
    <xf numFmtId="175" fontId="22"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320" fontId="1" fillId="0" borderId="0"/>
    <xf numFmtId="32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8"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8"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8" fillId="0" borderId="0"/>
    <xf numFmtId="320" fontId="1" fillId="0" borderId="0"/>
    <xf numFmtId="320" fontId="1" fillId="0" borderId="0"/>
    <xf numFmtId="320" fontId="1" fillId="0" borderId="0"/>
    <xf numFmtId="0" fontId="181" fillId="0" borderId="0"/>
    <xf numFmtId="32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5"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2" fillId="0" borderId="0"/>
    <xf numFmtId="0" fontId="1" fillId="0" borderId="0"/>
    <xf numFmtId="0" fontId="18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78"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37" fontId="22" fillId="0" borderId="0"/>
    <xf numFmtId="37" fontId="22"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0" fontId="1" fillId="0" borderId="0"/>
    <xf numFmtId="37" fontId="22" fillId="0" borderId="0"/>
    <xf numFmtId="320" fontId="1" fillId="0" borderId="0"/>
    <xf numFmtId="320" fontId="1" fillId="0" borderId="0"/>
    <xf numFmtId="32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7" fontId="22"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22"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0" fontId="1" fillId="0" borderId="0"/>
    <xf numFmtId="320" fontId="1" fillId="0" borderId="0"/>
    <xf numFmtId="320" fontId="1" fillId="0" borderId="0"/>
    <xf numFmtId="0" fontId="22"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175" fontId="23"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xf numFmtId="0" fontId="23" fillId="0" borderId="0"/>
    <xf numFmtId="175" fontId="23" fillId="0" borderId="0"/>
    <xf numFmtId="0" fontId="24" fillId="0" borderId="0"/>
    <xf numFmtId="0" fontId="22" fillId="0" borderId="0"/>
    <xf numFmtId="0" fontId="23" fillId="0" borderId="0"/>
    <xf numFmtId="320" fontId="1" fillId="0" borderId="0"/>
    <xf numFmtId="320" fontId="1" fillId="0" borderId="0"/>
    <xf numFmtId="320"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5" fontId="23"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175" fontId="23"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alignment vertical="center"/>
    </xf>
    <xf numFmtId="320" fontId="1" fillId="0" borderId="0"/>
    <xf numFmtId="320" fontId="1" fillId="0" borderId="0"/>
    <xf numFmtId="320" fontId="1" fillId="0" borderId="0"/>
    <xf numFmtId="0" fontId="23"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23"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0" fontId="1" fillId="0" borderId="0"/>
    <xf numFmtId="0" fontId="23" fillId="0" borderId="0"/>
    <xf numFmtId="0" fontId="23" fillId="0" borderId="0"/>
    <xf numFmtId="320" fontId="1" fillId="0" borderId="0"/>
    <xf numFmtId="320"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0" fontId="1" fillId="0" borderId="0"/>
    <xf numFmtId="0" fontId="22" fillId="0" borderId="0" applyNumberFormat="0" applyFont="0" applyFill="0" applyBorder="0" applyAlignment="0" applyProtection="0">
      <alignment vertical="top"/>
    </xf>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0" fontId="1" fillId="0" borderId="0"/>
    <xf numFmtId="0" fontId="23" fillId="0" borderId="0"/>
    <xf numFmtId="320" fontId="1" fillId="0" borderId="0"/>
    <xf numFmtId="320" fontId="1" fillId="0" borderId="0"/>
    <xf numFmtId="0" fontId="1" fillId="0" borderId="0"/>
    <xf numFmtId="0" fontId="1" fillId="0" borderId="0"/>
    <xf numFmtId="0" fontId="1" fillId="0" borderId="0"/>
    <xf numFmtId="320" fontId="1" fillId="0" borderId="0"/>
    <xf numFmtId="0" fontId="1" fillId="0" borderId="0"/>
    <xf numFmtId="0" fontId="22" fillId="0" borderId="0">
      <alignment vertical="center"/>
    </xf>
    <xf numFmtId="320" fontId="1" fillId="0" borderId="0"/>
    <xf numFmtId="32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0" fontId="1" fillId="0" borderId="0"/>
    <xf numFmtId="0" fontId="1" fillId="0" borderId="0"/>
    <xf numFmtId="0" fontId="22" fillId="0" borderId="0">
      <alignment vertical="center"/>
    </xf>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0" fontId="1" fillId="0" borderId="0"/>
    <xf numFmtId="0" fontId="36" fillId="0" borderId="0"/>
    <xf numFmtId="0" fontId="1" fillId="0" borderId="0"/>
    <xf numFmtId="320" fontId="22" fillId="0" borderId="0"/>
    <xf numFmtId="320" fontId="22"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3" fillId="0" borderId="0"/>
    <xf numFmtId="0" fontId="22" fillId="0" borderId="0" applyNumberFormat="0" applyFont="0" applyFill="0" applyBorder="0" applyAlignment="0" applyProtection="0">
      <alignment vertical="top"/>
    </xf>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09" fillId="0" borderId="0"/>
    <xf numFmtId="320" fontId="1" fillId="0" borderId="0"/>
    <xf numFmtId="320" fontId="1" fillId="0" borderId="0"/>
    <xf numFmtId="320"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0" fontId="109" fillId="0" borderId="0"/>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5" fontId="23" fillId="0" borderId="0"/>
    <xf numFmtId="0" fontId="1" fillId="0" borderId="0"/>
    <xf numFmtId="0" fontId="23"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7" fontId="22"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3" fillId="0" borderId="0"/>
    <xf numFmtId="320" fontId="1" fillId="0" borderId="0"/>
    <xf numFmtId="320" fontId="1" fillId="0" borderId="0"/>
    <xf numFmtId="320" fontId="1" fillId="0" borderId="0"/>
    <xf numFmtId="37" fontId="22" fillId="0" borderId="0"/>
    <xf numFmtId="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3" fillId="0" borderId="0"/>
    <xf numFmtId="320" fontId="1" fillId="0" borderId="0"/>
    <xf numFmtId="320" fontId="1" fillId="0" borderId="0"/>
    <xf numFmtId="320"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0" fontId="1" fillId="0" borderId="0"/>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5"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5" fontId="22" fillId="0" borderId="0" applyFont="0" applyFill="0" applyBorder="0" applyAlignment="0" applyProtection="0"/>
    <xf numFmtId="175"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320" fontId="22" fillId="0" borderId="0"/>
    <xf numFmtId="320" fontId="22" fillId="0" borderId="0"/>
    <xf numFmtId="3" fontId="22" fillId="0" borderId="0"/>
    <xf numFmtId="3" fontId="22" fillId="0" borderId="0">
      <alignment horizontal="left"/>
    </xf>
    <xf numFmtId="323" fontId="82" fillId="56" borderId="0" applyFont="0" applyFill="0" applyBorder="0" applyAlignment="0" applyProtection="0"/>
    <xf numFmtId="0" fontId="114" fillId="0" borderId="0" applyFill="0" applyBorder="0">
      <protection locked="0"/>
    </xf>
    <xf numFmtId="175" fontId="22" fillId="44" borderId="0" applyFont="0">
      <alignment vertical="center"/>
    </xf>
    <xf numFmtId="175" fontId="22" fillId="44" borderId="0" applyFont="0">
      <alignment vertical="center"/>
    </xf>
    <xf numFmtId="0" fontId="36" fillId="0" borderId="0"/>
    <xf numFmtId="0" fontId="36" fillId="0" borderId="0"/>
    <xf numFmtId="0" fontId="36" fillId="0" borderId="0"/>
    <xf numFmtId="175"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5" fontId="22" fillId="44" borderId="0" applyFont="0">
      <alignment vertical="center"/>
    </xf>
    <xf numFmtId="177" fontId="184" fillId="0" borderId="0"/>
    <xf numFmtId="175"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5"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5" fontId="22" fillId="89" borderId="64" applyNumberFormat="0" applyFont="0" applyAlignment="0" applyProtection="0"/>
    <xf numFmtId="175"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0" fontId="36" fillId="45" borderId="0">
      <alignment vertical="center"/>
    </xf>
    <xf numFmtId="262" fontId="36" fillId="45" borderId="0"/>
    <xf numFmtId="0" fontId="33" fillId="0" borderId="0"/>
    <xf numFmtId="324" fontId="22" fillId="0" borderId="0" applyFont="0" applyFill="0" applyBorder="0" applyAlignment="0" applyProtection="0"/>
    <xf numFmtId="324" fontId="22" fillId="0" borderId="0" applyFont="0" applyFill="0" applyBorder="0" applyAlignment="0" applyProtection="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7" fontId="53" fillId="0" borderId="0" applyNumberFormat="0" applyFill="0" applyBorder="0" applyAlignment="0" applyProtection="0"/>
    <xf numFmtId="177" fontId="185" fillId="0" borderId="0" applyNumberFormat="0" applyFill="0" applyBorder="0" applyAlignment="0" applyProtection="0"/>
    <xf numFmtId="327" fontId="117" fillId="0" borderId="0" applyNumberFormat="0" applyFill="0" applyBorder="0" applyAlignment="0" applyProtection="0"/>
    <xf numFmtId="177" fontId="186" fillId="0" borderId="0">
      <alignment horizontal="left"/>
    </xf>
    <xf numFmtId="0" fontId="186" fillId="0" borderId="0">
      <alignment horizontal="left"/>
    </xf>
    <xf numFmtId="0" fontId="187" fillId="0" borderId="0" applyNumberFormat="0" applyFill="0" applyBorder="0" applyAlignment="0" applyProtection="0"/>
    <xf numFmtId="328" fontId="22" fillId="0" borderId="0" applyFont="0" applyFill="0" applyBorder="0" applyAlignment="0" applyProtection="0"/>
    <xf numFmtId="0" fontId="22" fillId="0" borderId="0"/>
    <xf numFmtId="0" fontId="22" fillId="0" borderId="0"/>
    <xf numFmtId="173" fontId="36" fillId="77" borderId="0"/>
    <xf numFmtId="0" fontId="36" fillId="0" borderId="0" applyFill="0" applyBorder="0">
      <alignment vertical="center"/>
    </xf>
    <xf numFmtId="290"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6" fontId="166" fillId="0" borderId="0" applyBorder="0" applyProtection="0">
      <alignment horizontal="right" vertical="center"/>
    </xf>
    <xf numFmtId="0" fontId="191" fillId="77" borderId="23"/>
    <xf numFmtId="225" fontId="166" fillId="0" borderId="0" applyBorder="0" applyProtection="0">
      <alignment horizontal="right" vertical="center"/>
    </xf>
    <xf numFmtId="227"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3"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29" fontId="22" fillId="0" borderId="0" applyFont="0" applyFill="0" applyBorder="0" applyAlignment="0" applyProtection="0"/>
    <xf numFmtId="329" fontId="22" fillId="0" borderId="0" applyFont="0" applyFill="0" applyBorder="0" applyAlignment="0" applyProtection="0"/>
    <xf numFmtId="241" fontId="22" fillId="0" borderId="0" applyFont="0" applyFill="0" applyBorder="0" applyAlignment="0" applyProtection="0"/>
    <xf numFmtId="330" fontId="22" fillId="0" borderId="0" applyFont="0" applyFill="0" applyBorder="0" applyAlignment="0" applyProtection="0"/>
    <xf numFmtId="331" fontId="22" fillId="0" borderId="0" applyFont="0" applyFill="0" applyBorder="0" applyAlignment="0" applyProtection="0"/>
    <xf numFmtId="331" fontId="22" fillId="0" borderId="0" applyFont="0" applyFill="0" applyBorder="0" applyAlignment="0" applyProtection="0"/>
    <xf numFmtId="10"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114" fillId="0" borderId="0" applyFill="0" applyBorder="0">
      <protection locked="0"/>
    </xf>
    <xf numFmtId="333"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4" fontId="5" fillId="0" borderId="0"/>
    <xf numFmtId="335" fontId="129" fillId="0" borderId="0">
      <protection locked="0"/>
    </xf>
    <xf numFmtId="336" fontId="22" fillId="0" borderId="0"/>
    <xf numFmtId="336" fontId="22" fillId="0" borderId="0"/>
    <xf numFmtId="336" fontId="22" fillId="0" borderId="0"/>
    <xf numFmtId="337" fontId="85" fillId="0" borderId="34" applyBorder="0" applyProtection="0"/>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9"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0"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0" fontId="53" fillId="0" borderId="0" applyFill="0" applyBorder="0" applyAlignment="0" applyProtection="0"/>
    <xf numFmtId="340" fontId="53" fillId="0" borderId="0" applyFill="0" applyBorder="0" applyAlignment="0" applyProtection="0"/>
    <xf numFmtId="0" fontId="22" fillId="0" borderId="0"/>
    <xf numFmtId="0" fontId="22" fillId="0" borderId="0"/>
    <xf numFmtId="0" fontId="22" fillId="0" borderId="0"/>
    <xf numFmtId="340"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2" fontId="22" fillId="0" borderId="0" applyFill="0" applyBorder="0" applyAlignment="0"/>
    <xf numFmtId="242" fontId="22" fillId="0" borderId="0" applyFill="0" applyBorder="0" applyAlignment="0"/>
    <xf numFmtId="242"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7"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5" fontId="26" fillId="0" borderId="7">
      <alignment horizontal="center"/>
    </xf>
    <xf numFmtId="0" fontId="26" fillId="0" borderId="7">
      <alignment horizontal="center"/>
    </xf>
    <xf numFmtId="0" fontId="22" fillId="0" borderId="0"/>
    <xf numFmtId="177" fontId="22" fillId="0" borderId="7">
      <alignment horizontal="center"/>
    </xf>
    <xf numFmtId="177" fontId="22" fillId="0" borderId="7">
      <alignment horizontal="center"/>
    </xf>
    <xf numFmtId="0" fontId="26" fillId="0" borderId="7">
      <alignment horizontal="center"/>
    </xf>
    <xf numFmtId="175" fontId="26" fillId="0" borderId="7">
      <alignment horizontal="center"/>
    </xf>
    <xf numFmtId="0" fontId="26" fillId="0" borderId="7">
      <alignment horizontal="center"/>
    </xf>
    <xf numFmtId="3" fontId="63" fillId="0" borderId="0" applyFont="0" applyFill="0" applyBorder="0" applyAlignment="0" applyProtection="0"/>
    <xf numFmtId="177"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7"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7" fontId="82" fillId="0" borderId="0">
      <alignment vertical="top"/>
    </xf>
    <xf numFmtId="341" fontId="36" fillId="0" borderId="0" applyFont="0" applyFill="0" applyBorder="0" applyAlignment="0" applyProtection="0">
      <alignment horizontal="right"/>
    </xf>
    <xf numFmtId="342" fontId="22" fillId="0" borderId="0"/>
    <xf numFmtId="342" fontId="22" fillId="0" borderId="0"/>
    <xf numFmtId="342"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8" fontId="53" fillId="0" borderId="0" applyFill="0" applyBorder="0">
      <alignment horizontal="right" vertical="center"/>
    </xf>
    <xf numFmtId="38" fontId="22" fillId="0" borderId="0"/>
    <xf numFmtId="231" fontId="93" fillId="0" borderId="0"/>
    <xf numFmtId="231"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3" fontId="40" fillId="0" borderId="0" applyFont="0" applyFill="0" applyBorder="0" applyAlignment="0" applyProtection="0">
      <alignment horizontal="right"/>
    </xf>
    <xf numFmtId="0" fontId="145" fillId="0" borderId="0"/>
    <xf numFmtId="185" fontId="22" fillId="0" borderId="0">
      <alignment horizontal="left"/>
    </xf>
    <xf numFmtId="0" fontId="201" fillId="0" borderId="0" applyFill="0" applyBorder="0" applyAlignment="0"/>
    <xf numFmtId="344"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97" fontId="22" fillId="0" borderId="0" applyFont="0" applyFill="0" applyBorder="0" applyAlignment="0" applyProtection="0"/>
    <xf numFmtId="345" fontId="22" fillId="0" borderId="0" applyFont="0" applyFill="0" applyBorder="0" applyAlignment="0" applyProtection="0"/>
    <xf numFmtId="315" fontId="22" fillId="0" borderId="0" applyFont="0" applyFill="0" applyBorder="0" applyAlignment="0" applyProtection="0"/>
    <xf numFmtId="346" fontId="112" fillId="0" borderId="68" applyFont="0" applyFill="0" applyBorder="0" applyAlignment="0" applyProtection="0"/>
    <xf numFmtId="315" fontId="22" fillId="0" borderId="0" applyFont="0" applyFill="0" applyBorder="0" applyAlignment="0" applyProtection="0"/>
    <xf numFmtId="173" fontId="22" fillId="0" borderId="0" applyFont="0" applyFill="0" applyBorder="0" applyAlignment="0" applyProtection="0"/>
    <xf numFmtId="0" fontId="202" fillId="0" borderId="0"/>
    <xf numFmtId="17" fontId="40" fillId="0" borderId="0" applyFill="0" applyBorder="0">
      <alignment horizontal="right"/>
    </xf>
    <xf numFmtId="185" fontId="22" fillId="0" borderId="0">
      <alignment horizontal="left"/>
    </xf>
    <xf numFmtId="175" fontId="22" fillId="0" borderId="0"/>
    <xf numFmtId="347" fontId="53" fillId="0" borderId="0" applyAlignment="0" applyProtection="0"/>
    <xf numFmtId="289" fontId="22" fillId="0" borderId="0">
      <alignment vertical="center"/>
    </xf>
    <xf numFmtId="0" fontId="63" fillId="0" borderId="0"/>
    <xf numFmtId="348"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49"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0" fontId="22" fillId="0" borderId="0"/>
    <xf numFmtId="350" fontId="22" fillId="0" borderId="0"/>
    <xf numFmtId="350" fontId="22" fillId="0" borderId="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2" fontId="139" fillId="0" borderId="10"/>
    <xf numFmtId="37" fontId="147" fillId="0" borderId="0"/>
    <xf numFmtId="353"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89"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7" fontId="22" fillId="0" borderId="0"/>
    <xf numFmtId="49" fontId="62" fillId="0" borderId="0" applyFill="0" applyBorder="0" applyAlignment="0"/>
    <xf numFmtId="354" fontId="22" fillId="0" borderId="0" applyFill="0" applyBorder="0" applyAlignment="0"/>
    <xf numFmtId="354" fontId="22" fillId="0" borderId="0" applyFill="0" applyBorder="0" applyAlignment="0"/>
    <xf numFmtId="354" fontId="2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5"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5"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1"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7"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8" fontId="5" fillId="0" borderId="0">
      <alignment horizontal="center"/>
    </xf>
    <xf numFmtId="177" fontId="22" fillId="0" borderId="0">
      <alignment horizontal="center"/>
    </xf>
    <xf numFmtId="177" fontId="22" fillId="0" borderId="0" applyNumberFormat="0" applyFill="0" applyBorder="0" applyAlignment="0" applyProtection="0"/>
    <xf numFmtId="230"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0" fontId="214" fillId="0" borderId="42"/>
    <xf numFmtId="0" fontId="138" fillId="0" borderId="55" applyNumberFormat="0" applyFill="0" applyAlignment="0" applyProtection="0"/>
    <xf numFmtId="230"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0" fontId="214" fillId="0" borderId="42"/>
    <xf numFmtId="0" fontId="22" fillId="0" borderId="0"/>
    <xf numFmtId="230" fontId="214" fillId="0" borderId="42"/>
    <xf numFmtId="0" fontId="138" fillId="0" borderId="55" applyNumberFormat="0" applyFill="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0" fontId="214" fillId="0" borderId="42"/>
    <xf numFmtId="0" fontId="123" fillId="0" borderId="56" applyNumberFormat="0" applyFill="0" applyAlignment="0" applyProtection="0"/>
    <xf numFmtId="230"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0" fontId="214" fillId="0" borderId="42"/>
    <xf numFmtId="0" fontId="22" fillId="0" borderId="0"/>
    <xf numFmtId="230" fontId="214" fillId="0" borderId="42"/>
    <xf numFmtId="0" fontId="123" fillId="0" borderId="56" applyNumberFormat="0" applyFill="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0" fontId="214" fillId="0" borderId="42"/>
    <xf numFmtId="0" fontId="22" fillId="0" borderId="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0" fontId="214" fillId="0" borderId="42"/>
    <xf numFmtId="0" fontId="22" fillId="0" borderId="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356" fontId="216" fillId="0" borderId="0">
      <protection locked="0"/>
    </xf>
    <xf numFmtId="356" fontId="216" fillId="0" borderId="0">
      <protection locked="0"/>
    </xf>
    <xf numFmtId="177" fontId="139" fillId="0" borderId="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175" fontId="217" fillId="0" borderId="71" applyNumberFormat="0" applyFill="0" applyAlignment="0" applyProtection="0"/>
    <xf numFmtId="245" fontId="139" fillId="0" borderId="34" applyFill="0"/>
    <xf numFmtId="245" fontId="139" fillId="0" borderId="34" applyFill="0"/>
    <xf numFmtId="245" fontId="139" fillId="0" borderId="34" applyFill="0"/>
    <xf numFmtId="245" fontId="139" fillId="0" borderId="34" applyFill="0"/>
    <xf numFmtId="245" fontId="139" fillId="0" borderId="34" applyFill="0"/>
    <xf numFmtId="0" fontId="217" fillId="0" borderId="71" applyNumberFormat="0" applyFill="0" applyAlignment="0" applyProtection="0"/>
    <xf numFmtId="245" fontId="139" fillId="0" borderId="34" applyFill="0"/>
    <xf numFmtId="245" fontId="139" fillId="0" borderId="34" applyFill="0"/>
    <xf numFmtId="245" fontId="139" fillId="0" borderId="34" applyFill="0"/>
    <xf numFmtId="0" fontId="22" fillId="0" borderId="0"/>
    <xf numFmtId="245" fontId="139" fillId="0" borderId="34" applyFill="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245" fontId="139" fillId="0" borderId="34" applyFill="0"/>
    <xf numFmtId="0" fontId="217" fillId="0" borderId="71" applyNumberFormat="0" applyFill="0" applyAlignment="0" applyProtection="0"/>
    <xf numFmtId="245" fontId="139" fillId="0" borderId="34" applyFill="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5" fontId="139" fillId="0" borderId="34" applyFill="0"/>
    <xf numFmtId="175" fontId="217" fillId="0" borderId="71" applyNumberFormat="0" applyFill="0" applyAlignment="0" applyProtection="0"/>
    <xf numFmtId="245" fontId="139" fillId="0" borderId="34" applyFill="0"/>
    <xf numFmtId="175" fontId="217" fillId="0" borderId="71" applyNumberFormat="0" applyFill="0" applyAlignment="0" applyProtection="0"/>
    <xf numFmtId="175"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245" fontId="22" fillId="0" borderId="53" applyFill="0"/>
    <xf numFmtId="245" fontId="22" fillId="0" borderId="53" applyFill="0"/>
    <xf numFmtId="245" fontId="22" fillId="0" borderId="53" applyFill="0"/>
    <xf numFmtId="245" fontId="22" fillId="0" borderId="53" applyFill="0"/>
    <xf numFmtId="0" fontId="217" fillId="0" borderId="71" applyNumberFormat="0" applyFill="0" applyAlignment="0" applyProtection="0"/>
    <xf numFmtId="245" fontId="22" fillId="0" borderId="53" applyFill="0"/>
    <xf numFmtId="245" fontId="22" fillId="0" borderId="53" applyFill="0"/>
    <xf numFmtId="245" fontId="22" fillId="0" borderId="53" applyFill="0"/>
    <xf numFmtId="0" fontId="22" fillId="0" borderId="0"/>
    <xf numFmtId="245" fontId="22" fillId="0" borderId="53" applyFill="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245"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245" fontId="22" fillId="0" borderId="53"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1"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1"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7" fontId="22" fillId="0" borderId="0" applyFont="0" applyFill="0" applyBorder="0" applyAlignment="0" applyProtection="0"/>
    <xf numFmtId="358"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2" fontId="22" fillId="0" borderId="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169" fontId="36"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2" fontId="22" fillId="0" borderId="0" applyFill="0" applyAlignment="0" applyProtection="0"/>
    <xf numFmtId="258" fontId="1" fillId="0" borderId="0" applyFont="0" applyFill="0" applyBorder="0" applyAlignment="0" applyProtection="0"/>
    <xf numFmtId="252" fontId="22" fillId="0" borderId="0" applyFill="0" applyBorder="0" applyAlignment="0" applyProtection="0"/>
    <xf numFmtId="255" fontId="175"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3" fontId="33" fillId="0" borderId="0" applyFont="0" applyFill="0" applyBorder="0" applyAlignment="0" applyProtection="0"/>
    <xf numFmtId="256" fontId="33" fillId="0" borderId="0" applyFont="0" applyFill="0" applyBorder="0" applyAlignment="0" applyProtection="0"/>
    <xf numFmtId="359" fontId="22" fillId="0" borderId="0" applyFont="0" applyFill="0" applyBorder="0" applyAlignment="0" applyProtection="0"/>
    <xf numFmtId="360" fontId="22" fillId="0" borderId="0" applyFont="0" applyFill="0" applyBorder="0" applyAlignment="0" applyProtection="0"/>
    <xf numFmtId="359" fontId="22" fillId="0" borderId="0" applyFont="0" applyFill="0" applyBorder="0" applyAlignment="0" applyProtection="0"/>
    <xf numFmtId="0" fontId="22" fillId="0" borderId="0"/>
    <xf numFmtId="359" fontId="22" fillId="0" borderId="0" applyFont="0" applyFill="0" applyBorder="0" applyAlignment="0" applyProtection="0"/>
    <xf numFmtId="0" fontId="22" fillId="0" borderId="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xf numFmtId="43" fontId="1" fillId="0" borderId="0" applyFont="0" applyFill="0" applyBorder="0" applyAlignment="0" applyProtection="0"/>
    <xf numFmtId="0" fontId="238" fillId="0" borderId="0" applyNumberFormat="0" applyFill="0" applyBorder="0" applyAlignment="0" applyProtection="0"/>
  </cellStyleXfs>
  <cellXfs count="450">
    <xf numFmtId="0" fontId="0" fillId="0" borderId="0" xfId="0"/>
    <xf numFmtId="0" fontId="4" fillId="0" borderId="0" xfId="0" applyFont="1"/>
    <xf numFmtId="169" fontId="4" fillId="0" borderId="0" xfId="1" applyFont="1"/>
    <xf numFmtId="0" fontId="3" fillId="0" borderId="0" xfId="0" applyFont="1"/>
    <xf numFmtId="0" fontId="3" fillId="5" borderId="3" xfId="0" applyFont="1" applyFill="1" applyBorder="1"/>
    <xf numFmtId="0" fontId="4" fillId="0" borderId="6" xfId="0" applyFont="1" applyBorder="1"/>
    <xf numFmtId="169" fontId="4" fillId="0" borderId="0" xfId="1" applyFont="1" applyBorder="1"/>
    <xf numFmtId="172" fontId="2" fillId="4" borderId="4" xfId="0" applyNumberFormat="1" applyFont="1" applyFill="1" applyBorder="1" applyAlignment="1">
      <alignment horizontal="center"/>
    </xf>
    <xf numFmtId="172" fontId="2" fillId="4" borderId="5" xfId="0" applyNumberFormat="1" applyFont="1" applyFill="1" applyBorder="1" applyAlignment="1">
      <alignment horizontal="center"/>
    </xf>
    <xf numFmtId="0" fontId="4" fillId="3" borderId="0" xfId="0" applyFont="1" applyFill="1" applyAlignment="1">
      <alignment horizontal="center"/>
    </xf>
    <xf numFmtId="0" fontId="4" fillId="3" borderId="6" xfId="0" applyFont="1" applyFill="1" applyBorder="1" applyAlignment="1">
      <alignment horizontal="center"/>
    </xf>
    <xf numFmtId="0" fontId="3" fillId="0" borderId="10" xfId="0" applyFont="1" applyBorder="1"/>
    <xf numFmtId="169" fontId="4" fillId="0" borderId="10" xfId="1" applyFont="1" applyBorder="1"/>
    <xf numFmtId="172" fontId="5" fillId="0" borderId="0" xfId="0" applyNumberFormat="1" applyFont="1" applyAlignment="1">
      <alignment horizontal="center"/>
    </xf>
    <xf numFmtId="0" fontId="20" fillId="0" borderId="0" xfId="0" applyFont="1"/>
    <xf numFmtId="172" fontId="2" fillId="0" borderId="0" xfId="0" applyNumberFormat="1" applyFont="1" applyAlignment="1">
      <alignment horizontal="center"/>
    </xf>
    <xf numFmtId="0" fontId="0" fillId="0" borderId="20" xfId="0" applyBorder="1"/>
    <xf numFmtId="0" fontId="20" fillId="0" borderId="20" xfId="0" applyFont="1" applyBorder="1"/>
    <xf numFmtId="4" fontId="0" fillId="0" borderId="20" xfId="0" applyNumberFormat="1" applyBorder="1"/>
    <xf numFmtId="172" fontId="5" fillId="0" borderId="20" xfId="0" applyNumberFormat="1" applyFont="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2" fontId="2" fillId="0" borderId="20" xfId="0" applyNumberFormat="1" applyFont="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0" fontId="4" fillId="3" borderId="8" xfId="0" applyFont="1" applyFill="1" applyBorder="1" applyAlignment="1">
      <alignment horizontal="center"/>
    </xf>
    <xf numFmtId="172" fontId="2" fillId="4" borderId="0" xfId="0" applyNumberFormat="1" applyFont="1" applyFill="1" applyAlignment="1">
      <alignment horizontal="center"/>
    </xf>
    <xf numFmtId="172" fontId="2" fillId="4" borderId="7" xfId="0" applyNumberFormat="1" applyFont="1" applyFill="1" applyBorder="1" applyAlignment="1">
      <alignment horizontal="center"/>
    </xf>
    <xf numFmtId="172"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Alignment="1">
      <alignment horizontal="center"/>
    </xf>
    <xf numFmtId="0" fontId="3" fillId="5" borderId="4" xfId="0" applyFont="1" applyFill="1" applyBorder="1"/>
    <xf numFmtId="0" fontId="3" fillId="5" borderId="1" xfId="0" applyFont="1" applyFill="1" applyBorder="1"/>
    <xf numFmtId="0" fontId="3" fillId="5" borderId="2" xfId="0" applyFont="1" applyFill="1" applyBorder="1"/>
    <xf numFmtId="0" fontId="3" fillId="5" borderId="7" xfId="0" applyFont="1" applyFill="1" applyBorder="1"/>
    <xf numFmtId="169" fontId="3" fillId="0" borderId="0" xfId="0" applyNumberFormat="1" applyFont="1"/>
    <xf numFmtId="17" fontId="2" fillId="0" borderId="0" xfId="2" applyNumberFormat="1" applyFont="1" applyAlignment="1">
      <alignment horizontal="center"/>
    </xf>
    <xf numFmtId="17" fontId="2" fillId="0" borderId="0" xfId="2" applyNumberFormat="1" applyFont="1"/>
    <xf numFmtId="0" fontId="5" fillId="0" borderId="0" xfId="2" applyFont="1"/>
    <xf numFmtId="174" fontId="5" fillId="0" borderId="0" xfId="1" applyNumberFormat="1" applyFont="1" applyBorder="1" applyAlignment="1">
      <alignment horizontal="center"/>
    </xf>
    <xf numFmtId="174" fontId="5" fillId="0" borderId="0" xfId="1" applyNumberFormat="1" applyFont="1" applyBorder="1"/>
    <xf numFmtId="174" fontId="5" fillId="0" borderId="0" xfId="1" applyNumberFormat="1" applyFont="1" applyFill="1" applyBorder="1"/>
    <xf numFmtId="174" fontId="2" fillId="0" borderId="0" xfId="1" applyNumberFormat="1" applyFont="1" applyFill="1" applyBorder="1" applyAlignment="1">
      <alignment horizontal="center"/>
    </xf>
    <xf numFmtId="174" fontId="2" fillId="0" borderId="0" xfId="1" applyNumberFormat="1" applyFont="1" applyFill="1" applyBorder="1"/>
    <xf numFmtId="0" fontId="5" fillId="0" borderId="0" xfId="2" applyFont="1" applyAlignment="1">
      <alignment horizontal="center"/>
    </xf>
    <xf numFmtId="174" fontId="5" fillId="0" borderId="0" xfId="2" applyNumberFormat="1" applyFont="1"/>
    <xf numFmtId="174" fontId="5" fillId="38" borderId="0" xfId="1" applyNumberFormat="1" applyFont="1" applyFill="1" applyBorder="1"/>
    <xf numFmtId="17" fontId="2" fillId="42" borderId="0" xfId="2" applyNumberFormat="1" applyFont="1" applyFill="1" applyAlignment="1">
      <alignment horizontal="center"/>
    </xf>
    <xf numFmtId="17" fontId="2" fillId="42" borderId="0" xfId="2" applyNumberFormat="1" applyFont="1" applyFill="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69" fontId="5" fillId="0" borderId="0" xfId="1" applyFont="1" applyBorder="1"/>
    <xf numFmtId="1" fontId="5" fillId="0" borderId="0" xfId="2" applyNumberFormat="1" applyFont="1" applyAlignment="1">
      <alignment horizontal="center"/>
    </xf>
    <xf numFmtId="169" fontId="5" fillId="0" borderId="0" xfId="1" applyFont="1" applyBorder="1" applyAlignment="1">
      <alignment horizontal="center" vertical="center"/>
    </xf>
    <xf numFmtId="1" fontId="4" fillId="0" borderId="0" xfId="0" applyNumberFormat="1" applyFont="1" applyAlignment="1">
      <alignment horizontal="center"/>
    </xf>
    <xf numFmtId="169" fontId="4" fillId="0" borderId="0" xfId="1" applyFont="1" applyBorder="1" applyAlignment="1">
      <alignment horizontal="center"/>
    </xf>
    <xf numFmtId="169" fontId="4" fillId="0" borderId="0" xfId="1" applyFont="1" applyFill="1" applyBorder="1"/>
    <xf numFmtId="4" fontId="3" fillId="0" borderId="0" xfId="0" applyNumberFormat="1" applyFont="1"/>
    <xf numFmtId="0" fontId="2" fillId="0" borderId="0" xfId="2" applyFont="1"/>
    <xf numFmtId="0" fontId="2" fillId="5" borderId="0" xfId="2" applyFont="1" applyFill="1"/>
    <xf numFmtId="0" fontId="2" fillId="5" borderId="0" xfId="8918" applyFont="1" applyFill="1"/>
    <xf numFmtId="0" fontId="2" fillId="42" borderId="0" xfId="2" applyFont="1" applyFill="1"/>
    <xf numFmtId="0" fontId="2" fillId="43" borderId="0" xfId="2" applyFont="1" applyFill="1"/>
    <xf numFmtId="352"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xf numFmtId="0" fontId="4" fillId="5" borderId="0" xfId="0" applyFont="1" applyFill="1"/>
    <xf numFmtId="169" fontId="4" fillId="0" borderId="34" xfId="1" applyFont="1" applyBorder="1"/>
    <xf numFmtId="4" fontId="0" fillId="0" borderId="0" xfId="0" applyNumberFormat="1"/>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2"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Alignment="1">
      <alignment horizontal="center"/>
    </xf>
    <xf numFmtId="0" fontId="4" fillId="0" borderId="0" xfId="0" applyFont="1" applyAlignment="1">
      <alignment horizontal="left" indent="1"/>
    </xf>
    <xf numFmtId="169" fontId="219" fillId="0" borderId="0" xfId="1" applyFont="1" applyBorder="1" applyAlignment="1">
      <alignment horizontal="left"/>
    </xf>
    <xf numFmtId="0" fontId="4" fillId="43" borderId="0" xfId="0" applyFont="1" applyFill="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Font="1"/>
    <xf numFmtId="174"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3" fillId="43" borderId="0" xfId="0" applyFont="1" applyFill="1"/>
    <xf numFmtId="0" fontId="3" fillId="43" borderId="0" xfId="0" applyFont="1" applyFill="1" applyAlignment="1">
      <alignment horizontal="left"/>
    </xf>
    <xf numFmtId="352" fontId="4" fillId="0" borderId="0" xfId="0" applyNumberFormat="1" applyFont="1"/>
    <xf numFmtId="174" fontId="4" fillId="0" borderId="0" xfId="0" applyNumberFormat="1" applyFont="1"/>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101" borderId="1" xfId="0" applyFont="1" applyFill="1" applyBorder="1"/>
    <xf numFmtId="2" fontId="5" fillId="0" borderId="1" xfId="0" applyNumberFormat="1" applyFont="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1" fontId="3" fillId="101" borderId="0" xfId="0" applyNumberFormat="1" applyFont="1" applyFill="1" applyAlignment="1">
      <alignment horizontal="center" vertical="center"/>
    </xf>
    <xf numFmtId="2" fontId="5" fillId="0" borderId="1" xfId="0" applyNumberFormat="1" applyFont="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2"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xf numFmtId="0" fontId="4" fillId="3" borderId="0" xfId="0" applyFont="1" applyFill="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2" fontId="3" fillId="38" borderId="76" xfId="1" applyNumberFormat="1" applyFont="1" applyFill="1" applyBorder="1" applyAlignment="1">
      <alignment horizontal="center" vertical="center"/>
    </xf>
    <xf numFmtId="352" fontId="4" fillId="38" borderId="0" xfId="1" applyNumberFormat="1" applyFont="1" applyFill="1" applyAlignment="1">
      <alignment horizontal="center" vertical="center"/>
    </xf>
    <xf numFmtId="15" fontId="2" fillId="5" borderId="3" xfId="0" applyNumberFormat="1" applyFont="1" applyFill="1" applyBorder="1"/>
    <xf numFmtId="352" fontId="4" fillId="38" borderId="4" xfId="1" applyNumberFormat="1" applyFont="1" applyFill="1" applyBorder="1" applyAlignment="1">
      <alignment horizontal="center" vertical="center"/>
    </xf>
    <xf numFmtId="363"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2" fontId="4" fillId="0" borderId="7" xfId="1" applyNumberFormat="1" applyFont="1" applyBorder="1" applyAlignment="1">
      <alignment horizontal="center" vertical="center"/>
    </xf>
    <xf numFmtId="352" fontId="4" fillId="0" borderId="0" xfId="1" applyNumberFormat="1" applyFont="1" applyAlignment="1">
      <alignment horizontal="center" vertical="center"/>
    </xf>
    <xf numFmtId="352"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center"/>
    </xf>
    <xf numFmtId="15" fontId="2" fillId="6" borderId="2" xfId="0" applyNumberFormat="1" applyFont="1" applyFill="1" applyBorder="1"/>
    <xf numFmtId="352" fontId="3" fillId="38" borderId="7" xfId="1" applyNumberFormat="1" applyFont="1" applyFill="1" applyBorder="1" applyAlignment="1">
      <alignment horizontal="center" vertical="center"/>
    </xf>
    <xf numFmtId="0" fontId="4" fillId="0" borderId="81" xfId="0" applyFont="1" applyBorder="1"/>
    <xf numFmtId="352" fontId="4" fillId="38" borderId="81" xfId="1" applyNumberFormat="1" applyFont="1" applyFill="1" applyBorder="1"/>
    <xf numFmtId="352" fontId="4" fillId="38" borderId="81" xfId="1" applyNumberFormat="1" applyFont="1" applyFill="1" applyBorder="1" applyAlignment="1">
      <alignment horizontal="center" vertical="center"/>
    </xf>
    <xf numFmtId="352" fontId="3" fillId="38" borderId="81" xfId="1" applyNumberFormat="1" applyFont="1" applyFill="1" applyBorder="1" applyAlignment="1">
      <alignment horizontal="center" vertical="center"/>
    </xf>
    <xf numFmtId="0" fontId="4" fillId="0" borderId="81" xfId="0" applyFont="1" applyBorder="1" applyAlignment="1">
      <alignment horizontal="left" indent="1"/>
    </xf>
    <xf numFmtId="352" fontId="5" fillId="38" borderId="81" xfId="1" applyNumberFormat="1" applyFont="1" applyFill="1" applyBorder="1" applyAlignment="1">
      <alignment horizontal="center" vertical="center"/>
    </xf>
    <xf numFmtId="0" fontId="3" fillId="0" borderId="81" xfId="0" applyFont="1" applyBorder="1"/>
    <xf numFmtId="0" fontId="3" fillId="0" borderId="82" xfId="0" applyFont="1" applyBorder="1"/>
    <xf numFmtId="0" fontId="4" fillId="0" borderId="83" xfId="0" applyFont="1" applyBorder="1"/>
    <xf numFmtId="352" fontId="3" fillId="38" borderId="83" xfId="1" applyNumberFormat="1" applyFont="1" applyFill="1" applyBorder="1" applyAlignment="1">
      <alignment horizontal="center" vertical="center"/>
    </xf>
    <xf numFmtId="0" fontId="3" fillId="0" borderId="7" xfId="0" applyFont="1" applyBorder="1"/>
    <xf numFmtId="170" fontId="219" fillId="0" borderId="81" xfId="0" applyNumberFormat="1" applyFont="1" applyBorder="1" applyAlignment="1">
      <alignment horizontal="center"/>
    </xf>
    <xf numFmtId="0" fontId="219" fillId="0" borderId="81" xfId="0" applyFont="1" applyBorder="1" applyAlignment="1">
      <alignment horizontal="center"/>
    </xf>
    <xf numFmtId="362" fontId="219" fillId="0" borderId="81" xfId="0" applyNumberFormat="1" applyFont="1" applyBorder="1" applyAlignment="1">
      <alignment horizontal="center"/>
    </xf>
    <xf numFmtId="362"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0" fontId="219" fillId="0" borderId="81" xfId="0" applyFont="1" applyBorder="1"/>
    <xf numFmtId="362" fontId="219" fillId="0" borderId="81" xfId="0" applyNumberFormat="1" applyFont="1" applyBorder="1" applyAlignment="1">
      <alignment horizontal="right"/>
    </xf>
    <xf numFmtId="0" fontId="219" fillId="102" borderId="81" xfId="0" applyFont="1" applyFill="1" applyBorder="1"/>
    <xf numFmtId="0" fontId="4" fillId="102" borderId="81" xfId="0" applyFont="1" applyFill="1" applyBorder="1"/>
    <xf numFmtId="0" fontId="219" fillId="0" borderId="81" xfId="0"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2" fontId="2" fillId="0" borderId="81" xfId="0" applyNumberFormat="1" applyFont="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2" fontId="2" fillId="0" borderId="81" xfId="0" applyNumberFormat="1" applyFont="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Font="1" applyBorder="1"/>
    <xf numFmtId="0" fontId="2" fillId="0" borderId="81" xfId="0" applyFont="1" applyBorder="1" applyAlignment="1">
      <alignment horizontal="right" vertical="top"/>
    </xf>
    <xf numFmtId="0" fontId="4" fillId="15" borderId="81" xfId="0" applyFont="1" applyFill="1" applyBorder="1" applyAlignment="1">
      <alignment vertical="top"/>
    </xf>
    <xf numFmtId="174" fontId="219" fillId="0" borderId="81" xfId="1" applyNumberFormat="1" applyFont="1" applyFill="1" applyBorder="1" applyAlignment="1">
      <alignment horizontal="center" vertical="center"/>
    </xf>
    <xf numFmtId="174"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2" fontId="5" fillId="40" borderId="81" xfId="0" applyNumberFormat="1" applyFont="1" applyFill="1" applyBorder="1" applyAlignment="1">
      <alignment horizontal="center"/>
    </xf>
    <xf numFmtId="172" fontId="5" fillId="0" borderId="81" xfId="0" applyNumberFormat="1" applyFont="1" applyBorder="1" applyAlignment="1">
      <alignment horizontal="center"/>
    </xf>
    <xf numFmtId="0" fontId="5" fillId="0" borderId="81" xfId="8918" applyFont="1" applyBorder="1"/>
    <xf numFmtId="15" fontId="5" fillId="38" borderId="81" xfId="8918" applyNumberFormat="1" applyFont="1" applyFill="1" applyBorder="1" applyAlignment="1">
      <alignment horizontal="center" vertical="center"/>
    </xf>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1" fontId="5" fillId="0" borderId="81" xfId="1" applyNumberFormat="1" applyFont="1" applyBorder="1" applyAlignment="1">
      <alignment horizontal="center"/>
    </xf>
    <xf numFmtId="361"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2" fontId="4" fillId="0" borderId="81" xfId="1" applyNumberFormat="1" applyFont="1" applyBorder="1"/>
    <xf numFmtId="174" fontId="5" fillId="0" borderId="81" xfId="1" applyNumberFormat="1"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Border="1" applyAlignment="1">
      <alignment horizontal="center" vertical="center"/>
    </xf>
    <xf numFmtId="10" fontId="3" fillId="0" borderId="81" xfId="0" applyNumberFormat="1" applyFont="1" applyBorder="1" applyAlignment="1">
      <alignment horizontal="center" vertical="center"/>
    </xf>
    <xf numFmtId="174" fontId="4" fillId="0" borderId="81" xfId="0" applyNumberFormat="1" applyFont="1" applyBorder="1"/>
    <xf numFmtId="174" fontId="3" fillId="0" borderId="81" xfId="0" applyNumberFormat="1" applyFont="1" applyBorder="1"/>
    <xf numFmtId="2" fontId="5" fillId="0" borderId="0" xfId="0" applyNumberFormat="1" applyFont="1" applyAlignment="1">
      <alignment horizontal="left" indent="1"/>
    </xf>
    <xf numFmtId="2" fontId="5" fillId="43" borderId="81" xfId="0" applyNumberFormat="1" applyFont="1" applyFill="1" applyBorder="1" applyAlignment="1">
      <alignment horizontal="left" indent="1"/>
    </xf>
    <xf numFmtId="290" fontId="4" fillId="0" borderId="81" xfId="0" applyNumberFormat="1" applyFont="1" applyBorder="1" applyAlignment="1">
      <alignment horizontal="center" vertical="center"/>
    </xf>
    <xf numFmtId="2" fontId="2" fillId="0" borderId="81" xfId="0" applyNumberFormat="1" applyFont="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Border="1"/>
    <xf numFmtId="17" fontId="2" fillId="0" borderId="81" xfId="2" applyNumberFormat="1" applyFont="1" applyBorder="1" applyAlignment="1">
      <alignment horizontal="center"/>
    </xf>
    <xf numFmtId="1" fontId="2" fillId="0" borderId="81" xfId="2" applyNumberFormat="1" applyFont="1" applyBorder="1"/>
    <xf numFmtId="17" fontId="2" fillId="0" borderId="81" xfId="2" applyNumberFormat="1" applyFont="1" applyBorder="1"/>
    <xf numFmtId="0" fontId="5" fillId="0" borderId="81" xfId="2" applyFont="1" applyBorder="1"/>
    <xf numFmtId="174" fontId="5" fillId="0" borderId="81" xfId="1" applyNumberFormat="1" applyFont="1" applyBorder="1" applyAlignment="1">
      <alignment horizontal="center"/>
    </xf>
    <xf numFmtId="174" fontId="5" fillId="0" borderId="81" xfId="1" applyNumberFormat="1" applyFont="1" applyBorder="1"/>
    <xf numFmtId="0" fontId="2" fillId="39" borderId="81" xfId="2" applyFont="1" applyFill="1" applyBorder="1"/>
    <xf numFmtId="174" fontId="2" fillId="39" borderId="81" xfId="1" applyNumberFormat="1" applyFont="1" applyFill="1" applyBorder="1" applyAlignment="1">
      <alignment horizontal="center"/>
    </xf>
    <xf numFmtId="174" fontId="2" fillId="39" borderId="81" xfId="1" applyNumberFormat="1" applyFont="1" applyFill="1" applyBorder="1"/>
    <xf numFmtId="174" fontId="220" fillId="102" borderId="81" xfId="1" applyNumberFormat="1" applyFont="1" applyFill="1" applyBorder="1"/>
    <xf numFmtId="0" fontId="5" fillId="0" borderId="81" xfId="2" applyFont="1" applyBorder="1" applyAlignment="1">
      <alignment horizontal="center"/>
    </xf>
    <xf numFmtId="174" fontId="5" fillId="0" borderId="81" xfId="2" applyNumberFormat="1" applyFont="1" applyBorder="1"/>
    <xf numFmtId="174" fontId="5" fillId="0" borderId="81" xfId="1" applyNumberFormat="1" applyFont="1" applyFill="1" applyBorder="1"/>
    <xf numFmtId="174" fontId="219" fillId="102" borderId="81" xfId="1" applyNumberFormat="1" applyFont="1" applyFill="1" applyBorder="1"/>
    <xf numFmtId="0" fontId="2" fillId="39" borderId="81" xfId="2" applyFont="1" applyFill="1" applyBorder="1" applyAlignment="1">
      <alignment horizontal="center"/>
    </xf>
    <xf numFmtId="352" fontId="4" fillId="38" borderId="81" xfId="1" applyNumberFormat="1" applyFont="1" applyFill="1" applyBorder="1" applyAlignment="1">
      <alignment horizontal="left"/>
    </xf>
    <xf numFmtId="17" fontId="5" fillId="0" borderId="81" xfId="2" applyNumberFormat="1" applyFont="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Border="1" applyAlignment="1">
      <alignment horizontal="left" indent="1"/>
    </xf>
    <xf numFmtId="0" fontId="3" fillId="0" borderId="85" xfId="0" applyFont="1" applyBorder="1"/>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4" fontId="219" fillId="0" borderId="81" xfId="0" applyNumberFormat="1" applyFont="1" applyBorder="1"/>
    <xf numFmtId="171" fontId="219" fillId="0" borderId="81" xfId="0" applyNumberFormat="1" applyFont="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2" fontId="4" fillId="38" borderId="86" xfId="1" applyNumberFormat="1" applyFont="1" applyFill="1" applyBorder="1" applyAlignment="1">
      <alignment horizontal="center" vertical="center"/>
    </xf>
    <xf numFmtId="352" fontId="3" fillId="38" borderId="86" xfId="1" applyNumberFormat="1" applyFont="1" applyFill="1" applyBorder="1" applyAlignment="1">
      <alignment horizontal="center" vertical="center"/>
    </xf>
    <xf numFmtId="172" fontId="2" fillId="0" borderId="0" xfId="0" applyNumberFormat="1" applyFont="1" applyAlignment="1">
      <alignment horizontal="right" vertical="center"/>
    </xf>
    <xf numFmtId="0" fontId="3" fillId="0" borderId="0" xfId="0" applyFont="1" applyAlignment="1">
      <alignment horizontal="right" vertical="center"/>
    </xf>
    <xf numFmtId="9" fontId="4" fillId="0" borderId="0" xfId="0" applyNumberFormat="1" applyFont="1" applyAlignment="1">
      <alignment horizontal="right" vertical="center"/>
    </xf>
    <xf numFmtId="352" fontId="4" fillId="0" borderId="0" xfId="1" applyNumberFormat="1" applyFont="1" applyFill="1" applyBorder="1" applyAlignment="1">
      <alignment horizontal="center" vertical="center"/>
    </xf>
    <xf numFmtId="352"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362" fontId="219" fillId="0" borderId="0" xfId="0" applyNumberFormat="1" applyFont="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Border="1" applyAlignment="1">
      <alignment horizontal="center"/>
    </xf>
    <xf numFmtId="172" fontId="2" fillId="4" borderId="20" xfId="0" applyNumberFormat="1" applyFont="1" applyFill="1" applyBorder="1" applyAlignment="1">
      <alignment horizontal="center"/>
    </xf>
    <xf numFmtId="10" fontId="219" fillId="102" borderId="81" xfId="0" applyNumberFormat="1" applyFont="1" applyFill="1" applyBorder="1"/>
    <xf numFmtId="0" fontId="219" fillId="102" borderId="0" xfId="0" applyFont="1" applyFill="1" applyAlignment="1">
      <alignment horizontal="center"/>
    </xf>
    <xf numFmtId="172"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219" fillId="0" borderId="0" xfId="0" applyNumberFormat="1" applyFont="1"/>
    <xf numFmtId="0" fontId="3" fillId="0" borderId="0" xfId="0" applyFont="1" applyAlignment="1">
      <alignment vertical="top"/>
    </xf>
    <xf numFmtId="172" fontId="3" fillId="0" borderId="0" xfId="0" applyNumberFormat="1" applyFont="1"/>
    <xf numFmtId="10" fontId="5" fillId="0" borderId="81" xfId="25639" applyNumberFormat="1" applyFont="1" applyBorder="1"/>
    <xf numFmtId="172" fontId="2" fillId="0" borderId="86" xfId="0" applyNumberFormat="1" applyFont="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2" fontId="4" fillId="0" borderId="86" xfId="1" applyNumberFormat="1" applyFont="1" applyBorder="1"/>
    <xf numFmtId="0" fontId="219" fillId="102" borderId="86" xfId="0" applyFont="1" applyFill="1" applyBorder="1"/>
    <xf numFmtId="174" fontId="4" fillId="0" borderId="86" xfId="0" applyNumberFormat="1" applyFont="1" applyBorder="1"/>
    <xf numFmtId="174"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xf numFmtId="172" fontId="2" fillId="0" borderId="0" xfId="0" applyNumberFormat="1" applyFont="1" applyAlignment="1">
      <alignment horizontal="right"/>
    </xf>
    <xf numFmtId="352" fontId="4" fillId="0" borderId="0" xfId="1" applyNumberFormat="1" applyFont="1" applyFill="1" applyBorder="1"/>
    <xf numFmtId="0" fontId="219" fillId="0" borderId="0" xfId="0" applyFont="1"/>
    <xf numFmtId="10" fontId="2" fillId="0" borderId="0" xfId="0" applyNumberFormat="1" applyFont="1"/>
    <xf numFmtId="174" fontId="3" fillId="0" borderId="0" xfId="0" applyNumberFormat="1" applyFont="1"/>
    <xf numFmtId="1" fontId="2" fillId="0" borderId="0" xfId="0" applyNumberFormat="1" applyFont="1"/>
    <xf numFmtId="4" fontId="219" fillId="0" borderId="0" xfId="25639" applyNumberFormat="1" applyFont="1" applyFill="1" applyBorder="1"/>
    <xf numFmtId="352" fontId="219" fillId="0" borderId="81" xfId="1" applyNumberFormat="1" applyFont="1" applyFill="1" applyBorder="1"/>
    <xf numFmtId="352" fontId="220" fillId="102" borderId="86" xfId="1" applyNumberFormat="1" applyFont="1" applyFill="1" applyBorder="1" applyAlignment="1">
      <alignment horizontal="center" vertical="center"/>
    </xf>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352"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Font="1" applyFill="1" applyBorder="1" applyAlignment="1">
      <alignment horizontal="center" vertical="center"/>
    </xf>
    <xf numFmtId="169" fontId="3" fillId="38" borderId="83" xfId="1" applyFont="1" applyFill="1" applyBorder="1" applyAlignment="1">
      <alignment horizontal="center" vertical="center"/>
    </xf>
    <xf numFmtId="172" fontId="2" fillId="40" borderId="81" xfId="0" applyNumberFormat="1" applyFont="1" applyFill="1" applyBorder="1" applyAlignment="1">
      <alignment horizontal="center"/>
    </xf>
    <xf numFmtId="169" fontId="4" fillId="38" borderId="0" xfId="1" applyFont="1" applyFill="1" applyBorder="1" applyAlignment="1">
      <alignment horizontal="center" vertical="center"/>
    </xf>
    <xf numFmtId="352" fontId="4" fillId="0" borderId="81" xfId="1" applyNumberFormat="1" applyFont="1" applyFill="1" applyBorder="1" applyAlignment="1">
      <alignment horizontal="center" vertical="center"/>
    </xf>
    <xf numFmtId="352" fontId="219" fillId="0" borderId="81" xfId="1" applyNumberFormat="1" applyFont="1" applyFill="1" applyBorder="1" applyAlignment="1">
      <alignment horizontal="center" vertical="center"/>
    </xf>
    <xf numFmtId="352" fontId="3" fillId="0" borderId="81" xfId="1" applyNumberFormat="1" applyFont="1" applyFill="1" applyBorder="1" applyAlignment="1">
      <alignment horizontal="center" vertical="center"/>
    </xf>
    <xf numFmtId="0" fontId="231" fillId="107" borderId="0" xfId="0" applyFont="1" applyFill="1"/>
    <xf numFmtId="0" fontId="232" fillId="107" borderId="0" xfId="0" applyFont="1" applyFill="1"/>
    <xf numFmtId="0" fontId="17" fillId="108" borderId="0" xfId="0" applyFont="1" applyFill="1"/>
    <xf numFmtId="0" fontId="17" fillId="108" borderId="87" xfId="0" applyFont="1" applyFill="1" applyBorder="1" applyAlignment="1">
      <alignment vertical="center"/>
    </xf>
    <xf numFmtId="365" fontId="17" fillId="108" borderId="87" xfId="0" applyNumberFormat="1" applyFont="1" applyFill="1" applyBorder="1" applyAlignment="1">
      <alignment horizontal="center" vertical="center"/>
    </xf>
    <xf numFmtId="366" fontId="17" fillId="108" borderId="87" xfId="0" applyNumberFormat="1" applyFont="1" applyFill="1" applyBorder="1" applyAlignment="1">
      <alignment horizontal="center" vertical="center"/>
    </xf>
    <xf numFmtId="15" fontId="0" fillId="0" borderId="0" xfId="0" applyNumberFormat="1"/>
    <xf numFmtId="2" fontId="0" fillId="0" borderId="0" xfId="0" applyNumberFormat="1" applyAlignment="1">
      <alignment horizontal="center" vertical="center"/>
    </xf>
    <xf numFmtId="15" fontId="20" fillId="0" borderId="53" xfId="0" applyNumberFormat="1" applyFont="1" applyBorder="1"/>
    <xf numFmtId="2" fontId="20" fillId="0" borderId="53" xfId="0" applyNumberFormat="1" applyFont="1" applyBorder="1" applyAlignment="1">
      <alignment horizontal="center" vertical="center"/>
    </xf>
    <xf numFmtId="0" fontId="20" fillId="0" borderId="53" xfId="0" applyFont="1" applyBorder="1"/>
    <xf numFmtId="0" fontId="20" fillId="0" borderId="34" xfId="0" applyFont="1" applyBorder="1"/>
    <xf numFmtId="10" fontId="0" fillId="0" borderId="34" xfId="25639" applyNumberFormat="1" applyFont="1" applyBorder="1" applyAlignment="1">
      <alignment horizontal="center" vertical="center"/>
    </xf>
    <xf numFmtId="10" fontId="0" fillId="0" borderId="0" xfId="25639" applyNumberFormat="1" applyFont="1" applyBorder="1" applyAlignment="1">
      <alignment horizontal="center" vertical="center"/>
    </xf>
    <xf numFmtId="0" fontId="20" fillId="0" borderId="41" xfId="0" applyFont="1" applyBorder="1"/>
    <xf numFmtId="10" fontId="0" fillId="0" borderId="41" xfId="25639" applyNumberFormat="1" applyFont="1" applyBorder="1" applyAlignment="1">
      <alignment horizontal="center" vertical="center"/>
    </xf>
    <xf numFmtId="0" fontId="21" fillId="109" borderId="49" xfId="0" applyFont="1" applyFill="1" applyBorder="1" applyAlignment="1">
      <alignment horizontal="center" wrapText="1"/>
    </xf>
    <xf numFmtId="0" fontId="21" fillId="109" borderId="20" xfId="0" applyFont="1" applyFill="1" applyBorder="1"/>
    <xf numFmtId="174" fontId="1" fillId="0" borderId="20" xfId="25652" applyNumberFormat="1" applyFont="1" applyBorder="1"/>
    <xf numFmtId="2" fontId="0" fillId="0" borderId="20" xfId="0" applyNumberFormat="1" applyBorder="1"/>
    <xf numFmtId="0" fontId="18" fillId="0" borderId="20" xfId="0" applyFont="1" applyBorder="1"/>
    <xf numFmtId="2" fontId="0" fillId="0" borderId="0" xfId="0" applyNumberFormat="1"/>
    <xf numFmtId="2" fontId="20" fillId="0" borderId="53" xfId="0" applyNumberFormat="1" applyFont="1" applyBorder="1"/>
    <xf numFmtId="10" fontId="20" fillId="0" borderId="0" xfId="0" applyNumberFormat="1" applyFont="1"/>
    <xf numFmtId="10" fontId="0" fillId="0" borderId="0" xfId="0" applyNumberFormat="1"/>
    <xf numFmtId="10" fontId="233" fillId="43" borderId="20" xfId="25639" applyNumberFormat="1" applyFont="1" applyFill="1" applyBorder="1"/>
    <xf numFmtId="9" fontId="233" fillId="43" borderId="20" xfId="25639" applyFont="1" applyFill="1" applyBorder="1"/>
    <xf numFmtId="4" fontId="233" fillId="43" borderId="20" xfId="0" applyNumberFormat="1" applyFont="1" applyFill="1" applyBorder="1"/>
    <xf numFmtId="0" fontId="233" fillId="43" borderId="20" xfId="0" applyFont="1" applyFill="1" applyBorder="1"/>
    <xf numFmtId="10" fontId="234" fillId="0" borderId="20" xfId="25639" applyNumberFormat="1" applyFont="1" applyBorder="1"/>
    <xf numFmtId="173" fontId="234" fillId="0" borderId="20" xfId="25639" applyNumberFormat="1" applyFont="1" applyBorder="1"/>
    <xf numFmtId="169" fontId="234" fillId="0" borderId="20" xfId="1" applyFont="1" applyBorder="1" applyAlignment="1">
      <alignment horizontal="left"/>
    </xf>
    <xf numFmtId="0" fontId="234" fillId="0" borderId="20" xfId="0" applyFont="1" applyBorder="1" applyAlignment="1">
      <alignment horizontal="left"/>
    </xf>
    <xf numFmtId="169" fontId="234" fillId="0" borderId="20" xfId="1" applyFont="1" applyBorder="1"/>
    <xf numFmtId="0" fontId="235" fillId="110" borderId="20" xfId="0" applyFont="1" applyFill="1" applyBorder="1" applyAlignment="1">
      <alignment horizontal="center"/>
    </xf>
    <xf numFmtId="10" fontId="236" fillId="0" borderId="49" xfId="0" applyNumberFormat="1" applyFont="1" applyBorder="1"/>
    <xf numFmtId="0" fontId="237" fillId="0" borderId="89" xfId="0" applyFont="1" applyBorder="1"/>
    <xf numFmtId="0" fontId="236" fillId="0" borderId="0" xfId="0" applyFont="1"/>
    <xf numFmtId="10" fontId="236" fillId="0" borderId="20" xfId="0" applyNumberFormat="1" applyFont="1" applyBorder="1"/>
    <xf numFmtId="0" fontId="237" fillId="0" borderId="20" xfId="0" applyFont="1" applyBorder="1"/>
    <xf numFmtId="0" fontId="0" fillId="0" borderId="50" xfId="0" applyBorder="1"/>
    <xf numFmtId="0" fontId="0" fillId="0" borderId="22" xfId="0" applyBorder="1"/>
    <xf numFmtId="2" fontId="236" fillId="0" borderId="20" xfId="0" applyNumberFormat="1" applyFont="1" applyBorder="1"/>
    <xf numFmtId="0" fontId="237" fillId="0" borderId="60" xfId="0" applyFont="1" applyBorder="1"/>
    <xf numFmtId="173" fontId="236" fillId="0" borderId="20" xfId="0" applyNumberFormat="1" applyFont="1" applyBorder="1" applyAlignment="1">
      <alignment vertical="center"/>
    </xf>
    <xf numFmtId="0" fontId="237" fillId="0" borderId="20" xfId="0" applyFont="1" applyBorder="1" applyAlignment="1">
      <alignment vertical="center" wrapText="1"/>
    </xf>
    <xf numFmtId="0" fontId="238" fillId="0" borderId="0" xfId="25653" applyAlignment="1">
      <alignment vertical="center"/>
    </xf>
    <xf numFmtId="0" fontId="238" fillId="0" borderId="0" xfId="25653"/>
    <xf numFmtId="0" fontId="17" fillId="108" borderId="0" xfId="0" applyFont="1" applyFill="1" applyAlignment="1">
      <alignment vertical="center"/>
    </xf>
    <xf numFmtId="0" fontId="0" fillId="0" borderId="0" xfId="0" applyAlignment="1">
      <alignment vertical="center"/>
    </xf>
    <xf numFmtId="2" fontId="0" fillId="0" borderId="0" xfId="0" applyNumberFormat="1" applyAlignment="1">
      <alignment horizontal="center"/>
    </xf>
    <xf numFmtId="2" fontId="20" fillId="0" borderId="0" xfId="0" applyNumberFormat="1" applyFont="1" applyAlignment="1">
      <alignment horizontal="center"/>
    </xf>
    <xf numFmtId="0" fontId="237" fillId="0" borderId="0" xfId="0" applyFont="1"/>
    <xf numFmtId="2" fontId="237" fillId="0" borderId="0" xfId="0" applyNumberFormat="1" applyFont="1" applyAlignment="1">
      <alignment horizontal="center"/>
    </xf>
    <xf numFmtId="2" fontId="236" fillId="0" borderId="0" xfId="0" applyNumberFormat="1" applyFont="1" applyAlignment="1">
      <alignment horizontal="center"/>
    </xf>
    <xf numFmtId="0" fontId="236" fillId="0" borderId="0" xfId="0" applyFont="1" applyAlignment="1">
      <alignment horizontal="center"/>
    </xf>
    <xf numFmtId="0" fontId="0" fillId="0" borderId="0" xfId="0" applyAlignment="1">
      <alignment horizontal="center"/>
    </xf>
    <xf numFmtId="10" fontId="236" fillId="0" borderId="0" xfId="23085" applyNumberFormat="1" applyFont="1" applyAlignment="1">
      <alignment horizontal="center"/>
    </xf>
    <xf numFmtId="10" fontId="0" fillId="0" borderId="0" xfId="0" applyNumberFormat="1" applyAlignment="1">
      <alignment horizontal="center"/>
    </xf>
    <xf numFmtId="0" fontId="237" fillId="0" borderId="0" xfId="0" applyFont="1" applyAlignment="1">
      <alignment vertical="center"/>
    </xf>
    <xf numFmtId="2" fontId="237" fillId="0" borderId="53" xfId="0" applyNumberFormat="1" applyFont="1" applyBorder="1" applyAlignment="1">
      <alignment horizontal="center" vertical="center"/>
    </xf>
    <xf numFmtId="10" fontId="237" fillId="0" borderId="0" xfId="23085" applyNumberFormat="1" applyFont="1" applyAlignment="1">
      <alignment horizontal="center"/>
    </xf>
    <xf numFmtId="0" fontId="199" fillId="108" borderId="0" xfId="0" applyFont="1" applyFill="1"/>
    <xf numFmtId="0" fontId="239" fillId="108" borderId="0" xfId="0" applyFont="1" applyFill="1" applyAlignment="1">
      <alignment vertical="center"/>
    </xf>
    <xf numFmtId="2" fontId="239" fillId="108" borderId="0" xfId="0" applyNumberFormat="1" applyFont="1" applyFill="1" applyAlignment="1">
      <alignment horizontal="center" vertical="center"/>
    </xf>
    <xf numFmtId="2" fontId="239" fillId="108" borderId="0" xfId="0" applyNumberFormat="1" applyFont="1" applyFill="1" applyAlignment="1">
      <alignment horizontal="left" vertical="center"/>
    </xf>
    <xf numFmtId="0" fontId="240" fillId="108" borderId="0" xfId="0" applyFont="1" applyFill="1" applyAlignment="1">
      <alignment vertical="center"/>
    </xf>
    <xf numFmtId="0" fontId="240" fillId="108" borderId="0" xfId="0" applyFont="1" applyFill="1"/>
    <xf numFmtId="368" fontId="17" fillId="108" borderId="0" xfId="0" applyNumberFormat="1" applyFont="1" applyFill="1" applyAlignment="1">
      <alignment horizontal="center"/>
    </xf>
    <xf numFmtId="10" fontId="241" fillId="107" borderId="46" xfId="25639" applyNumberFormat="1" applyFont="1" applyFill="1" applyBorder="1"/>
    <xf numFmtId="0" fontId="242" fillId="0" borderId="0" xfId="0" applyFont="1"/>
    <xf numFmtId="2" fontId="236" fillId="0" borderId="0" xfId="0" applyNumberFormat="1" applyFont="1" applyAlignment="1">
      <alignment horizontal="center" vertical="center"/>
    </xf>
    <xf numFmtId="2" fontId="237" fillId="0" borderId="53" xfId="0" applyNumberFormat="1" applyFont="1" applyBorder="1" applyAlignment="1">
      <alignment horizontal="center"/>
    </xf>
    <xf numFmtId="367" fontId="20" fillId="0" borderId="20" xfId="0" applyNumberFormat="1" applyFont="1" applyBorder="1" applyAlignment="1">
      <alignment horizontal="center"/>
    </xf>
    <xf numFmtId="10" fontId="243" fillId="0" borderId="20" xfId="0" applyNumberFormat="1" applyFont="1" applyBorder="1" applyAlignment="1">
      <alignment horizontal="center"/>
    </xf>
    <xf numFmtId="9" fontId="243" fillId="0" borderId="20" xfId="0" applyNumberFormat="1" applyFont="1" applyBorder="1" applyAlignment="1">
      <alignment horizontal="center"/>
    </xf>
    <xf numFmtId="0" fontId="17" fillId="108" borderId="20" xfId="0" applyFont="1" applyFill="1" applyBorder="1" applyAlignment="1">
      <alignment horizontal="center" vertical="center" wrapText="1"/>
    </xf>
    <xf numFmtId="10" fontId="0" fillId="0" borderId="20" xfId="0" applyNumberFormat="1" applyBorder="1" applyAlignment="1">
      <alignment horizontal="center" vertical="center"/>
    </xf>
    <xf numFmtId="169" fontId="0" fillId="0" borderId="20" xfId="1" applyFont="1" applyBorder="1" applyAlignment="1">
      <alignment horizontal="right"/>
    </xf>
    <xf numFmtId="10" fontId="20" fillId="0" borderId="20" xfId="0" applyNumberFormat="1" applyFont="1" applyBorder="1" applyAlignment="1">
      <alignment horizontal="center" vertical="center"/>
    </xf>
    <xf numFmtId="169" fontId="20" fillId="0" borderId="20" xfId="1" applyFont="1" applyBorder="1" applyAlignment="1">
      <alignment horizontal="right"/>
    </xf>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20" fillId="0" borderId="60" xfId="0" applyFont="1" applyBorder="1" applyAlignment="1">
      <alignment horizontal="center"/>
    </xf>
    <xf numFmtId="0" fontId="20" fillId="0" borderId="74" xfId="0" applyFont="1" applyBorder="1" applyAlignment="1">
      <alignment horizontal="center"/>
    </xf>
    <xf numFmtId="0" fontId="21" fillId="109" borderId="50" xfId="0" applyFont="1" applyFill="1" applyBorder="1" applyAlignment="1">
      <alignment horizontal="center" wrapText="1"/>
    </xf>
    <xf numFmtId="0" fontId="21" fillId="109" borderId="49" xfId="0" applyFont="1" applyFill="1" applyBorder="1" applyAlignment="1">
      <alignment horizontal="center" wrapText="1"/>
    </xf>
    <xf numFmtId="0" fontId="17" fillId="108" borderId="42" xfId="0" applyFont="1" applyFill="1" applyBorder="1" applyAlignment="1">
      <alignment horizontal="center"/>
    </xf>
    <xf numFmtId="0" fontId="17" fillId="108" borderId="88" xfId="0" applyFont="1" applyFill="1" applyBorder="1" applyAlignment="1">
      <alignment horizontal="center"/>
    </xf>
    <xf numFmtId="0" fontId="21" fillId="109" borderId="42" xfId="0" applyFont="1" applyFill="1" applyBorder="1" applyAlignment="1">
      <alignment horizontal="center"/>
    </xf>
    <xf numFmtId="0" fontId="21" fillId="109" borderId="34" xfId="0" applyFont="1" applyFill="1" applyBorder="1" applyAlignment="1">
      <alignment horizontal="center"/>
    </xf>
    <xf numFmtId="0" fontId="225" fillId="108" borderId="20" xfId="0" applyFont="1" applyFill="1" applyBorder="1" applyAlignment="1">
      <alignment horizontal="center" vertical="center"/>
    </xf>
    <xf numFmtId="0" fontId="225" fillId="108" borderId="60" xfId="0" applyFont="1" applyFill="1" applyBorder="1" applyAlignment="1">
      <alignment horizontal="center" vertical="center"/>
    </xf>
    <xf numFmtId="0" fontId="225" fillId="108" borderId="74" xfId="0" applyFont="1" applyFill="1" applyBorder="1" applyAlignment="1">
      <alignment horizontal="center" vertical="center"/>
    </xf>
    <xf numFmtId="0" fontId="235" fillId="110" borderId="60" xfId="0" applyFont="1" applyFill="1" applyBorder="1" applyAlignment="1">
      <alignment horizontal="center"/>
    </xf>
    <xf numFmtId="0" fontId="235" fillId="110" borderId="53" xfId="0" applyFont="1" applyFill="1" applyBorder="1" applyAlignment="1">
      <alignment horizontal="center"/>
    </xf>
    <xf numFmtId="0" fontId="235" fillId="110" borderId="74" xfId="0" applyFont="1" applyFill="1" applyBorder="1" applyAlignment="1">
      <alignment horizontal="center"/>
    </xf>
    <xf numFmtId="172" fontId="17" fillId="108" borderId="20" xfId="0" applyNumberFormat="1" applyFont="1" applyFill="1" applyBorder="1" applyAlignment="1">
      <alignment horizontal="center"/>
    </xf>
    <xf numFmtId="0" fontId="241" fillId="0" borderId="0" xfId="0" applyFont="1" applyAlignment="1">
      <alignment horizontal="center"/>
    </xf>
  </cellXfs>
  <cellStyles count="25654">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00" xfId="25652" xr:uid="{94D8CF07-1026-4B05-8D58-2E8D906F0D86}"/>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xfId="25653" builtinId="8"/>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181" Type="http://schemas.openxmlformats.org/officeDocument/2006/relationships/externalLink" Target="externalLinks/externalLink166.xml"/><Relationship Id="rId186" Type="http://schemas.openxmlformats.org/officeDocument/2006/relationships/externalLink" Target="externalLinks/externalLink17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externalLink" Target="externalLinks/externalLink161.xml"/><Relationship Id="rId192" Type="http://schemas.openxmlformats.org/officeDocument/2006/relationships/externalLink" Target="externalLinks/externalLink177.xml"/><Relationship Id="rId197" Type="http://schemas.openxmlformats.org/officeDocument/2006/relationships/externalLink" Target="externalLinks/externalLink182.xml"/><Relationship Id="rId206" Type="http://schemas.openxmlformats.org/officeDocument/2006/relationships/theme" Target="theme/theme1.xml"/><Relationship Id="rId201" Type="http://schemas.openxmlformats.org/officeDocument/2006/relationships/externalLink" Target="externalLinks/externalLink186.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87" Type="http://schemas.openxmlformats.org/officeDocument/2006/relationships/externalLink" Target="externalLinks/externalLink1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2" Type="http://schemas.openxmlformats.org/officeDocument/2006/relationships/externalLink" Target="externalLinks/externalLink187.xml"/><Relationship Id="rId207"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208"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209" Type="http://schemas.openxmlformats.org/officeDocument/2006/relationships/calcChain" Target="calcChain.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RK'!$C$31:$F$31</c:f>
              <c:numCache>
                <c:formatCode>0.00%</c:formatCode>
                <c:ptCount val="4"/>
                <c:pt idx="0">
                  <c:v>0.8290112749349523</c:v>
                </c:pt>
                <c:pt idx="1">
                  <c:v>0.84499713576475088</c:v>
                </c:pt>
                <c:pt idx="2">
                  <c:v>0.70299968152596337</c:v>
                </c:pt>
                <c:pt idx="3">
                  <c:v>0.64267668250759791</c:v>
                </c:pt>
              </c:numCache>
            </c:numRef>
          </c:val>
          <c:extLst>
            <c:ext xmlns:c16="http://schemas.microsoft.com/office/drawing/2014/chart" uri="{C3380CC4-5D6E-409C-BE32-E72D297353CC}">
              <c16:uniqueId val="{00000001-84B8-4C8A-B031-A138E1EA39E5}"/>
            </c:ext>
          </c:extLst>
        </c:ser>
        <c:dLbls>
          <c:dLblPos val="outEnd"/>
          <c:showLegendKey val="0"/>
          <c:showVal val="1"/>
          <c:showCatName val="0"/>
          <c:showSerName val="0"/>
          <c:showPercent val="0"/>
          <c:showBubbleSize val="0"/>
        </c:dLbls>
        <c:gapWidth val="219"/>
        <c:overlap val="-27"/>
        <c:axId val="589527376"/>
        <c:axId val="589527048"/>
      </c:barChart>
      <c:catAx>
        <c:axId val="5895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27048"/>
        <c:crosses val="autoZero"/>
        <c:auto val="1"/>
        <c:lblAlgn val="ctr"/>
        <c:lblOffset val="100"/>
        <c:noMultiLvlLbl val="0"/>
      </c:catAx>
      <c:valAx>
        <c:axId val="58952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2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RK'!$C$30:$F$30</c:f>
              <c:numCache>
                <c:formatCode>0.00%</c:formatCode>
                <c:ptCount val="4"/>
                <c:pt idx="0">
                  <c:v>-4.4362532523850778E-2</c:v>
                </c:pt>
                <c:pt idx="1">
                  <c:v>-0.66755776207752515</c:v>
                </c:pt>
                <c:pt idx="2">
                  <c:v>-3.0222060718394776</c:v>
                </c:pt>
                <c:pt idx="3">
                  <c:v>-0.81299938778947767</c:v>
                </c:pt>
              </c:numCache>
            </c:numRef>
          </c:val>
          <c:extLst>
            <c:ext xmlns:c16="http://schemas.microsoft.com/office/drawing/2014/chart" uri="{C3380CC4-5D6E-409C-BE32-E72D297353CC}">
              <c16:uniqueId val="{00000001-8CCD-4074-ADA2-191749FEE9EB}"/>
            </c:ext>
          </c:extLst>
        </c:ser>
        <c:dLbls>
          <c:dLblPos val="outEnd"/>
          <c:showLegendKey val="0"/>
          <c:showVal val="1"/>
          <c:showCatName val="0"/>
          <c:showSerName val="0"/>
          <c:showPercent val="0"/>
          <c:showBubbleSize val="0"/>
        </c:dLbls>
        <c:gapWidth val="219"/>
        <c:overlap val="-27"/>
        <c:axId val="549409168"/>
        <c:axId val="549400968"/>
      </c:barChart>
      <c:catAx>
        <c:axId val="54940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9400968"/>
        <c:crosses val="autoZero"/>
        <c:auto val="1"/>
        <c:lblAlgn val="ctr"/>
        <c:lblOffset val="100"/>
        <c:noMultiLvlLbl val="0"/>
      </c:catAx>
      <c:valAx>
        <c:axId val="54940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09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RK'!$C$32:$F$32</c:f>
              <c:numCache>
                <c:formatCode>0.00%</c:formatCode>
                <c:ptCount val="4"/>
                <c:pt idx="0">
                  <c:v>0.32367736339982656</c:v>
                </c:pt>
                <c:pt idx="1">
                  <c:v>0.41660301699446256</c:v>
                </c:pt>
                <c:pt idx="2">
                  <c:v>1.4993842433006365E-2</c:v>
                </c:pt>
                <c:pt idx="3">
                  <c:v>0.17099392932928792</c:v>
                </c:pt>
              </c:numCache>
            </c:numRef>
          </c:val>
          <c:extLst>
            <c:ext xmlns:c16="http://schemas.microsoft.com/office/drawing/2014/chart" uri="{C3380CC4-5D6E-409C-BE32-E72D297353CC}">
              <c16:uniqueId val="{00000001-AC49-4B4E-A676-268A3014FCC2}"/>
            </c:ext>
          </c:extLst>
        </c:ser>
        <c:dLbls>
          <c:dLblPos val="outEnd"/>
          <c:showLegendKey val="0"/>
          <c:showVal val="1"/>
          <c:showCatName val="0"/>
          <c:showSerName val="0"/>
          <c:showPercent val="0"/>
          <c:showBubbleSize val="0"/>
        </c:dLbls>
        <c:gapWidth val="219"/>
        <c:overlap val="-27"/>
        <c:axId val="589538528"/>
        <c:axId val="589540824"/>
      </c:barChart>
      <c:catAx>
        <c:axId val="589538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40824"/>
        <c:crosses val="autoZero"/>
        <c:auto val="1"/>
        <c:lblAlgn val="ctr"/>
        <c:lblOffset val="100"/>
        <c:noMultiLvlLbl val="0"/>
      </c:catAx>
      <c:valAx>
        <c:axId val="58954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3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IN"/>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25F-4FA7-94EC-C65D7020DC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formatCode="&quot;FY&quot;\ 0\ &quot;P&quot;">
                  <c:v>2022</c:v>
                </c:pt>
              </c:numCache>
            </c:numRef>
          </c:cat>
          <c:val>
            <c:numRef>
              <c:f>'Historical P&amp;L RK'!$D$33:$F$33</c:f>
              <c:numCache>
                <c:formatCode>0.00%</c:formatCode>
                <c:ptCount val="3"/>
                <c:pt idx="0">
                  <c:v>-9.1587163920208159E-2</c:v>
                </c:pt>
                <c:pt idx="1">
                  <c:v>-0.18270455890777182</c:v>
                </c:pt>
                <c:pt idx="2">
                  <c:v>8.6429378267012913E-2</c:v>
                </c:pt>
              </c:numCache>
            </c:numRef>
          </c:val>
          <c:extLst>
            <c:ext xmlns:c16="http://schemas.microsoft.com/office/drawing/2014/chart" uri="{C3380CC4-5D6E-409C-BE32-E72D297353CC}">
              <c16:uniqueId val="{00000002-525F-4FA7-94EC-C65D7020DC03}"/>
            </c:ext>
          </c:extLst>
        </c:ser>
        <c:dLbls>
          <c:dLblPos val="outEnd"/>
          <c:showLegendKey val="0"/>
          <c:showVal val="1"/>
          <c:showCatName val="0"/>
          <c:showSerName val="0"/>
          <c:showPercent val="0"/>
          <c:showBubbleSize val="0"/>
        </c:dLbls>
        <c:gapWidth val="219"/>
        <c:overlap val="-27"/>
        <c:axId val="589516224"/>
        <c:axId val="589512944"/>
      </c:barChart>
      <c:catAx>
        <c:axId val="58951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12944"/>
        <c:crosses val="autoZero"/>
        <c:auto val="1"/>
        <c:lblAlgn val="ctr"/>
        <c:lblOffset val="100"/>
        <c:noMultiLvlLbl val="0"/>
      </c:catAx>
      <c:valAx>
        <c:axId val="58951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1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u="none">
                <a:solidFill>
                  <a:schemeClr val="bg1"/>
                </a:solidFill>
              </a:rPr>
              <a:t>Net Profit</a:t>
            </a:r>
            <a:r>
              <a:rPr lang="en-IN" sz="1100" b="1" u="none" baseline="0">
                <a:solidFill>
                  <a:schemeClr val="bg1"/>
                </a:solidFill>
              </a:rPr>
              <a:t> Margin</a:t>
            </a:r>
            <a:endParaRPr lang="en-IN" sz="1100" b="1" u="none">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Net Profit Margin %</c:v>
          </c:tx>
          <c:spPr>
            <a:solidFill>
              <a:schemeClr val="accent1"/>
            </a:solidFill>
            <a:ln>
              <a:noFill/>
            </a:ln>
            <a:effectLst/>
          </c:spPr>
          <c:invertIfNegative val="0"/>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RK'!$C$30:$M$30</c:f>
              <c:numCache>
                <c:formatCode>0.00%</c:formatCode>
                <c:ptCount val="11"/>
                <c:pt idx="0">
                  <c:v>-1.1226867141144794</c:v>
                </c:pt>
                <c:pt idx="1">
                  <c:v>-4.2325051269039904E-2</c:v>
                </c:pt>
                <c:pt idx="2">
                  <c:v>-0.11560692037020348</c:v>
                </c:pt>
                <c:pt idx="3">
                  <c:v>-1.279735986231907E-2</c:v>
                </c:pt>
                <c:pt idx="4">
                  <c:v>0.10949117037535551</c:v>
                </c:pt>
                <c:pt idx="5">
                  <c:v>0.18069267331338884</c:v>
                </c:pt>
                <c:pt idx="6">
                  <c:v>0.17376572676041646</c:v>
                </c:pt>
                <c:pt idx="7">
                  <c:v>0.20306452755325086</c:v>
                </c:pt>
                <c:pt idx="8">
                  <c:v>0.21087443948970369</c:v>
                </c:pt>
                <c:pt idx="9">
                  <c:v>0.21696103506930101</c:v>
                </c:pt>
                <c:pt idx="10">
                  <c:v>0.17319025630778084</c:v>
                </c:pt>
              </c:numCache>
            </c:numRef>
          </c:val>
          <c:extLst>
            <c:ext xmlns:c16="http://schemas.microsoft.com/office/drawing/2014/chart" uri="{C3380CC4-5D6E-409C-BE32-E72D297353CC}">
              <c16:uniqueId val="{00000001-8871-4D52-9AFD-79369B7E69B5}"/>
            </c:ext>
          </c:extLst>
        </c:ser>
        <c:dLbls>
          <c:showLegendKey val="0"/>
          <c:showVal val="0"/>
          <c:showCatName val="0"/>
          <c:showSerName val="0"/>
          <c:showPercent val="0"/>
          <c:showBubbleSize val="0"/>
        </c:dLbls>
        <c:gapWidth val="219"/>
        <c:overlap val="-27"/>
        <c:axId val="588188608"/>
        <c:axId val="588189264"/>
      </c:barChart>
      <c:catAx>
        <c:axId val="58818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9264"/>
        <c:crosses val="autoZero"/>
        <c:auto val="1"/>
        <c:lblAlgn val="ctr"/>
        <c:lblOffset val="100"/>
        <c:noMultiLvlLbl val="0"/>
      </c:catAx>
      <c:valAx>
        <c:axId val="5881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860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ysDash"/>
            <a:round/>
          </a:ln>
          <a:effectLst/>
        </c:spPr>
        <c:txPr>
          <a:bodyPr rot="0" spcFirstLastPara="1" vertOverflow="ellipsis" vert="horz" wrap="square" anchor="ctr" anchorCtr="1"/>
          <a:lstStyle/>
          <a:p>
            <a:pPr rtl="0">
              <a:defRPr sz="900" b="1"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RK'!$C$31:$M$31</c:f>
              <c:numCache>
                <c:formatCode>0.00%</c:formatCode>
                <c:ptCount val="11"/>
                <c:pt idx="0">
                  <c:v>-2.0806606327085815E-3</c:v>
                </c:pt>
                <c:pt idx="1">
                  <c:v>0.78134370159338973</c:v>
                </c:pt>
                <c:pt idx="2">
                  <c:v>0.6166242565918667</c:v>
                </c:pt>
                <c:pt idx="3">
                  <c:v>0.62528958426816095</c:v>
                </c:pt>
                <c:pt idx="4">
                  <c:v>0.63388984230174494</c:v>
                </c:pt>
                <c:pt idx="5">
                  <c:v>0.6397210744156312</c:v>
                </c:pt>
                <c:pt idx="6">
                  <c:v>0.63828896280729919</c:v>
                </c:pt>
                <c:pt idx="7">
                  <c:v>0.66896565414204034</c:v>
                </c:pt>
                <c:pt idx="8">
                  <c:v>0.67437811557646232</c:v>
                </c:pt>
                <c:pt idx="9">
                  <c:v>0.67827346870357064</c:v>
                </c:pt>
                <c:pt idx="10">
                  <c:v>0.67759576440054015</c:v>
                </c:pt>
              </c:numCache>
            </c:numRef>
          </c:val>
          <c:extLst>
            <c:ext xmlns:c16="http://schemas.microsoft.com/office/drawing/2014/chart" uri="{C3380CC4-5D6E-409C-BE32-E72D297353CC}">
              <c16:uniqueId val="{00000001-31D3-4687-90E9-2847B9E36B9A}"/>
            </c:ext>
          </c:extLst>
        </c:ser>
        <c:dLbls>
          <c:dLblPos val="outEnd"/>
          <c:showLegendKey val="0"/>
          <c:showVal val="1"/>
          <c:showCatName val="0"/>
          <c:showSerName val="0"/>
          <c:showPercent val="0"/>
          <c:showBubbleSize val="0"/>
        </c:dLbls>
        <c:gapWidth val="219"/>
        <c:overlap val="-27"/>
        <c:axId val="129578456"/>
        <c:axId val="129579112"/>
      </c:barChart>
      <c:catAx>
        <c:axId val="12957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9579112"/>
        <c:crosses val="autoZero"/>
        <c:auto val="1"/>
        <c:lblAlgn val="ctr"/>
        <c:lblOffset val="100"/>
        <c:noMultiLvlLbl val="0"/>
      </c:catAx>
      <c:valAx>
        <c:axId val="12957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78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a:t>
            </a:r>
            <a:r>
              <a:rPr lang="en-IN" sz="1100" b="1" baseline="0">
                <a:solidFill>
                  <a:schemeClr val="bg1"/>
                </a:solidFill>
              </a:rPr>
              <a:t> MARGIN</a:t>
            </a:r>
            <a:endParaRPr lang="en-IN"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88202646854778"/>
          <c:y val="0.1204505473770629"/>
          <c:w val="0.86560867292185284"/>
          <c:h val="0.788752503785571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RK'!$C$32:$M$32</c:f>
              <c:numCache>
                <c:formatCode>0.00%</c:formatCode>
                <c:ptCount val="11"/>
                <c:pt idx="0">
                  <c:v>-0.46932388644851641</c:v>
                </c:pt>
                <c:pt idx="1">
                  <c:v>0.31410047577758193</c:v>
                </c:pt>
                <c:pt idx="2">
                  <c:v>0.15381302898819779</c:v>
                </c:pt>
                <c:pt idx="3">
                  <c:v>0.16431676391964234</c:v>
                </c:pt>
                <c:pt idx="4">
                  <c:v>0.17650721489782251</c:v>
                </c:pt>
                <c:pt idx="5">
                  <c:v>0.18101570683347964</c:v>
                </c:pt>
                <c:pt idx="6">
                  <c:v>0.17386974530278876</c:v>
                </c:pt>
                <c:pt idx="7">
                  <c:v>0.20306452755325086</c:v>
                </c:pt>
                <c:pt idx="8">
                  <c:v>0.21087443948970369</c:v>
                </c:pt>
                <c:pt idx="9">
                  <c:v>0.21696103506930101</c:v>
                </c:pt>
                <c:pt idx="10">
                  <c:v>0.21378881858556487</c:v>
                </c:pt>
              </c:numCache>
            </c:numRef>
          </c:val>
          <c:extLst>
            <c:ext xmlns:c16="http://schemas.microsoft.com/office/drawing/2014/chart" uri="{C3380CC4-5D6E-409C-BE32-E72D297353CC}">
              <c16:uniqueId val="{00000001-7987-4E8C-BDFC-EF76F86D8555}"/>
            </c:ext>
          </c:extLst>
        </c:ser>
        <c:dLbls>
          <c:dLblPos val="outEnd"/>
          <c:showLegendKey val="0"/>
          <c:showVal val="1"/>
          <c:showCatName val="0"/>
          <c:showSerName val="0"/>
          <c:showPercent val="0"/>
          <c:showBubbleSize val="0"/>
        </c:dLbls>
        <c:gapWidth val="219"/>
        <c:overlap val="-27"/>
        <c:axId val="599330448"/>
        <c:axId val="599333400"/>
      </c:barChart>
      <c:catAx>
        <c:axId val="5993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99333400"/>
        <c:crosses val="autoZero"/>
        <c:auto val="1"/>
        <c:lblAlgn val="ctr"/>
        <c:lblOffset val="100"/>
        <c:noMultiLvlLbl val="0"/>
      </c:catAx>
      <c:valAx>
        <c:axId val="59933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330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REVENUE GROWTH %</a:t>
            </a:r>
          </a:p>
          <a:p>
            <a:pPr>
              <a:defRPr/>
            </a:pPr>
            <a:r>
              <a:rPr lang="en-IN" sz="1100"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6488839991208"/>
          <c:y val="0.18121462351623924"/>
          <c:w val="0.87060012577881773"/>
          <c:h val="0.661517686562674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RK'!$C$33:$M$33</c:f>
              <c:numCache>
                <c:formatCode>0.00%</c:formatCode>
                <c:ptCount val="11"/>
                <c:pt idx="0">
                  <c:v>0.10986458243804753</c:v>
                </c:pt>
                <c:pt idx="1">
                  <c:v>6.835567351738514E-2</c:v>
                </c:pt>
                <c:pt idx="2">
                  <c:v>6.4946338056207642E-2</c:v>
                </c:pt>
                <c:pt idx="3">
                  <c:v>5.962371765684682E-2</c:v>
                </c:pt>
                <c:pt idx="4">
                  <c:v>6.1221608562381791E-2</c:v>
                </c:pt>
                <c:pt idx="5">
                  <c:v>5.4873650027294163E-2</c:v>
                </c:pt>
                <c:pt idx="6">
                  <c:v>3.5179282217577379E-2</c:v>
                </c:pt>
                <c:pt idx="7">
                  <c:v>4.9691338026331966E-2</c:v>
                </c:pt>
                <c:pt idx="8">
                  <c:v>6.2622972140919053E-2</c:v>
                </c:pt>
                <c:pt idx="9">
                  <c:v>5.9125333266178526E-2</c:v>
                </c:pt>
                <c:pt idx="10">
                  <c:v>4.5462170474158015E-2</c:v>
                </c:pt>
              </c:numCache>
            </c:numRef>
          </c:val>
          <c:extLst>
            <c:ext xmlns:c16="http://schemas.microsoft.com/office/drawing/2014/chart" uri="{C3380CC4-5D6E-409C-BE32-E72D297353CC}">
              <c16:uniqueId val="{00000001-1A08-48A0-8EE0-B02C02047A6F}"/>
            </c:ext>
          </c:extLst>
        </c:ser>
        <c:dLbls>
          <c:dLblPos val="outEnd"/>
          <c:showLegendKey val="0"/>
          <c:showVal val="1"/>
          <c:showCatName val="0"/>
          <c:showSerName val="0"/>
          <c:showPercent val="0"/>
          <c:showBubbleSize val="0"/>
        </c:dLbls>
        <c:gapWidth val="219"/>
        <c:overlap val="-27"/>
        <c:axId val="603215656"/>
        <c:axId val="603218936"/>
      </c:barChart>
      <c:catAx>
        <c:axId val="603215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3218936"/>
        <c:crosses val="autoZero"/>
        <c:auto val="1"/>
        <c:lblAlgn val="ctr"/>
        <c:lblOffset val="100"/>
        <c:noMultiLvlLbl val="0"/>
      </c:catAx>
      <c:valAx>
        <c:axId val="60321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15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404812</xdr:colOff>
      <xdr:row>33</xdr:row>
      <xdr:rowOff>147637</xdr:rowOff>
    </xdr:from>
    <xdr:to>
      <xdr:col>14</xdr:col>
      <xdr:colOff>100012</xdr:colOff>
      <xdr:row>48</xdr:row>
      <xdr:rowOff>33337</xdr:rowOff>
    </xdr:to>
    <xdr:graphicFrame macro="">
      <xdr:nvGraphicFramePr>
        <xdr:cNvPr id="2" name="Chart 1">
          <a:extLst>
            <a:ext uri="{FF2B5EF4-FFF2-40B4-BE49-F238E27FC236}">
              <a16:creationId xmlns:a16="http://schemas.microsoft.com/office/drawing/2014/main" id="{0F4A1D92-4653-48EC-B0E4-C3943B87E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a16="http://schemas.microsoft.com/office/drawing/2014/main" id="{046B95DB-B668-4BFC-B2FD-E1C70990F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533400</xdr:colOff>
      <xdr:row>72</xdr:row>
      <xdr:rowOff>114299</xdr:rowOff>
    </xdr:to>
    <xdr:graphicFrame macro="">
      <xdr:nvGraphicFramePr>
        <xdr:cNvPr id="4" name="Chart 3">
          <a:extLst>
            <a:ext uri="{FF2B5EF4-FFF2-40B4-BE49-F238E27FC236}">
              <a16:creationId xmlns:a16="http://schemas.microsoft.com/office/drawing/2014/main" id="{24C82D98-3388-485E-AE73-24BD643E1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890587</xdr:colOff>
      <xdr:row>55</xdr:row>
      <xdr:rowOff>161925</xdr:rowOff>
    </xdr:from>
    <xdr:to>
      <xdr:col>15</xdr:col>
      <xdr:colOff>409575</xdr:colOff>
      <xdr:row>72</xdr:row>
      <xdr:rowOff>114300</xdr:rowOff>
    </xdr:to>
    <xdr:graphicFrame macro="">
      <xdr:nvGraphicFramePr>
        <xdr:cNvPr id="5" name="Chart 4">
          <a:extLst>
            <a:ext uri="{FF2B5EF4-FFF2-40B4-BE49-F238E27FC236}">
              <a16:creationId xmlns:a16="http://schemas.microsoft.com/office/drawing/2014/main" id="{E7AB0E8B-4983-4220-8385-B31999F4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276224</xdr:colOff>
      <xdr:row>34</xdr:row>
      <xdr:rowOff>42861</xdr:rowOff>
    </xdr:from>
    <xdr:to>
      <xdr:col>11</xdr:col>
      <xdr:colOff>352424</xdr:colOff>
      <xdr:row>55</xdr:row>
      <xdr:rowOff>19050</xdr:rowOff>
    </xdr:to>
    <xdr:graphicFrame macro="">
      <xdr:nvGraphicFramePr>
        <xdr:cNvPr id="2" name="Chart 1">
          <a:extLst>
            <a:ext uri="{FF2B5EF4-FFF2-40B4-BE49-F238E27FC236}">
              <a16:creationId xmlns:a16="http://schemas.microsoft.com/office/drawing/2014/main" id="{A1ECDB52-72E7-41FB-8B65-69C24D177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271461</xdr:colOff>
      <xdr:row>55</xdr:row>
      <xdr:rowOff>80962</xdr:rowOff>
    </xdr:from>
    <xdr:to>
      <xdr:col>11</xdr:col>
      <xdr:colOff>371475</xdr:colOff>
      <xdr:row>75</xdr:row>
      <xdr:rowOff>38100</xdr:rowOff>
    </xdr:to>
    <xdr:graphicFrame macro="">
      <xdr:nvGraphicFramePr>
        <xdr:cNvPr id="3" name="Chart 2">
          <a:extLst>
            <a:ext uri="{FF2B5EF4-FFF2-40B4-BE49-F238E27FC236}">
              <a16:creationId xmlns:a16="http://schemas.microsoft.com/office/drawing/2014/main" id="{16CE9276-2627-4956-B2E0-97C2533F8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75</xdr:row>
      <xdr:rowOff>176212</xdr:rowOff>
    </xdr:from>
    <xdr:to>
      <xdr:col>11</xdr:col>
      <xdr:colOff>390525</xdr:colOff>
      <xdr:row>95</xdr:row>
      <xdr:rowOff>171450</xdr:rowOff>
    </xdr:to>
    <xdr:graphicFrame macro="">
      <xdr:nvGraphicFramePr>
        <xdr:cNvPr id="4" name="Chart 3">
          <a:extLst>
            <a:ext uri="{FF2B5EF4-FFF2-40B4-BE49-F238E27FC236}">
              <a16:creationId xmlns:a16="http://schemas.microsoft.com/office/drawing/2014/main" id="{80DBD4A4-962E-40DD-9AE5-073992FDE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52386</xdr:colOff>
      <xdr:row>96</xdr:row>
      <xdr:rowOff>138112</xdr:rowOff>
    </xdr:from>
    <xdr:to>
      <xdr:col>11</xdr:col>
      <xdr:colOff>438149</xdr:colOff>
      <xdr:row>116</xdr:row>
      <xdr:rowOff>19050</xdr:rowOff>
    </xdr:to>
    <xdr:graphicFrame macro="">
      <xdr:nvGraphicFramePr>
        <xdr:cNvPr id="5" name="Chart 4">
          <a:extLst>
            <a:ext uri="{FF2B5EF4-FFF2-40B4-BE49-F238E27FC236}">
              <a16:creationId xmlns:a16="http://schemas.microsoft.com/office/drawing/2014/main" id="{4E00B507-8047-4676-98F1-E2E35C031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NH-6%20SHNTPL%20FM_1807_RK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Users/FA2/Desktop/Surat%20Hazira%20NH-6%20Tollway%20Pvt%20Ltd/Docs%20shared%20by%20client/RKA_Info/5.%20SHNTPL_Debt%20OS_June_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ow r="23">
          <cell r="C23">
            <v>48686.012499999997</v>
          </cell>
          <cell r="E23">
            <v>49034</v>
          </cell>
        </row>
        <row r="105">
          <cell r="D105">
            <v>0</v>
          </cell>
        </row>
      </sheetData>
      <sheetData sheetId="2">
        <row r="2">
          <cell r="E2">
            <v>366</v>
          </cell>
        </row>
      </sheetData>
      <sheetData sheetId="3" refreshError="1"/>
      <sheetData sheetId="4" refreshError="1"/>
      <sheetData sheetId="5" refreshError="1"/>
      <sheetData sheetId="6" refreshError="1"/>
      <sheetData sheetId="7" refreshError="1"/>
      <sheetData sheetId="8">
        <row r="2">
          <cell r="I2">
            <v>43921</v>
          </cell>
          <cell r="J2">
            <v>44286</v>
          </cell>
          <cell r="K2">
            <v>44651</v>
          </cell>
          <cell r="L2">
            <v>45016</v>
          </cell>
          <cell r="M2">
            <v>45382</v>
          </cell>
          <cell r="N2">
            <v>45747</v>
          </cell>
          <cell r="O2">
            <v>46112</v>
          </cell>
          <cell r="P2">
            <v>46477</v>
          </cell>
          <cell r="Q2">
            <v>46843</v>
          </cell>
          <cell r="R2">
            <v>47208</v>
          </cell>
          <cell r="S2">
            <v>47573</v>
          </cell>
          <cell r="T2">
            <v>47938</v>
          </cell>
          <cell r="U2">
            <v>48304</v>
          </cell>
          <cell r="V2">
            <v>48669</v>
          </cell>
          <cell r="W2">
            <v>49034</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sheetData>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Historical P&amp;L RK"/>
      <sheetName val="Projected P&amp;L RK"/>
      <sheetName val="Enterprise Value RK"/>
      <sheetName val="Beta RK"/>
      <sheetName val="Traffic and Toll"/>
      <sheetName val="Debt Schedule"/>
      <sheetName val="Sheet3"/>
      <sheetName val="Debt Repay"/>
      <sheetName val="Other Schedules"/>
    </sheetNames>
    <sheetDataSet>
      <sheetData sheetId="0" refreshError="1"/>
      <sheetData sheetId="1">
        <row r="137">
          <cell r="C137">
            <v>9.5000000000000001E-2</v>
          </cell>
        </row>
        <row r="146">
          <cell r="C146">
            <v>0.34944000000000003</v>
          </cell>
        </row>
      </sheetData>
      <sheetData sheetId="2">
        <row r="38">
          <cell r="G38">
            <v>88.57</v>
          </cell>
        </row>
        <row r="39">
          <cell r="G39">
            <v>346.25</v>
          </cell>
        </row>
      </sheetData>
      <sheetData sheetId="3"/>
      <sheetData sheetId="4">
        <row r="6">
          <cell r="C6">
            <v>2019</v>
          </cell>
        </row>
      </sheetData>
      <sheetData sheetId="5">
        <row r="6">
          <cell r="C6">
            <v>2023</v>
          </cell>
        </row>
      </sheetData>
      <sheetData sheetId="6" refreshError="1"/>
      <sheetData sheetId="7">
        <row r="19">
          <cell r="C19">
            <v>1.4675629353484538</v>
          </cell>
        </row>
      </sheetData>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11">
          <cell r="F11">
            <v>981.55168314209459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B1" t="str">
            <v>BOQ of Burhur - Amarkantak</v>
          </cell>
        </row>
      </sheetData>
      <sheetData sheetId="207">
        <row r="1">
          <cell r="B1" t="str">
            <v>BOQ of Burhur - Amarkantak</v>
          </cell>
        </row>
      </sheetData>
      <sheetData sheetId="208">
        <row r="1">
          <cell r="B1" t="str">
            <v>BOQ of Burhur - Amarkantak</v>
          </cell>
        </row>
      </sheetData>
      <sheetData sheetId="209">
        <row r="1">
          <cell r="B1" t="str">
            <v>BOQ of Burhur - Amarkantak</v>
          </cell>
        </row>
      </sheetData>
      <sheetData sheetId="210">
        <row r="1">
          <cell r="B1" t="str">
            <v>BOQ of Burhur - Amarkantak</v>
          </cell>
        </row>
      </sheetData>
      <sheetData sheetId="211">
        <row r="1">
          <cell r="B1" t="str">
            <v>BOQ of Burhur - Amarkantak</v>
          </cell>
        </row>
      </sheetData>
      <sheetData sheetId="212">
        <row r="1">
          <cell r="B1" t="str">
            <v>BOQ of Burhur - Amarkantak</v>
          </cell>
        </row>
      </sheetData>
      <sheetData sheetId="213">
        <row r="1">
          <cell r="B1" t="str">
            <v>BOQ of Burhur - Amarkantak</v>
          </cell>
        </row>
      </sheetData>
      <sheetData sheetId="214">
        <row r="1">
          <cell r="B1" t="str">
            <v>BOQ of Burhur - Amarkantak</v>
          </cell>
        </row>
      </sheetData>
      <sheetData sheetId="215">
        <row r="1">
          <cell r="B1" t="str">
            <v>BOQ of Burhur - Amarkantak</v>
          </cell>
        </row>
      </sheetData>
      <sheetData sheetId="216">
        <row r="1">
          <cell r="B1" t="str">
            <v>BOQ of Burhur - Amarkantak</v>
          </cell>
        </row>
      </sheetData>
      <sheetData sheetId="217">
        <row r="1">
          <cell r="B1" t="str">
            <v>BOQ of Burhur - Amarkantak</v>
          </cell>
        </row>
      </sheetData>
      <sheetData sheetId="218">
        <row r="1">
          <cell r="B1" t="str">
            <v>BOQ of Burhur - Amarkantak</v>
          </cell>
        </row>
      </sheetData>
      <sheetData sheetId="219">
        <row r="1">
          <cell r="B1" t="str">
            <v>BOQ of Burhur - Amarkantak</v>
          </cell>
        </row>
      </sheetData>
      <sheetData sheetId="220">
        <row r="1">
          <cell r="B1" t="str">
            <v>BOQ of Burhur - Amarkantak</v>
          </cell>
        </row>
      </sheetData>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sheetData sheetId="233"/>
      <sheetData sheetId="234"/>
      <sheetData sheetId="235">
        <row r="1">
          <cell r="B1" t="str">
            <v>BOQ of Burhur - Amarkantak</v>
          </cell>
        </row>
      </sheetData>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sheetData sheetId="440"/>
      <sheetData sheetId="44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429" t="s">
        <v>275</v>
      </c>
      <c r="C11" s="430"/>
      <c r="D11" s="430"/>
      <c r="E11" s="430"/>
      <c r="F11" s="430"/>
      <c r="G11" s="430"/>
      <c r="H11" s="430"/>
      <c r="I11" s="430"/>
      <c r="J11" s="430"/>
      <c r="K11" s="430"/>
      <c r="L11" s="430"/>
      <c r="M11" s="430"/>
      <c r="N11" s="430"/>
      <c r="O11" s="430"/>
      <c r="P11" s="430"/>
      <c r="Q11" s="430"/>
      <c r="R11" s="430"/>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AM136"/>
  <sheetViews>
    <sheetView showGridLines="0" workbookViewId="0">
      <pane xSplit="3" ySplit="4" topLeftCell="G14" activePane="bottomRight" state="frozen"/>
      <selection pane="topRight" activeCell="D1" sqref="D1"/>
      <selection pane="bottomLeft" activeCell="A5" sqref="A5"/>
      <selection pane="bottomRight" activeCell="R30" sqref="R30"/>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46" bestFit="1" customWidth="1"/>
    <col min="5" max="6" width="11.140625" style="146" bestFit="1" customWidth="1"/>
    <col min="7" max="16" width="10.42578125" style="146" bestFit="1" customWidth="1"/>
    <col min="17" max="17" width="11.28515625" style="146" bestFit="1" customWidth="1"/>
    <col min="18" max="20" width="10.42578125" style="146" bestFit="1" customWidth="1"/>
    <col min="21" max="27" width="11.5703125" style="146" bestFit="1" customWidth="1"/>
    <col min="28" max="37" width="10" style="1" hidden="1" customWidth="1"/>
    <col min="38" max="38" width="9.140625" style="1" customWidth="1"/>
    <col min="39" max="16384" width="9.140625" style="1"/>
  </cols>
  <sheetData>
    <row r="1" spans="1:39" ht="15">
      <c r="B1" s="122" t="s">
        <v>23</v>
      </c>
      <c r="C1" s="123"/>
      <c r="D1" s="124">
        <v>43555</v>
      </c>
      <c r="E1" s="124">
        <v>43921</v>
      </c>
      <c r="F1" s="124">
        <f t="shared" ref="F1:S1" si="0">EOMONTH(E1,12)</f>
        <v>44286</v>
      </c>
      <c r="G1" s="124">
        <f t="shared" si="0"/>
        <v>44651</v>
      </c>
      <c r="H1" s="124">
        <f t="shared" si="0"/>
        <v>45016</v>
      </c>
      <c r="I1" s="124">
        <f t="shared" si="0"/>
        <v>45382</v>
      </c>
      <c r="J1" s="124">
        <f t="shared" si="0"/>
        <v>45747</v>
      </c>
      <c r="K1" s="124">
        <f t="shared" si="0"/>
        <v>46112</v>
      </c>
      <c r="L1" s="124">
        <f t="shared" si="0"/>
        <v>46477</v>
      </c>
      <c r="M1" s="124">
        <f t="shared" si="0"/>
        <v>46843</v>
      </c>
      <c r="N1" s="124">
        <f t="shared" si="0"/>
        <v>47208</v>
      </c>
      <c r="O1" s="124">
        <f t="shared" si="0"/>
        <v>47573</v>
      </c>
      <c r="P1" s="124">
        <f t="shared" si="0"/>
        <v>47938</v>
      </c>
      <c r="Q1" s="124">
        <f t="shared" si="0"/>
        <v>48304</v>
      </c>
      <c r="R1" s="124">
        <f t="shared" si="0"/>
        <v>48669</v>
      </c>
      <c r="S1" s="124">
        <f t="shared" si="0"/>
        <v>49034</v>
      </c>
      <c r="T1" s="292"/>
      <c r="U1" s="292"/>
      <c r="V1" s="292"/>
      <c r="W1" s="292"/>
      <c r="X1" s="292"/>
      <c r="Y1" s="292"/>
      <c r="Z1" s="292"/>
      <c r="AA1" s="292"/>
      <c r="AB1" s="15"/>
      <c r="AC1" s="15"/>
      <c r="AD1" s="15"/>
      <c r="AE1" s="15"/>
      <c r="AF1" s="15"/>
      <c r="AG1" s="15"/>
      <c r="AH1" s="15"/>
      <c r="AI1" s="15"/>
      <c r="AJ1" s="15"/>
      <c r="AK1" s="15"/>
    </row>
    <row r="2" spans="1:39" ht="15">
      <c r="B2" s="125" t="s">
        <v>24</v>
      </c>
      <c r="C2" s="126"/>
      <c r="D2" s="127">
        <f>IF(YEAR(D$1)&lt;=YEAR(Input!$E$23),IF(MOD(YEAR(D1),4)=0,366,365),0)</f>
        <v>365</v>
      </c>
      <c r="E2" s="127">
        <f>IF(YEAR(E$1)&lt;=YEAR([188]Input!$E$23),IF(MOD(YEAR(E1),4)=0,366,365),0)</f>
        <v>366</v>
      </c>
      <c r="F2" s="127">
        <f>IF(YEAR(F$1)&lt;=YEAR(Input!$E$23),IF(MOD(YEAR(F1),4)=0,366,365),0)</f>
        <v>365</v>
      </c>
      <c r="G2" s="127">
        <f>IF(YEAR(G$1)&lt;=YEAR(Input!$E$23),IF(MOD(YEAR(G1),4)=0,366,365),0)</f>
        <v>365</v>
      </c>
      <c r="H2" s="127">
        <f>IF(YEAR(H$1)&lt;=YEAR(Input!$E$23),IF(MOD(YEAR(H1),4)=0,366,365),0)</f>
        <v>365</v>
      </c>
      <c r="I2" s="127">
        <f>IF(YEAR(I$1)&lt;=YEAR(Input!$E$23),IF(MOD(YEAR(I1),4)=0,366,365),0)</f>
        <v>366</v>
      </c>
      <c r="J2" s="127">
        <f>IF(YEAR(J$1)&lt;=YEAR(Input!$E$23),IF(MOD(YEAR(J1),4)=0,366,365),0)</f>
        <v>365</v>
      </c>
      <c r="K2" s="127">
        <f>IF(YEAR(K$1)&lt;=YEAR(Input!$E$23),IF(MOD(YEAR(K1),4)=0,366,365),0)</f>
        <v>365</v>
      </c>
      <c r="L2" s="127">
        <f>IF(YEAR(L$1)&lt;=YEAR(Input!$E$23),IF(MOD(YEAR(L1),4)=0,366,365),0)</f>
        <v>365</v>
      </c>
      <c r="M2" s="127">
        <f>IF(YEAR(M$1)&lt;=YEAR(Input!$E$23),IF(MOD(YEAR(M1),4)=0,366,365),0)</f>
        <v>366</v>
      </c>
      <c r="N2" s="127">
        <f>IF(YEAR(N$1)&lt;=YEAR(Input!$E$23),IF(MOD(YEAR(N1),4)=0,366,365),0)</f>
        <v>365</v>
      </c>
      <c r="O2" s="127">
        <f>IF(YEAR(O$1)&lt;=YEAR(Input!$E$23),IF(MOD(YEAR(O1),4)=0,366,365),0)</f>
        <v>365</v>
      </c>
      <c r="P2" s="127">
        <f>IF(YEAR(P$1)&lt;=YEAR(Input!$E$23),IF(MOD(YEAR(P1),4)=0,366,365),0)</f>
        <v>365</v>
      </c>
      <c r="Q2" s="127">
        <f>IF(YEAR(Q$1)&lt;=YEAR(Input!$E$23),IF(MOD(YEAR(Q1),4)=0,366,365),0)</f>
        <v>366</v>
      </c>
      <c r="R2" s="127">
        <f>IF(YEAR(R$1)&lt;=YEAR(Input!$E$23),IF(MOD(YEAR(R1),4)=0,366,365),0)</f>
        <v>365</v>
      </c>
      <c r="S2" s="127">
        <f>IF(YEAR(S$1)&lt;=YEAR(Input!$E$23),IF(MOD(YEAR(S1),4)=0,366,365),0)</f>
        <v>365</v>
      </c>
      <c r="AB2" s="36"/>
      <c r="AC2" s="36"/>
      <c r="AD2" s="36"/>
      <c r="AE2" s="36"/>
      <c r="AF2" s="36"/>
      <c r="AG2" s="36"/>
      <c r="AH2" s="36"/>
      <c r="AI2" s="36"/>
      <c r="AJ2" s="36"/>
      <c r="AK2" s="36"/>
    </row>
    <row r="3" spans="1:39" ht="15">
      <c r="B3" s="125" t="s">
        <v>25</v>
      </c>
      <c r="C3" s="126"/>
      <c r="D3" s="127">
        <f>IF(YEAR(D$1)=YEAR(Input!$E$23),Financials!AD$1-Input!$C$23,Financials!D$2)</f>
        <v>365</v>
      </c>
      <c r="E3" s="127">
        <f>IF(YEAR(E$1)=YEAR([188]Input!$E$23),[188]Financials!AE$1-[188]Input!$C$23,[188]Financials!E$2)</f>
        <v>366</v>
      </c>
      <c r="F3" s="127">
        <f>IF(YEAR(F$1)=YEAR(Input!$E$23),Financials!AF$1-Input!$C$23,Financials!F$2)-19</f>
        <v>346</v>
      </c>
      <c r="G3" s="127">
        <f>IF(YEAR(G$1)=YEAR(Input!$E$23),Financials!AG$1-Input!$C$23,Financials!G$2)</f>
        <v>365</v>
      </c>
      <c r="H3" s="127">
        <f>IF(YEAR(H$1)=YEAR(Input!$E$23),Financials!AH$1-Input!$C$23,Financials!H$2)</f>
        <v>365</v>
      </c>
      <c r="I3" s="127">
        <f>IF(YEAR(I$1)=YEAR(Input!$E$23),Financials!AI$1-Input!$C$23,Financials!I$2)</f>
        <v>366</v>
      </c>
      <c r="J3" s="127">
        <f>IF(YEAR(J$1)=YEAR(Input!$E$23),Financials!AJ$1-Input!$C$23,Financials!J$2)</f>
        <v>365</v>
      </c>
      <c r="K3" s="127">
        <f>IF(YEAR(K$1)=YEAR(Input!$E$23),Financials!AK$1-Input!$C$23,Financials!K$2)</f>
        <v>365</v>
      </c>
      <c r="L3" s="127">
        <f>IF(YEAR(L$1)=YEAR(Input!$E$23),Financials!AL$1-Input!$C$23,Financials!L$2)</f>
        <v>365</v>
      </c>
      <c r="M3" s="127">
        <f>IF(YEAR(M$1)=YEAR(Input!$E$23),Financials!AM$1-Input!$C$23,Financials!M$2)</f>
        <v>366</v>
      </c>
      <c r="N3" s="127">
        <f>IF(YEAR(N$1)=YEAR(Input!$E$23),Financials!AN$1-Input!$C$23,Financials!N$2)</f>
        <v>365</v>
      </c>
      <c r="O3" s="127">
        <f>IF(YEAR(O$1)=YEAR(Input!$E$23),Financials!AO$1-Input!$C$23,Financials!O$2)</f>
        <v>365</v>
      </c>
      <c r="P3" s="127">
        <f>IF(YEAR(P$1)=YEAR(Input!$E$23),Financials!AP$1-Input!$C$23,Financials!P$2)</f>
        <v>365</v>
      </c>
      <c r="Q3" s="127">
        <f>IF(YEAR(Q$1)=YEAR(Input!$E$23),Financials!AQ$1-Input!$C$23,Financials!Q$2)</f>
        <v>366</v>
      </c>
      <c r="R3" s="127">
        <f>ROUND(IF(YEAR(R$1)=YEAR(Input!$E$23),Input!$C$23-Q1,Financials!R$2),0)</f>
        <v>365</v>
      </c>
      <c r="S3" s="127">
        <f>ROUND(IF(YEAR(S$1)=YEAR(Input!$E$23),Input!$C$23-R1,Financials!S$2),0)</f>
        <v>17</v>
      </c>
      <c r="AB3" s="36"/>
      <c r="AC3" s="36"/>
      <c r="AD3" s="36"/>
      <c r="AE3" s="36"/>
      <c r="AF3" s="36"/>
      <c r="AG3" s="36"/>
      <c r="AH3" s="36"/>
      <c r="AI3" s="36"/>
      <c r="AJ3" s="36"/>
      <c r="AK3" s="36"/>
    </row>
    <row r="4" spans="1:39" ht="15.75" thickBot="1">
      <c r="B4" s="128" t="s">
        <v>26</v>
      </c>
      <c r="C4" s="129"/>
      <c r="D4" s="130" t="s">
        <v>298</v>
      </c>
      <c r="E4" s="130" t="str">
        <f>D4</f>
        <v>(Actual)</v>
      </c>
      <c r="F4" s="130" t="str">
        <f>E4</f>
        <v>(Actual)</v>
      </c>
      <c r="G4" s="130" t="s">
        <v>312</v>
      </c>
      <c r="H4" s="130" t="s">
        <v>71</v>
      </c>
      <c r="I4" s="130" t="str">
        <f t="shared" ref="I4:S4" si="1">H4</f>
        <v>(Proj.)</v>
      </c>
      <c r="J4" s="130" t="str">
        <f t="shared" si="1"/>
        <v>(Proj.)</v>
      </c>
      <c r="K4" s="130" t="str">
        <f t="shared" si="1"/>
        <v>(Proj.)</v>
      </c>
      <c r="L4" s="130" t="str">
        <f t="shared" si="1"/>
        <v>(Proj.)</v>
      </c>
      <c r="M4" s="130" t="str">
        <f t="shared" si="1"/>
        <v>(Proj.)</v>
      </c>
      <c r="N4" s="130" t="str">
        <f t="shared" si="1"/>
        <v>(Proj.)</v>
      </c>
      <c r="O4" s="130" t="str">
        <f t="shared" si="1"/>
        <v>(Proj.)</v>
      </c>
      <c r="P4" s="130" t="str">
        <f t="shared" si="1"/>
        <v>(Proj.)</v>
      </c>
      <c r="Q4" s="130" t="str">
        <f t="shared" si="1"/>
        <v>(Proj.)</v>
      </c>
      <c r="R4" s="130" t="str">
        <f t="shared" si="1"/>
        <v>(Proj.)</v>
      </c>
      <c r="S4" s="130" t="str">
        <f t="shared" si="1"/>
        <v>(Proj.)</v>
      </c>
      <c r="T4" s="293"/>
      <c r="U4" s="293"/>
      <c r="V4" s="293"/>
      <c r="W4" s="293"/>
      <c r="X4" s="293"/>
      <c r="Y4" s="293"/>
      <c r="Z4" s="293"/>
      <c r="AA4" s="293"/>
      <c r="AB4" s="147"/>
      <c r="AC4" s="147"/>
      <c r="AD4" s="147"/>
      <c r="AE4" s="147"/>
      <c r="AF4" s="147"/>
      <c r="AG4" s="147"/>
      <c r="AH4" s="147"/>
      <c r="AI4" s="147"/>
      <c r="AJ4" s="147"/>
      <c r="AK4" s="147"/>
    </row>
    <row r="5" spans="1:39" ht="14.25" thickBot="1">
      <c r="D5" s="131"/>
      <c r="E5" s="307"/>
      <c r="F5" s="307"/>
      <c r="G5" s="307"/>
      <c r="H5" s="307">
        <f>H7/G7-1</f>
        <v>0.11419107828267117</v>
      </c>
      <c r="I5" s="307">
        <f t="shared" ref="I5:R5" si="2">I7/H7-1</f>
        <v>6.835567351738514E-2</v>
      </c>
      <c r="J5" s="307">
        <f t="shared" si="2"/>
        <v>5.4844874823545275E-2</v>
      </c>
      <c r="K5" s="307">
        <f t="shared" si="2"/>
        <v>5.5414615080930041E-2</v>
      </c>
      <c r="L5" s="307">
        <f t="shared" si="2"/>
        <v>5.29565001578709E-2</v>
      </c>
      <c r="M5" s="307">
        <f t="shared" si="2"/>
        <v>5.7924320682990249E-2</v>
      </c>
      <c r="N5" s="307">
        <f t="shared" si="2"/>
        <v>4.8073962505501111E-2</v>
      </c>
      <c r="O5" s="307">
        <f t="shared" si="2"/>
        <v>5.3040784110558903E-2</v>
      </c>
      <c r="P5" s="307">
        <f t="shared" si="2"/>
        <v>5.7154889252428509E-2</v>
      </c>
      <c r="Q5" s="307">
        <f t="shared" si="2"/>
        <v>5.4118252389596888E-2</v>
      </c>
      <c r="R5" s="307">
        <f t="shared" si="2"/>
        <v>5.1115428285071873E-2</v>
      </c>
      <c r="S5" s="307"/>
      <c r="T5" s="294"/>
      <c r="U5" s="294"/>
      <c r="V5" s="294"/>
      <c r="W5" s="294"/>
      <c r="X5" s="294"/>
      <c r="Y5" s="294"/>
      <c r="Z5" s="294"/>
      <c r="AA5" s="294"/>
    </row>
    <row r="6" spans="1:39" ht="15">
      <c r="B6" s="4" t="s">
        <v>29</v>
      </c>
      <c r="C6" s="132"/>
      <c r="D6" s="306"/>
      <c r="E6" s="306"/>
      <c r="F6" s="306"/>
      <c r="G6" s="306"/>
      <c r="H6" s="306"/>
      <c r="I6" s="306"/>
      <c r="J6" s="306"/>
      <c r="K6" s="306"/>
      <c r="L6" s="306"/>
      <c r="M6" s="306"/>
      <c r="N6" s="306"/>
      <c r="O6" s="306"/>
      <c r="P6" s="306"/>
      <c r="Q6" s="306"/>
      <c r="R6" s="306"/>
      <c r="S6" s="306"/>
    </row>
    <row r="7" spans="1:39" s="2" customFormat="1">
      <c r="A7" s="1"/>
      <c r="B7" s="273" t="s">
        <v>30</v>
      </c>
      <c r="C7" s="150"/>
      <c r="D7" s="152">
        <v>169.27</v>
      </c>
      <c r="E7" s="152">
        <v>162.15</v>
      </c>
      <c r="F7" s="152">
        <v>169.95704899999998</v>
      </c>
      <c r="G7" s="152">
        <v>185.28209749999999</v>
      </c>
      <c r="H7" s="152">
        <f>'Traffic and Toll'!J308</f>
        <v>206.43966</v>
      </c>
      <c r="I7" s="152">
        <f>'Traffic and Toll'!K308</f>
        <v>220.55098199999998</v>
      </c>
      <c r="J7" s="152">
        <f>'Traffic and Toll'!L308</f>
        <v>232.64707299999998</v>
      </c>
      <c r="K7" s="152">
        <f>'Traffic and Toll'!M308</f>
        <v>245.53912099999999</v>
      </c>
      <c r="L7" s="152">
        <f>'Traffic and Toll'!N308</f>
        <v>258.5420135</v>
      </c>
      <c r="M7" s="152">
        <f>'Traffic and Toll'!O308</f>
        <v>273.51788399999998</v>
      </c>
      <c r="N7" s="152">
        <f>'Traffic and Toll'!P308</f>
        <v>286.66697249999999</v>
      </c>
      <c r="O7" s="152">
        <f>'Traffic and Toll'!Q308</f>
        <v>301.87201349999998</v>
      </c>
      <c r="P7" s="152">
        <f>'Traffic and Toll'!R308</f>
        <v>319.12547500000005</v>
      </c>
      <c r="Q7" s="152">
        <f>'Traffic and Toll'!S308</f>
        <v>336.39598800000005</v>
      </c>
      <c r="R7" s="152">
        <f>'Traffic and Toll'!T308</f>
        <v>353.59101299999998</v>
      </c>
      <c r="S7" s="152">
        <f>'Traffic and Toll'!U308</f>
        <v>17.542400999999998</v>
      </c>
      <c r="T7" s="295"/>
      <c r="U7" s="295"/>
      <c r="V7" s="295"/>
      <c r="W7" s="295"/>
      <c r="X7" s="295"/>
      <c r="Y7" s="295"/>
      <c r="Z7" s="295"/>
      <c r="AA7" s="295"/>
      <c r="AB7" s="64"/>
      <c r="AC7" s="64"/>
      <c r="AD7" s="64"/>
      <c r="AE7" s="64"/>
      <c r="AF7" s="64"/>
      <c r="AG7" s="64"/>
      <c r="AH7" s="64"/>
      <c r="AI7" s="64"/>
      <c r="AJ7" s="64"/>
      <c r="AK7" s="64"/>
      <c r="AL7" s="64"/>
      <c r="AM7" s="64"/>
    </row>
    <row r="8" spans="1:39" s="2" customFormat="1">
      <c r="A8" s="1"/>
      <c r="B8" s="273" t="s">
        <v>31</v>
      </c>
      <c r="C8" s="150"/>
      <c r="D8" s="152"/>
      <c r="E8" s="152"/>
      <c r="F8" s="152"/>
      <c r="G8" s="152"/>
      <c r="H8" s="152"/>
      <c r="I8" s="152"/>
      <c r="J8" s="152">
        <f>AVERAGE(I76,J76)*6%*1</f>
        <v>2.2278876356005939</v>
      </c>
      <c r="K8" s="152">
        <f t="shared" ref="K8:S8" si="3">AVERAGE(J76,K76)*6%*1</f>
        <v>3.3399579732005908</v>
      </c>
      <c r="L8" s="152">
        <f t="shared" si="3"/>
        <v>5.5738430254639608</v>
      </c>
      <c r="M8" s="152">
        <f t="shared" si="3"/>
        <v>5.0909736031013582</v>
      </c>
      <c r="N8" s="152">
        <f t="shared" si="3"/>
        <v>1.7431447330376919</v>
      </c>
      <c r="O8" s="152">
        <f t="shared" si="3"/>
        <v>0.86958835867859074</v>
      </c>
      <c r="P8" s="152">
        <f t="shared" si="3"/>
        <v>2.5747057577717607</v>
      </c>
      <c r="Q8" s="152">
        <f t="shared" si="3"/>
        <v>4.3248231568649329</v>
      </c>
      <c r="R8" s="152">
        <f t="shared" si="3"/>
        <v>2.6197057577717624</v>
      </c>
      <c r="S8" s="152">
        <f t="shared" si="3"/>
        <v>0</v>
      </c>
      <c r="T8" s="295"/>
      <c r="U8" s="295"/>
      <c r="V8" s="295"/>
      <c r="W8" s="295"/>
      <c r="X8" s="295"/>
      <c r="Y8" s="295"/>
      <c r="Z8" s="295"/>
      <c r="AA8" s="295"/>
      <c r="AB8" s="64"/>
      <c r="AC8" s="64"/>
      <c r="AD8" s="64"/>
      <c r="AE8" s="64"/>
      <c r="AF8" s="64"/>
      <c r="AG8" s="64"/>
      <c r="AH8" s="64"/>
      <c r="AI8" s="64"/>
      <c r="AJ8" s="64"/>
      <c r="AK8" s="64"/>
      <c r="AL8" s="64"/>
      <c r="AM8" s="64"/>
    </row>
    <row r="9" spans="1:39" s="2" customFormat="1" ht="15">
      <c r="A9" s="1"/>
      <c r="B9" s="274" t="s">
        <v>254</v>
      </c>
      <c r="C9" s="150"/>
      <c r="D9" s="153">
        <f t="shared" ref="D9:R9" si="4">SUM(D7:D8)</f>
        <v>169.27</v>
      </c>
      <c r="E9" s="153">
        <f t="shared" si="4"/>
        <v>162.15</v>
      </c>
      <c r="F9" s="153">
        <f t="shared" si="4"/>
        <v>169.95704899999998</v>
      </c>
      <c r="G9" s="153">
        <f t="shared" si="4"/>
        <v>185.28209749999999</v>
      </c>
      <c r="H9" s="153">
        <f t="shared" si="4"/>
        <v>206.43966</v>
      </c>
      <c r="I9" s="153">
        <f t="shared" si="4"/>
        <v>220.55098199999998</v>
      </c>
      <c r="J9" s="153">
        <f t="shared" si="4"/>
        <v>234.87496063560056</v>
      </c>
      <c r="K9" s="153">
        <f t="shared" si="4"/>
        <v>248.87907897320059</v>
      </c>
      <c r="L9" s="153">
        <f t="shared" si="4"/>
        <v>264.11585652546398</v>
      </c>
      <c r="M9" s="153">
        <f t="shared" si="4"/>
        <v>278.60885760310134</v>
      </c>
      <c r="N9" s="153">
        <f t="shared" si="4"/>
        <v>288.41011723303768</v>
      </c>
      <c r="O9" s="153">
        <f t="shared" si="4"/>
        <v>302.74160185867856</v>
      </c>
      <c r="P9" s="153">
        <f t="shared" si="4"/>
        <v>321.70018075777182</v>
      </c>
      <c r="Q9" s="153">
        <f t="shared" si="4"/>
        <v>340.72081115686495</v>
      </c>
      <c r="R9" s="291">
        <f t="shared" si="4"/>
        <v>356.21071875777176</v>
      </c>
      <c r="S9" s="291">
        <f>SUM(S7:S8)</f>
        <v>17.542400999999998</v>
      </c>
      <c r="T9" s="296"/>
      <c r="U9" s="296"/>
      <c r="V9" s="296"/>
      <c r="W9" s="296"/>
      <c r="X9" s="296"/>
      <c r="Y9" s="296"/>
      <c r="Z9" s="296"/>
      <c r="AA9" s="296"/>
      <c r="AB9" s="64"/>
      <c r="AC9" s="64"/>
      <c r="AD9" s="64"/>
      <c r="AE9" s="64"/>
      <c r="AF9" s="64"/>
      <c r="AG9" s="64"/>
      <c r="AH9" s="64"/>
      <c r="AI9" s="64"/>
      <c r="AJ9" s="64"/>
      <c r="AK9" s="64"/>
      <c r="AL9" s="64"/>
      <c r="AM9" s="64"/>
    </row>
    <row r="10" spans="1:39" s="2" customFormat="1" ht="15">
      <c r="A10" s="1"/>
      <c r="B10" s="274"/>
      <c r="C10" s="150"/>
      <c r="D10" s="153"/>
      <c r="E10" s="153"/>
      <c r="F10" s="153"/>
      <c r="G10" s="153"/>
      <c r="H10" s="153"/>
      <c r="I10" s="153"/>
      <c r="J10" s="153"/>
      <c r="K10" s="153"/>
      <c r="L10" s="153"/>
      <c r="M10" s="153"/>
      <c r="N10" s="153"/>
      <c r="O10" s="153"/>
      <c r="P10" s="153"/>
      <c r="Q10" s="153"/>
      <c r="R10" s="291"/>
      <c r="S10" s="291"/>
      <c r="T10" s="296"/>
      <c r="U10" s="296"/>
      <c r="V10" s="296"/>
      <c r="W10" s="296"/>
      <c r="X10" s="296"/>
      <c r="Y10" s="296"/>
      <c r="Z10" s="296"/>
      <c r="AA10" s="296"/>
      <c r="AB10" s="64"/>
      <c r="AC10" s="64"/>
      <c r="AD10" s="64"/>
      <c r="AE10" s="64"/>
      <c r="AF10" s="64"/>
      <c r="AG10" s="64"/>
      <c r="AH10" s="64"/>
      <c r="AI10" s="64"/>
      <c r="AJ10" s="64"/>
      <c r="AK10" s="64"/>
      <c r="AL10" s="64"/>
      <c r="AM10" s="64"/>
    </row>
    <row r="11" spans="1:39" s="2" customFormat="1">
      <c r="A11" s="1"/>
      <c r="B11" s="273" t="s">
        <v>31</v>
      </c>
      <c r="C11" s="150"/>
      <c r="D11" s="152">
        <f>60.66+0.67</f>
        <v>61.33</v>
      </c>
      <c r="E11" s="152">
        <f>45.43+1.9</f>
        <v>47.33</v>
      </c>
      <c r="F11" s="152">
        <v>1.25</v>
      </c>
      <c r="G11" s="152">
        <v>0.72227030000000003</v>
      </c>
      <c r="H11" s="152"/>
      <c r="I11" s="152"/>
      <c r="J11" s="152"/>
      <c r="K11" s="152"/>
      <c r="L11" s="152"/>
      <c r="M11" s="152"/>
      <c r="N11" s="152"/>
      <c r="O11" s="152"/>
      <c r="P11" s="152"/>
      <c r="Q11" s="152"/>
      <c r="R11" s="290"/>
      <c r="S11" s="290"/>
      <c r="T11" s="295"/>
      <c r="U11" s="295"/>
      <c r="V11" s="295"/>
      <c r="W11" s="295"/>
      <c r="X11" s="295"/>
      <c r="Y11" s="295"/>
      <c r="Z11" s="295"/>
      <c r="AA11" s="295"/>
      <c r="AB11" s="64"/>
      <c r="AC11" s="64"/>
      <c r="AD11" s="64"/>
      <c r="AE11" s="64"/>
      <c r="AF11" s="64"/>
      <c r="AG11" s="64"/>
      <c r="AH11" s="64"/>
      <c r="AI11" s="64"/>
      <c r="AJ11" s="64"/>
      <c r="AK11" s="64"/>
      <c r="AL11" s="64"/>
      <c r="AM11" s="64"/>
    </row>
    <row r="12" spans="1:39" s="2" customFormat="1" ht="15">
      <c r="A12" s="1"/>
      <c r="B12" s="275" t="s">
        <v>32</v>
      </c>
      <c r="C12" s="150"/>
      <c r="D12" s="153">
        <f>SUM(D9:D11)</f>
        <v>230.60000000000002</v>
      </c>
      <c r="E12" s="153">
        <f>SUM(E9:E11)</f>
        <v>209.48000000000002</v>
      </c>
      <c r="F12" s="153">
        <f t="shared" ref="F12:R12" si="5">SUM(F9:F11)</f>
        <v>171.20704899999998</v>
      </c>
      <c r="G12" s="153">
        <f t="shared" si="5"/>
        <v>186.00436779999998</v>
      </c>
      <c r="H12" s="153">
        <f t="shared" si="5"/>
        <v>206.43966</v>
      </c>
      <c r="I12" s="153">
        <f t="shared" si="5"/>
        <v>220.55098199999998</v>
      </c>
      <c r="J12" s="153">
        <f t="shared" si="5"/>
        <v>234.87496063560056</v>
      </c>
      <c r="K12" s="153">
        <f t="shared" si="5"/>
        <v>248.87907897320059</v>
      </c>
      <c r="L12" s="153">
        <f t="shared" si="5"/>
        <v>264.11585652546398</v>
      </c>
      <c r="M12" s="153">
        <f t="shared" si="5"/>
        <v>278.60885760310134</v>
      </c>
      <c r="N12" s="153">
        <f t="shared" si="5"/>
        <v>288.41011723303768</v>
      </c>
      <c r="O12" s="153">
        <f t="shared" si="5"/>
        <v>302.74160185867856</v>
      </c>
      <c r="P12" s="153">
        <f t="shared" si="5"/>
        <v>321.70018075777182</v>
      </c>
      <c r="Q12" s="153">
        <f t="shared" si="5"/>
        <v>340.72081115686495</v>
      </c>
      <c r="R12" s="291">
        <f t="shared" si="5"/>
        <v>356.21071875777176</v>
      </c>
      <c r="S12" s="291">
        <f>SUM(S9:S11)</f>
        <v>17.542400999999998</v>
      </c>
      <c r="T12" s="296"/>
      <c r="U12" s="296"/>
      <c r="V12" s="296"/>
      <c r="W12" s="296"/>
      <c r="X12" s="296"/>
      <c r="Y12" s="296"/>
      <c r="Z12" s="296"/>
      <c r="AA12" s="296"/>
      <c r="AB12" s="139"/>
      <c r="AC12" s="139"/>
      <c r="AD12" s="139"/>
      <c r="AE12" s="139"/>
      <c r="AF12" s="139"/>
      <c r="AG12" s="139"/>
      <c r="AH12" s="139"/>
      <c r="AI12" s="139"/>
      <c r="AJ12" s="139"/>
      <c r="AK12" s="139"/>
      <c r="AL12" s="64"/>
      <c r="AM12" s="64"/>
    </row>
    <row r="13" spans="1:39" s="2" customFormat="1">
      <c r="A13" s="1"/>
      <c r="B13" s="276"/>
      <c r="C13" s="150"/>
      <c r="D13" s="152"/>
      <c r="E13" s="152"/>
      <c r="F13" s="152"/>
      <c r="G13" s="339"/>
      <c r="H13" s="339"/>
      <c r="I13" s="339"/>
      <c r="J13" s="339"/>
      <c r="K13" s="339"/>
      <c r="L13" s="152"/>
      <c r="M13" s="152"/>
      <c r="N13" s="152"/>
      <c r="O13" s="152"/>
      <c r="P13" s="152"/>
      <c r="Q13" s="152"/>
      <c r="R13" s="290"/>
      <c r="S13" s="290"/>
      <c r="T13" s="295"/>
      <c r="U13" s="295"/>
      <c r="V13" s="295"/>
      <c r="W13" s="295"/>
      <c r="X13" s="295"/>
      <c r="Y13" s="295"/>
      <c r="Z13" s="295"/>
      <c r="AA13" s="295"/>
      <c r="AB13" s="64"/>
      <c r="AC13" s="64"/>
      <c r="AD13" s="64"/>
      <c r="AE13" s="64"/>
      <c r="AF13" s="64"/>
      <c r="AG13" s="64"/>
      <c r="AH13" s="64"/>
      <c r="AI13" s="64"/>
      <c r="AJ13" s="64"/>
      <c r="AK13" s="64"/>
      <c r="AL13" s="64"/>
      <c r="AM13" s="64"/>
    </row>
    <row r="14" spans="1:39" s="2" customFormat="1">
      <c r="A14" s="1"/>
      <c r="B14" s="277" t="s">
        <v>201</v>
      </c>
      <c r="C14" s="150"/>
      <c r="D14" s="152">
        <v>23.75</v>
      </c>
      <c r="E14" s="155">
        <v>19.84</v>
      </c>
      <c r="F14" s="152">
        <v>32.46</v>
      </c>
      <c r="G14" s="152">
        <v>28.755754172918738</v>
      </c>
      <c r="H14" s="152">
        <f>G14*(1+Input!J103)*IFERROR(H$3/H$2,0)</f>
        <v>30.193541881564677</v>
      </c>
      <c r="I14" s="152">
        <f>H14*(1+Input!K103)*IFERROR(I$3/I$2,0)</f>
        <v>31.703218975642912</v>
      </c>
      <c r="J14" s="152">
        <f>I14*(1+Input!L103)*IFERROR(J$3/J$2,0)</f>
        <v>33.288379924425058</v>
      </c>
      <c r="K14" s="152">
        <f>J14*(1+Input!M103)*IFERROR(K$3/K$2,0)</f>
        <v>34.952798920646316</v>
      </c>
      <c r="L14" s="152">
        <f>K14*(1+Input!N103)*IFERROR(L$3/L$2,0)</f>
        <v>36.700438866678631</v>
      </c>
      <c r="M14" s="152">
        <f>L14*(1+Input!O103)*IFERROR(M$3/M$2,0)</f>
        <v>38.535460810012566</v>
      </c>
      <c r="N14" s="152">
        <f>M14*(1+Input!P103)*IFERROR(N$3/N$2,0)</f>
        <v>40.462233850513194</v>
      </c>
      <c r="O14" s="152">
        <f>N14*(1+Input!Q103)*IFERROR(O$3/O$2,0)</f>
        <v>42.485345543038854</v>
      </c>
      <c r="P14" s="152">
        <f>O14*(1+Input!R103)*IFERROR(P$3/P$2,0)</f>
        <v>44.609612820190797</v>
      </c>
      <c r="Q14" s="152">
        <f>P14*(1+Input!S103)*IFERROR(Q$3/Q$2,0)</f>
        <v>46.84009346120034</v>
      </c>
      <c r="R14" s="290">
        <f>Q14*(1+Input!T103)*IFERROR(R$3/R$2,0)</f>
        <v>49.182098134260357</v>
      </c>
      <c r="S14" s="290">
        <f>R14*(1+Input!U103)*IFERROR(S$3/S$2,0)</f>
        <v>2.4052067169768425</v>
      </c>
      <c r="T14" s="295"/>
      <c r="U14" s="295"/>
      <c r="V14" s="295"/>
      <c r="W14" s="295"/>
      <c r="X14" s="295"/>
      <c r="Y14" s="295"/>
      <c r="Z14" s="295"/>
      <c r="AA14" s="295"/>
      <c r="AB14" s="64"/>
      <c r="AC14" s="64"/>
      <c r="AD14" s="64"/>
      <c r="AE14" s="64"/>
      <c r="AF14" s="64"/>
      <c r="AG14" s="64"/>
      <c r="AH14" s="64"/>
      <c r="AI14" s="64"/>
      <c r="AJ14" s="64"/>
      <c r="AK14" s="64"/>
      <c r="AL14" s="64"/>
      <c r="AM14" s="64"/>
    </row>
    <row r="15" spans="1:39" s="2" customFormat="1">
      <c r="A15" s="1"/>
      <c r="B15" s="277" t="s">
        <v>79</v>
      </c>
      <c r="C15" s="150"/>
      <c r="D15" s="152">
        <v>9.52</v>
      </c>
      <c r="E15" s="155">
        <v>9.98</v>
      </c>
      <c r="F15" s="152">
        <v>9.26</v>
      </c>
      <c r="G15" s="152">
        <v>9.7795945</v>
      </c>
      <c r="H15" s="152">
        <f>G15*(1+Input!J104)*IFERROR(H$3/H$2,0)</f>
        <v>10.75755395</v>
      </c>
      <c r="I15" s="152">
        <f>H15*(1+Input!K104)*IFERROR(I$3/I$2,0)</f>
        <v>11.833309345000002</v>
      </c>
      <c r="J15" s="152">
        <f>I15*(1+Input!L104)*IFERROR(J$3/J$2,0)</f>
        <v>13.016640279500002</v>
      </c>
      <c r="K15" s="152">
        <f>J15*(1+Input!M104)*IFERROR(K$3/K$2,0)</f>
        <v>14.318304307450004</v>
      </c>
      <c r="L15" s="152">
        <f>K15*(1+Input!N104)*IFERROR(L$3/L$2,0)</f>
        <v>15.750134738195007</v>
      </c>
      <c r="M15" s="152">
        <f>L15*(1+Input!O104)*IFERROR(M$3/M$2,0)</f>
        <v>17.325148212014508</v>
      </c>
      <c r="N15" s="152">
        <f>M15*(1+Input!P104)*IFERROR(N$3/N$2,0)</f>
        <v>19.05766303321596</v>
      </c>
      <c r="O15" s="152">
        <f>N15*(1+Input!Q104)*IFERROR(O$3/O$2,0)</f>
        <v>20.963429336537558</v>
      </c>
      <c r="P15" s="152">
        <f>O15*(1+Input!R104)*IFERROR(P$3/P$2,0)</f>
        <v>23.059772270191317</v>
      </c>
      <c r="Q15" s="152">
        <f>P15*(1+Input!S104)*IFERROR(Q$3/Q$2,0)</f>
        <v>25.365749497210452</v>
      </c>
      <c r="R15" s="290">
        <f>Q15*(1+Input!T104)*IFERROR(R$3/R$2,0)</f>
        <v>27.902324446931498</v>
      </c>
      <c r="S15" s="290">
        <f>R15*(1+Input!U104)*IFERROR(S$3/S$2,0)</f>
        <v>1.4295163483770386</v>
      </c>
      <c r="T15" s="295"/>
      <c r="U15" s="295"/>
      <c r="V15" s="295"/>
      <c r="W15" s="295"/>
      <c r="X15" s="295"/>
      <c r="Y15" s="295"/>
      <c r="Z15" s="295"/>
      <c r="AA15" s="295"/>
      <c r="AB15" s="64"/>
      <c r="AC15" s="64"/>
      <c r="AD15" s="64"/>
      <c r="AE15" s="64"/>
      <c r="AF15" s="64"/>
      <c r="AG15" s="64"/>
      <c r="AH15" s="64"/>
      <c r="AI15" s="64"/>
      <c r="AJ15" s="64"/>
      <c r="AK15" s="64"/>
      <c r="AL15" s="64"/>
      <c r="AM15" s="64"/>
    </row>
    <row r="16" spans="1:39" s="2" customFormat="1" ht="15">
      <c r="A16" s="1"/>
      <c r="B16" s="277" t="s">
        <v>69</v>
      </c>
      <c r="C16" s="150"/>
      <c r="D16" s="152">
        <v>0</v>
      </c>
      <c r="E16" s="155">
        <f>[188]Input!D105</f>
        <v>0</v>
      </c>
      <c r="F16" s="152">
        <f>Input!D105</f>
        <v>0</v>
      </c>
      <c r="G16" s="152">
        <v>0</v>
      </c>
      <c r="H16" s="152">
        <v>0</v>
      </c>
      <c r="I16" s="152">
        <f>H16*(1+Input!K105)*IFERROR(I$3/I$2,0)</f>
        <v>0</v>
      </c>
      <c r="J16" s="152">
        <f>I16*(1+Input!L105)*IFERROR(J$3/J$2,0)</f>
        <v>0</v>
      </c>
      <c r="K16" s="152">
        <f>J16*(1+Input!M105)*IFERROR(K$3/K$2,0)</f>
        <v>0</v>
      </c>
      <c r="L16" s="152">
        <f>K16*(1+Input!N105)*IFERROR(L$3/L$2,0)</f>
        <v>0</v>
      </c>
      <c r="M16" s="152">
        <f>L16*(1+Input!O105)*IFERROR(M$3/M$2,0)</f>
        <v>0</v>
      </c>
      <c r="N16" s="152">
        <f>M16*(1+Input!P105)*IFERROR(N$3/N$2,0)</f>
        <v>0</v>
      </c>
      <c r="O16" s="152">
        <f>N16*(1+Input!Q105)*IFERROR(O$3/O$2,0)</f>
        <v>0</v>
      </c>
      <c r="P16" s="152">
        <f>O16*(1+Input!R105)*IFERROR(P$3/P$2,0)</f>
        <v>0</v>
      </c>
      <c r="Q16" s="152">
        <f>P16*(1+Input!S105)*IFERROR(Q$3/Q$2,0)</f>
        <v>0</v>
      </c>
      <c r="R16" s="290">
        <f>Q16*(1+Input!T105)*IFERROR(R$3/R$2,0)</f>
        <v>0</v>
      </c>
      <c r="S16" s="290">
        <f>R16*(1+Input!U105)*IFERROR(S$3/S$2,0)</f>
        <v>0</v>
      </c>
      <c r="T16" s="295"/>
      <c r="U16" s="295"/>
      <c r="V16" s="295"/>
      <c r="W16" s="295"/>
      <c r="X16" s="295"/>
      <c r="Y16" s="295"/>
      <c r="Z16" s="295"/>
      <c r="AA16" s="295"/>
      <c r="AB16" s="64"/>
      <c r="AC16" s="64"/>
      <c r="AD16" s="64"/>
      <c r="AE16" s="64"/>
      <c r="AF16" s="64"/>
      <c r="AG16" s="64"/>
      <c r="AH16" s="64"/>
      <c r="AI16" s="64"/>
      <c r="AJ16" s="64"/>
      <c r="AK16" s="139"/>
      <c r="AL16" s="64"/>
      <c r="AM16" s="64"/>
    </row>
    <row r="17" spans="1:39" s="2" customFormat="1">
      <c r="A17" s="1"/>
      <c r="B17" s="277" t="str">
        <f>Input!B106</f>
        <v>Other Expense</v>
      </c>
      <c r="C17" s="150"/>
      <c r="D17" s="152">
        <v>4.34</v>
      </c>
      <c r="E17" s="155">
        <v>0.67</v>
      </c>
      <c r="F17" s="152">
        <f>4185480.78/10^7</f>
        <v>0.41854807799999999</v>
      </c>
      <c r="G17" s="152">
        <v>4.2524562480000005</v>
      </c>
      <c r="H17" s="152">
        <f>G17*(1+Input!J106)*IFERROR(H$3/H$2,0)</f>
        <v>4.4650790604000008</v>
      </c>
      <c r="I17" s="152">
        <f>H17*(1+Input!K106)*IFERROR(I$3/I$2,0)</f>
        <v>4.6883330134200012</v>
      </c>
      <c r="J17" s="152">
        <f>I17*(1+Input!L106)*IFERROR(J$3/J$2,0)</f>
        <v>4.9227496640910013</v>
      </c>
      <c r="K17" s="152">
        <f>J17*(1+Input!M106)*IFERROR(K$3/K$2,0)</f>
        <v>5.1688871472955515</v>
      </c>
      <c r="L17" s="152">
        <f>K17*(1+Input!N106)*IFERROR(L$3/L$2,0)</f>
        <v>5.4273315046603292</v>
      </c>
      <c r="M17" s="152">
        <f>L17*(1+Input!O106)*IFERROR(M$3/M$2,0)</f>
        <v>5.6986980798933455</v>
      </c>
      <c r="N17" s="152">
        <f>M17*(1+Input!P106)*IFERROR(N$3/N$2,0)</f>
        <v>5.9836329838880129</v>
      </c>
      <c r="O17" s="152">
        <f>N17*(1+Input!Q106)*IFERROR(O$3/O$2,0)</f>
        <v>6.2828146330824142</v>
      </c>
      <c r="P17" s="152">
        <f>O17*(1+Input!R106)*IFERROR(P$3/P$2,0)</f>
        <v>6.5969553647365355</v>
      </c>
      <c r="Q17" s="152">
        <f>P17*(1+Input!S106)*IFERROR(Q$3/Q$2,0)</f>
        <v>6.9268031329733626</v>
      </c>
      <c r="R17" s="290">
        <f>Q17*(1+Input!T106)*IFERROR(R$3/R$2,0)</f>
        <v>7.2731432896220314</v>
      </c>
      <c r="S17" s="290">
        <f>R17*(1+Input!U106)*IFERROR(S$3/S$2,0)</f>
        <v>0.35568659649247469</v>
      </c>
      <c r="T17" s="295"/>
      <c r="U17" s="295"/>
      <c r="V17" s="295"/>
      <c r="W17" s="295"/>
      <c r="X17" s="295"/>
      <c r="Y17" s="295"/>
      <c r="Z17" s="295"/>
      <c r="AA17" s="295"/>
      <c r="AB17" s="64"/>
      <c r="AC17" s="64"/>
      <c r="AD17" s="64"/>
      <c r="AE17" s="64"/>
      <c r="AF17" s="64"/>
      <c r="AG17" s="64"/>
      <c r="AH17" s="64"/>
      <c r="AI17" s="64"/>
      <c r="AJ17" s="64"/>
      <c r="AK17" s="64"/>
      <c r="AL17" s="64"/>
      <c r="AM17" s="64"/>
    </row>
    <row r="18" spans="1:39" s="2" customFormat="1">
      <c r="A18" s="1"/>
      <c r="B18" s="277" t="s">
        <v>70</v>
      </c>
      <c r="C18" s="150"/>
      <c r="D18" s="152">
        <v>1.82</v>
      </c>
      <c r="E18" s="152">
        <v>1.98</v>
      </c>
      <c r="F18" s="152">
        <v>8.7100000000000009</v>
      </c>
      <c r="G18" s="152">
        <f>14.8258928494542+8.85</f>
        <v>23.6758928494542</v>
      </c>
      <c r="H18" s="152">
        <f>SUMIF('Other Schedules'!$I$2:$AO$2,H$1,'Other Schedules'!$I$114:$AO$114)</f>
        <v>161.45301598162706</v>
      </c>
      <c r="I18" s="152">
        <f>SUMIF('Other Schedules'!$I$2:$AO$2,I$1,'Other Schedules'!$I$114:$AO$114)</f>
        <v>0</v>
      </c>
      <c r="J18" s="152">
        <f>SUMIF('Other Schedules'!$I$2:$AO$2,J$1,'Other Schedules'!$I$114:$AO$114)</f>
        <v>38.817592773613342</v>
      </c>
      <c r="K18" s="152">
        <f>SUMIF('Other Schedules'!$I$2:$AO$2,K$1,'Other Schedules'!$I$114:$AO$114)</f>
        <v>38.817592773613342</v>
      </c>
      <c r="L18" s="152">
        <f>SUMIF('Other Schedules'!$I$2:$AO$2,L$1,'Other Schedules'!$I$114:$AO$114)</f>
        <v>38.817592773613342</v>
      </c>
      <c r="M18" s="152">
        <f>SUMIF('Other Schedules'!$I$2:$AO$2,M$1,'Other Schedules'!$I$114:$AO$114)</f>
        <v>38.817592773613342</v>
      </c>
      <c r="N18" s="152">
        <f>SUMIF('Other Schedules'!$I$2:$AO$2,N$1,'Other Schedules'!$I$114:$AO$114)</f>
        <v>38.817592773613342</v>
      </c>
      <c r="O18" s="152">
        <f>SUMIF('Other Schedules'!$I$2:$AO$2,O$1,'Other Schedules'!$I$114:$AO$114)</f>
        <v>30.486278622619693</v>
      </c>
      <c r="P18" s="152">
        <f>SUMIF('Other Schedules'!$I$2:$AO$2,P$1,'Other Schedules'!$I$114:$AO$114)</f>
        <v>30.486278622619693</v>
      </c>
      <c r="Q18" s="152">
        <f>SUMIF('Other Schedules'!$I$2:$AO$2,Q$1,'Other Schedules'!$I$114:$AO$114)</f>
        <v>30.48627862261975</v>
      </c>
      <c r="R18" s="290">
        <f>SUMIF('Other Schedules'!$I$2:$AO$2,R$1,'Other Schedules'!$I$114:$AO$114)</f>
        <v>30.486278622619693</v>
      </c>
      <c r="S18" s="290">
        <f>SUMIF('Other Schedules'!$I$2:$AO$2,S$1,'Other Schedules'!$I$114:$AO$114)</f>
        <v>0</v>
      </c>
      <c r="T18" s="295"/>
      <c r="U18" s="295"/>
      <c r="V18" s="295"/>
      <c r="W18" s="295"/>
      <c r="X18" s="295"/>
      <c r="Y18" s="295"/>
      <c r="Z18" s="295"/>
      <c r="AA18" s="295"/>
      <c r="AB18" s="64"/>
      <c r="AC18" s="64"/>
      <c r="AD18" s="64"/>
      <c r="AE18" s="64"/>
      <c r="AF18" s="64"/>
      <c r="AG18" s="64"/>
      <c r="AH18" s="64"/>
      <c r="AI18" s="64"/>
      <c r="AJ18" s="64"/>
      <c r="AK18" s="64"/>
      <c r="AL18" s="64"/>
      <c r="AM18" s="64"/>
    </row>
    <row r="19" spans="1:39" s="2" customFormat="1">
      <c r="A19" s="1"/>
      <c r="B19" s="277" t="s">
        <v>47</v>
      </c>
      <c r="C19" s="150"/>
      <c r="D19" s="152"/>
      <c r="E19" s="152"/>
      <c r="F19" s="152"/>
      <c r="G19" s="152"/>
      <c r="H19" s="152"/>
      <c r="I19" s="152"/>
      <c r="J19" s="152"/>
      <c r="K19" s="152"/>
      <c r="L19" s="152"/>
      <c r="M19" s="152"/>
      <c r="N19" s="152"/>
      <c r="O19" s="152"/>
      <c r="P19" s="152"/>
      <c r="Q19" s="152"/>
      <c r="R19" s="290"/>
      <c r="S19" s="290"/>
      <c r="T19" s="295"/>
      <c r="U19" s="295"/>
      <c r="V19" s="295"/>
      <c r="W19" s="295"/>
      <c r="X19" s="295"/>
      <c r="Y19" s="295"/>
      <c r="Z19" s="295"/>
      <c r="AA19" s="295"/>
      <c r="AB19" s="64"/>
      <c r="AC19" s="64"/>
      <c r="AD19" s="64"/>
      <c r="AE19" s="64"/>
      <c r="AF19" s="64"/>
      <c r="AG19" s="64"/>
      <c r="AH19" s="64"/>
      <c r="AI19" s="64"/>
      <c r="AJ19" s="64"/>
      <c r="AK19" s="64"/>
      <c r="AL19" s="64"/>
      <c r="AM19" s="64"/>
    </row>
    <row r="20" spans="1:39" s="2" customFormat="1" ht="15">
      <c r="A20" s="1"/>
      <c r="B20" s="278" t="s">
        <v>33</v>
      </c>
      <c r="C20" s="150"/>
      <c r="D20" s="153">
        <f>SUM(D14:D19)</f>
        <v>39.43</v>
      </c>
      <c r="E20" s="153">
        <f>SUM(E14:E19)</f>
        <v>32.47</v>
      </c>
      <c r="F20" s="153">
        <f>SUM(F14:F19)</f>
        <v>50.848548078</v>
      </c>
      <c r="G20" s="153">
        <f>SUM(G14:G19)</f>
        <v>66.463697770372931</v>
      </c>
      <c r="H20" s="153">
        <f>SUM(H14:H19)</f>
        <v>206.86919087359175</v>
      </c>
      <c r="I20" s="153">
        <f t="shared" ref="I20:R20" si="6">SUM(I14:I19)</f>
        <v>48.224861334062915</v>
      </c>
      <c r="J20" s="153">
        <f t="shared" si="6"/>
        <v>90.045362641629396</v>
      </c>
      <c r="K20" s="153">
        <f t="shared" si="6"/>
        <v>93.257583149005214</v>
      </c>
      <c r="L20" s="153">
        <f t="shared" si="6"/>
        <v>96.695497883147311</v>
      </c>
      <c r="M20" s="153">
        <f t="shared" si="6"/>
        <v>100.37689987553377</v>
      </c>
      <c r="N20" s="153">
        <f t="shared" si="6"/>
        <v>104.3211226412305</v>
      </c>
      <c r="O20" s="153">
        <f t="shared" si="6"/>
        <v>100.21786813527852</v>
      </c>
      <c r="P20" s="153">
        <f t="shared" si="6"/>
        <v>104.75261907773834</v>
      </c>
      <c r="Q20" s="153">
        <f t="shared" si="6"/>
        <v>109.6189247140039</v>
      </c>
      <c r="R20" s="291">
        <f t="shared" si="6"/>
        <v>114.84384449343358</v>
      </c>
      <c r="S20" s="291">
        <f>SUM(S14:S19)</f>
        <v>4.1904096618463553</v>
      </c>
      <c r="T20" s="296"/>
      <c r="U20" s="296"/>
      <c r="V20" s="296"/>
      <c r="W20" s="296"/>
      <c r="X20" s="296"/>
      <c r="Y20" s="296"/>
      <c r="Z20" s="296"/>
      <c r="AA20" s="296"/>
      <c r="AB20" s="139"/>
      <c r="AC20" s="139"/>
      <c r="AD20" s="139"/>
      <c r="AE20" s="139"/>
      <c r="AF20" s="139"/>
      <c r="AG20" s="139"/>
      <c r="AH20" s="139"/>
      <c r="AI20" s="139"/>
      <c r="AJ20" s="139"/>
      <c r="AK20" s="139"/>
      <c r="AL20" s="64"/>
      <c r="AM20" s="64"/>
    </row>
    <row r="21" spans="1:39" s="2" customFormat="1">
      <c r="A21" s="1"/>
      <c r="B21" s="279"/>
      <c r="C21" s="150"/>
      <c r="D21" s="152"/>
      <c r="E21" s="152"/>
      <c r="F21" s="152"/>
      <c r="G21" s="152"/>
      <c r="H21" s="152"/>
      <c r="I21" s="152"/>
      <c r="J21" s="152"/>
      <c r="K21" s="152"/>
      <c r="L21" s="152"/>
      <c r="M21" s="152"/>
      <c r="N21" s="152"/>
      <c r="O21" s="152"/>
      <c r="P21" s="152"/>
      <c r="Q21" s="152"/>
      <c r="R21" s="290"/>
      <c r="S21" s="290"/>
      <c r="T21" s="295"/>
      <c r="U21" s="295"/>
      <c r="V21" s="295"/>
      <c r="W21" s="295"/>
      <c r="X21" s="295"/>
      <c r="Y21" s="295"/>
      <c r="Z21" s="295"/>
      <c r="AA21" s="295"/>
      <c r="AB21" s="64"/>
      <c r="AC21" s="64"/>
      <c r="AD21" s="64"/>
      <c r="AE21" s="64"/>
      <c r="AF21" s="64"/>
      <c r="AG21" s="64"/>
      <c r="AH21" s="64"/>
      <c r="AI21" s="64"/>
      <c r="AJ21" s="64"/>
      <c r="AK21" s="64"/>
      <c r="AL21" s="64"/>
      <c r="AM21" s="64"/>
    </row>
    <row r="22" spans="1:39" s="2" customFormat="1" ht="15">
      <c r="A22" s="1"/>
      <c r="B22" s="278" t="s">
        <v>34</v>
      </c>
      <c r="C22" s="150"/>
      <c r="D22" s="153">
        <f>D12-D20</f>
        <v>191.17000000000002</v>
      </c>
      <c r="E22" s="153">
        <f>E12-E20</f>
        <v>177.01000000000002</v>
      </c>
      <c r="F22" s="153">
        <f>F12-F20</f>
        <v>120.35850092199999</v>
      </c>
      <c r="G22" s="153">
        <f>G12-G20</f>
        <v>119.54067002962705</v>
      </c>
      <c r="H22" s="153">
        <f>H12-H20</f>
        <v>-0.42953087359174447</v>
      </c>
      <c r="I22" s="153">
        <f t="shared" ref="I22:R22" si="7">I12-I20</f>
        <v>172.32612066593705</v>
      </c>
      <c r="J22" s="153">
        <f t="shared" si="7"/>
        <v>144.82959799397116</v>
      </c>
      <c r="K22" s="153">
        <f t="shared" si="7"/>
        <v>155.62149582419539</v>
      </c>
      <c r="L22" s="153">
        <f t="shared" si="7"/>
        <v>167.42035864231667</v>
      </c>
      <c r="M22" s="153">
        <f t="shared" si="7"/>
        <v>178.23195772756759</v>
      </c>
      <c r="N22" s="153">
        <f t="shared" si="7"/>
        <v>184.08899459180719</v>
      </c>
      <c r="O22" s="153">
        <f t="shared" si="7"/>
        <v>202.52373372340003</v>
      </c>
      <c r="P22" s="153">
        <f t="shared" si="7"/>
        <v>216.94756168003346</v>
      </c>
      <c r="Q22" s="153">
        <f t="shared" si="7"/>
        <v>231.10188644286106</v>
      </c>
      <c r="R22" s="291">
        <f t="shared" si="7"/>
        <v>241.36687426433818</v>
      </c>
      <c r="S22" s="291">
        <f>S12-S20</f>
        <v>13.351991338153642</v>
      </c>
      <c r="T22" s="296"/>
      <c r="U22" s="296"/>
      <c r="V22" s="296"/>
      <c r="W22" s="296"/>
      <c r="X22" s="296"/>
      <c r="Y22" s="296"/>
      <c r="Z22" s="296"/>
      <c r="AA22" s="296"/>
      <c r="AB22" s="64"/>
      <c r="AC22" s="64"/>
      <c r="AD22" s="64"/>
      <c r="AE22" s="64"/>
      <c r="AF22" s="64"/>
      <c r="AG22" s="64"/>
      <c r="AH22" s="64"/>
      <c r="AI22" s="64"/>
      <c r="AJ22" s="64"/>
      <c r="AK22" s="64"/>
      <c r="AL22" s="64"/>
      <c r="AM22" s="64"/>
    </row>
    <row r="23" spans="1:39" s="2" customFormat="1" ht="9" customHeight="1">
      <c r="A23" s="1"/>
      <c r="B23" s="278"/>
      <c r="C23" s="150"/>
      <c r="D23" s="152"/>
      <c r="E23" s="152"/>
      <c r="F23" s="152"/>
      <c r="G23" s="152"/>
      <c r="H23" s="152"/>
      <c r="I23" s="152"/>
      <c r="J23" s="152"/>
      <c r="K23" s="152"/>
      <c r="L23" s="152"/>
      <c r="M23" s="152"/>
      <c r="N23" s="152"/>
      <c r="O23" s="152"/>
      <c r="P23" s="152"/>
      <c r="Q23" s="152"/>
      <c r="R23" s="290"/>
      <c r="S23" s="290"/>
      <c r="T23" s="295"/>
      <c r="U23" s="295"/>
      <c r="V23" s="295"/>
      <c r="W23" s="295"/>
      <c r="X23" s="295"/>
      <c r="Y23" s="295"/>
      <c r="Z23" s="295"/>
      <c r="AA23" s="295"/>
      <c r="AB23" s="64"/>
      <c r="AC23" s="64"/>
      <c r="AD23" s="64"/>
      <c r="AE23" s="64"/>
      <c r="AF23" s="64"/>
      <c r="AG23" s="64"/>
      <c r="AH23" s="64"/>
      <c r="AI23" s="64"/>
      <c r="AJ23" s="64"/>
      <c r="AK23" s="64"/>
      <c r="AL23" s="64"/>
      <c r="AM23" s="64"/>
    </row>
    <row r="24" spans="1:39" s="2" customFormat="1">
      <c r="A24" s="103"/>
      <c r="B24" s="279"/>
      <c r="C24" s="150"/>
      <c r="D24" s="152"/>
      <c r="E24" s="152"/>
      <c r="F24" s="152"/>
      <c r="G24" s="152"/>
      <c r="H24" s="152"/>
      <c r="I24" s="152"/>
      <c r="J24" s="152"/>
      <c r="K24" s="152"/>
      <c r="L24" s="152"/>
      <c r="M24" s="152"/>
      <c r="N24" s="152"/>
      <c r="O24" s="152"/>
      <c r="P24" s="152"/>
      <c r="Q24" s="152"/>
      <c r="R24" s="290"/>
      <c r="S24" s="290"/>
      <c r="T24" s="295"/>
      <c r="U24" s="295"/>
      <c r="V24" s="295"/>
      <c r="W24" s="295"/>
      <c r="X24" s="295"/>
      <c r="Y24" s="295"/>
      <c r="Z24" s="295"/>
      <c r="AA24" s="295"/>
      <c r="AB24" s="64"/>
      <c r="AC24" s="64"/>
      <c r="AD24" s="64"/>
      <c r="AE24" s="64"/>
      <c r="AF24" s="64"/>
      <c r="AG24" s="64"/>
      <c r="AH24" s="64"/>
      <c r="AI24" s="64"/>
      <c r="AJ24" s="64"/>
      <c r="AK24" s="64"/>
      <c r="AL24" s="64"/>
      <c r="AM24" s="64"/>
    </row>
    <row r="25" spans="1:39" s="2" customFormat="1">
      <c r="A25" s="35"/>
      <c r="B25" s="279" t="s">
        <v>77</v>
      </c>
      <c r="C25" s="150"/>
      <c r="D25" s="152">
        <v>116.53</v>
      </c>
      <c r="E25" s="152">
        <v>89.74</v>
      </c>
      <c r="F25" s="152">
        <f>1177914494.05874/10^7</f>
        <v>117.79144940587399</v>
      </c>
      <c r="G25" s="152">
        <v>87.735052307094975</v>
      </c>
      <c r="H25" s="152">
        <f>SUMIF('Other Schedules'!$I$2:$AO$2,H1,'Other Schedules'!$I$74:$AO$74)</f>
        <v>96.457532674718593</v>
      </c>
      <c r="I25" s="152">
        <f>SUMIF('Other Schedules'!$I$2:$AO$2,I1,'Other Schedules'!$I$74:$AO$74)</f>
        <v>103.05095228652415</v>
      </c>
      <c r="J25" s="152">
        <f>SUMIF('Other Schedules'!$I$2:$AO$2,J1,'Other Schedules'!$I$74:$AO$74)</f>
        <v>108.70276886512572</v>
      </c>
      <c r="K25" s="152">
        <f>SUMIF('Other Schedules'!$I$2:$AO$2,K1,'Other Schedules'!$I$74:$AO$74)</f>
        <v>114.72649096001797</v>
      </c>
      <c r="L25" s="152">
        <f>SUMIF('Other Schedules'!$I$2:$AO$2,L1,'Other Schedules'!$I$74:$AO$74)</f>
        <v>120.80200439665414</v>
      </c>
      <c r="M25" s="152">
        <f>SUMIF('Other Schedules'!$I$2:$AO$2,M1,'Other Schedules'!$I$74:$AO$74)</f>
        <v>127.79937843847392</v>
      </c>
      <c r="N25" s="152">
        <f>SUMIF('Other Schedules'!$I$2:$AO$2,N1,'Other Schedules'!$I$74:$AO$74)</f>
        <v>133.94320096575149</v>
      </c>
      <c r="O25" s="152">
        <f>SUMIF('Other Schedules'!$I$2:$AO$2,O1,'Other Schedules'!$I$74:$AO$74)</f>
        <v>141.04765337125309</v>
      </c>
      <c r="P25" s="152">
        <f>SUMIF('Other Schedules'!$I$2:$AO$2,P1,'Other Schedules'!$I$74:$AO$74)</f>
        <v>149.10921637900196</v>
      </c>
      <c r="Q25" s="152">
        <f>SUMIF('Other Schedules'!$I$2:$AO$2,Q1,'Other Schedules'!$I$74:$AO$74)</f>
        <v>157.17874658461579</v>
      </c>
      <c r="R25" s="290">
        <f>SUMIF('Other Schedules'!$I$2:$AO$2,R1,'Other Schedules'!$I$74:$AO$74)</f>
        <v>165.21300553359924</v>
      </c>
      <c r="S25" s="290">
        <f>SUMIF('Other Schedules'!$I$2:$AO$2,S1,'Other Schedules'!$I$74:$AO$74)</f>
        <v>8.1965680317944525</v>
      </c>
      <c r="T25" s="295"/>
      <c r="U25" s="295"/>
      <c r="V25" s="295"/>
      <c r="W25" s="295"/>
      <c r="X25" s="295"/>
      <c r="Y25" s="295"/>
      <c r="Z25" s="295"/>
      <c r="AA25" s="295"/>
      <c r="AB25" s="64"/>
      <c r="AC25" s="64"/>
      <c r="AD25" s="64"/>
      <c r="AE25" s="64"/>
      <c r="AF25" s="64"/>
      <c r="AG25" s="64"/>
      <c r="AH25" s="64"/>
      <c r="AI25" s="64"/>
      <c r="AJ25" s="64"/>
      <c r="AK25" s="64"/>
      <c r="AL25" s="64"/>
      <c r="AM25" s="64"/>
    </row>
    <row r="26" spans="1:39" s="2" customFormat="1">
      <c r="A26" s="1"/>
      <c r="B26" s="279" t="s">
        <v>284</v>
      </c>
      <c r="C26" s="150"/>
      <c r="D26" s="152">
        <f>7.03+71.53+23.32</f>
        <v>101.88</v>
      </c>
      <c r="E26" s="152">
        <f>7.83+78.83+26.21+0.088</f>
        <v>112.958</v>
      </c>
      <c r="F26" s="152">
        <f>2287300345.45645/10^7-F18-F27+705.28-405.31</f>
        <v>413.87003454564496</v>
      </c>
      <c r="G26" s="152">
        <v>86.998906970100904</v>
      </c>
      <c r="H26" s="152"/>
      <c r="I26" s="152"/>
      <c r="J26" s="152"/>
      <c r="K26" s="152"/>
      <c r="L26" s="152"/>
      <c r="M26" s="152"/>
      <c r="N26" s="152"/>
      <c r="O26" s="152"/>
      <c r="P26" s="152"/>
      <c r="Q26" s="152"/>
      <c r="R26" s="290"/>
      <c r="S26" s="290"/>
      <c r="T26" s="295"/>
      <c r="U26" s="295"/>
      <c r="V26" s="295"/>
      <c r="W26" s="295"/>
      <c r="X26" s="295"/>
      <c r="Y26" s="295"/>
      <c r="Z26" s="295"/>
      <c r="AA26" s="295"/>
      <c r="AB26" s="64"/>
      <c r="AC26" s="64"/>
      <c r="AD26" s="64"/>
      <c r="AE26" s="64"/>
      <c r="AF26" s="64"/>
      <c r="AG26" s="64"/>
      <c r="AH26" s="64"/>
      <c r="AI26" s="64"/>
      <c r="AJ26" s="64"/>
      <c r="AK26" s="64"/>
      <c r="AL26" s="64"/>
      <c r="AM26" s="64"/>
    </row>
    <row r="27" spans="1:39" s="2" customFormat="1">
      <c r="A27" s="1"/>
      <c r="B27" s="279" t="s">
        <v>38</v>
      </c>
      <c r="C27" s="150"/>
      <c r="D27" s="152">
        <f>222.56-D26</f>
        <v>120.68</v>
      </c>
      <c r="E27" s="152">
        <f>227.11-E26</f>
        <v>114.15200000000002</v>
      </c>
      <c r="F27" s="152">
        <f>105.97+0.15</f>
        <v>106.12</v>
      </c>
      <c r="G27" s="152">
        <v>96.028147899999993</v>
      </c>
      <c r="H27" s="152">
        <f>SUMIF('Debt Schedule'!$E$2:$BA$2,H1,'Debt Schedule'!$E$34:$BA$34)</f>
        <v>91.45</v>
      </c>
      <c r="I27" s="152">
        <f>SUMIF('Debt Schedule'!$E$2:$BA$2,I1,'Debt Schedule'!$E$34:$BA$34)</f>
        <v>78.61</v>
      </c>
      <c r="J27" s="152">
        <f>SUMIF('Debt Schedule'!$E$2:$BA$2,J1,'Debt Schedule'!$E$34:$BA$34)</f>
        <v>63.279999999999994</v>
      </c>
      <c r="K27" s="152">
        <f>SUMIF('Debt Schedule'!$E$2:$BA$2,K1,'Debt Schedule'!$E$34:$BA$34)</f>
        <v>44.08</v>
      </c>
      <c r="L27" s="152">
        <f>SUMIF('Debt Schedule'!$E$2:$BA$2,L1,'Debt Schedule'!$E$34:$BA$34)</f>
        <v>17.700000000000003</v>
      </c>
      <c r="M27" s="152">
        <f>SUMIF('Debt Schedule'!$E$2:$BA$2,M1,'Debt Schedule'!$E$34:$BA$34)</f>
        <v>9.0000000000000011E-2</v>
      </c>
      <c r="N27" s="152">
        <f>SUMIF('Debt Schedule'!$E$2:$BA$2,N1,'Debt Schedule'!$E$34:$BA$34)</f>
        <v>0.03</v>
      </c>
      <c r="O27" s="152">
        <f>SUMIF('Debt Schedule'!$E$2:$BA$2,O1,'Debt Schedule'!$E$34:$BA$34)</f>
        <v>0</v>
      </c>
      <c r="P27" s="152">
        <f>SUMIF('Debt Schedule'!$E$2:$BA$2,P1,'Debt Schedule'!$E$34:$BA$34)</f>
        <v>0</v>
      </c>
      <c r="Q27" s="152">
        <f>SUMIF('Debt Schedule'!$E$2:$BA$2,Q1,'Debt Schedule'!$E$34:$BA$34)</f>
        <v>0</v>
      </c>
      <c r="R27" s="152">
        <f>SUMIF('Debt Schedule'!$E$2:$BA$2,R1,'Debt Schedule'!$E$34:$BA$34)</f>
        <v>0</v>
      </c>
      <c r="S27" s="152">
        <f>SUMIF('Debt Schedule'!$E$2:$BA$2,S1,'Debt Schedule'!$E$34:$BA$34)</f>
        <v>0</v>
      </c>
      <c r="T27" s="295"/>
      <c r="U27" s="295"/>
      <c r="V27" s="295"/>
      <c r="W27" s="295"/>
      <c r="X27" s="295"/>
      <c r="Y27" s="295"/>
      <c r="Z27" s="295"/>
      <c r="AA27" s="295"/>
      <c r="AB27" s="64"/>
      <c r="AC27" s="64"/>
      <c r="AD27" s="64"/>
      <c r="AE27" s="64"/>
      <c r="AF27" s="64"/>
      <c r="AG27" s="64"/>
      <c r="AH27" s="64"/>
      <c r="AI27" s="64"/>
      <c r="AJ27" s="64"/>
      <c r="AK27" s="64"/>
      <c r="AL27" s="64"/>
      <c r="AM27" s="64"/>
    </row>
    <row r="28" spans="1:39" s="2" customFormat="1">
      <c r="A28" s="1"/>
      <c r="B28" s="276"/>
      <c r="C28" s="150"/>
      <c r="D28" s="152"/>
      <c r="E28" s="152"/>
      <c r="F28" s="152"/>
      <c r="G28" s="152"/>
      <c r="H28" s="152"/>
      <c r="I28" s="152"/>
      <c r="J28" s="152"/>
      <c r="K28" s="152"/>
      <c r="L28" s="152"/>
      <c r="M28" s="152"/>
      <c r="N28" s="152"/>
      <c r="O28" s="152"/>
      <c r="P28" s="152"/>
      <c r="Q28" s="152"/>
      <c r="R28" s="290"/>
      <c r="S28" s="290"/>
      <c r="T28" s="295"/>
      <c r="U28" s="295"/>
      <c r="V28" s="295"/>
      <c r="W28" s="295"/>
      <c r="X28" s="295"/>
      <c r="Y28" s="295"/>
      <c r="Z28" s="295"/>
      <c r="AA28" s="295"/>
      <c r="AB28" s="64"/>
      <c r="AC28" s="64"/>
      <c r="AD28" s="64"/>
      <c r="AE28" s="64"/>
      <c r="AF28" s="64"/>
      <c r="AG28" s="64"/>
      <c r="AH28" s="64"/>
      <c r="AI28" s="64"/>
      <c r="AJ28" s="64"/>
      <c r="AK28" s="64"/>
      <c r="AL28" s="64"/>
      <c r="AM28" s="64"/>
    </row>
    <row r="29" spans="1:39" s="2" customFormat="1" ht="15">
      <c r="A29" s="1"/>
      <c r="B29" s="275" t="s">
        <v>35</v>
      </c>
      <c r="C29" s="150"/>
      <c r="D29" s="152">
        <f t="shared" ref="D29:R29" si="8">D22+D24-D25-D26-D27</f>
        <v>-147.91999999999999</v>
      </c>
      <c r="E29" s="152">
        <f t="shared" si="8"/>
        <v>-139.83999999999997</v>
      </c>
      <c r="F29" s="152">
        <f t="shared" si="8"/>
        <v>-517.42298302951895</v>
      </c>
      <c r="G29" s="152">
        <f t="shared" si="8"/>
        <v>-151.22143714756882</v>
      </c>
      <c r="H29" s="152">
        <f t="shared" si="8"/>
        <v>-188.33706354831034</v>
      </c>
      <c r="I29" s="152">
        <f t="shared" si="8"/>
        <v>-9.3348316205870958</v>
      </c>
      <c r="J29" s="152">
        <f t="shared" si="8"/>
        <v>-27.153170871154551</v>
      </c>
      <c r="K29" s="152">
        <f t="shared" si="8"/>
        <v>-3.1849951358225752</v>
      </c>
      <c r="L29" s="152">
        <f t="shared" si="8"/>
        <v>28.918354245662528</v>
      </c>
      <c r="M29" s="152">
        <f t="shared" si="8"/>
        <v>50.342579289093663</v>
      </c>
      <c r="N29" s="152">
        <f t="shared" si="8"/>
        <v>50.115793626055705</v>
      </c>
      <c r="O29" s="152">
        <f t="shared" si="8"/>
        <v>61.476080352146937</v>
      </c>
      <c r="P29" s="152">
        <f t="shared" si="8"/>
        <v>67.838345301031495</v>
      </c>
      <c r="Q29" s="152">
        <f t="shared" si="8"/>
        <v>73.923139858245264</v>
      </c>
      <c r="R29" s="290">
        <f t="shared" si="8"/>
        <v>76.153868730738935</v>
      </c>
      <c r="S29" s="290">
        <f>S22+S24-S25-S26-S27</f>
        <v>5.1554233063591894</v>
      </c>
      <c r="T29" s="295"/>
      <c r="U29" s="295"/>
      <c r="V29" s="295"/>
      <c r="W29" s="295"/>
      <c r="X29" s="295"/>
      <c r="Y29" s="295"/>
      <c r="Z29" s="295"/>
      <c r="AA29" s="295"/>
      <c r="AB29" s="64"/>
      <c r="AC29" s="64"/>
      <c r="AD29" s="64"/>
      <c r="AE29" s="64"/>
      <c r="AF29" s="64"/>
      <c r="AG29" s="64"/>
      <c r="AH29" s="64"/>
      <c r="AI29" s="64"/>
      <c r="AJ29" s="64"/>
      <c r="AK29" s="64"/>
      <c r="AL29" s="64"/>
      <c r="AM29" s="64"/>
    </row>
    <row r="30" spans="1:39" s="2" customFormat="1">
      <c r="A30" s="1"/>
      <c r="B30" s="276" t="s">
        <v>36</v>
      </c>
      <c r="C30" s="150"/>
      <c r="D30" s="152">
        <f>SUMIF('Other Schedules'!$I$2:$AO$2,D$1,'Other Schedules'!$I$60:$AO$60)</f>
        <v>0</v>
      </c>
      <c r="E30" s="152">
        <f>SUMIF('[188]Other Schedules'!$I$2:$AO$2,E$1,'[188]Other Schedules'!$I$60:$AO$60)</f>
        <v>0</v>
      </c>
      <c r="F30" s="152">
        <f>SUMIF('Other Schedules'!$I$2:$AO$2,F$1,'Other Schedules'!$I$60:$AO$60)</f>
        <v>0</v>
      </c>
      <c r="G30" s="152">
        <f>SUMIF('Other Schedules'!$I$2:$AO$2,G$1,'Other Schedules'!$I$60:$AO$60)</f>
        <v>0</v>
      </c>
      <c r="H30" s="152">
        <f>SUMIF('Other Schedules'!$I$2:$AO$2,H$1,'Other Schedules'!$I$60:$AO$60)</f>
        <v>0</v>
      </c>
      <c r="I30" s="152">
        <f>SUMIF('Other Schedules'!$I$2:$AO$2,I$1,'Other Schedules'!$I$60:$AO$60)</f>
        <v>0</v>
      </c>
      <c r="J30" s="152">
        <f>SUMIF('Other Schedules'!$I$2:$AO$2,J$1,'Other Schedules'!$I$60:$AO$60)</f>
        <v>0</v>
      </c>
      <c r="K30" s="152">
        <f>SUMIF('Other Schedules'!$I$2:$AO$2,K$1,'Other Schedules'!$I$60:$AO$60)</f>
        <v>0</v>
      </c>
      <c r="L30" s="152">
        <f>SUMIF('Other Schedules'!$I$2:$AO$2,L$1,'Other Schedules'!$I$60:$AO$60)</f>
        <v>0</v>
      </c>
      <c r="M30" s="152">
        <f>SUMIF('Other Schedules'!$I$2:$AO$2,M$1,'Other Schedules'!$I$60:$AO$60)</f>
        <v>0</v>
      </c>
      <c r="N30" s="152">
        <f>SUMIF('Other Schedules'!$I$2:$AO$2,N$1,'Other Schedules'!$I$60:$AO$60)</f>
        <v>0</v>
      </c>
      <c r="O30" s="152">
        <f>SUMIF('Other Schedules'!$I$2:$AO$2,O$1,'Other Schedules'!$I$60:$AO$60)</f>
        <v>0</v>
      </c>
      <c r="P30" s="152">
        <f>SUMIF('Other Schedules'!$I$2:$AO$2,P$1,'Other Schedules'!$I$60:$AO$60)</f>
        <v>0</v>
      </c>
      <c r="Q30" s="152">
        <f>SUMIF('Other Schedules'!$I$2:$AO$2,Q$1,'Other Schedules'!$I$60:$AO$60)</f>
        <v>0</v>
      </c>
      <c r="R30" s="290">
        <f>SUMIF('Other Schedules'!$I$2:$AO$2,R$1,'Other Schedules'!$I$60:$AO$60)</f>
        <v>14.461643049501602</v>
      </c>
      <c r="S30" s="290">
        <f>SUMIF('Other Schedules'!$I$2:$AO$2,S$1,'Other Schedules'!$I$60:$AO$60)</f>
        <v>1.1109318574407292</v>
      </c>
      <c r="T30" s="295"/>
      <c r="U30" s="295"/>
      <c r="V30" s="295"/>
      <c r="W30" s="295"/>
      <c r="X30" s="295"/>
      <c r="Y30" s="295"/>
      <c r="Z30" s="295"/>
      <c r="AA30" s="295"/>
      <c r="AB30" s="64"/>
      <c r="AC30" s="64"/>
      <c r="AD30" s="64"/>
      <c r="AE30" s="64"/>
      <c r="AF30" s="64"/>
      <c r="AG30" s="64"/>
      <c r="AH30" s="64"/>
      <c r="AI30" s="64"/>
      <c r="AJ30" s="64"/>
      <c r="AK30" s="64"/>
      <c r="AL30" s="64"/>
      <c r="AM30" s="64"/>
    </row>
    <row r="31" spans="1:39" s="2" customFormat="1">
      <c r="A31" s="1"/>
      <c r="B31" s="276" t="s">
        <v>285</v>
      </c>
      <c r="C31" s="150"/>
      <c r="D31" s="152">
        <v>137.69</v>
      </c>
      <c r="E31" s="152"/>
      <c r="F31" s="152"/>
      <c r="G31" s="152"/>
      <c r="H31" s="152">
        <f>Input!C128</f>
        <v>43.43</v>
      </c>
      <c r="I31" s="152"/>
      <c r="J31" s="152"/>
      <c r="K31" s="152"/>
      <c r="L31" s="152"/>
      <c r="M31" s="152"/>
      <c r="N31" s="152"/>
      <c r="O31" s="152"/>
      <c r="P31" s="152"/>
      <c r="Q31" s="152"/>
      <c r="R31" s="290"/>
      <c r="S31" s="290"/>
      <c r="T31" s="295"/>
      <c r="U31" s="295"/>
      <c r="V31" s="295"/>
      <c r="W31" s="295"/>
      <c r="X31" s="295"/>
      <c r="Y31" s="295"/>
      <c r="Z31" s="295"/>
      <c r="AA31" s="295"/>
      <c r="AB31" s="64"/>
      <c r="AC31" s="64"/>
      <c r="AD31" s="64"/>
      <c r="AE31" s="64"/>
      <c r="AF31" s="64"/>
      <c r="AG31" s="64"/>
      <c r="AH31" s="64"/>
      <c r="AI31" s="64"/>
      <c r="AJ31" s="64"/>
      <c r="AK31" s="64"/>
      <c r="AL31" s="64"/>
      <c r="AM31" s="64"/>
    </row>
    <row r="32" spans="1:39" s="2" customFormat="1" ht="15.75" thickBot="1">
      <c r="A32" s="1"/>
      <c r="B32" s="148" t="s">
        <v>37</v>
      </c>
      <c r="C32" s="141"/>
      <c r="D32" s="149">
        <f>D29-D30+D31</f>
        <v>-10.22999999999999</v>
      </c>
      <c r="E32" s="149">
        <f>E29-E30-E31</f>
        <v>-139.83999999999997</v>
      </c>
      <c r="F32" s="149">
        <f t="shared" ref="F32:R32" si="9">F29-F30-F31</f>
        <v>-517.42298302951895</v>
      </c>
      <c r="G32" s="149">
        <f t="shared" si="9"/>
        <v>-151.22143714756882</v>
      </c>
      <c r="H32" s="149">
        <f t="shared" si="9"/>
        <v>-231.76706354831035</v>
      </c>
      <c r="I32" s="149">
        <f t="shared" si="9"/>
        <v>-9.3348316205870958</v>
      </c>
      <c r="J32" s="149">
        <f t="shared" si="9"/>
        <v>-27.153170871154551</v>
      </c>
      <c r="K32" s="149">
        <f t="shared" si="9"/>
        <v>-3.1849951358225752</v>
      </c>
      <c r="L32" s="149">
        <f t="shared" si="9"/>
        <v>28.918354245662528</v>
      </c>
      <c r="M32" s="149">
        <f t="shared" si="9"/>
        <v>50.342579289093663</v>
      </c>
      <c r="N32" s="149">
        <f t="shared" si="9"/>
        <v>50.115793626055705</v>
      </c>
      <c r="O32" s="149">
        <f t="shared" si="9"/>
        <v>61.476080352146937</v>
      </c>
      <c r="P32" s="149">
        <f t="shared" si="9"/>
        <v>67.838345301031495</v>
      </c>
      <c r="Q32" s="149">
        <f t="shared" si="9"/>
        <v>73.923139858245264</v>
      </c>
      <c r="R32" s="149">
        <f t="shared" si="9"/>
        <v>61.692225681237332</v>
      </c>
      <c r="S32" s="149">
        <f>S29-S30-S31</f>
        <v>4.0444914489184605</v>
      </c>
      <c r="T32" s="296"/>
      <c r="U32" s="296"/>
      <c r="V32" s="296"/>
      <c r="W32" s="296"/>
      <c r="X32" s="296"/>
      <c r="Y32" s="296"/>
      <c r="Z32" s="296"/>
      <c r="AA32" s="296"/>
      <c r="AB32" s="139"/>
      <c r="AC32" s="139"/>
      <c r="AD32" s="139"/>
      <c r="AE32" s="139"/>
      <c r="AF32" s="139"/>
      <c r="AG32" s="139"/>
      <c r="AH32" s="139"/>
      <c r="AI32" s="139"/>
      <c r="AJ32" s="139"/>
      <c r="AK32" s="139"/>
      <c r="AL32" s="64"/>
      <c r="AM32" s="64"/>
    </row>
    <row r="33" spans="1:39" s="2" customFormat="1" ht="15.75" thickBot="1">
      <c r="A33" s="1"/>
      <c r="B33" s="133"/>
      <c r="C33" s="86"/>
      <c r="D33" s="134"/>
      <c r="E33" s="134"/>
      <c r="F33" s="134"/>
      <c r="G33" s="134"/>
      <c r="H33" s="134"/>
      <c r="I33" s="134"/>
      <c r="J33" s="134"/>
      <c r="K33" s="134"/>
      <c r="L33" s="134"/>
      <c r="M33" s="134"/>
      <c r="N33" s="134"/>
      <c r="O33" s="134"/>
      <c r="P33" s="134"/>
      <c r="Q33" s="134"/>
      <c r="R33" s="134"/>
      <c r="S33" s="134"/>
      <c r="T33" s="296"/>
      <c r="U33" s="296"/>
      <c r="V33" s="296"/>
      <c r="W33" s="296"/>
      <c r="X33" s="296"/>
      <c r="Y33" s="296"/>
      <c r="Z33" s="296"/>
      <c r="AA33" s="296"/>
      <c r="AB33" s="139"/>
      <c r="AC33" s="139"/>
      <c r="AD33" s="139"/>
      <c r="AE33" s="139"/>
      <c r="AF33" s="139"/>
      <c r="AG33" s="139"/>
      <c r="AH33" s="139"/>
      <c r="AI33" s="139"/>
      <c r="AJ33" s="139"/>
      <c r="AK33" s="139"/>
      <c r="AL33" s="64"/>
      <c r="AM33" s="64"/>
    </row>
    <row r="34" spans="1:39" ht="14.25" thickBot="1">
      <c r="D34" s="135"/>
      <c r="E34" s="135"/>
      <c r="F34" s="135"/>
      <c r="G34" s="135"/>
      <c r="H34" s="135"/>
      <c r="I34" s="135"/>
      <c r="J34" s="135"/>
      <c r="K34" s="135"/>
      <c r="L34" s="135"/>
      <c r="M34" s="135"/>
      <c r="N34" s="135"/>
      <c r="O34" s="135"/>
      <c r="P34" s="135"/>
      <c r="Q34" s="135"/>
      <c r="R34" s="135"/>
      <c r="S34" s="135"/>
      <c r="T34" s="295"/>
      <c r="U34" s="295"/>
      <c r="V34" s="295"/>
      <c r="W34" s="295"/>
      <c r="X34" s="295"/>
      <c r="Y34" s="295"/>
      <c r="Z34" s="295"/>
      <c r="AA34" s="295"/>
    </row>
    <row r="35" spans="1:39" ht="15">
      <c r="B35" s="136" t="s">
        <v>39</v>
      </c>
      <c r="C35" s="132"/>
      <c r="D35" s="137"/>
      <c r="E35" s="137"/>
      <c r="F35" s="137"/>
      <c r="G35" s="137"/>
      <c r="H35" s="137"/>
      <c r="I35" s="137"/>
      <c r="J35" s="137"/>
      <c r="K35" s="137"/>
      <c r="L35" s="137"/>
      <c r="M35" s="137"/>
      <c r="N35" s="137"/>
      <c r="O35" s="137"/>
      <c r="P35" s="137"/>
      <c r="Q35" s="137"/>
      <c r="R35" s="137"/>
      <c r="S35" s="137"/>
      <c r="T35" s="295"/>
      <c r="U35" s="295"/>
      <c r="V35" s="295"/>
      <c r="W35" s="295"/>
      <c r="X35" s="295"/>
      <c r="Y35" s="295"/>
      <c r="Z35" s="295"/>
      <c r="AA35" s="295"/>
    </row>
    <row r="36" spans="1:39" ht="15">
      <c r="B36" s="110" t="s">
        <v>44</v>
      </c>
      <c r="D36" s="87"/>
      <c r="E36" s="87"/>
      <c r="F36" s="87"/>
      <c r="G36" s="87"/>
      <c r="H36" s="87"/>
      <c r="I36" s="87"/>
      <c r="J36" s="87"/>
      <c r="K36" s="87"/>
      <c r="L36" s="87"/>
      <c r="M36" s="87"/>
      <c r="N36" s="87"/>
      <c r="O36" s="87"/>
      <c r="P36" s="87"/>
      <c r="Q36" s="87"/>
      <c r="R36" s="87"/>
      <c r="S36" s="87"/>
      <c r="T36" s="295"/>
      <c r="U36" s="295"/>
      <c r="V36" s="295"/>
      <c r="W36" s="295"/>
      <c r="X36" s="295"/>
      <c r="Y36" s="295"/>
      <c r="Z36" s="295"/>
      <c r="AA36" s="295"/>
    </row>
    <row r="37" spans="1:39" ht="15">
      <c r="B37" s="278" t="s">
        <v>43</v>
      </c>
      <c r="C37" s="150"/>
      <c r="D37" s="153">
        <f t="shared" ref="D37:R37" si="10">SUM(D38:D40)</f>
        <v>101.94</v>
      </c>
      <c r="E37" s="153">
        <f t="shared" si="10"/>
        <v>-37.779999999999973</v>
      </c>
      <c r="F37" s="153">
        <f t="shared" si="10"/>
        <v>-555.20298302951892</v>
      </c>
      <c r="G37" s="153">
        <f t="shared" si="10"/>
        <v>-706.36442017708782</v>
      </c>
      <c r="H37" s="153">
        <f t="shared" si="10"/>
        <v>-938.13148372539808</v>
      </c>
      <c r="I37" s="153">
        <f t="shared" si="10"/>
        <v>-947.46631534598509</v>
      </c>
      <c r="J37" s="153">
        <f t="shared" si="10"/>
        <v>-974.61948621713964</v>
      </c>
      <c r="K37" s="153">
        <f t="shared" si="10"/>
        <v>-977.80448135296228</v>
      </c>
      <c r="L37" s="153">
        <f t="shared" si="10"/>
        <v>-948.88612710729967</v>
      </c>
      <c r="M37" s="153">
        <f t="shared" si="10"/>
        <v>-898.54354781820598</v>
      </c>
      <c r="N37" s="153">
        <f t="shared" si="10"/>
        <v>-848.42775419215036</v>
      </c>
      <c r="O37" s="153">
        <f t="shared" si="10"/>
        <v>-786.95167384000342</v>
      </c>
      <c r="P37" s="153">
        <f t="shared" si="10"/>
        <v>-719.11332853897193</v>
      </c>
      <c r="Q37" s="153">
        <f t="shared" si="10"/>
        <v>-645.19018868072658</v>
      </c>
      <c r="R37" s="291">
        <f t="shared" si="10"/>
        <v>-583.49796299948912</v>
      </c>
      <c r="S37" s="291">
        <f>SUM(S38:S40)</f>
        <v>-579.45347155057061</v>
      </c>
      <c r="T37" s="296"/>
      <c r="U37" s="296"/>
      <c r="V37" s="296"/>
      <c r="W37" s="296"/>
      <c r="X37" s="296"/>
      <c r="Y37" s="296"/>
      <c r="Z37" s="296"/>
      <c r="AA37" s="296"/>
      <c r="AB37" s="139"/>
      <c r="AC37" s="139"/>
      <c r="AD37" s="139"/>
      <c r="AE37" s="139"/>
      <c r="AF37" s="139"/>
      <c r="AG37" s="139"/>
      <c r="AH37" s="139"/>
      <c r="AI37" s="139"/>
      <c r="AJ37" s="139"/>
      <c r="AK37" s="139"/>
    </row>
    <row r="38" spans="1:39">
      <c r="B38" s="277" t="s">
        <v>40</v>
      </c>
      <c r="C38" s="150"/>
      <c r="D38" s="152">
        <v>88.57</v>
      </c>
      <c r="E38" s="152">
        <v>88.57</v>
      </c>
      <c r="F38" s="152">
        <f t="shared" ref="F38:S38" si="11">E38+F99</f>
        <v>88.57</v>
      </c>
      <c r="G38" s="152">
        <f t="shared" si="11"/>
        <v>88.57</v>
      </c>
      <c r="H38" s="152">
        <f t="shared" si="11"/>
        <v>88.57</v>
      </c>
      <c r="I38" s="152">
        <f t="shared" si="11"/>
        <v>88.57</v>
      </c>
      <c r="J38" s="152">
        <f t="shared" si="11"/>
        <v>88.57</v>
      </c>
      <c r="K38" s="152">
        <f t="shared" si="11"/>
        <v>88.57</v>
      </c>
      <c r="L38" s="152">
        <f t="shared" si="11"/>
        <v>88.57</v>
      </c>
      <c r="M38" s="152">
        <f t="shared" si="11"/>
        <v>88.57</v>
      </c>
      <c r="N38" s="152">
        <f t="shared" si="11"/>
        <v>88.57</v>
      </c>
      <c r="O38" s="152">
        <f t="shared" si="11"/>
        <v>88.57</v>
      </c>
      <c r="P38" s="152">
        <f t="shared" si="11"/>
        <v>88.57</v>
      </c>
      <c r="Q38" s="152">
        <f t="shared" si="11"/>
        <v>88.57</v>
      </c>
      <c r="R38" s="290">
        <f t="shared" si="11"/>
        <v>88.57</v>
      </c>
      <c r="S38" s="290">
        <f t="shared" si="11"/>
        <v>88.57</v>
      </c>
      <c r="T38" s="295"/>
      <c r="U38" s="295"/>
      <c r="V38" s="295"/>
      <c r="W38" s="295"/>
      <c r="X38" s="295"/>
      <c r="Y38" s="295"/>
      <c r="Z38" s="295"/>
      <c r="AA38" s="295"/>
      <c r="AB38" s="64"/>
      <c r="AC38" s="64"/>
      <c r="AD38" s="64"/>
      <c r="AE38" s="64"/>
      <c r="AF38" s="64"/>
      <c r="AG38" s="64"/>
      <c r="AH38" s="64"/>
      <c r="AI38" s="64"/>
      <c r="AJ38" s="64"/>
      <c r="AK38" s="64"/>
    </row>
    <row r="39" spans="1:39">
      <c r="B39" s="277" t="s">
        <v>41</v>
      </c>
      <c r="C39" s="150"/>
      <c r="D39" s="152">
        <v>346.25</v>
      </c>
      <c r="E39" s="152">
        <v>346.25</v>
      </c>
      <c r="F39" s="152">
        <f t="shared" ref="F39:S39" si="12">E39+F100</f>
        <v>346.25</v>
      </c>
      <c r="G39" s="152">
        <f t="shared" si="12"/>
        <v>346.25</v>
      </c>
      <c r="H39" s="152">
        <f t="shared" si="12"/>
        <v>346.25</v>
      </c>
      <c r="I39" s="152">
        <f t="shared" si="12"/>
        <v>346.25</v>
      </c>
      <c r="J39" s="152">
        <f t="shared" si="12"/>
        <v>346.25</v>
      </c>
      <c r="K39" s="152">
        <f t="shared" si="12"/>
        <v>346.25</v>
      </c>
      <c r="L39" s="152">
        <f t="shared" si="12"/>
        <v>346.25</v>
      </c>
      <c r="M39" s="152">
        <f t="shared" si="12"/>
        <v>346.25</v>
      </c>
      <c r="N39" s="152">
        <f t="shared" si="12"/>
        <v>346.25</v>
      </c>
      <c r="O39" s="152">
        <f t="shared" si="12"/>
        <v>346.25</v>
      </c>
      <c r="P39" s="152">
        <f t="shared" si="12"/>
        <v>346.25</v>
      </c>
      <c r="Q39" s="152">
        <f t="shared" si="12"/>
        <v>346.25</v>
      </c>
      <c r="R39" s="290">
        <f t="shared" si="12"/>
        <v>346.25</v>
      </c>
      <c r="S39" s="290">
        <f t="shared" si="12"/>
        <v>346.25</v>
      </c>
      <c r="T39" s="295"/>
      <c r="U39" s="295"/>
      <c r="V39" s="295"/>
      <c r="W39" s="295"/>
      <c r="X39" s="295"/>
      <c r="Y39" s="295"/>
      <c r="Z39" s="295"/>
      <c r="AA39" s="295"/>
      <c r="AB39" s="64"/>
      <c r="AC39" s="64"/>
      <c r="AD39" s="64"/>
      <c r="AE39" s="64"/>
      <c r="AF39" s="64"/>
      <c r="AG39" s="64"/>
      <c r="AH39" s="64"/>
      <c r="AI39" s="64"/>
      <c r="AJ39" s="64"/>
      <c r="AK39" s="64"/>
    </row>
    <row r="40" spans="1:39">
      <c r="B40" s="277" t="s">
        <v>42</v>
      </c>
      <c r="C40" s="150"/>
      <c r="D40" s="155">
        <v>-332.88</v>
      </c>
      <c r="E40" s="152">
        <f>D40+E32+0.12</f>
        <v>-472.59999999999997</v>
      </c>
      <c r="F40" s="152">
        <f t="shared" ref="F40:S40" si="13">E40+F32</f>
        <v>-990.02298302951885</v>
      </c>
      <c r="G40" s="341">
        <f>F40+G32+0.06</f>
        <v>-1141.1844201770878</v>
      </c>
      <c r="H40" s="152">
        <f t="shared" si="13"/>
        <v>-1372.951483725398</v>
      </c>
      <c r="I40" s="152">
        <f t="shared" si="13"/>
        <v>-1382.286315345985</v>
      </c>
      <c r="J40" s="152">
        <f t="shared" si="13"/>
        <v>-1409.4394862171396</v>
      </c>
      <c r="K40" s="152">
        <f t="shared" si="13"/>
        <v>-1412.6244813529622</v>
      </c>
      <c r="L40" s="152">
        <f t="shared" si="13"/>
        <v>-1383.7061271072996</v>
      </c>
      <c r="M40" s="152">
        <f t="shared" si="13"/>
        <v>-1333.3635478182059</v>
      </c>
      <c r="N40" s="152">
        <f t="shared" si="13"/>
        <v>-1283.2477541921503</v>
      </c>
      <c r="O40" s="152">
        <f t="shared" si="13"/>
        <v>-1221.7716738400034</v>
      </c>
      <c r="P40" s="152">
        <f t="shared" si="13"/>
        <v>-1153.9333285389719</v>
      </c>
      <c r="Q40" s="152">
        <f t="shared" si="13"/>
        <v>-1080.0101886807265</v>
      </c>
      <c r="R40" s="290">
        <f t="shared" si="13"/>
        <v>-1018.3179629994892</v>
      </c>
      <c r="S40" s="290">
        <f t="shared" si="13"/>
        <v>-1014.2734715505707</v>
      </c>
      <c r="T40" s="295"/>
      <c r="U40" s="295"/>
      <c r="V40" s="295"/>
      <c r="W40" s="295"/>
      <c r="X40" s="295"/>
      <c r="Y40" s="295"/>
      <c r="Z40" s="295"/>
      <c r="AA40" s="295"/>
      <c r="AB40" s="64"/>
      <c r="AC40" s="64"/>
      <c r="AD40" s="64"/>
      <c r="AE40" s="64"/>
      <c r="AF40" s="64"/>
      <c r="AG40" s="64"/>
      <c r="AH40" s="64"/>
      <c r="AI40" s="64"/>
      <c r="AJ40" s="64"/>
      <c r="AK40" s="64"/>
    </row>
    <row r="41" spans="1:39">
      <c r="B41" s="279"/>
      <c r="C41" s="150"/>
      <c r="D41" s="152"/>
      <c r="E41" s="152"/>
      <c r="F41" s="152"/>
      <c r="G41" s="152"/>
      <c r="H41" s="152"/>
      <c r="I41" s="152"/>
      <c r="J41" s="152"/>
      <c r="K41" s="152"/>
      <c r="L41" s="152"/>
      <c r="M41" s="152"/>
      <c r="N41" s="152"/>
      <c r="O41" s="152"/>
      <c r="P41" s="152"/>
      <c r="Q41" s="152"/>
      <c r="R41" s="290"/>
      <c r="S41" s="290"/>
      <c r="T41" s="295"/>
      <c r="U41" s="295"/>
      <c r="V41" s="295"/>
      <c r="W41" s="295"/>
      <c r="X41" s="295"/>
      <c r="Y41" s="295"/>
      <c r="Z41" s="295"/>
      <c r="AA41" s="295"/>
      <c r="AB41" s="64"/>
      <c r="AC41" s="64"/>
      <c r="AD41" s="64"/>
      <c r="AE41" s="64"/>
      <c r="AF41" s="64"/>
      <c r="AG41" s="64"/>
      <c r="AH41" s="64"/>
      <c r="AI41" s="64"/>
      <c r="AJ41" s="64"/>
      <c r="AK41" s="64"/>
    </row>
    <row r="42" spans="1:39" ht="15">
      <c r="B42" s="278" t="s">
        <v>45</v>
      </c>
      <c r="C42" s="150"/>
      <c r="D42" s="153">
        <f t="shared" ref="D42:R42" si="14">SUM(D43:D47)</f>
        <v>2123.2800000000002</v>
      </c>
      <c r="E42" s="153">
        <f t="shared" si="14"/>
        <v>2146.0013000000004</v>
      </c>
      <c r="F42" s="153">
        <f t="shared" si="14"/>
        <v>1756.5617351120995</v>
      </c>
      <c r="G42" s="153">
        <f t="shared" si="14"/>
        <v>1743.3554773573728</v>
      </c>
      <c r="H42" s="153">
        <f t="shared" si="14"/>
        <v>1521.4884933389999</v>
      </c>
      <c r="I42" s="153">
        <f t="shared" si="14"/>
        <v>1369.2884933389998</v>
      </c>
      <c r="J42" s="153">
        <f t="shared" si="14"/>
        <v>1218.0599539323432</v>
      </c>
      <c r="K42" s="153">
        <f t="shared" si="14"/>
        <v>1019.6689651856765</v>
      </c>
      <c r="L42" s="153">
        <f t="shared" si="14"/>
        <v>761.31278900778887</v>
      </c>
      <c r="M42" s="153">
        <f t="shared" si="14"/>
        <v>139.72831777358962</v>
      </c>
      <c r="N42" s="153">
        <f t="shared" si="14"/>
        <v>2.9792142999999882</v>
      </c>
      <c r="O42" s="153">
        <f t="shared" si="14"/>
        <v>31.965492922619681</v>
      </c>
      <c r="P42" s="153">
        <f t="shared" si="14"/>
        <v>59.816460936439</v>
      </c>
      <c r="Q42" s="153">
        <f t="shared" si="14"/>
        <v>90.302739559058736</v>
      </c>
      <c r="R42" s="291">
        <f t="shared" si="14"/>
        <v>2.9792142999999882</v>
      </c>
      <c r="S42" s="291">
        <f>SUM(S43:S47)</f>
        <v>2.9792142999999882</v>
      </c>
      <c r="T42" s="296"/>
      <c r="U42" s="296"/>
      <c r="V42" s="296"/>
      <c r="W42" s="296"/>
      <c r="X42" s="296"/>
      <c r="Y42" s="296"/>
      <c r="Z42" s="296"/>
      <c r="AA42" s="296"/>
      <c r="AB42" s="139"/>
      <c r="AC42" s="139"/>
      <c r="AD42" s="139"/>
      <c r="AE42" s="139"/>
      <c r="AF42" s="139"/>
      <c r="AG42" s="139"/>
      <c r="AH42" s="139"/>
      <c r="AI42" s="139"/>
      <c r="AJ42" s="139"/>
      <c r="AK42" s="139"/>
    </row>
    <row r="43" spans="1:39">
      <c r="A43" s="35"/>
      <c r="B43" s="277" t="s">
        <v>46</v>
      </c>
      <c r="C43" s="150"/>
      <c r="D43" s="152">
        <f>1046.66+144.76</f>
        <v>1191.42</v>
      </c>
      <c r="E43" s="152">
        <f>863.38+138.96+141.34-22.25</f>
        <v>1121.43</v>
      </c>
      <c r="F43" s="152">
        <v>1064.4730480000001</v>
      </c>
      <c r="G43" s="152">
        <v>1010.1558529</v>
      </c>
      <c r="H43" s="152">
        <f t="shared" ref="H43:S43" si="15">G43+H104</f>
        <v>870.26585290000003</v>
      </c>
      <c r="I43" s="152">
        <f t="shared" si="15"/>
        <v>719.56585289999998</v>
      </c>
      <c r="J43" s="152">
        <f t="shared" si="15"/>
        <v>531.20585289999997</v>
      </c>
      <c r="K43" s="152">
        <f t="shared" si="15"/>
        <v>295.74585289999999</v>
      </c>
      <c r="L43" s="152">
        <f t="shared" si="15"/>
        <v>-4.1471000000115055E-3</v>
      </c>
      <c r="M43" s="152">
        <f t="shared" si="15"/>
        <v>-4.1471000000115055E-3</v>
      </c>
      <c r="N43" s="152">
        <f t="shared" si="15"/>
        <v>-4.1471000000115055E-3</v>
      </c>
      <c r="O43" s="152">
        <f t="shared" si="15"/>
        <v>-4.1471000000115055E-3</v>
      </c>
      <c r="P43" s="152">
        <f t="shared" si="15"/>
        <v>-4.1471000000115055E-3</v>
      </c>
      <c r="Q43" s="152">
        <f t="shared" si="15"/>
        <v>-4.1471000000115055E-3</v>
      </c>
      <c r="R43" s="152">
        <f t="shared" si="15"/>
        <v>-4.1471000000115055E-3</v>
      </c>
      <c r="S43" s="152">
        <f t="shared" si="15"/>
        <v>-4.1471000000115055E-3</v>
      </c>
      <c r="T43" s="295"/>
      <c r="U43" s="295"/>
      <c r="V43" s="295"/>
      <c r="W43" s="295"/>
      <c r="X43" s="295"/>
      <c r="Y43" s="295"/>
      <c r="Z43" s="295"/>
      <c r="AA43" s="295"/>
      <c r="AB43" s="64"/>
      <c r="AC43" s="64"/>
      <c r="AD43" s="64"/>
      <c r="AE43" s="64"/>
      <c r="AF43" s="64"/>
      <c r="AG43" s="64"/>
      <c r="AH43" s="64"/>
      <c r="AI43" s="64"/>
      <c r="AJ43" s="64"/>
      <c r="AK43" s="64"/>
    </row>
    <row r="44" spans="1:39">
      <c r="A44" s="35"/>
      <c r="B44" s="277" t="s">
        <v>286</v>
      </c>
      <c r="C44" s="150"/>
      <c r="D44" s="152">
        <f>724.48+100.04</f>
        <v>824.52</v>
      </c>
      <c r="E44" s="152">
        <f>793.31+109.55+22.25</f>
        <v>925.1099999999999</v>
      </c>
      <c r="F44" s="152">
        <v>590.62995978382958</v>
      </c>
      <c r="G44" s="152">
        <v>646.73927903899994</v>
      </c>
      <c r="H44" s="152">
        <f t="shared" ref="H44:S44" si="16">G44+IF((G44+H105)&gt;0,H105,-G44)</f>
        <v>646.73927903899994</v>
      </c>
      <c r="I44" s="152">
        <f t="shared" si="16"/>
        <v>646.73927903899994</v>
      </c>
      <c r="J44" s="152">
        <f t="shared" si="16"/>
        <v>646.73927903899994</v>
      </c>
      <c r="K44" s="152">
        <f t="shared" si="16"/>
        <v>646.73927903899994</v>
      </c>
      <c r="L44" s="152">
        <f t="shared" si="16"/>
        <v>646.73927903899994</v>
      </c>
      <c r="M44" s="152">
        <f t="shared" si="16"/>
        <v>78.644279038999912</v>
      </c>
      <c r="N44" s="152">
        <f t="shared" si="16"/>
        <v>0</v>
      </c>
      <c r="O44" s="152">
        <f t="shared" si="16"/>
        <v>0</v>
      </c>
      <c r="P44" s="152">
        <f t="shared" si="16"/>
        <v>0</v>
      </c>
      <c r="Q44" s="152">
        <f t="shared" si="16"/>
        <v>0</v>
      </c>
      <c r="R44" s="152">
        <f t="shared" si="16"/>
        <v>0</v>
      </c>
      <c r="S44" s="152">
        <f t="shared" si="16"/>
        <v>0</v>
      </c>
      <c r="T44" s="295"/>
      <c r="U44" s="295"/>
      <c r="V44" s="295"/>
      <c r="W44" s="295"/>
      <c r="X44" s="295"/>
      <c r="Y44" s="295"/>
      <c r="Z44" s="295"/>
      <c r="AA44" s="295"/>
      <c r="AB44" s="64"/>
      <c r="AC44" s="64"/>
      <c r="AD44" s="64"/>
      <c r="AE44" s="64"/>
      <c r="AF44" s="64"/>
      <c r="AG44" s="64"/>
      <c r="AH44" s="64"/>
      <c r="AI44" s="64"/>
      <c r="AJ44" s="64"/>
      <c r="AK44" s="64"/>
    </row>
    <row r="45" spans="1:39">
      <c r="A45" s="35"/>
      <c r="B45" s="277" t="s">
        <v>219</v>
      </c>
      <c r="C45" s="150"/>
      <c r="D45" s="152">
        <v>87.04</v>
      </c>
      <c r="E45" s="152">
        <f>56.24+40.62</f>
        <v>96.86</v>
      </c>
      <c r="F45" s="152">
        <v>98.39097292826996</v>
      </c>
      <c r="G45" s="152">
        <v>83.47698401837296</v>
      </c>
      <c r="H45" s="152">
        <f t="shared" ref="H45:S45" si="17">G45+H88+H89</f>
        <v>1.5</v>
      </c>
      <c r="I45" s="152">
        <f t="shared" si="17"/>
        <v>0</v>
      </c>
      <c r="J45" s="152">
        <f t="shared" si="17"/>
        <v>37.131460593343235</v>
      </c>
      <c r="K45" s="152">
        <f t="shared" si="17"/>
        <v>74.200471846676464</v>
      </c>
      <c r="L45" s="152">
        <f t="shared" si="17"/>
        <v>111.5942956687889</v>
      </c>
      <c r="M45" s="152">
        <f t="shared" si="17"/>
        <v>58.10482443458973</v>
      </c>
      <c r="N45" s="152">
        <f t="shared" si="17"/>
        <v>0</v>
      </c>
      <c r="O45" s="152">
        <f t="shared" si="17"/>
        <v>28.986278622619693</v>
      </c>
      <c r="P45" s="152">
        <f t="shared" si="17"/>
        <v>56.837246636439012</v>
      </c>
      <c r="Q45" s="152">
        <f t="shared" si="17"/>
        <v>87.323525259058755</v>
      </c>
      <c r="R45" s="152">
        <f t="shared" si="17"/>
        <v>0</v>
      </c>
      <c r="S45" s="152">
        <f t="shared" si="17"/>
        <v>0</v>
      </c>
      <c r="T45" s="295"/>
      <c r="U45" s="295"/>
      <c r="V45" s="295"/>
      <c r="W45" s="295"/>
      <c r="X45" s="295"/>
      <c r="Y45" s="295"/>
      <c r="Z45" s="295"/>
      <c r="AA45" s="295"/>
      <c r="AB45" s="64"/>
      <c r="AC45" s="64"/>
      <c r="AD45" s="64"/>
      <c r="AE45" s="64"/>
      <c r="AF45" s="64"/>
      <c r="AG45" s="64"/>
      <c r="AH45" s="64"/>
      <c r="AI45" s="64"/>
      <c r="AJ45" s="64"/>
      <c r="AK45" s="64"/>
    </row>
    <row r="46" spans="1:39">
      <c r="A46" s="35"/>
      <c r="B46" s="277" t="s">
        <v>287</v>
      </c>
      <c r="C46" s="150"/>
      <c r="D46" s="152">
        <v>18.11</v>
      </c>
      <c r="E46" s="152">
        <v>0.61</v>
      </c>
      <c r="F46" s="152">
        <v>0.41870000000000002</v>
      </c>
      <c r="G46" s="152">
        <v>0.44209999999999999</v>
      </c>
      <c r="H46" s="152">
        <f t="shared" ref="H46:S46" si="18">G46</f>
        <v>0.44209999999999999</v>
      </c>
      <c r="I46" s="152">
        <f t="shared" si="18"/>
        <v>0.44209999999999999</v>
      </c>
      <c r="J46" s="152">
        <f t="shared" si="18"/>
        <v>0.44209999999999999</v>
      </c>
      <c r="K46" s="152">
        <f t="shared" si="18"/>
        <v>0.44209999999999999</v>
      </c>
      <c r="L46" s="152">
        <f t="shared" si="18"/>
        <v>0.44209999999999999</v>
      </c>
      <c r="M46" s="152">
        <f t="shared" si="18"/>
        <v>0.44209999999999999</v>
      </c>
      <c r="N46" s="152">
        <f t="shared" si="18"/>
        <v>0.44209999999999999</v>
      </c>
      <c r="O46" s="152">
        <f t="shared" si="18"/>
        <v>0.44209999999999999</v>
      </c>
      <c r="P46" s="152">
        <f t="shared" si="18"/>
        <v>0.44209999999999999</v>
      </c>
      <c r="Q46" s="152">
        <f t="shared" si="18"/>
        <v>0.44209999999999999</v>
      </c>
      <c r="R46" s="290">
        <f t="shared" si="18"/>
        <v>0.44209999999999999</v>
      </c>
      <c r="S46" s="290">
        <f t="shared" si="18"/>
        <v>0.44209999999999999</v>
      </c>
      <c r="T46" s="295"/>
      <c r="U46" s="295"/>
      <c r="V46" s="295"/>
      <c r="W46" s="295"/>
      <c r="X46" s="295"/>
      <c r="Y46" s="295"/>
      <c r="Z46" s="295"/>
      <c r="AA46" s="295"/>
      <c r="AB46" s="64"/>
      <c r="AC46" s="64"/>
      <c r="AD46" s="64"/>
      <c r="AE46" s="64"/>
      <c r="AF46" s="64"/>
      <c r="AG46" s="64"/>
      <c r="AH46" s="64"/>
      <c r="AI46" s="64"/>
      <c r="AJ46" s="64"/>
      <c r="AK46" s="64"/>
    </row>
    <row r="47" spans="1:39">
      <c r="A47" s="138"/>
      <c r="B47" s="277" t="s">
        <v>47</v>
      </c>
      <c r="C47" s="150"/>
      <c r="D47" s="152">
        <f>1.27+0.92</f>
        <v>2.19</v>
      </c>
      <c r="E47" s="152">
        <f>1.2013+0.79</f>
        <v>1.9913000000000001</v>
      </c>
      <c r="F47" s="152">
        <v>2.6490543999999998</v>
      </c>
      <c r="G47" s="152">
        <v>2.5412613999999998</v>
      </c>
      <c r="H47" s="152">
        <f t="shared" ref="H47:S47" si="19">G47</f>
        <v>2.5412613999999998</v>
      </c>
      <c r="I47" s="152">
        <f t="shared" si="19"/>
        <v>2.5412613999999998</v>
      </c>
      <c r="J47" s="152">
        <f t="shared" si="19"/>
        <v>2.5412613999999998</v>
      </c>
      <c r="K47" s="152">
        <f t="shared" si="19"/>
        <v>2.5412613999999998</v>
      </c>
      <c r="L47" s="152">
        <f t="shared" si="19"/>
        <v>2.5412613999999998</v>
      </c>
      <c r="M47" s="152">
        <f t="shared" si="19"/>
        <v>2.5412613999999998</v>
      </c>
      <c r="N47" s="152">
        <f t="shared" si="19"/>
        <v>2.5412613999999998</v>
      </c>
      <c r="O47" s="152">
        <f t="shared" si="19"/>
        <v>2.5412613999999998</v>
      </c>
      <c r="P47" s="152">
        <f t="shared" si="19"/>
        <v>2.5412613999999998</v>
      </c>
      <c r="Q47" s="152">
        <f t="shared" si="19"/>
        <v>2.5412613999999998</v>
      </c>
      <c r="R47" s="290">
        <f t="shared" si="19"/>
        <v>2.5412613999999998</v>
      </c>
      <c r="S47" s="290">
        <f t="shared" si="19"/>
        <v>2.5412613999999998</v>
      </c>
      <c r="T47" s="295"/>
      <c r="U47" s="295"/>
      <c r="V47" s="295"/>
      <c r="W47" s="295"/>
      <c r="X47" s="295"/>
      <c r="Y47" s="295"/>
      <c r="Z47" s="295"/>
      <c r="AA47" s="295"/>
      <c r="AB47" s="64"/>
      <c r="AC47" s="64"/>
      <c r="AD47" s="64"/>
      <c r="AE47" s="64"/>
      <c r="AF47" s="64"/>
      <c r="AG47" s="64"/>
      <c r="AH47" s="64"/>
      <c r="AI47" s="64"/>
      <c r="AJ47" s="64"/>
      <c r="AK47" s="64"/>
    </row>
    <row r="48" spans="1:39">
      <c r="B48" s="279"/>
      <c r="C48" s="150"/>
      <c r="D48" s="152"/>
      <c r="E48" s="152"/>
      <c r="F48" s="152"/>
      <c r="G48" s="152"/>
      <c r="H48" s="152"/>
      <c r="I48" s="152"/>
      <c r="J48" s="152"/>
      <c r="K48" s="152"/>
      <c r="L48" s="152"/>
      <c r="M48" s="152"/>
      <c r="N48" s="152"/>
      <c r="O48" s="152"/>
      <c r="P48" s="152"/>
      <c r="Q48" s="152"/>
      <c r="R48" s="290"/>
      <c r="S48" s="290"/>
      <c r="T48" s="295"/>
      <c r="U48" s="295"/>
      <c r="V48" s="295"/>
      <c r="W48" s="295"/>
      <c r="X48" s="295"/>
      <c r="Y48" s="295"/>
      <c r="Z48" s="295"/>
      <c r="AA48" s="295"/>
      <c r="AB48" s="64"/>
      <c r="AC48" s="64"/>
      <c r="AD48" s="64"/>
      <c r="AE48" s="64"/>
      <c r="AF48" s="64"/>
      <c r="AG48" s="64"/>
      <c r="AH48" s="64"/>
      <c r="AI48" s="64"/>
      <c r="AJ48" s="64"/>
      <c r="AK48" s="64"/>
    </row>
    <row r="49" spans="1:37" ht="15">
      <c r="B49" s="278" t="s">
        <v>49</v>
      </c>
      <c r="C49" s="150"/>
      <c r="D49" s="153">
        <f t="shared" ref="D49:R49" si="20">SUM(D50:D55)</f>
        <v>288.63</v>
      </c>
      <c r="E49" s="153">
        <f t="shared" si="20"/>
        <v>333.71999999999997</v>
      </c>
      <c r="F49" s="153">
        <f t="shared" si="20"/>
        <v>357.25616422400003</v>
      </c>
      <c r="G49" s="153">
        <f t="shared" si="20"/>
        <v>406.61653026900007</v>
      </c>
      <c r="H49" s="153">
        <f t="shared" si="20"/>
        <v>371.77226109200006</v>
      </c>
      <c r="I49" s="153">
        <f t="shared" si="20"/>
        <v>371.77226109200006</v>
      </c>
      <c r="J49" s="153">
        <f t="shared" si="20"/>
        <v>371.77226109200006</v>
      </c>
      <c r="K49" s="153">
        <f t="shared" si="20"/>
        <v>371.77226109200006</v>
      </c>
      <c r="L49" s="153">
        <f t="shared" si="20"/>
        <v>371.77226109200006</v>
      </c>
      <c r="M49" s="153">
        <f t="shared" si="20"/>
        <v>371.77226109200006</v>
      </c>
      <c r="N49" s="153">
        <f t="shared" si="20"/>
        <v>-117.67845986899984</v>
      </c>
      <c r="O49" s="153">
        <f t="shared" si="20"/>
        <v>-117.67845986899984</v>
      </c>
      <c r="P49" s="153">
        <f t="shared" si="20"/>
        <v>-117.67845986899984</v>
      </c>
      <c r="Q49" s="153">
        <f t="shared" si="20"/>
        <v>-117.67845986899984</v>
      </c>
      <c r="R49" s="291">
        <f t="shared" si="20"/>
        <v>-135.23461436099984</v>
      </c>
      <c r="S49" s="291">
        <f>SUM(S50:S55)</f>
        <v>-135.23461436099984</v>
      </c>
      <c r="T49" s="296"/>
      <c r="U49" s="296"/>
      <c r="V49" s="296"/>
      <c r="W49" s="296"/>
      <c r="X49" s="296"/>
      <c r="Y49" s="296"/>
      <c r="Z49" s="296"/>
      <c r="AA49" s="296"/>
      <c r="AB49" s="139"/>
      <c r="AC49" s="139"/>
      <c r="AD49" s="139"/>
      <c r="AE49" s="139"/>
      <c r="AF49" s="139"/>
      <c r="AG49" s="139"/>
      <c r="AH49" s="139"/>
      <c r="AI49" s="139"/>
      <c r="AJ49" s="139"/>
      <c r="AK49" s="139"/>
    </row>
    <row r="50" spans="1:37">
      <c r="A50" s="35"/>
      <c r="B50" s="277" t="s">
        <v>50</v>
      </c>
      <c r="C50" s="150"/>
      <c r="D50" s="152"/>
      <c r="E50" s="152"/>
      <c r="F50" s="152"/>
      <c r="G50" s="152"/>
      <c r="H50" s="152"/>
      <c r="I50" s="152"/>
      <c r="J50" s="152"/>
      <c r="K50" s="152"/>
      <c r="L50" s="152"/>
      <c r="M50" s="152"/>
      <c r="N50" s="152"/>
      <c r="O50" s="152"/>
      <c r="P50" s="152"/>
      <c r="Q50" s="152"/>
      <c r="R50" s="290"/>
      <c r="S50" s="290"/>
      <c r="T50" s="295"/>
      <c r="U50" s="295"/>
      <c r="V50" s="295"/>
      <c r="W50" s="295"/>
      <c r="X50" s="295"/>
      <c r="Y50" s="295"/>
      <c r="Z50" s="295"/>
      <c r="AA50" s="295"/>
      <c r="AB50" s="64"/>
      <c r="AC50" s="64"/>
      <c r="AD50" s="64"/>
      <c r="AE50" s="64"/>
      <c r="AF50" s="64"/>
      <c r="AG50" s="64"/>
      <c r="AH50" s="64"/>
      <c r="AI50" s="64"/>
      <c r="AJ50" s="64"/>
      <c r="AK50" s="64"/>
    </row>
    <row r="51" spans="1:37">
      <c r="B51" s="277" t="s">
        <v>51</v>
      </c>
      <c r="C51" s="150"/>
      <c r="D51" s="152"/>
      <c r="E51" s="152"/>
      <c r="F51" s="152"/>
      <c r="G51" s="152"/>
      <c r="H51" s="152"/>
      <c r="I51" s="152"/>
      <c r="J51" s="152"/>
      <c r="K51" s="152"/>
      <c r="L51" s="152"/>
      <c r="M51" s="152"/>
      <c r="N51" s="152"/>
      <c r="O51" s="152"/>
      <c r="P51" s="152"/>
      <c r="Q51" s="152"/>
      <c r="R51" s="290"/>
      <c r="S51" s="290"/>
      <c r="T51" s="295"/>
      <c r="U51" s="295"/>
      <c r="V51" s="295"/>
      <c r="W51" s="295"/>
      <c r="X51" s="295"/>
      <c r="Y51" s="295"/>
      <c r="Z51" s="295"/>
      <c r="AA51" s="295"/>
      <c r="AB51" s="64"/>
      <c r="AC51" s="64"/>
      <c r="AD51" s="64"/>
      <c r="AE51" s="64"/>
      <c r="AF51" s="64"/>
      <c r="AG51" s="64"/>
      <c r="AH51" s="64"/>
      <c r="AI51" s="64"/>
      <c r="AJ51" s="64"/>
      <c r="AK51" s="64"/>
    </row>
    <row r="52" spans="1:37">
      <c r="B52" s="277" t="s">
        <v>288</v>
      </c>
      <c r="C52" s="150"/>
      <c r="D52" s="152">
        <f>245.5+23.32-0.09</f>
        <v>268.73</v>
      </c>
      <c r="E52" s="152">
        <f>245.5+49.53+0.25</f>
        <v>295.27999999999997</v>
      </c>
      <c r="F52" s="152">
        <f>323.0607997+0.19</f>
        <v>323.25079970000002</v>
      </c>
      <c r="G52" s="152">
        <f>353.7515761+0.35</f>
        <v>354.10157610000005</v>
      </c>
      <c r="H52" s="152">
        <f t="shared" ref="H52:S52" si="21">G52+IF(G44&gt;(H105*-1),0,G44+H105)</f>
        <v>354.10157610000005</v>
      </c>
      <c r="I52" s="152">
        <f t="shared" si="21"/>
        <v>354.10157610000005</v>
      </c>
      <c r="J52" s="152">
        <f t="shared" si="21"/>
        <v>354.10157610000005</v>
      </c>
      <c r="K52" s="152">
        <f t="shared" si="21"/>
        <v>354.10157610000005</v>
      </c>
      <c r="L52" s="152">
        <f t="shared" si="21"/>
        <v>354.10157610000005</v>
      </c>
      <c r="M52" s="152">
        <f t="shared" si="21"/>
        <v>354.10157610000005</v>
      </c>
      <c r="N52" s="152">
        <f t="shared" si="21"/>
        <v>-135.34914486099984</v>
      </c>
      <c r="O52" s="152">
        <f t="shared" si="21"/>
        <v>-135.34914486099984</v>
      </c>
      <c r="P52" s="152">
        <f t="shared" si="21"/>
        <v>-135.34914486099984</v>
      </c>
      <c r="Q52" s="152">
        <f t="shared" si="21"/>
        <v>-135.34914486099984</v>
      </c>
      <c r="R52" s="152">
        <f t="shared" si="21"/>
        <v>-135.34914486099984</v>
      </c>
      <c r="S52" s="152">
        <f t="shared" si="21"/>
        <v>-135.34914486099984</v>
      </c>
      <c r="T52" s="295"/>
      <c r="U52" s="295"/>
      <c r="V52" s="295"/>
      <c r="W52" s="295"/>
      <c r="X52" s="295"/>
      <c r="Y52" s="295"/>
      <c r="Z52" s="295"/>
      <c r="AA52" s="295"/>
      <c r="AB52" s="64"/>
      <c r="AC52" s="64"/>
      <c r="AD52" s="64"/>
      <c r="AE52" s="64"/>
      <c r="AF52" s="64"/>
      <c r="AG52" s="64"/>
      <c r="AH52" s="64"/>
      <c r="AI52" s="64"/>
      <c r="AJ52" s="64"/>
      <c r="AK52" s="64"/>
    </row>
    <row r="53" spans="1:37">
      <c r="B53" s="277" t="s">
        <v>52</v>
      </c>
      <c r="C53" s="150"/>
      <c r="D53" s="152">
        <f>11.81+1.33+6.25+0.14</f>
        <v>19.53</v>
      </c>
      <c r="E53" s="152">
        <f>12.7+18.5+3.74+3.13</f>
        <v>38.07</v>
      </c>
      <c r="F53" s="152">
        <v>30.711993942999996</v>
      </c>
      <c r="G53" s="152">
        <v>34.844269177000001</v>
      </c>
      <c r="H53" s="152">
        <f t="shared" ref="H53:S53" si="22">G53+H95</f>
        <v>0</v>
      </c>
      <c r="I53" s="152">
        <f t="shared" si="22"/>
        <v>0</v>
      </c>
      <c r="J53" s="152">
        <f t="shared" si="22"/>
        <v>0</v>
      </c>
      <c r="K53" s="152">
        <f t="shared" si="22"/>
        <v>0</v>
      </c>
      <c r="L53" s="152">
        <f t="shared" si="22"/>
        <v>0</v>
      </c>
      <c r="M53" s="152">
        <f t="shared" si="22"/>
        <v>0</v>
      </c>
      <c r="N53" s="152">
        <f t="shared" si="22"/>
        <v>0</v>
      </c>
      <c r="O53" s="152">
        <f t="shared" si="22"/>
        <v>0</v>
      </c>
      <c r="P53" s="152">
        <f t="shared" si="22"/>
        <v>0</v>
      </c>
      <c r="Q53" s="152">
        <f t="shared" si="22"/>
        <v>0</v>
      </c>
      <c r="R53" s="152">
        <f t="shared" si="22"/>
        <v>0</v>
      </c>
      <c r="S53" s="152">
        <f t="shared" si="22"/>
        <v>0</v>
      </c>
      <c r="T53" s="295"/>
      <c r="U53" s="295"/>
      <c r="V53" s="295"/>
      <c r="W53" s="295"/>
      <c r="X53" s="295"/>
      <c r="Y53" s="295"/>
      <c r="Z53" s="295"/>
      <c r="AA53" s="295"/>
      <c r="AB53" s="64"/>
      <c r="AC53" s="64"/>
      <c r="AD53" s="64"/>
      <c r="AE53" s="64"/>
      <c r="AF53" s="64"/>
      <c r="AG53" s="64"/>
      <c r="AH53" s="64"/>
      <c r="AI53" s="64"/>
      <c r="AJ53" s="64"/>
      <c r="AK53" s="64"/>
    </row>
    <row r="54" spans="1:37">
      <c r="B54" s="277" t="s">
        <v>53</v>
      </c>
      <c r="C54" s="150"/>
      <c r="D54" s="152">
        <v>0.31</v>
      </c>
      <c r="E54" s="152">
        <v>0.31</v>
      </c>
      <c r="F54" s="152">
        <v>3.1833705809999997</v>
      </c>
      <c r="G54" s="152">
        <v>17.556154492000008</v>
      </c>
      <c r="H54" s="152">
        <f>G54+H94</f>
        <v>17.556154492000008</v>
      </c>
      <c r="I54" s="152">
        <f t="shared" ref="I54:S54" si="23">H54+I94</f>
        <v>17.556154492000008</v>
      </c>
      <c r="J54" s="152">
        <f t="shared" si="23"/>
        <v>17.556154492000008</v>
      </c>
      <c r="K54" s="152">
        <f t="shared" si="23"/>
        <v>17.556154492000008</v>
      </c>
      <c r="L54" s="152">
        <f t="shared" si="23"/>
        <v>17.556154492000008</v>
      </c>
      <c r="M54" s="152">
        <f t="shared" si="23"/>
        <v>17.556154492000008</v>
      </c>
      <c r="N54" s="152">
        <f t="shared" si="23"/>
        <v>17.556154492000008</v>
      </c>
      <c r="O54" s="152">
        <f t="shared" si="23"/>
        <v>17.556154492000008</v>
      </c>
      <c r="P54" s="152">
        <f t="shared" si="23"/>
        <v>17.556154492000008</v>
      </c>
      <c r="Q54" s="152">
        <f t="shared" si="23"/>
        <v>17.556154492000008</v>
      </c>
      <c r="R54" s="152">
        <f t="shared" si="23"/>
        <v>0</v>
      </c>
      <c r="S54" s="152">
        <f t="shared" si="23"/>
        <v>0</v>
      </c>
      <c r="T54" s="295"/>
      <c r="U54" s="295"/>
      <c r="V54" s="295"/>
      <c r="W54" s="295"/>
      <c r="X54" s="295"/>
      <c r="Y54" s="295"/>
      <c r="Z54" s="295"/>
      <c r="AA54" s="295"/>
      <c r="AB54" s="64"/>
      <c r="AC54" s="64"/>
      <c r="AD54" s="64"/>
      <c r="AE54" s="64"/>
      <c r="AF54" s="64"/>
      <c r="AG54" s="64"/>
      <c r="AH54" s="64"/>
      <c r="AI54" s="64"/>
      <c r="AJ54" s="64"/>
      <c r="AK54" s="64"/>
    </row>
    <row r="55" spans="1:37">
      <c r="B55" s="277" t="s">
        <v>55</v>
      </c>
      <c r="C55" s="150"/>
      <c r="D55" s="152">
        <v>0.06</v>
      </c>
      <c r="E55" s="152">
        <f>D55</f>
        <v>0.06</v>
      </c>
      <c r="F55" s="152">
        <v>0.11</v>
      </c>
      <c r="G55" s="152">
        <v>0.11453049999999999</v>
      </c>
      <c r="H55" s="152">
        <f t="shared" ref="H55:S55" si="24">G55</f>
        <v>0.11453049999999999</v>
      </c>
      <c r="I55" s="152">
        <f t="shared" si="24"/>
        <v>0.11453049999999999</v>
      </c>
      <c r="J55" s="152">
        <f t="shared" si="24"/>
        <v>0.11453049999999999</v>
      </c>
      <c r="K55" s="152">
        <f t="shared" si="24"/>
        <v>0.11453049999999999</v>
      </c>
      <c r="L55" s="152">
        <f t="shared" si="24"/>
        <v>0.11453049999999999</v>
      </c>
      <c r="M55" s="152">
        <f t="shared" si="24"/>
        <v>0.11453049999999999</v>
      </c>
      <c r="N55" s="152">
        <f t="shared" si="24"/>
        <v>0.11453049999999999</v>
      </c>
      <c r="O55" s="152">
        <f t="shared" si="24"/>
        <v>0.11453049999999999</v>
      </c>
      <c r="P55" s="152">
        <f t="shared" si="24"/>
        <v>0.11453049999999999</v>
      </c>
      <c r="Q55" s="152">
        <f t="shared" si="24"/>
        <v>0.11453049999999999</v>
      </c>
      <c r="R55" s="290">
        <f t="shared" si="24"/>
        <v>0.11453049999999999</v>
      </c>
      <c r="S55" s="290">
        <f t="shared" si="24"/>
        <v>0.11453049999999999</v>
      </c>
      <c r="T55" s="295"/>
      <c r="U55" s="295"/>
      <c r="V55" s="295"/>
      <c r="W55" s="295"/>
      <c r="X55" s="295"/>
      <c r="Y55" s="295"/>
      <c r="Z55" s="295"/>
      <c r="AA55" s="295"/>
      <c r="AB55" s="64"/>
      <c r="AC55" s="64"/>
      <c r="AD55" s="64"/>
      <c r="AE55" s="64"/>
      <c r="AF55" s="64"/>
      <c r="AG55" s="64"/>
      <c r="AH55" s="64"/>
      <c r="AI55" s="64"/>
      <c r="AJ55" s="64"/>
      <c r="AK55" s="64"/>
    </row>
    <row r="56" spans="1:37">
      <c r="B56" s="279"/>
      <c r="C56" s="150"/>
      <c r="D56" s="152"/>
      <c r="E56" s="152"/>
      <c r="F56" s="152"/>
      <c r="G56" s="152"/>
      <c r="H56" s="152"/>
      <c r="I56" s="152"/>
      <c r="J56" s="152"/>
      <c r="K56" s="152"/>
      <c r="L56" s="152"/>
      <c r="M56" s="152"/>
      <c r="N56" s="152"/>
      <c r="O56" s="152"/>
      <c r="P56" s="152"/>
      <c r="Q56" s="152"/>
      <c r="R56" s="290"/>
      <c r="S56" s="290"/>
      <c r="T56" s="295"/>
      <c r="U56" s="295"/>
      <c r="V56" s="295"/>
      <c r="W56" s="295"/>
      <c r="X56" s="295"/>
      <c r="Y56" s="295"/>
      <c r="Z56" s="295"/>
      <c r="AA56" s="295"/>
      <c r="AB56" s="64"/>
      <c r="AC56" s="64"/>
      <c r="AD56" s="64"/>
      <c r="AE56" s="64"/>
      <c r="AF56" s="64"/>
      <c r="AG56" s="64"/>
      <c r="AH56" s="64"/>
      <c r="AI56" s="64"/>
      <c r="AJ56" s="64"/>
      <c r="AK56" s="64"/>
    </row>
    <row r="57" spans="1:37" ht="15.75" thickBot="1">
      <c r="A57" s="35"/>
      <c r="B57" s="157" t="s">
        <v>54</v>
      </c>
      <c r="C57" s="158"/>
      <c r="D57" s="159">
        <f t="shared" ref="D57:R57" si="25">SUM(D37,D42,D49)</f>
        <v>2513.8500000000004</v>
      </c>
      <c r="E57" s="159">
        <f t="shared" si="25"/>
        <v>2441.9413</v>
      </c>
      <c r="F57" s="159">
        <f t="shared" si="25"/>
        <v>1558.6149163065807</v>
      </c>
      <c r="G57" s="342">
        <f t="shared" si="25"/>
        <v>1443.6075874492851</v>
      </c>
      <c r="H57" s="159">
        <f t="shared" si="25"/>
        <v>955.12927070560181</v>
      </c>
      <c r="I57" s="159">
        <f t="shared" si="25"/>
        <v>793.59443908501476</v>
      </c>
      <c r="J57" s="159">
        <f t="shared" si="25"/>
        <v>615.21272880720358</v>
      </c>
      <c r="K57" s="159">
        <f t="shared" si="25"/>
        <v>413.63674492471426</v>
      </c>
      <c r="L57" s="159">
        <f t="shared" si="25"/>
        <v>184.19892299248926</v>
      </c>
      <c r="M57" s="159">
        <f t="shared" si="25"/>
        <v>-387.04296895261626</v>
      </c>
      <c r="N57" s="159">
        <f t="shared" si="25"/>
        <v>-963.12699976115027</v>
      </c>
      <c r="O57" s="159">
        <f t="shared" si="25"/>
        <v>-872.66464078638364</v>
      </c>
      <c r="P57" s="159">
        <f t="shared" si="25"/>
        <v>-776.97532747153286</v>
      </c>
      <c r="Q57" s="159">
        <f t="shared" si="25"/>
        <v>-672.56590899066771</v>
      </c>
      <c r="R57" s="159">
        <f t="shared" si="25"/>
        <v>-715.75336306048894</v>
      </c>
      <c r="S57" s="159">
        <f>SUM(S37,S42,S49)</f>
        <v>-711.70887161157043</v>
      </c>
      <c r="T57" s="296"/>
      <c r="U57" s="296"/>
      <c r="V57" s="296"/>
      <c r="W57" s="296"/>
      <c r="X57" s="296"/>
      <c r="Y57" s="296"/>
      <c r="Z57" s="296"/>
      <c r="AA57" s="296"/>
      <c r="AB57" s="139"/>
      <c r="AC57" s="139"/>
      <c r="AD57" s="139"/>
      <c r="AE57" s="139"/>
      <c r="AF57" s="139"/>
      <c r="AG57" s="139"/>
      <c r="AH57" s="139"/>
      <c r="AI57" s="139"/>
      <c r="AJ57" s="139"/>
      <c r="AK57" s="139"/>
    </row>
    <row r="58" spans="1:37" ht="14.25" thickTop="1">
      <c r="B58" s="115"/>
      <c r="D58" s="87"/>
      <c r="E58" s="87"/>
      <c r="F58" s="87"/>
      <c r="G58" s="87"/>
      <c r="H58" s="344"/>
      <c r="I58" s="87"/>
      <c r="J58" s="87"/>
      <c r="K58" s="87"/>
      <c r="L58" s="87"/>
      <c r="M58" s="87"/>
      <c r="N58" s="87"/>
      <c r="O58" s="87"/>
      <c r="P58" s="87"/>
      <c r="Q58" s="87"/>
      <c r="R58" s="87"/>
      <c r="S58" s="87"/>
      <c r="T58" s="295"/>
      <c r="U58" s="295"/>
      <c r="V58" s="295"/>
      <c r="W58" s="295"/>
      <c r="X58" s="295"/>
      <c r="Y58" s="295"/>
      <c r="Z58" s="295"/>
      <c r="AA58" s="295"/>
      <c r="AB58" s="64"/>
      <c r="AC58" s="64"/>
      <c r="AD58" s="64"/>
      <c r="AE58" s="64"/>
      <c r="AF58" s="64"/>
      <c r="AG58" s="64"/>
      <c r="AH58" s="64"/>
      <c r="AI58" s="64"/>
      <c r="AJ58" s="64"/>
      <c r="AK58" s="64"/>
    </row>
    <row r="59" spans="1:37" ht="15">
      <c r="B59" s="278" t="s">
        <v>56</v>
      </c>
      <c r="C59" s="150"/>
      <c r="D59" s="152"/>
      <c r="E59" s="152"/>
      <c r="F59" s="152"/>
      <c r="G59" s="152"/>
      <c r="H59" s="152"/>
      <c r="I59" s="152"/>
      <c r="J59" s="152"/>
      <c r="K59" s="152"/>
      <c r="L59" s="152"/>
      <c r="M59" s="152"/>
      <c r="N59" s="152"/>
      <c r="O59" s="152"/>
      <c r="P59" s="152"/>
      <c r="Q59" s="152"/>
      <c r="R59" s="290"/>
      <c r="S59" s="290"/>
      <c r="T59" s="295"/>
      <c r="U59" s="295"/>
      <c r="V59" s="295"/>
      <c r="W59" s="295"/>
      <c r="X59" s="295"/>
      <c r="Y59" s="295"/>
      <c r="Z59" s="295"/>
      <c r="AA59" s="295"/>
      <c r="AB59" s="64"/>
      <c r="AC59" s="64"/>
      <c r="AD59" s="64"/>
      <c r="AE59" s="64"/>
      <c r="AF59" s="64"/>
      <c r="AG59" s="64"/>
      <c r="AH59" s="64"/>
      <c r="AI59" s="64"/>
      <c r="AJ59" s="64"/>
      <c r="AK59" s="64"/>
    </row>
    <row r="60" spans="1:37">
      <c r="B60" s="279"/>
      <c r="C60" s="150"/>
      <c r="D60" s="152"/>
      <c r="E60" s="152"/>
      <c r="F60" s="152"/>
      <c r="G60" s="152"/>
      <c r="H60" s="152"/>
      <c r="I60" s="152"/>
      <c r="J60" s="152"/>
      <c r="K60" s="152"/>
      <c r="L60" s="152"/>
      <c r="M60" s="152"/>
      <c r="N60" s="152"/>
      <c r="O60" s="152"/>
      <c r="P60" s="152"/>
      <c r="Q60" s="152"/>
      <c r="R60" s="290"/>
      <c r="S60" s="290"/>
      <c r="T60" s="295"/>
      <c r="U60" s="295"/>
      <c r="V60" s="295"/>
      <c r="W60" s="295"/>
      <c r="X60" s="295"/>
      <c r="Y60" s="295"/>
      <c r="Z60" s="295"/>
      <c r="AA60" s="295"/>
      <c r="AB60" s="64"/>
      <c r="AC60" s="64"/>
      <c r="AD60" s="64"/>
      <c r="AE60" s="64"/>
      <c r="AF60" s="64"/>
      <c r="AG60" s="64"/>
      <c r="AH60" s="64"/>
      <c r="AI60" s="64"/>
      <c r="AJ60" s="64"/>
      <c r="AK60" s="64"/>
    </row>
    <row r="61" spans="1:37">
      <c r="B61" s="277" t="s">
        <v>57</v>
      </c>
      <c r="C61" s="150"/>
      <c r="D61" s="152">
        <f>1.25+2673.06</f>
        <v>2674.31</v>
      </c>
      <c r="E61" s="152">
        <f>1.31+2674.76+1.08</f>
        <v>2677.15</v>
      </c>
      <c r="F61" s="152">
        <v>2677.1505000249995</v>
      </c>
      <c r="G61" s="152">
        <v>2676.2780558401355</v>
      </c>
      <c r="H61" s="152">
        <f t="shared" ref="H61:S61" si="26">G61</f>
        <v>2676.2780558401355</v>
      </c>
      <c r="I61" s="152">
        <f t="shared" si="26"/>
        <v>2676.2780558401355</v>
      </c>
      <c r="J61" s="152">
        <f t="shared" si="26"/>
        <v>2676.2780558401355</v>
      </c>
      <c r="K61" s="152">
        <f t="shared" si="26"/>
        <v>2676.2780558401355</v>
      </c>
      <c r="L61" s="152">
        <f t="shared" si="26"/>
        <v>2676.2780558401355</v>
      </c>
      <c r="M61" s="152">
        <f t="shared" si="26"/>
        <v>2676.2780558401355</v>
      </c>
      <c r="N61" s="152">
        <f t="shared" si="26"/>
        <v>2676.2780558401355</v>
      </c>
      <c r="O61" s="152">
        <f t="shared" si="26"/>
        <v>2676.2780558401355</v>
      </c>
      <c r="P61" s="152">
        <f t="shared" si="26"/>
        <v>2676.2780558401355</v>
      </c>
      <c r="Q61" s="152">
        <f t="shared" si="26"/>
        <v>2676.2780558401355</v>
      </c>
      <c r="R61" s="152">
        <f t="shared" si="26"/>
        <v>2676.2780558401355</v>
      </c>
      <c r="S61" s="152">
        <f t="shared" si="26"/>
        <v>2676.2780558401355</v>
      </c>
      <c r="T61" s="295"/>
      <c r="U61" s="295"/>
      <c r="V61" s="295"/>
      <c r="W61" s="295"/>
      <c r="X61" s="295"/>
      <c r="Y61" s="295"/>
      <c r="Z61" s="295"/>
      <c r="AA61" s="295"/>
      <c r="AB61" s="64"/>
      <c r="AC61" s="64"/>
      <c r="AD61" s="64"/>
      <c r="AE61" s="64"/>
      <c r="AF61" s="64"/>
      <c r="AG61" s="64"/>
      <c r="AH61" s="64"/>
      <c r="AI61" s="64"/>
      <c r="AJ61" s="64"/>
      <c r="AK61" s="64"/>
    </row>
    <row r="62" spans="1:37">
      <c r="B62" s="277" t="s">
        <v>58</v>
      </c>
      <c r="C62" s="150"/>
      <c r="D62" s="152">
        <f>0.65+250.07</f>
        <v>250.72</v>
      </c>
      <c r="E62" s="152">
        <f>0.81+339+0.26</f>
        <v>340.07</v>
      </c>
      <c r="F62" s="152">
        <v>1163.1274682553092</v>
      </c>
      <c r="G62" s="152">
        <v>1250.0505373526046</v>
      </c>
      <c r="H62" s="152">
        <f t="shared" ref="H62:S62" si="27">G62+H85</f>
        <v>1346.5080700273231</v>
      </c>
      <c r="I62" s="152">
        <f t="shared" si="27"/>
        <v>1449.5590223138472</v>
      </c>
      <c r="J62" s="152">
        <f t="shared" si="27"/>
        <v>1558.261791178973</v>
      </c>
      <c r="K62" s="152">
        <f t="shared" si="27"/>
        <v>1672.9882821389911</v>
      </c>
      <c r="L62" s="152">
        <f t="shared" si="27"/>
        <v>1793.7902865356452</v>
      </c>
      <c r="M62" s="152">
        <f t="shared" si="27"/>
        <v>1921.5896649741192</v>
      </c>
      <c r="N62" s="152">
        <f t="shared" si="27"/>
        <v>2055.5328659398706</v>
      </c>
      <c r="O62" s="152">
        <f t="shared" si="27"/>
        <v>2196.5805193111237</v>
      </c>
      <c r="P62" s="152">
        <f t="shared" si="27"/>
        <v>2345.6897356901254</v>
      </c>
      <c r="Q62" s="152">
        <f t="shared" si="27"/>
        <v>2502.8684822747414</v>
      </c>
      <c r="R62" s="152">
        <f t="shared" si="27"/>
        <v>2668.0814878083406</v>
      </c>
      <c r="S62" s="152">
        <f t="shared" si="27"/>
        <v>2676.278055840135</v>
      </c>
      <c r="T62" s="295"/>
      <c r="U62" s="295"/>
      <c r="V62" s="295"/>
      <c r="W62" s="295"/>
      <c r="X62" s="295"/>
      <c r="Y62" s="295"/>
      <c r="Z62" s="295"/>
      <c r="AA62" s="295"/>
      <c r="AB62" s="64"/>
      <c r="AC62" s="64"/>
      <c r="AD62" s="64"/>
      <c r="AE62" s="64"/>
      <c r="AF62" s="64"/>
      <c r="AG62" s="64"/>
      <c r="AH62" s="64"/>
      <c r="AI62" s="64"/>
      <c r="AJ62" s="64"/>
      <c r="AK62" s="64"/>
    </row>
    <row r="63" spans="1:37" ht="15">
      <c r="B63" s="280" t="s">
        <v>59</v>
      </c>
      <c r="C63" s="156"/>
      <c r="D63" s="153">
        <f>D61-D62</f>
        <v>2423.59</v>
      </c>
      <c r="E63" s="153">
        <f>E61-E62</f>
        <v>2337.08</v>
      </c>
      <c r="F63" s="153">
        <f>F61-F62</f>
        <v>1514.0230317696903</v>
      </c>
      <c r="G63" s="153">
        <f t="shared" ref="G63:R63" si="28">G61-G62</f>
        <v>1426.2275184875309</v>
      </c>
      <c r="H63" s="153">
        <f t="shared" si="28"/>
        <v>1329.7699858128124</v>
      </c>
      <c r="I63" s="153">
        <f t="shared" si="28"/>
        <v>1226.7190335262883</v>
      </c>
      <c r="J63" s="153">
        <f t="shared" si="28"/>
        <v>1118.0162646611625</v>
      </c>
      <c r="K63" s="153">
        <f t="shared" si="28"/>
        <v>1003.2897737011444</v>
      </c>
      <c r="L63" s="153">
        <f t="shared" si="28"/>
        <v>882.48776930449026</v>
      </c>
      <c r="M63" s="153">
        <f t="shared" si="28"/>
        <v>754.68839086601633</v>
      </c>
      <c r="N63" s="153">
        <f t="shared" si="28"/>
        <v>620.7451899002649</v>
      </c>
      <c r="O63" s="153">
        <f t="shared" si="28"/>
        <v>479.69753652901181</v>
      </c>
      <c r="P63" s="153">
        <f t="shared" si="28"/>
        <v>330.58832015001008</v>
      </c>
      <c r="Q63" s="153">
        <f t="shared" si="28"/>
        <v>173.40957356539411</v>
      </c>
      <c r="R63" s="153">
        <f t="shared" si="28"/>
        <v>8.1965680317948681</v>
      </c>
      <c r="S63" s="153">
        <f>S61-S62</f>
        <v>0</v>
      </c>
      <c r="T63" s="296"/>
      <c r="U63" s="296"/>
      <c r="V63" s="296"/>
      <c r="W63" s="296"/>
      <c r="X63" s="296"/>
      <c r="Y63" s="296"/>
      <c r="Z63" s="296"/>
      <c r="AA63" s="296"/>
      <c r="AB63" s="64"/>
      <c r="AC63" s="64"/>
      <c r="AD63" s="64"/>
      <c r="AE63" s="64"/>
      <c r="AF63" s="64"/>
      <c r="AG63" s="64"/>
      <c r="AH63" s="64"/>
      <c r="AI63" s="64"/>
      <c r="AJ63" s="64"/>
      <c r="AK63" s="64"/>
    </row>
    <row r="64" spans="1:37" ht="15">
      <c r="B64" s="280"/>
      <c r="C64" s="156"/>
      <c r="D64" s="153"/>
      <c r="E64" s="153"/>
      <c r="F64" s="153"/>
      <c r="G64" s="153"/>
      <c r="H64" s="153"/>
      <c r="I64" s="153"/>
      <c r="J64" s="153"/>
      <c r="K64" s="153"/>
      <c r="L64" s="153"/>
      <c r="M64" s="153"/>
      <c r="N64" s="153"/>
      <c r="O64" s="153"/>
      <c r="P64" s="153"/>
      <c r="Q64" s="153"/>
      <c r="R64" s="291"/>
      <c r="S64" s="291"/>
      <c r="T64" s="296"/>
      <c r="U64" s="296"/>
      <c r="V64" s="296"/>
      <c r="W64" s="296"/>
      <c r="X64" s="296"/>
      <c r="Y64" s="296"/>
      <c r="Z64" s="296"/>
      <c r="AA64" s="296"/>
      <c r="AB64" s="64"/>
      <c r="AC64" s="64"/>
      <c r="AD64" s="64"/>
      <c r="AE64" s="64"/>
      <c r="AF64" s="64"/>
      <c r="AG64" s="64"/>
      <c r="AH64" s="64"/>
      <c r="AI64" s="64"/>
      <c r="AJ64" s="64"/>
      <c r="AK64" s="64"/>
    </row>
    <row r="65" spans="1:37">
      <c r="B65" s="279"/>
      <c r="C65" s="150"/>
      <c r="D65" s="152"/>
      <c r="E65" s="152"/>
      <c r="F65" s="152"/>
      <c r="G65" s="152"/>
      <c r="H65" s="152"/>
      <c r="I65" s="152"/>
      <c r="J65" s="152"/>
      <c r="K65" s="152"/>
      <c r="L65" s="152"/>
      <c r="M65" s="152"/>
      <c r="N65" s="152"/>
      <c r="O65" s="152"/>
      <c r="P65" s="152"/>
      <c r="Q65" s="152"/>
      <c r="R65" s="290"/>
      <c r="S65" s="290"/>
      <c r="T65" s="295"/>
      <c r="U65" s="295"/>
      <c r="V65" s="295"/>
      <c r="W65" s="295"/>
      <c r="X65" s="295"/>
      <c r="Y65" s="295"/>
      <c r="Z65" s="295"/>
      <c r="AA65" s="295"/>
      <c r="AB65" s="64"/>
      <c r="AC65" s="64"/>
      <c r="AD65" s="64"/>
      <c r="AE65" s="64"/>
      <c r="AF65" s="64"/>
      <c r="AG65" s="64"/>
      <c r="AH65" s="64"/>
      <c r="AI65" s="64"/>
      <c r="AJ65" s="64"/>
      <c r="AK65" s="64"/>
    </row>
    <row r="66" spans="1:37" ht="15">
      <c r="A66" s="82"/>
      <c r="B66" s="278" t="s">
        <v>261</v>
      </c>
      <c r="C66" s="156"/>
      <c r="D66" s="153">
        <f t="shared" ref="D66:R66" si="29">D63+D64</f>
        <v>2423.59</v>
      </c>
      <c r="E66" s="153">
        <f t="shared" si="29"/>
        <v>2337.08</v>
      </c>
      <c r="F66" s="153">
        <f t="shared" si="29"/>
        <v>1514.0230317696903</v>
      </c>
      <c r="G66" s="153">
        <f t="shared" si="29"/>
        <v>1426.2275184875309</v>
      </c>
      <c r="H66" s="153">
        <f t="shared" si="29"/>
        <v>1329.7699858128124</v>
      </c>
      <c r="I66" s="153">
        <f t="shared" si="29"/>
        <v>1226.7190335262883</v>
      </c>
      <c r="J66" s="153">
        <f t="shared" si="29"/>
        <v>1118.0162646611625</v>
      </c>
      <c r="K66" s="153">
        <f t="shared" si="29"/>
        <v>1003.2897737011444</v>
      </c>
      <c r="L66" s="153">
        <f t="shared" si="29"/>
        <v>882.48776930449026</v>
      </c>
      <c r="M66" s="153">
        <f t="shared" si="29"/>
        <v>754.68839086601633</v>
      </c>
      <c r="N66" s="153">
        <f t="shared" si="29"/>
        <v>620.7451899002649</v>
      </c>
      <c r="O66" s="153">
        <f t="shared" si="29"/>
        <v>479.69753652901181</v>
      </c>
      <c r="P66" s="153">
        <f t="shared" si="29"/>
        <v>330.58832015001008</v>
      </c>
      <c r="Q66" s="153">
        <f t="shared" si="29"/>
        <v>173.40957356539411</v>
      </c>
      <c r="R66" s="291">
        <f t="shared" si="29"/>
        <v>8.1965680317948681</v>
      </c>
      <c r="S66" s="291">
        <f>S63+S64</f>
        <v>0</v>
      </c>
      <c r="T66" s="296"/>
      <c r="U66" s="296"/>
      <c r="V66" s="296"/>
      <c r="W66" s="296"/>
      <c r="X66" s="296"/>
      <c r="Y66" s="296"/>
      <c r="Z66" s="296"/>
      <c r="AA66" s="296"/>
      <c r="AB66" s="139"/>
      <c r="AC66" s="139"/>
      <c r="AD66" s="139"/>
      <c r="AE66" s="139"/>
      <c r="AF66" s="139"/>
      <c r="AG66" s="139"/>
      <c r="AH66" s="139"/>
      <c r="AI66" s="139"/>
      <c r="AJ66" s="139"/>
      <c r="AK66" s="139"/>
    </row>
    <row r="67" spans="1:37" ht="9" customHeight="1">
      <c r="B67" s="279"/>
      <c r="C67" s="150"/>
      <c r="D67" s="152"/>
      <c r="E67" s="152"/>
      <c r="F67" s="152"/>
      <c r="G67" s="152"/>
      <c r="H67" s="152"/>
      <c r="I67" s="152"/>
      <c r="J67" s="152"/>
      <c r="K67" s="152"/>
      <c r="L67" s="152"/>
      <c r="M67" s="152"/>
      <c r="N67" s="152"/>
      <c r="O67" s="152"/>
      <c r="P67" s="152"/>
      <c r="Q67" s="152"/>
      <c r="R67" s="290"/>
      <c r="S67" s="290"/>
      <c r="T67" s="295"/>
      <c r="U67" s="295"/>
      <c r="V67" s="295"/>
      <c r="W67" s="295"/>
      <c r="X67" s="295"/>
      <c r="Y67" s="295"/>
      <c r="Z67" s="295"/>
      <c r="AA67" s="295"/>
      <c r="AB67" s="64"/>
      <c r="AC67" s="64"/>
      <c r="AD67" s="64"/>
      <c r="AE67" s="64"/>
      <c r="AF67" s="64"/>
      <c r="AG67" s="64"/>
      <c r="AH67" s="64"/>
      <c r="AI67" s="64"/>
      <c r="AJ67" s="64"/>
      <c r="AK67" s="64"/>
    </row>
    <row r="68" spans="1:37" ht="15">
      <c r="B68" s="281" t="s">
        <v>289</v>
      </c>
      <c r="C68" s="156"/>
      <c r="D68" s="153">
        <v>0.54</v>
      </c>
      <c r="E68" s="153">
        <v>0.54</v>
      </c>
      <c r="F68" s="153">
        <f t="shared" ref="F68:S68" si="30">MAX(E68-F90,0)</f>
        <v>0.54</v>
      </c>
      <c r="G68" s="153">
        <v>0.59010799999999997</v>
      </c>
      <c r="H68" s="153">
        <f t="shared" si="30"/>
        <v>0.59010799999999997</v>
      </c>
      <c r="I68" s="153">
        <f t="shared" si="30"/>
        <v>0.59010799999999997</v>
      </c>
      <c r="J68" s="153">
        <f t="shared" si="30"/>
        <v>0.59010799999999997</v>
      </c>
      <c r="K68" s="153">
        <f t="shared" si="30"/>
        <v>0.59010799999999997</v>
      </c>
      <c r="L68" s="153">
        <f t="shared" si="30"/>
        <v>0.59010799999999997</v>
      </c>
      <c r="M68" s="153">
        <f t="shared" si="30"/>
        <v>0.59010799999999997</v>
      </c>
      <c r="N68" s="153">
        <f t="shared" si="30"/>
        <v>0.59010799999999997</v>
      </c>
      <c r="O68" s="153">
        <f t="shared" si="30"/>
        <v>0.59010799999999997</v>
      </c>
      <c r="P68" s="153">
        <f t="shared" si="30"/>
        <v>0.59010799999999997</v>
      </c>
      <c r="Q68" s="153">
        <f t="shared" si="30"/>
        <v>0.59010799999999997</v>
      </c>
      <c r="R68" s="291">
        <f t="shared" si="30"/>
        <v>0.59010799999999997</v>
      </c>
      <c r="S68" s="291">
        <f t="shared" si="30"/>
        <v>0.59010799999999997</v>
      </c>
      <c r="T68" s="296"/>
      <c r="U68" s="296"/>
      <c r="V68" s="296"/>
      <c r="W68" s="296"/>
      <c r="X68" s="296"/>
      <c r="Y68" s="296"/>
      <c r="Z68" s="296"/>
      <c r="AA68" s="296"/>
      <c r="AB68" s="139"/>
      <c r="AC68" s="139"/>
      <c r="AD68" s="139"/>
      <c r="AE68" s="139"/>
      <c r="AF68" s="139"/>
      <c r="AG68" s="139"/>
      <c r="AH68" s="139"/>
      <c r="AI68" s="139"/>
      <c r="AJ68" s="139"/>
      <c r="AK68" s="139"/>
    </row>
    <row r="69" spans="1:37" ht="9" customHeight="1">
      <c r="B69" s="279"/>
      <c r="C69" s="150"/>
      <c r="D69" s="152"/>
      <c r="E69" s="152"/>
      <c r="F69" s="152"/>
      <c r="G69" s="152"/>
      <c r="H69" s="152"/>
      <c r="I69" s="152"/>
      <c r="J69" s="152"/>
      <c r="K69" s="152"/>
      <c r="L69" s="152"/>
      <c r="M69" s="152"/>
      <c r="N69" s="152"/>
      <c r="O69" s="152"/>
      <c r="P69" s="152"/>
      <c r="Q69" s="152"/>
      <c r="R69" s="290"/>
      <c r="S69" s="290"/>
      <c r="T69" s="295"/>
      <c r="U69" s="295"/>
      <c r="V69" s="295"/>
      <c r="W69" s="295"/>
      <c r="X69" s="295"/>
      <c r="Y69" s="295"/>
      <c r="Z69" s="295"/>
      <c r="AA69" s="295"/>
      <c r="AB69" s="64"/>
      <c r="AC69" s="64"/>
      <c r="AD69" s="64"/>
      <c r="AE69" s="64"/>
      <c r="AF69" s="64"/>
      <c r="AG69" s="64"/>
      <c r="AH69" s="64"/>
      <c r="AI69" s="64"/>
      <c r="AJ69" s="64"/>
      <c r="AK69" s="64"/>
    </row>
    <row r="70" spans="1:37" ht="15">
      <c r="B70" s="278" t="s">
        <v>60</v>
      </c>
      <c r="C70" s="150"/>
      <c r="D70" s="153">
        <f t="shared" ref="D70:R70" si="31">SUM(D71:D77)</f>
        <v>89.72</v>
      </c>
      <c r="E70" s="153">
        <f t="shared" si="31"/>
        <v>104.32</v>
      </c>
      <c r="F70" s="153">
        <f t="shared" si="31"/>
        <v>44.05178012000006</v>
      </c>
      <c r="G70" s="153">
        <f t="shared" si="31"/>
        <v>16.819367613999983</v>
      </c>
      <c r="H70" s="153">
        <f t="shared" si="31"/>
        <v>-375.20141645496471</v>
      </c>
      <c r="I70" s="153">
        <f t="shared" si="31"/>
        <v>-433.68529578902769</v>
      </c>
      <c r="J70" s="153">
        <f t="shared" si="31"/>
        <v>-503.36423720171331</v>
      </c>
      <c r="K70" s="153">
        <f t="shared" si="31"/>
        <v>-590.21373012418462</v>
      </c>
      <c r="L70" s="153">
        <f t="shared" si="31"/>
        <v>-698.84954765975544</v>
      </c>
      <c r="M70" s="153">
        <f t="shared" si="31"/>
        <v>-1142.2920611663874</v>
      </c>
      <c r="N70" s="153">
        <f t="shared" si="31"/>
        <v>-1584.4328910091697</v>
      </c>
      <c r="O70" s="153">
        <f t="shared" si="31"/>
        <v>-1352.92287866315</v>
      </c>
      <c r="P70" s="153">
        <f t="shared" si="31"/>
        <v>-1108.1243489692972</v>
      </c>
      <c r="Q70" s="153">
        <f t="shared" si="31"/>
        <v>-846.53618390381621</v>
      </c>
      <c r="R70" s="291">
        <f t="shared" si="31"/>
        <v>-724.51063244003842</v>
      </c>
      <c r="S70" s="291">
        <f>SUM(S71:S77)</f>
        <v>-712.2695729593255</v>
      </c>
      <c r="T70" s="296"/>
      <c r="U70" s="296"/>
      <c r="V70" s="296"/>
      <c r="W70" s="296"/>
      <c r="X70" s="296"/>
      <c r="Y70" s="296"/>
      <c r="Z70" s="296"/>
      <c r="AA70" s="296"/>
      <c r="AB70" s="139"/>
      <c r="AC70" s="139"/>
      <c r="AD70" s="139"/>
      <c r="AE70" s="139"/>
      <c r="AF70" s="139"/>
      <c r="AG70" s="139"/>
      <c r="AH70" s="139"/>
      <c r="AI70" s="139"/>
      <c r="AJ70" s="139"/>
      <c r="AK70" s="139"/>
    </row>
    <row r="71" spans="1:37">
      <c r="B71" s="277" t="s">
        <v>61</v>
      </c>
      <c r="C71" s="150"/>
      <c r="D71" s="152">
        <v>7.08</v>
      </c>
      <c r="E71" s="152">
        <v>3.5</v>
      </c>
      <c r="F71" s="152">
        <v>0.1878505</v>
      </c>
      <c r="G71" s="152">
        <v>0.119769718</v>
      </c>
      <c r="H71" s="152">
        <f t="shared" ref="H71:S71" si="32">G71</f>
        <v>0.119769718</v>
      </c>
      <c r="I71" s="152">
        <f t="shared" si="32"/>
        <v>0.119769718</v>
      </c>
      <c r="J71" s="152">
        <f t="shared" si="32"/>
        <v>0.119769718</v>
      </c>
      <c r="K71" s="152">
        <f t="shared" si="32"/>
        <v>0.119769718</v>
      </c>
      <c r="L71" s="152">
        <f t="shared" si="32"/>
        <v>0.119769718</v>
      </c>
      <c r="M71" s="152">
        <f t="shared" si="32"/>
        <v>0.119769718</v>
      </c>
      <c r="N71" s="152">
        <f t="shared" si="32"/>
        <v>0.119769718</v>
      </c>
      <c r="O71" s="152">
        <f t="shared" si="32"/>
        <v>0.119769718</v>
      </c>
      <c r="P71" s="152">
        <f t="shared" si="32"/>
        <v>0.119769718</v>
      </c>
      <c r="Q71" s="152">
        <f t="shared" si="32"/>
        <v>0.119769718</v>
      </c>
      <c r="R71" s="290">
        <f t="shared" si="32"/>
        <v>0.119769718</v>
      </c>
      <c r="S71" s="290">
        <f t="shared" si="32"/>
        <v>0.119769718</v>
      </c>
      <c r="T71" s="295"/>
      <c r="U71" s="295"/>
      <c r="V71" s="295"/>
      <c r="W71" s="295"/>
      <c r="X71" s="295"/>
      <c r="Y71" s="295"/>
      <c r="Z71" s="295"/>
      <c r="AA71" s="295"/>
      <c r="AB71" s="64"/>
      <c r="AC71" s="64"/>
      <c r="AD71" s="64"/>
      <c r="AE71" s="64"/>
      <c r="AF71" s="64"/>
      <c r="AG71" s="64"/>
      <c r="AH71" s="64"/>
      <c r="AI71" s="64"/>
      <c r="AJ71" s="64"/>
      <c r="AK71" s="64"/>
    </row>
    <row r="72" spans="1:37">
      <c r="B72" s="277" t="s">
        <v>290</v>
      </c>
      <c r="C72" s="150"/>
      <c r="D72" s="152">
        <v>7.61</v>
      </c>
      <c r="E72" s="152">
        <v>22.49</v>
      </c>
      <c r="F72" s="152">
        <v>9.9455978999999992</v>
      </c>
      <c r="G72" s="152">
        <v>2.0967085000000001</v>
      </c>
      <c r="H72" s="152">
        <f t="shared" ref="H72:S72" si="33">G72-H93</f>
        <v>2.0967085000000001</v>
      </c>
      <c r="I72" s="152">
        <f t="shared" si="33"/>
        <v>2.0967085000000001</v>
      </c>
      <c r="J72" s="152">
        <f t="shared" si="33"/>
        <v>2.0967085000000001</v>
      </c>
      <c r="K72" s="152">
        <f t="shared" si="33"/>
        <v>2.0967085000000001</v>
      </c>
      <c r="L72" s="152">
        <f t="shared" si="33"/>
        <v>2.0967085000000001</v>
      </c>
      <c r="M72" s="152">
        <f t="shared" si="33"/>
        <v>2.0967085000000001</v>
      </c>
      <c r="N72" s="152">
        <f t="shared" si="33"/>
        <v>2.0967085000000001</v>
      </c>
      <c r="O72" s="152">
        <f t="shared" si="33"/>
        <v>2.0967085000000001</v>
      </c>
      <c r="P72" s="152">
        <f t="shared" si="33"/>
        <v>2.0967085000000001</v>
      </c>
      <c r="Q72" s="152">
        <f t="shared" si="33"/>
        <v>2.0967085000000001</v>
      </c>
      <c r="R72" s="152">
        <f t="shared" si="33"/>
        <v>2.0967085000000001</v>
      </c>
      <c r="S72" s="152">
        <f t="shared" si="33"/>
        <v>2.0967085000000001</v>
      </c>
      <c r="T72" s="295"/>
      <c r="U72" s="295"/>
      <c r="V72" s="295"/>
      <c r="W72" s="295"/>
      <c r="X72" s="295"/>
      <c r="Y72" s="295"/>
      <c r="Z72" s="295"/>
      <c r="AA72" s="295"/>
      <c r="AB72" s="64"/>
      <c r="AC72" s="64"/>
      <c r="AD72" s="64"/>
      <c r="AE72" s="64"/>
      <c r="AF72" s="64"/>
      <c r="AG72" s="64"/>
      <c r="AH72" s="64"/>
      <c r="AI72" s="64"/>
      <c r="AJ72" s="64"/>
      <c r="AK72" s="64"/>
    </row>
    <row r="73" spans="1:37">
      <c r="B73" s="277" t="s">
        <v>62</v>
      </c>
      <c r="C73" s="150"/>
      <c r="D73" s="152">
        <f>1.9+1</f>
        <v>2.9</v>
      </c>
      <c r="E73" s="152">
        <f>2.53+1.24</f>
        <v>3.7699999999999996</v>
      </c>
      <c r="F73" s="152">
        <v>19.619615400000001</v>
      </c>
      <c r="G73" s="152">
        <v>1.6983216000000001</v>
      </c>
      <c r="H73" s="152">
        <f t="shared" ref="H73:S73" si="34">G73</f>
        <v>1.6983216000000001</v>
      </c>
      <c r="I73" s="152">
        <f t="shared" si="34"/>
        <v>1.6983216000000001</v>
      </c>
      <c r="J73" s="152">
        <f t="shared" si="34"/>
        <v>1.6983216000000001</v>
      </c>
      <c r="K73" s="152">
        <f t="shared" si="34"/>
        <v>1.6983216000000001</v>
      </c>
      <c r="L73" s="152">
        <f t="shared" si="34"/>
        <v>1.6983216000000001</v>
      </c>
      <c r="M73" s="152">
        <f t="shared" si="34"/>
        <v>1.6983216000000001</v>
      </c>
      <c r="N73" s="152">
        <f t="shared" si="34"/>
        <v>1.6983216000000001</v>
      </c>
      <c r="O73" s="152">
        <f t="shared" si="34"/>
        <v>1.6983216000000001</v>
      </c>
      <c r="P73" s="152">
        <f t="shared" si="34"/>
        <v>1.6983216000000001</v>
      </c>
      <c r="Q73" s="152">
        <f t="shared" si="34"/>
        <v>1.6983216000000001</v>
      </c>
      <c r="R73" s="152">
        <f t="shared" si="34"/>
        <v>1.6983216000000001</v>
      </c>
      <c r="S73" s="152">
        <f t="shared" si="34"/>
        <v>1.6983216000000001</v>
      </c>
      <c r="T73" s="295"/>
      <c r="U73" s="295"/>
      <c r="V73" s="295"/>
      <c r="W73" s="295"/>
      <c r="X73" s="295"/>
      <c r="Y73" s="295"/>
      <c r="Z73" s="295"/>
      <c r="AA73" s="295"/>
      <c r="AB73" s="64"/>
      <c r="AC73" s="64"/>
      <c r="AD73" s="64"/>
      <c r="AE73" s="64"/>
      <c r="AF73" s="64"/>
      <c r="AG73" s="64"/>
      <c r="AH73" s="64"/>
      <c r="AI73" s="64"/>
      <c r="AJ73" s="64"/>
      <c r="AK73" s="64"/>
    </row>
    <row r="74" spans="1:37">
      <c r="B74" s="277" t="s">
        <v>63</v>
      </c>
      <c r="C74" s="150"/>
      <c r="D74" s="152"/>
      <c r="E74" s="152"/>
      <c r="F74" s="152"/>
      <c r="G74" s="152"/>
      <c r="H74" s="152"/>
      <c r="I74" s="152"/>
      <c r="J74" s="152"/>
      <c r="K74" s="152"/>
      <c r="L74" s="152"/>
      <c r="M74" s="152"/>
      <c r="N74" s="152"/>
      <c r="O74" s="152"/>
      <c r="P74" s="152"/>
      <c r="Q74" s="152"/>
      <c r="R74" s="290"/>
      <c r="S74" s="290"/>
      <c r="T74" s="295"/>
      <c r="U74" s="295"/>
      <c r="V74" s="295"/>
      <c r="W74" s="295"/>
      <c r="X74" s="295"/>
      <c r="Y74" s="295"/>
      <c r="Z74" s="295"/>
      <c r="AA74" s="295"/>
      <c r="AB74" s="64"/>
      <c r="AC74" s="64"/>
      <c r="AD74" s="64"/>
      <c r="AE74" s="64"/>
      <c r="AF74" s="64"/>
      <c r="AG74" s="64"/>
      <c r="AH74" s="64"/>
      <c r="AI74" s="64"/>
      <c r="AJ74" s="64"/>
      <c r="AK74" s="64"/>
    </row>
    <row r="75" spans="1:37">
      <c r="B75" s="282" t="s">
        <v>64</v>
      </c>
      <c r="C75" s="150"/>
      <c r="D75" s="152">
        <f>19.13+53</f>
        <v>72.13</v>
      </c>
      <c r="E75" s="152">
        <f>17.35+57.21</f>
        <v>74.56</v>
      </c>
      <c r="F75" s="152">
        <v>14.298716320000061</v>
      </c>
      <c r="G75" s="152">
        <v>12.904567795999982</v>
      </c>
      <c r="H75" s="152">
        <f t="shared" ref="H75:R75" si="35">H119</f>
        <v>-379.11621627296472</v>
      </c>
      <c r="I75" s="152">
        <f t="shared" si="35"/>
        <v>-437.6000956070277</v>
      </c>
      <c r="J75" s="152">
        <f t="shared" si="35"/>
        <v>-544.41049761305658</v>
      </c>
      <c r="K75" s="152">
        <f t="shared" si="35"/>
        <v>-668.32900178886109</v>
      </c>
      <c r="L75" s="152">
        <f t="shared" si="35"/>
        <v>-814.35864314654441</v>
      </c>
      <c r="M75" s="152">
        <f t="shared" si="35"/>
        <v>-1204.311685418977</v>
      </c>
      <c r="N75" s="152">
        <f t="shared" si="35"/>
        <v>-1588.3476908271696</v>
      </c>
      <c r="O75" s="152">
        <f t="shared" si="35"/>
        <v>-1385.8239571037695</v>
      </c>
      <c r="P75" s="152">
        <f t="shared" si="35"/>
        <v>-1168.8763954237361</v>
      </c>
      <c r="Q75" s="152">
        <f t="shared" si="35"/>
        <v>-937.774508980875</v>
      </c>
      <c r="R75" s="290">
        <f t="shared" si="35"/>
        <v>-728.42543225803843</v>
      </c>
      <c r="S75" s="290">
        <f>S119</f>
        <v>-716.18437277732551</v>
      </c>
      <c r="T75" s="295"/>
      <c r="U75" s="295"/>
      <c r="V75" s="295"/>
      <c r="W75" s="295"/>
      <c r="X75" s="295"/>
      <c r="Y75" s="295"/>
      <c r="Z75" s="295"/>
      <c r="AA75" s="295"/>
      <c r="AB75" s="64"/>
      <c r="AC75" s="64"/>
      <c r="AD75" s="64"/>
      <c r="AE75" s="64"/>
      <c r="AF75" s="64"/>
      <c r="AG75" s="64"/>
      <c r="AH75" s="64"/>
      <c r="AI75" s="64"/>
      <c r="AJ75" s="64"/>
      <c r="AK75" s="64"/>
    </row>
    <row r="76" spans="1:37">
      <c r="A76" s="35"/>
      <c r="B76" s="282" t="s">
        <v>65</v>
      </c>
      <c r="C76" s="150"/>
      <c r="D76" s="152">
        <v>0</v>
      </c>
      <c r="E76" s="152"/>
      <c r="F76" s="152"/>
      <c r="G76" s="152"/>
      <c r="H76" s="152"/>
      <c r="I76" s="152"/>
      <c r="J76" s="152">
        <f>SUMIF('Other Schedules'!$I$2:$AO$2,J$1,'Other Schedules'!$I$125:$AO$125)</f>
        <v>37.131460593343235</v>
      </c>
      <c r="K76" s="152">
        <f>SUMIF('Other Schedules'!$I$2:$AO$2,K$1,'Other Schedules'!$I$125:$AO$125)</f>
        <v>74.200471846676464</v>
      </c>
      <c r="L76" s="152">
        <f>SUMIF('Other Schedules'!$I$2:$AO$2,L$1,'Other Schedules'!$I$125:$AO$125)</f>
        <v>111.5942956687889</v>
      </c>
      <c r="M76" s="152">
        <f>SUMIF('Other Schedules'!$I$2:$AO$2,M$1,'Other Schedules'!$I$125:$AO$125)</f>
        <v>58.10482443458973</v>
      </c>
      <c r="N76" s="152">
        <f>SUMIF('Other Schedules'!$I$2:$AO$2,N$1,'Other Schedules'!$I$125:$AO$125)</f>
        <v>0</v>
      </c>
      <c r="O76" s="152">
        <f>SUMIF('Other Schedules'!$I$2:$AO$2,O$1,'Other Schedules'!$I$125:$AO$125)</f>
        <v>28.986278622619693</v>
      </c>
      <c r="P76" s="152">
        <f>SUMIF('Other Schedules'!$I$2:$AO$2,P$1,'Other Schedules'!$I$125:$AO$125)</f>
        <v>56.837246636439012</v>
      </c>
      <c r="Q76" s="152">
        <f>SUMIF('Other Schedules'!$I$2:$AO$2,Q$1,'Other Schedules'!$I$125:$AO$125)</f>
        <v>87.323525259058755</v>
      </c>
      <c r="R76" s="152">
        <f>SUMIF('Other Schedules'!$I$2:$AO$2,R$1,'Other Schedules'!$I$125:$AO$125)</f>
        <v>0</v>
      </c>
      <c r="S76" s="152">
        <f>SUMIF('Other Schedules'!$I$2:$AO$2,S$1,'Other Schedules'!$I$125:$AO$125)</f>
        <v>0</v>
      </c>
      <c r="T76" s="295"/>
      <c r="U76" s="295"/>
      <c r="V76" s="295"/>
      <c r="W76" s="295"/>
      <c r="X76" s="295"/>
      <c r="Y76" s="295"/>
      <c r="Z76" s="295"/>
      <c r="AA76" s="295"/>
      <c r="AB76" s="64"/>
      <c r="AC76" s="64"/>
      <c r="AD76" s="64"/>
      <c r="AE76" s="64"/>
      <c r="AF76" s="64"/>
      <c r="AG76" s="64"/>
      <c r="AH76" s="64"/>
      <c r="AI76" s="64"/>
      <c r="AJ76" s="64"/>
      <c r="AK76" s="64"/>
    </row>
    <row r="77" spans="1:37">
      <c r="B77" s="282" t="s">
        <v>66</v>
      </c>
      <c r="C77" s="150"/>
      <c r="D77" s="152">
        <v>0</v>
      </c>
      <c r="E77" s="152">
        <f>ROUND(D77-E117,2)</f>
        <v>0</v>
      </c>
      <c r="F77" s="152">
        <f t="shared" ref="F77:S77" si="36">ROUND(E77-F117,2)</f>
        <v>0</v>
      </c>
      <c r="G77" s="152">
        <f t="shared" si="36"/>
        <v>0</v>
      </c>
      <c r="H77" s="152">
        <f t="shared" si="36"/>
        <v>0</v>
      </c>
      <c r="I77" s="152">
        <f t="shared" si="36"/>
        <v>0</v>
      </c>
      <c r="J77" s="152">
        <f t="shared" si="36"/>
        <v>0</v>
      </c>
      <c r="K77" s="152">
        <f t="shared" si="36"/>
        <v>0</v>
      </c>
      <c r="L77" s="152">
        <f t="shared" si="36"/>
        <v>0</v>
      </c>
      <c r="M77" s="152">
        <f t="shared" si="36"/>
        <v>0</v>
      </c>
      <c r="N77" s="152">
        <f t="shared" si="36"/>
        <v>0</v>
      </c>
      <c r="O77" s="152">
        <f t="shared" si="36"/>
        <v>0</v>
      </c>
      <c r="P77" s="152">
        <f t="shared" si="36"/>
        <v>0</v>
      </c>
      <c r="Q77" s="152">
        <f t="shared" si="36"/>
        <v>0</v>
      </c>
      <c r="R77" s="290">
        <f t="shared" si="36"/>
        <v>0</v>
      </c>
      <c r="S77" s="290">
        <f t="shared" si="36"/>
        <v>0</v>
      </c>
      <c r="T77" s="295"/>
      <c r="U77" s="295"/>
      <c r="V77" s="295"/>
      <c r="W77" s="295"/>
      <c r="X77" s="295"/>
      <c r="Y77" s="295"/>
      <c r="Z77" s="295"/>
      <c r="AA77" s="295"/>
      <c r="AB77" s="64"/>
      <c r="AC77" s="64"/>
      <c r="AD77" s="64"/>
      <c r="AE77" s="64"/>
      <c r="AF77" s="64"/>
      <c r="AG77" s="64"/>
      <c r="AH77" s="64"/>
      <c r="AI77" s="64"/>
      <c r="AJ77" s="64"/>
      <c r="AK77" s="64"/>
    </row>
    <row r="78" spans="1:37">
      <c r="B78" s="279"/>
      <c r="C78" s="150"/>
      <c r="D78" s="152"/>
      <c r="E78" s="152"/>
      <c r="F78" s="152"/>
      <c r="G78" s="152"/>
      <c r="H78" s="152"/>
      <c r="I78" s="152"/>
      <c r="J78" s="152"/>
      <c r="K78" s="152"/>
      <c r="L78" s="152"/>
      <c r="M78" s="152"/>
      <c r="N78" s="152"/>
      <c r="O78" s="152"/>
      <c r="P78" s="152"/>
      <c r="Q78" s="152"/>
      <c r="R78" s="290"/>
      <c r="S78" s="290"/>
      <c r="T78" s="295"/>
      <c r="U78" s="295"/>
      <c r="V78" s="295"/>
      <c r="W78" s="295"/>
      <c r="X78" s="295"/>
      <c r="Y78" s="295"/>
      <c r="Z78" s="295"/>
      <c r="AA78" s="295"/>
      <c r="AB78" s="64"/>
      <c r="AC78" s="64"/>
      <c r="AD78" s="64"/>
      <c r="AE78" s="64"/>
      <c r="AF78" s="64"/>
      <c r="AG78" s="64"/>
      <c r="AH78" s="64"/>
      <c r="AI78" s="64"/>
      <c r="AJ78" s="64"/>
      <c r="AK78" s="64"/>
    </row>
    <row r="79" spans="1:37" ht="15.75" thickBot="1">
      <c r="B79" s="140" t="s">
        <v>67</v>
      </c>
      <c r="C79" s="160"/>
      <c r="D79" s="149">
        <f t="shared" ref="D79:R79" si="37">SUM(D66,D68,D70)</f>
        <v>2513.85</v>
      </c>
      <c r="E79" s="149">
        <f t="shared" si="37"/>
        <v>2441.94</v>
      </c>
      <c r="F79" s="149">
        <f t="shared" si="37"/>
        <v>1558.6148118896904</v>
      </c>
      <c r="G79" s="149">
        <f t="shared" si="37"/>
        <v>1443.6369941015309</v>
      </c>
      <c r="H79" s="149">
        <f t="shared" si="37"/>
        <v>955.15867735784775</v>
      </c>
      <c r="I79" s="149">
        <f t="shared" si="37"/>
        <v>793.62384573726069</v>
      </c>
      <c r="J79" s="149">
        <f t="shared" si="37"/>
        <v>615.24213545944929</v>
      </c>
      <c r="K79" s="149">
        <f t="shared" si="37"/>
        <v>413.66615157695981</v>
      </c>
      <c r="L79" s="149">
        <f t="shared" si="37"/>
        <v>184.2283296447348</v>
      </c>
      <c r="M79" s="149">
        <f t="shared" si="37"/>
        <v>-387.01356230037106</v>
      </c>
      <c r="N79" s="149">
        <f t="shared" si="37"/>
        <v>-963.09759310890479</v>
      </c>
      <c r="O79" s="149">
        <f t="shared" si="37"/>
        <v>-872.63523413413816</v>
      </c>
      <c r="P79" s="149">
        <f t="shared" si="37"/>
        <v>-776.94592081928715</v>
      </c>
      <c r="Q79" s="149">
        <f t="shared" si="37"/>
        <v>-672.53650233842211</v>
      </c>
      <c r="R79" s="149">
        <f t="shared" si="37"/>
        <v>-715.72395640824357</v>
      </c>
      <c r="S79" s="149">
        <f>SUM(S66,S68,S70)</f>
        <v>-711.67946495932551</v>
      </c>
      <c r="T79" s="296"/>
      <c r="U79" s="296"/>
      <c r="V79" s="296"/>
      <c r="W79" s="296"/>
      <c r="X79" s="296"/>
      <c r="Y79" s="296"/>
      <c r="Z79" s="296"/>
      <c r="AA79" s="296"/>
      <c r="AB79" s="139"/>
      <c r="AC79" s="139"/>
      <c r="AD79" s="139"/>
      <c r="AE79" s="139"/>
      <c r="AF79" s="139"/>
      <c r="AG79" s="139"/>
      <c r="AH79" s="139"/>
      <c r="AI79" s="139"/>
      <c r="AJ79" s="139"/>
      <c r="AK79" s="139"/>
    </row>
    <row r="80" spans="1:37" ht="15.75" thickBot="1">
      <c r="B80" s="140" t="s">
        <v>68</v>
      </c>
      <c r="C80" s="141"/>
      <c r="D80" s="142" t="str">
        <f t="shared" ref="D80:R80" si="38">IF(AND((D57-D79)&lt;0.05,(D57-D79)&gt;-0.05),"OK","Error")</f>
        <v>OK</v>
      </c>
      <c r="E80" s="142" t="str">
        <f t="shared" si="38"/>
        <v>OK</v>
      </c>
      <c r="F80" s="142" t="str">
        <f t="shared" si="38"/>
        <v>OK</v>
      </c>
      <c r="G80" s="142" t="str">
        <f t="shared" si="38"/>
        <v>OK</v>
      </c>
      <c r="H80" s="142" t="str">
        <f t="shared" si="38"/>
        <v>OK</v>
      </c>
      <c r="I80" s="142" t="str">
        <f t="shared" si="38"/>
        <v>OK</v>
      </c>
      <c r="J80" s="142" t="str">
        <f t="shared" si="38"/>
        <v>OK</v>
      </c>
      <c r="K80" s="142" t="str">
        <f t="shared" si="38"/>
        <v>OK</v>
      </c>
      <c r="L80" s="142" t="str">
        <f t="shared" si="38"/>
        <v>OK</v>
      </c>
      <c r="M80" s="142" t="str">
        <f t="shared" si="38"/>
        <v>OK</v>
      </c>
      <c r="N80" s="142" t="str">
        <f t="shared" si="38"/>
        <v>OK</v>
      </c>
      <c r="O80" s="142" t="str">
        <f t="shared" si="38"/>
        <v>OK</v>
      </c>
      <c r="P80" s="142" t="str">
        <f t="shared" si="38"/>
        <v>OK</v>
      </c>
      <c r="Q80" s="142" t="str">
        <f t="shared" si="38"/>
        <v>OK</v>
      </c>
      <c r="R80" s="142" t="str">
        <f t="shared" si="38"/>
        <v>OK</v>
      </c>
      <c r="S80" s="142" t="str">
        <f>IF(AND((S57-S79)&lt;0.05,(S57-S79)&gt;-0.05),"OK","Error")</f>
        <v>OK</v>
      </c>
      <c r="T80" s="295"/>
      <c r="U80" s="295"/>
      <c r="V80" s="295"/>
      <c r="W80" s="295"/>
      <c r="X80" s="295"/>
      <c r="Y80" s="295"/>
      <c r="Z80" s="295"/>
      <c r="AA80" s="295"/>
      <c r="AB80" s="297"/>
      <c r="AC80" s="297"/>
      <c r="AD80" s="297"/>
      <c r="AE80" s="297"/>
      <c r="AF80" s="297"/>
      <c r="AG80" s="297"/>
      <c r="AH80" s="297"/>
      <c r="AI80" s="297"/>
      <c r="AJ80" s="297"/>
      <c r="AK80" s="297"/>
    </row>
    <row r="81" spans="2:37" ht="14.25" thickBot="1">
      <c r="D81" s="299"/>
      <c r="E81" s="299"/>
      <c r="F81" s="143"/>
      <c r="G81" s="143"/>
      <c r="H81" s="143"/>
      <c r="I81" s="143"/>
      <c r="J81" s="143"/>
      <c r="K81" s="143"/>
      <c r="L81" s="143"/>
      <c r="M81" s="143"/>
      <c r="N81" s="143"/>
      <c r="O81" s="143"/>
      <c r="P81" s="143"/>
      <c r="Q81" s="143"/>
      <c r="R81" s="143"/>
      <c r="S81" s="143"/>
      <c r="T81" s="295"/>
      <c r="U81" s="295"/>
      <c r="V81" s="295"/>
      <c r="W81" s="295"/>
      <c r="X81" s="295"/>
      <c r="Y81" s="295"/>
      <c r="Z81" s="295"/>
      <c r="AA81" s="295"/>
    </row>
    <row r="82" spans="2:37" ht="15">
      <c r="B82" s="136" t="s">
        <v>212</v>
      </c>
      <c r="C82" s="132"/>
      <c r="D82" s="144"/>
      <c r="E82" s="144"/>
      <c r="F82" s="144"/>
      <c r="G82" s="144"/>
      <c r="H82" s="144"/>
      <c r="I82" s="144"/>
      <c r="J82" s="144"/>
      <c r="K82" s="144"/>
      <c r="L82" s="144"/>
      <c r="M82" s="144"/>
      <c r="N82" s="144"/>
      <c r="O82" s="144"/>
      <c r="P82" s="144"/>
      <c r="Q82" s="144"/>
      <c r="R82" s="144"/>
      <c r="S82" s="144"/>
      <c r="T82" s="295"/>
      <c r="U82" s="295"/>
      <c r="V82" s="295"/>
      <c r="W82" s="295"/>
      <c r="X82" s="295"/>
      <c r="Y82" s="295"/>
      <c r="Z82" s="295"/>
      <c r="AA82" s="295"/>
    </row>
    <row r="83" spans="2:37" ht="15">
      <c r="B83" s="278" t="s">
        <v>213</v>
      </c>
      <c r="C83" s="150"/>
      <c r="D83" s="152"/>
      <c r="E83" s="152"/>
      <c r="F83" s="152"/>
      <c r="G83" s="152"/>
      <c r="H83" s="152"/>
      <c r="I83" s="152"/>
      <c r="J83" s="152"/>
      <c r="K83" s="152"/>
      <c r="L83" s="152"/>
      <c r="M83" s="152"/>
      <c r="N83" s="152"/>
      <c r="O83" s="152"/>
      <c r="P83" s="152"/>
      <c r="Q83" s="152"/>
      <c r="R83" s="290"/>
      <c r="S83" s="290"/>
      <c r="T83" s="295"/>
      <c r="U83" s="295"/>
      <c r="V83" s="295"/>
      <c r="W83" s="295"/>
      <c r="X83" s="295"/>
      <c r="Y83" s="295"/>
      <c r="Z83" s="295"/>
      <c r="AA83" s="295"/>
    </row>
    <row r="84" spans="2:37">
      <c r="B84" s="277" t="s">
        <v>37</v>
      </c>
      <c r="C84" s="150"/>
      <c r="D84" s="152"/>
      <c r="E84" s="152"/>
      <c r="F84" s="152"/>
      <c r="G84" s="152"/>
      <c r="H84" s="152">
        <f t="shared" ref="H84:R84" si="39">H32</f>
        <v>-231.76706354831035</v>
      </c>
      <c r="I84" s="152">
        <f t="shared" si="39"/>
        <v>-9.3348316205870958</v>
      </c>
      <c r="J84" s="152">
        <f t="shared" si="39"/>
        <v>-27.153170871154551</v>
      </c>
      <c r="K84" s="152">
        <f t="shared" si="39"/>
        <v>-3.1849951358225752</v>
      </c>
      <c r="L84" s="152">
        <f t="shared" si="39"/>
        <v>28.918354245662528</v>
      </c>
      <c r="M84" s="152">
        <f t="shared" si="39"/>
        <v>50.342579289093663</v>
      </c>
      <c r="N84" s="152">
        <f t="shared" si="39"/>
        <v>50.115793626055705</v>
      </c>
      <c r="O84" s="152">
        <f t="shared" si="39"/>
        <v>61.476080352146937</v>
      </c>
      <c r="P84" s="152">
        <f t="shared" si="39"/>
        <v>67.838345301031495</v>
      </c>
      <c r="Q84" s="152">
        <f t="shared" si="39"/>
        <v>73.923139858245264</v>
      </c>
      <c r="R84" s="290">
        <f t="shared" si="39"/>
        <v>61.692225681237332</v>
      </c>
      <c r="S84" s="290">
        <f>S32</f>
        <v>4.0444914489184605</v>
      </c>
      <c r="T84" s="295"/>
      <c r="U84" s="295"/>
      <c r="V84" s="295"/>
      <c r="W84" s="295"/>
      <c r="X84" s="295"/>
      <c r="Y84" s="295"/>
      <c r="Z84" s="295"/>
      <c r="AA84" s="295"/>
      <c r="AB84" s="64"/>
      <c r="AC84" s="64"/>
      <c r="AD84" s="64"/>
      <c r="AE84" s="64"/>
      <c r="AF84" s="64"/>
      <c r="AG84" s="64"/>
      <c r="AH84" s="64"/>
      <c r="AI84" s="64"/>
      <c r="AJ84" s="64"/>
      <c r="AK84" s="64"/>
    </row>
    <row r="85" spans="2:37">
      <c r="B85" s="277" t="s">
        <v>77</v>
      </c>
      <c r="C85" s="150"/>
      <c r="D85" s="152"/>
      <c r="E85" s="152"/>
      <c r="F85" s="152"/>
      <c r="G85" s="152"/>
      <c r="H85" s="152">
        <f t="shared" ref="H85:R85" si="40">H25</f>
        <v>96.457532674718593</v>
      </c>
      <c r="I85" s="152">
        <f t="shared" si="40"/>
        <v>103.05095228652415</v>
      </c>
      <c r="J85" s="152">
        <f t="shared" si="40"/>
        <v>108.70276886512572</v>
      </c>
      <c r="K85" s="152">
        <f t="shared" si="40"/>
        <v>114.72649096001797</v>
      </c>
      <c r="L85" s="152">
        <f t="shared" si="40"/>
        <v>120.80200439665414</v>
      </c>
      <c r="M85" s="152">
        <f t="shared" si="40"/>
        <v>127.79937843847392</v>
      </c>
      <c r="N85" s="152">
        <f t="shared" si="40"/>
        <v>133.94320096575149</v>
      </c>
      <c r="O85" s="152">
        <f t="shared" si="40"/>
        <v>141.04765337125309</v>
      </c>
      <c r="P85" s="152">
        <f t="shared" si="40"/>
        <v>149.10921637900196</v>
      </c>
      <c r="Q85" s="152">
        <f t="shared" si="40"/>
        <v>157.17874658461579</v>
      </c>
      <c r="R85" s="290">
        <f t="shared" si="40"/>
        <v>165.21300553359924</v>
      </c>
      <c r="S85" s="290">
        <f>S25</f>
        <v>8.1965680317944525</v>
      </c>
      <c r="T85" s="295"/>
      <c r="U85" s="295"/>
      <c r="V85" s="295"/>
      <c r="W85" s="295"/>
      <c r="X85" s="295"/>
      <c r="Y85" s="295"/>
      <c r="Z85" s="295"/>
      <c r="AA85" s="295"/>
      <c r="AB85" s="64"/>
      <c r="AC85" s="64"/>
      <c r="AD85" s="64"/>
      <c r="AE85" s="64"/>
      <c r="AF85" s="64"/>
      <c r="AG85" s="64"/>
      <c r="AH85" s="64"/>
      <c r="AI85" s="64"/>
      <c r="AJ85" s="64"/>
      <c r="AK85" s="64"/>
    </row>
    <row r="86" spans="2:37">
      <c r="B86" s="277" t="s">
        <v>208</v>
      </c>
      <c r="C86" s="150"/>
      <c r="D86" s="152"/>
      <c r="E86" s="152"/>
      <c r="F86" s="152"/>
      <c r="G86" s="152"/>
      <c r="H86" s="152">
        <f t="shared" ref="H86:R86" si="41">H27</f>
        <v>91.45</v>
      </c>
      <c r="I86" s="152">
        <f t="shared" si="41"/>
        <v>78.61</v>
      </c>
      <c r="J86" s="152">
        <f t="shared" si="41"/>
        <v>63.279999999999994</v>
      </c>
      <c r="K86" s="152">
        <f t="shared" si="41"/>
        <v>44.08</v>
      </c>
      <c r="L86" s="152">
        <f t="shared" si="41"/>
        <v>17.700000000000003</v>
      </c>
      <c r="M86" s="152">
        <f t="shared" si="41"/>
        <v>9.0000000000000011E-2</v>
      </c>
      <c r="N86" s="152">
        <f t="shared" si="41"/>
        <v>0.03</v>
      </c>
      <c r="O86" s="152">
        <f t="shared" si="41"/>
        <v>0</v>
      </c>
      <c r="P86" s="152">
        <f t="shared" si="41"/>
        <v>0</v>
      </c>
      <c r="Q86" s="152">
        <f t="shared" si="41"/>
        <v>0</v>
      </c>
      <c r="R86" s="290">
        <f t="shared" si="41"/>
        <v>0</v>
      </c>
      <c r="S86" s="290">
        <f>S27</f>
        <v>0</v>
      </c>
      <c r="T86" s="295"/>
      <c r="U86" s="295"/>
      <c r="V86" s="295"/>
      <c r="W86" s="295"/>
      <c r="X86" s="295"/>
      <c r="Y86" s="295"/>
      <c r="Z86" s="295"/>
      <c r="AA86" s="295"/>
      <c r="AB86" s="64"/>
      <c r="AC86" s="64"/>
      <c r="AD86" s="64"/>
      <c r="AE86" s="64"/>
      <c r="AF86" s="64"/>
      <c r="AG86" s="64"/>
      <c r="AH86" s="64"/>
      <c r="AI86" s="64"/>
      <c r="AJ86" s="64"/>
      <c r="AK86" s="64"/>
    </row>
    <row r="87" spans="2:37" hidden="1">
      <c r="B87" s="277"/>
      <c r="C87" s="150"/>
      <c r="D87" s="152"/>
      <c r="E87" s="152"/>
      <c r="F87" s="152"/>
      <c r="G87" s="152"/>
      <c r="H87" s="152"/>
      <c r="I87" s="152"/>
      <c r="J87" s="152"/>
      <c r="K87" s="152"/>
      <c r="L87" s="152"/>
      <c r="M87" s="152"/>
      <c r="N87" s="152"/>
      <c r="O87" s="152"/>
      <c r="P87" s="152"/>
      <c r="Q87" s="152"/>
      <c r="R87" s="290"/>
      <c r="S87" s="290"/>
      <c r="T87" s="295"/>
      <c r="U87" s="295"/>
      <c r="V87" s="295"/>
      <c r="W87" s="295"/>
      <c r="X87" s="295"/>
      <c r="Y87" s="295"/>
      <c r="Z87" s="295"/>
      <c r="AA87" s="295"/>
      <c r="AB87" s="64"/>
      <c r="AC87" s="64"/>
      <c r="AD87" s="64"/>
      <c r="AE87" s="64"/>
      <c r="AF87" s="64"/>
      <c r="AG87" s="64"/>
      <c r="AH87" s="64"/>
      <c r="AI87" s="64"/>
      <c r="AJ87" s="64"/>
      <c r="AK87" s="64"/>
    </row>
    <row r="88" spans="2:37">
      <c r="B88" s="277" t="s">
        <v>219</v>
      </c>
      <c r="C88" s="150"/>
      <c r="D88" s="152"/>
      <c r="E88" s="152"/>
      <c r="F88" s="152"/>
      <c r="G88" s="152"/>
      <c r="H88" s="152">
        <f>H18</f>
        <v>161.45301598162706</v>
      </c>
      <c r="I88" s="152">
        <f t="shared" ref="I88:R88" si="42">I18</f>
        <v>0</v>
      </c>
      <c r="J88" s="152">
        <f t="shared" si="42"/>
        <v>38.817592773613342</v>
      </c>
      <c r="K88" s="152">
        <f t="shared" si="42"/>
        <v>38.817592773613342</v>
      </c>
      <c r="L88" s="152">
        <f t="shared" si="42"/>
        <v>38.817592773613342</v>
      </c>
      <c r="M88" s="152">
        <f t="shared" si="42"/>
        <v>38.817592773613342</v>
      </c>
      <c r="N88" s="152">
        <f t="shared" si="42"/>
        <v>38.817592773613342</v>
      </c>
      <c r="O88" s="152">
        <f t="shared" si="42"/>
        <v>30.486278622619693</v>
      </c>
      <c r="P88" s="152">
        <f t="shared" si="42"/>
        <v>30.486278622619693</v>
      </c>
      <c r="Q88" s="152">
        <f t="shared" si="42"/>
        <v>30.48627862261975</v>
      </c>
      <c r="R88" s="290">
        <f t="shared" si="42"/>
        <v>30.486278622619693</v>
      </c>
      <c r="S88" s="290">
        <f>S18</f>
        <v>0</v>
      </c>
      <c r="T88" s="295"/>
      <c r="U88" s="295"/>
      <c r="V88" s="295"/>
      <c r="W88" s="295"/>
      <c r="X88" s="295"/>
      <c r="Y88" s="295"/>
      <c r="Z88" s="295"/>
      <c r="AA88" s="295"/>
      <c r="AB88" s="64"/>
      <c r="AC88" s="64"/>
      <c r="AD88" s="64"/>
      <c r="AE88" s="64"/>
      <c r="AF88" s="64"/>
      <c r="AG88" s="64"/>
      <c r="AH88" s="64"/>
      <c r="AI88" s="64"/>
      <c r="AJ88" s="64"/>
      <c r="AK88" s="64"/>
    </row>
    <row r="89" spans="2:37">
      <c r="B89" s="277" t="s">
        <v>220</v>
      </c>
      <c r="C89" s="150"/>
      <c r="D89" s="152"/>
      <c r="E89" s="152"/>
      <c r="F89" s="152"/>
      <c r="G89" s="152"/>
      <c r="H89" s="152">
        <f>'Other Schedules'!L111*-1</f>
        <v>-243.43</v>
      </c>
      <c r="I89" s="152">
        <f>'Other Schedules'!M111*-1</f>
        <v>-1.5</v>
      </c>
      <c r="J89" s="152">
        <f>'Other Schedules'!N111*-1</f>
        <v>-1.6861321802701068</v>
      </c>
      <c r="K89" s="152">
        <f>'Other Schedules'!O111*-1</f>
        <v>-1.7485815202801107</v>
      </c>
      <c r="L89" s="152">
        <f>'Other Schedules'!P111*-1</f>
        <v>-1.4237689515009073</v>
      </c>
      <c r="M89" s="152">
        <f>'Other Schedules'!Q111*-1</f>
        <v>-92.307064007812514</v>
      </c>
      <c r="N89" s="152">
        <f>'Other Schedules'!R111*-1</f>
        <v>-96.922417208203129</v>
      </c>
      <c r="O89" s="152">
        <f>'Other Schedules'!S111*-1</f>
        <v>-1.5</v>
      </c>
      <c r="P89" s="152">
        <f>'Other Schedules'!T111*-1</f>
        <v>-2.6353106088003768</v>
      </c>
      <c r="Q89" s="152">
        <f>'Other Schedules'!U111*-1</f>
        <v>0</v>
      </c>
      <c r="R89" s="152">
        <f>'Other Schedules'!V111*-1</f>
        <v>-117.80980388167846</v>
      </c>
      <c r="S89" s="152">
        <f>'Other Schedules'!W111*-1</f>
        <v>0</v>
      </c>
      <c r="T89" s="295"/>
      <c r="U89" s="295"/>
      <c r="V89" s="295"/>
      <c r="W89" s="295"/>
      <c r="X89" s="295"/>
      <c r="Y89" s="295"/>
      <c r="Z89" s="295"/>
      <c r="AA89" s="295"/>
      <c r="AB89" s="64"/>
      <c r="AC89" s="64"/>
      <c r="AD89" s="64"/>
      <c r="AE89" s="64"/>
      <c r="AF89" s="64"/>
      <c r="AG89" s="64"/>
      <c r="AH89" s="64"/>
      <c r="AI89" s="64"/>
      <c r="AJ89" s="64"/>
      <c r="AK89" s="64"/>
    </row>
    <row r="90" spans="2:37">
      <c r="B90" s="277" t="s">
        <v>256</v>
      </c>
      <c r="C90" s="150"/>
      <c r="D90" s="152"/>
      <c r="E90" s="152"/>
      <c r="F90" s="152"/>
      <c r="G90" s="152"/>
      <c r="H90" s="152"/>
      <c r="I90" s="152"/>
      <c r="J90" s="152"/>
      <c r="K90" s="152"/>
      <c r="L90" s="152"/>
      <c r="M90" s="152"/>
      <c r="N90" s="152"/>
      <c r="O90" s="152"/>
      <c r="P90" s="152"/>
      <c r="Q90" s="152"/>
      <c r="R90" s="290"/>
      <c r="S90" s="290"/>
      <c r="T90" s="295"/>
      <c r="U90" s="295"/>
      <c r="V90" s="295"/>
      <c r="W90" s="295"/>
      <c r="X90" s="295"/>
      <c r="Y90" s="295"/>
      <c r="Z90" s="295"/>
      <c r="AA90" s="295"/>
      <c r="AB90" s="64"/>
      <c r="AC90" s="64"/>
      <c r="AD90" s="64"/>
      <c r="AE90" s="64"/>
      <c r="AF90" s="64"/>
      <c r="AG90" s="64"/>
      <c r="AH90" s="64"/>
      <c r="AI90" s="64"/>
      <c r="AJ90" s="64"/>
      <c r="AK90" s="64"/>
    </row>
    <row r="91" spans="2:37">
      <c r="B91" s="277" t="s">
        <v>257</v>
      </c>
      <c r="C91" s="150"/>
      <c r="D91" s="152"/>
      <c r="E91" s="152"/>
      <c r="F91" s="152"/>
      <c r="G91" s="152"/>
      <c r="H91" s="152"/>
      <c r="I91" s="152"/>
      <c r="J91" s="152"/>
      <c r="K91" s="152"/>
      <c r="L91" s="152"/>
      <c r="M91" s="152"/>
      <c r="N91" s="152"/>
      <c r="O91" s="152"/>
      <c r="P91" s="152"/>
      <c r="Q91" s="152"/>
      <c r="R91" s="290"/>
      <c r="S91" s="290"/>
      <c r="T91" s="295"/>
      <c r="U91" s="295"/>
      <c r="V91" s="295"/>
      <c r="W91" s="295"/>
      <c r="X91" s="295"/>
      <c r="Y91" s="295"/>
      <c r="Z91" s="295"/>
      <c r="AA91" s="295"/>
      <c r="AB91" s="64"/>
      <c r="AC91" s="64"/>
      <c r="AD91" s="64"/>
      <c r="AE91" s="64"/>
      <c r="AF91" s="64"/>
      <c r="AG91" s="64"/>
      <c r="AH91" s="64"/>
      <c r="AI91" s="64"/>
      <c r="AJ91" s="64"/>
      <c r="AK91" s="64"/>
    </row>
    <row r="92" spans="2:37">
      <c r="B92" s="277" t="s">
        <v>48</v>
      </c>
      <c r="C92" s="150"/>
      <c r="D92" s="152"/>
      <c r="E92" s="152"/>
      <c r="F92" s="345"/>
      <c r="G92" s="345"/>
      <c r="H92" s="152"/>
      <c r="I92" s="152"/>
      <c r="J92" s="152"/>
      <c r="K92" s="152"/>
      <c r="L92" s="152"/>
      <c r="M92" s="152"/>
      <c r="N92" s="152"/>
      <c r="O92" s="152"/>
      <c r="P92" s="152"/>
      <c r="Q92" s="152"/>
      <c r="R92" s="290"/>
      <c r="S92" s="290"/>
      <c r="T92" s="295"/>
      <c r="U92" s="295"/>
      <c r="V92" s="295"/>
      <c r="W92" s="295"/>
      <c r="X92" s="295"/>
      <c r="Y92" s="295"/>
      <c r="Z92" s="295"/>
      <c r="AA92" s="295"/>
      <c r="AB92" s="64"/>
      <c r="AC92" s="64"/>
      <c r="AD92" s="64"/>
      <c r="AE92" s="64"/>
      <c r="AF92" s="64"/>
      <c r="AG92" s="64"/>
      <c r="AH92" s="64"/>
      <c r="AI92" s="64"/>
      <c r="AJ92" s="64"/>
      <c r="AK92" s="64"/>
    </row>
    <row r="93" spans="2:37">
      <c r="B93" s="277" t="s">
        <v>306</v>
      </c>
      <c r="C93" s="150"/>
      <c r="D93" s="152"/>
      <c r="E93" s="152"/>
      <c r="F93" s="346"/>
      <c r="G93" s="345"/>
      <c r="H93" s="152"/>
      <c r="I93" s="152"/>
      <c r="J93" s="152"/>
      <c r="K93" s="152"/>
      <c r="L93" s="152"/>
      <c r="M93" s="152"/>
      <c r="N93" s="152"/>
      <c r="O93" s="152"/>
      <c r="P93" s="152"/>
      <c r="Q93" s="152"/>
      <c r="R93" s="290"/>
      <c r="S93" s="290"/>
      <c r="T93" s="295"/>
      <c r="U93" s="295"/>
      <c r="V93" s="295"/>
      <c r="W93" s="295"/>
      <c r="X93" s="295"/>
      <c r="Y93" s="295"/>
      <c r="Z93" s="295"/>
      <c r="AA93" s="295"/>
      <c r="AB93" s="64"/>
      <c r="AC93" s="64"/>
      <c r="AD93" s="64"/>
      <c r="AE93" s="64"/>
      <c r="AF93" s="64"/>
      <c r="AG93" s="64"/>
      <c r="AH93" s="64"/>
      <c r="AI93" s="64"/>
      <c r="AJ93" s="64"/>
      <c r="AK93" s="64"/>
    </row>
    <row r="94" spans="2:37">
      <c r="B94" s="277" t="s">
        <v>53</v>
      </c>
      <c r="C94" s="150"/>
      <c r="D94" s="152"/>
      <c r="E94" s="152"/>
      <c r="F94" s="345"/>
      <c r="G94" s="345"/>
      <c r="H94" s="152"/>
      <c r="I94" s="152"/>
      <c r="J94" s="152"/>
      <c r="K94" s="152"/>
      <c r="L94" s="152"/>
      <c r="M94" s="152"/>
      <c r="N94" s="152"/>
      <c r="O94" s="152"/>
      <c r="P94" s="152"/>
      <c r="Q94" s="152"/>
      <c r="R94" s="290">
        <f>Q54*-1</f>
        <v>-17.556154492000008</v>
      </c>
      <c r="S94" s="290"/>
      <c r="T94" s="295"/>
      <c r="U94" s="295"/>
      <c r="V94" s="295"/>
      <c r="W94" s="295"/>
      <c r="X94" s="295"/>
      <c r="Y94" s="295"/>
      <c r="Z94" s="295"/>
      <c r="AA94" s="295"/>
      <c r="AB94" s="64"/>
      <c r="AC94" s="64"/>
      <c r="AD94" s="64"/>
      <c r="AE94" s="64"/>
      <c r="AF94" s="64"/>
      <c r="AG94" s="64"/>
      <c r="AH94" s="64"/>
      <c r="AI94" s="64"/>
      <c r="AJ94" s="64"/>
      <c r="AK94" s="64"/>
    </row>
    <row r="95" spans="2:37" ht="15">
      <c r="B95" s="277" t="s">
        <v>52</v>
      </c>
      <c r="C95" s="150"/>
      <c r="D95" s="155"/>
      <c r="E95" s="152"/>
      <c r="F95" s="345"/>
      <c r="G95" s="346"/>
      <c r="H95" s="152">
        <f>-G53</f>
        <v>-34.844269177000001</v>
      </c>
      <c r="I95" s="152"/>
      <c r="J95" s="152"/>
      <c r="K95" s="152"/>
      <c r="L95" s="152"/>
      <c r="M95" s="152"/>
      <c r="N95" s="152"/>
      <c r="O95" s="152"/>
      <c r="P95" s="152"/>
      <c r="Q95" s="152"/>
      <c r="R95" s="331">
        <f>Q53*-1</f>
        <v>0</v>
      </c>
      <c r="S95" s="290"/>
      <c r="T95" s="295"/>
      <c r="U95" s="295"/>
      <c r="V95" s="295"/>
      <c r="W95" s="295"/>
      <c r="X95" s="295"/>
      <c r="Y95" s="295"/>
      <c r="Z95" s="295"/>
      <c r="AA95" s="295"/>
    </row>
    <row r="96" spans="2:37" ht="15">
      <c r="B96" s="283" t="s">
        <v>213</v>
      </c>
      <c r="C96" s="150"/>
      <c r="D96" s="153"/>
      <c r="E96" s="153"/>
      <c r="F96" s="347"/>
      <c r="G96" s="347"/>
      <c r="H96" s="153">
        <f t="shared" ref="H96:R96" si="43">SUM(H84:H95)</f>
        <v>-160.68078406896473</v>
      </c>
      <c r="I96" s="153">
        <f t="shared" si="43"/>
        <v>170.82612066593705</v>
      </c>
      <c r="J96" s="153">
        <f t="shared" si="43"/>
        <v>181.9610585873144</v>
      </c>
      <c r="K96" s="153">
        <f t="shared" si="43"/>
        <v>192.69050707752862</v>
      </c>
      <c r="L96" s="153">
        <f t="shared" si="43"/>
        <v>204.81418246442911</v>
      </c>
      <c r="M96" s="153">
        <f t="shared" si="43"/>
        <v>124.74248649336842</v>
      </c>
      <c r="N96" s="153">
        <f t="shared" si="43"/>
        <v>125.98417015721741</v>
      </c>
      <c r="O96" s="153">
        <f t="shared" si="43"/>
        <v>231.51001234601972</v>
      </c>
      <c r="P96" s="153">
        <f t="shared" si="43"/>
        <v>244.79852969385277</v>
      </c>
      <c r="Q96" s="153">
        <f t="shared" si="43"/>
        <v>261.58816506548078</v>
      </c>
      <c r="R96" s="291">
        <f t="shared" si="43"/>
        <v>122.0255514637778</v>
      </c>
      <c r="S96" s="291">
        <f>SUM(S84:S95)</f>
        <v>12.241059480712913</v>
      </c>
      <c r="T96" s="296"/>
      <c r="U96" s="296"/>
      <c r="V96" s="296"/>
      <c r="W96" s="296"/>
      <c r="X96" s="296"/>
      <c r="Y96" s="296"/>
      <c r="Z96" s="296"/>
      <c r="AA96" s="296"/>
      <c r="AB96" s="139"/>
      <c r="AC96" s="139"/>
      <c r="AD96" s="139"/>
      <c r="AE96" s="139"/>
      <c r="AF96" s="139"/>
      <c r="AG96" s="139"/>
      <c r="AH96" s="139"/>
      <c r="AI96" s="139"/>
      <c r="AJ96" s="139"/>
      <c r="AK96" s="139"/>
    </row>
    <row r="97" spans="1:37">
      <c r="B97" s="276"/>
      <c r="C97" s="150"/>
      <c r="D97" s="152"/>
      <c r="E97" s="152"/>
      <c r="F97" s="345"/>
      <c r="G97" s="345"/>
      <c r="H97" s="152"/>
      <c r="I97" s="152"/>
      <c r="J97" s="152"/>
      <c r="K97" s="152"/>
      <c r="L97" s="152"/>
      <c r="M97" s="152"/>
      <c r="N97" s="152"/>
      <c r="O97" s="152"/>
      <c r="P97" s="152"/>
      <c r="Q97" s="152"/>
      <c r="R97" s="290"/>
      <c r="S97" s="290"/>
      <c r="T97" s="295"/>
      <c r="U97" s="295"/>
      <c r="V97" s="295"/>
      <c r="W97" s="295"/>
      <c r="X97" s="295"/>
      <c r="Y97" s="295"/>
      <c r="Z97" s="295"/>
      <c r="AA97" s="295"/>
    </row>
    <row r="98" spans="1:37" ht="15">
      <c r="B98" s="278" t="s">
        <v>214</v>
      </c>
      <c r="C98" s="150"/>
      <c r="D98" s="152"/>
      <c r="E98" s="152"/>
      <c r="F98" s="152"/>
      <c r="G98" s="152"/>
      <c r="H98" s="152"/>
      <c r="I98" s="152"/>
      <c r="J98" s="152"/>
      <c r="K98" s="152"/>
      <c r="L98" s="152"/>
      <c r="M98" s="152"/>
      <c r="N98" s="152"/>
      <c r="O98" s="152"/>
      <c r="P98" s="152"/>
      <c r="Q98" s="152"/>
      <c r="R98" s="290"/>
      <c r="S98" s="290"/>
      <c r="T98" s="295"/>
      <c r="U98" s="295"/>
      <c r="V98" s="295"/>
      <c r="W98" s="295"/>
      <c r="X98" s="295"/>
      <c r="Y98" s="295"/>
      <c r="Z98" s="295"/>
      <c r="AA98" s="295"/>
    </row>
    <row r="99" spans="1:37">
      <c r="B99" s="277" t="s">
        <v>40</v>
      </c>
      <c r="C99" s="150"/>
      <c r="D99" s="152"/>
      <c r="E99" s="152"/>
      <c r="F99" s="152"/>
      <c r="G99" s="152"/>
      <c r="H99" s="152"/>
      <c r="I99" s="152"/>
      <c r="J99" s="152"/>
      <c r="K99" s="152"/>
      <c r="L99" s="152"/>
      <c r="M99" s="152"/>
      <c r="N99" s="152"/>
      <c r="O99" s="152"/>
      <c r="P99" s="152"/>
      <c r="Q99" s="152"/>
      <c r="R99" s="290"/>
      <c r="S99" s="290"/>
      <c r="T99" s="295"/>
      <c r="U99" s="295"/>
      <c r="V99" s="295"/>
      <c r="W99" s="295"/>
      <c r="X99" s="295"/>
      <c r="Y99" s="295"/>
      <c r="Z99" s="295"/>
      <c r="AA99" s="295"/>
      <c r="AB99" s="64"/>
      <c r="AC99" s="64"/>
      <c r="AD99" s="64"/>
      <c r="AE99" s="64"/>
      <c r="AF99" s="64"/>
      <c r="AG99" s="64"/>
      <c r="AH99" s="64"/>
      <c r="AI99" s="64"/>
      <c r="AJ99" s="64"/>
      <c r="AK99" s="64"/>
    </row>
    <row r="100" spans="1:37">
      <c r="B100" s="277" t="s">
        <v>41</v>
      </c>
      <c r="C100" s="150"/>
      <c r="D100" s="152"/>
      <c r="E100" s="152"/>
      <c r="F100" s="152"/>
      <c r="G100" s="152"/>
      <c r="H100" s="152"/>
      <c r="I100" s="152"/>
      <c r="J100" s="152"/>
      <c r="K100" s="152"/>
      <c r="L100" s="152"/>
      <c r="M100" s="152"/>
      <c r="N100" s="152"/>
      <c r="O100" s="152"/>
      <c r="P100" s="152"/>
      <c r="Q100" s="152"/>
      <c r="R100" s="290"/>
      <c r="S100" s="290"/>
      <c r="T100" s="295"/>
      <c r="U100" s="295"/>
      <c r="V100" s="295"/>
      <c r="W100" s="295"/>
      <c r="X100" s="295"/>
      <c r="Y100" s="295"/>
      <c r="Z100" s="295"/>
      <c r="AA100" s="295"/>
      <c r="AB100" s="64"/>
      <c r="AC100" s="64"/>
      <c r="AD100" s="64"/>
      <c r="AE100" s="64"/>
      <c r="AF100" s="64"/>
      <c r="AG100" s="64"/>
      <c r="AH100" s="64"/>
      <c r="AI100" s="64"/>
      <c r="AJ100" s="64"/>
      <c r="AK100" s="64"/>
    </row>
    <row r="101" spans="1:37">
      <c r="B101" s="277" t="s">
        <v>224</v>
      </c>
      <c r="C101" s="150"/>
      <c r="D101" s="152"/>
      <c r="E101" s="152"/>
      <c r="F101" s="152"/>
      <c r="G101" s="152"/>
      <c r="H101" s="152"/>
      <c r="I101" s="152"/>
      <c r="J101" s="152"/>
      <c r="K101" s="152"/>
      <c r="L101" s="152"/>
      <c r="M101" s="152"/>
      <c r="N101" s="152"/>
      <c r="O101" s="152"/>
      <c r="P101" s="152"/>
      <c r="Q101" s="152"/>
      <c r="R101" s="290"/>
      <c r="S101" s="290"/>
      <c r="T101" s="295"/>
      <c r="U101" s="295"/>
      <c r="V101" s="295"/>
      <c r="W101" s="295"/>
      <c r="X101" s="295"/>
      <c r="Y101" s="295"/>
      <c r="Z101" s="295"/>
      <c r="AA101" s="295"/>
      <c r="AB101" s="64"/>
      <c r="AC101" s="64"/>
      <c r="AD101" s="64"/>
      <c r="AE101" s="64"/>
      <c r="AF101" s="64"/>
      <c r="AG101" s="64"/>
      <c r="AH101" s="64"/>
      <c r="AI101" s="64"/>
      <c r="AJ101" s="64"/>
      <c r="AK101" s="64"/>
    </row>
    <row r="102" spans="1:37">
      <c r="B102" s="277" t="s">
        <v>221</v>
      </c>
      <c r="C102" s="150"/>
      <c r="D102" s="152"/>
      <c r="E102" s="152"/>
      <c r="F102" s="152"/>
      <c r="G102" s="152"/>
      <c r="H102" s="152">
        <f>SUMIF('Debt Schedule'!$E$2:$BA$2,H$1,'Debt Schedule'!$E$10:$BA$10)+SUMIF('Debt Schedule'!$E$2:$BA$2,H$1,'Debt Schedule'!$E$17:$BA$17)</f>
        <v>0</v>
      </c>
      <c r="I102" s="152">
        <f>SUMIF('Debt Schedule'!$E$2:$BA$2,I$1,'Debt Schedule'!$E$10:$BA$10)+SUMIF('Debt Schedule'!$E$2:$BA$2,I$1,'Debt Schedule'!$E$17:$BA$17)</f>
        <v>0</v>
      </c>
      <c r="J102" s="152">
        <f>SUMIF('Debt Schedule'!$E$2:$BA$2,J$1,'Debt Schedule'!$E$10:$BA$10)+SUMIF('Debt Schedule'!$E$2:$BA$2,J$1,'Debt Schedule'!$E$17:$BA$17)</f>
        <v>0</v>
      </c>
      <c r="K102" s="152">
        <f>SUMIF('Debt Schedule'!$E$2:$BA$2,K$1,'Debt Schedule'!$E$10:$BA$10)+SUMIF('Debt Schedule'!$E$2:$BA$2,K$1,'Debt Schedule'!$E$17:$BA$17)</f>
        <v>0</v>
      </c>
      <c r="L102" s="152">
        <f>SUMIF('Debt Schedule'!$E$2:$BA$2,L$1,'Debt Schedule'!$E$10:$BA$10)+SUMIF('Debt Schedule'!$E$2:$BA$2,L$1,'Debt Schedule'!$E$17:$BA$17)</f>
        <v>0</v>
      </c>
      <c r="M102" s="152">
        <f>SUMIF('Debt Schedule'!$E$2:$BA$2,M$1,'Debt Schedule'!$E$10:$BA$10)+SUMIF('Debt Schedule'!$E$2:$BA$2,M$1,'Debt Schedule'!$E$17:$BA$17)</f>
        <v>0</v>
      </c>
      <c r="N102" s="152">
        <f>SUMIF('Debt Schedule'!$E$2:$BA$2,N$1,'Debt Schedule'!$E$10:$BA$10)+SUMIF('Debt Schedule'!$E$2:$BA$2,N$1,'Debt Schedule'!$E$17:$BA$17)</f>
        <v>0</v>
      </c>
      <c r="O102" s="152">
        <f>SUMIF('Debt Schedule'!$E$2:$BA$2,O$1,'Debt Schedule'!$E$10:$BA$10)+SUMIF('Debt Schedule'!$E$2:$BA$2,O$1,'Debt Schedule'!$E$17:$BA$17)</f>
        <v>0</v>
      </c>
      <c r="P102" s="152">
        <f>SUMIF('Debt Schedule'!$E$2:$BA$2,P$1,'Debt Schedule'!$E$10:$BA$10)+SUMIF('Debt Schedule'!$E$2:$BA$2,P$1,'Debt Schedule'!$E$17:$BA$17)</f>
        <v>0</v>
      </c>
      <c r="Q102" s="152">
        <f>SUMIF('Debt Schedule'!$E$2:$BA$2,Q$1,'Debt Schedule'!$E$10:$BA$10)+SUMIF('Debt Schedule'!$E$2:$BA$2,Q$1,'Debt Schedule'!$E$17:$BA$17)</f>
        <v>0</v>
      </c>
      <c r="R102" s="290">
        <f>SUMIF('Debt Schedule'!$E$2:$BA$2,R$1,'Debt Schedule'!$E$10:$BA$10)+SUMIF('Debt Schedule'!$E$2:$BA$2,R$1,'Debt Schedule'!$E$17:$BA$17)</f>
        <v>0</v>
      </c>
      <c r="S102" s="290">
        <f>SUMIF('Debt Schedule'!$E$2:$BA$2,S$1,'Debt Schedule'!$E$10:$BA$10)+SUMIF('Debt Schedule'!$E$2:$BA$2,S$1,'Debt Schedule'!$E$17:$BA$17)</f>
        <v>0</v>
      </c>
      <c r="T102" s="295"/>
      <c r="U102" s="295"/>
      <c r="V102" s="295"/>
      <c r="W102" s="295"/>
      <c r="X102" s="295"/>
      <c r="Y102" s="295"/>
      <c r="Z102" s="295"/>
      <c r="AA102" s="295"/>
      <c r="AB102" s="64"/>
      <c r="AC102" s="64"/>
      <c r="AD102" s="64"/>
      <c r="AE102" s="64"/>
      <c r="AF102" s="64"/>
      <c r="AG102" s="64"/>
      <c r="AH102" s="64"/>
      <c r="AI102" s="64"/>
      <c r="AJ102" s="64"/>
      <c r="AK102" s="64"/>
    </row>
    <row r="103" spans="1:37">
      <c r="B103" s="277" t="s">
        <v>222</v>
      </c>
      <c r="C103" s="150"/>
      <c r="D103" s="152"/>
      <c r="E103" s="152"/>
      <c r="F103" s="152"/>
      <c r="G103" s="152"/>
      <c r="H103" s="152"/>
      <c r="I103" s="152"/>
      <c r="J103" s="152"/>
      <c r="K103" s="152"/>
      <c r="L103" s="152"/>
      <c r="M103" s="152"/>
      <c r="N103" s="152"/>
      <c r="O103" s="152"/>
      <c r="P103" s="152"/>
      <c r="Q103" s="152"/>
      <c r="R103" s="290"/>
      <c r="S103" s="290"/>
      <c r="T103" s="295"/>
      <c r="U103" s="295"/>
      <c r="V103" s="295"/>
      <c r="W103" s="295"/>
      <c r="X103" s="295"/>
      <c r="Y103" s="295"/>
      <c r="Z103" s="295"/>
      <c r="AA103" s="295"/>
      <c r="AB103" s="64"/>
      <c r="AC103" s="64"/>
      <c r="AD103" s="64"/>
      <c r="AE103" s="64"/>
      <c r="AF103" s="64"/>
      <c r="AG103" s="64"/>
      <c r="AH103" s="64"/>
      <c r="AI103" s="64"/>
      <c r="AJ103" s="64"/>
      <c r="AK103" s="64"/>
    </row>
    <row r="104" spans="1:37">
      <c r="B104" s="277" t="s">
        <v>223</v>
      </c>
      <c r="C104" s="150"/>
      <c r="D104" s="155"/>
      <c r="E104" s="152"/>
      <c r="F104" s="152"/>
      <c r="G104" s="152"/>
      <c r="H104" s="152">
        <f>(SUMIF('Debt Schedule'!$E$2:$BA$2,H$1,'Debt Schedule'!$E$11:$BA$11)+SUMIF('Debt Schedule'!$E$2:$BA$2,H$1,'Debt Schedule'!$E$18:$BA$18))*-1</f>
        <v>-139.88999999999999</v>
      </c>
      <c r="I104" s="152">
        <f>(SUMIF('Debt Schedule'!$E$2:$BA$2,I$1,'Debt Schedule'!$E$11:$BA$11)+SUMIF('Debt Schedule'!$E$2:$BA$2,I$1,'Debt Schedule'!$E$18:$BA$18))*-1</f>
        <v>-150.69999999999999</v>
      </c>
      <c r="J104" s="152">
        <f>(SUMIF('Debt Schedule'!$E$2:$BA$2,J$1,'Debt Schedule'!$E$11:$BA$11)+SUMIF('Debt Schedule'!$E$2:$BA$2,J$1,'Debt Schedule'!$E$18:$BA$18))*-1</f>
        <v>-188.35999999999999</v>
      </c>
      <c r="K104" s="152">
        <f>(SUMIF('Debt Schedule'!$E$2:$BA$2,K$1,'Debt Schedule'!$E$11:$BA$11)+SUMIF('Debt Schedule'!$E$2:$BA$2,K$1,'Debt Schedule'!$E$18:$BA$18))*-1</f>
        <v>-235.45999999999998</v>
      </c>
      <c r="L104" s="152">
        <f>(SUMIF('Debt Schedule'!$E$2:$BA$2,L$1,'Debt Schedule'!$E$11:$BA$11)+SUMIF('Debt Schedule'!$E$2:$BA$2,L$1,'Debt Schedule'!$E$18:$BA$18))*-1</f>
        <v>-295.75</v>
      </c>
      <c r="M104" s="152">
        <f>(SUMIF('Debt Schedule'!$E$2:$BA$2,M$1,'Debt Schedule'!$E$11:$BA$11)+SUMIF('Debt Schedule'!$E$2:$BA$2,M$1,'Debt Schedule'!$E$18:$BA$18))*-1</f>
        <v>0</v>
      </c>
      <c r="N104" s="152">
        <f>(SUMIF('Debt Schedule'!$E$2:$BA$2,N$1,'Debt Schedule'!$E$11:$BA$11)+SUMIF('Debt Schedule'!$E$2:$BA$2,N$1,'Debt Schedule'!$E$18:$BA$18))*-1</f>
        <v>0</v>
      </c>
      <c r="O104" s="152">
        <f>(SUMIF('Debt Schedule'!$E$2:$BA$2,O$1,'Debt Schedule'!$E$11:$BA$11)+SUMIF('Debt Schedule'!$E$2:$BA$2,O$1,'Debt Schedule'!$E$18:$BA$18))*-1</f>
        <v>0</v>
      </c>
      <c r="P104" s="152">
        <f>(SUMIF('Debt Schedule'!$E$2:$BA$2,P$1,'Debt Schedule'!$E$11:$BA$11)+SUMIF('Debt Schedule'!$E$2:$BA$2,P$1,'Debt Schedule'!$E$18:$BA$18))*-1</f>
        <v>0</v>
      </c>
      <c r="Q104" s="152">
        <f>(SUMIF('Debt Schedule'!$E$2:$BA$2,Q$1,'Debt Schedule'!$E$11:$BA$11)+SUMIF('Debt Schedule'!$E$2:$BA$2,Q$1,'Debt Schedule'!$E$18:$BA$18))*-1</f>
        <v>0</v>
      </c>
      <c r="R104" s="290">
        <f>(SUMIF('Debt Schedule'!$E$2:$BA$2,R$1,'Debt Schedule'!$E$11:$BA$11)+SUMIF('Debt Schedule'!$E$2:$BA$2,R$1,'Debt Schedule'!$E$18:$BA$18))*-1</f>
        <v>0</v>
      </c>
      <c r="S104" s="290">
        <f>(SUMIF('Debt Schedule'!$E$2:$BA$2,S$1,'Debt Schedule'!$E$11:$BA$11)+SUMIF('Debt Schedule'!$E$2:$BA$2,S$1,'Debt Schedule'!$E$18:$BA$18))*-1</f>
        <v>0</v>
      </c>
      <c r="T104" s="295"/>
      <c r="U104" s="295"/>
      <c r="V104" s="295"/>
      <c r="W104" s="295"/>
      <c r="X104" s="295"/>
      <c r="Y104" s="295"/>
      <c r="Z104" s="295"/>
      <c r="AA104" s="295"/>
      <c r="AB104" s="64"/>
      <c r="AC104" s="64"/>
      <c r="AD104" s="64"/>
      <c r="AE104" s="64"/>
      <c r="AF104" s="64"/>
      <c r="AG104" s="64"/>
      <c r="AH104" s="64"/>
      <c r="AI104" s="64"/>
      <c r="AJ104" s="64"/>
      <c r="AK104" s="64"/>
    </row>
    <row r="105" spans="1:37">
      <c r="B105" s="277" t="s">
        <v>308</v>
      </c>
      <c r="C105" s="150"/>
      <c r="D105" s="152"/>
      <c r="E105" s="152"/>
      <c r="F105" s="152"/>
      <c r="G105" s="152"/>
      <c r="H105" s="152">
        <f>SUMIF('Debt Schedule'!$E$2:$BA$2,H$1,'Debt Schedule'!$E$25:$BA$25)*-1</f>
        <v>0</v>
      </c>
      <c r="I105" s="152">
        <f>SUMIF('Debt Schedule'!$E$2:$BA$2,I$1,'Debt Schedule'!$E$25:$BA$25)*-1</f>
        <v>0</v>
      </c>
      <c r="J105" s="152">
        <f>SUMIF('Debt Schedule'!$E$2:$BA$2,J$1,'Debt Schedule'!$E$25:$BA$25)*-1</f>
        <v>0</v>
      </c>
      <c r="K105" s="152">
        <f>SUMIF('Debt Schedule'!$E$2:$BA$2,K$1,'Debt Schedule'!$E$25:$BA$25)*-1</f>
        <v>0</v>
      </c>
      <c r="L105" s="152">
        <f>SUMIF('Debt Schedule'!$E$2:$BA$2,L$1,'Debt Schedule'!$E$25:$BA$25)*-1</f>
        <v>0</v>
      </c>
      <c r="M105" s="152">
        <f>SUMIF('Debt Schedule'!$E$2:$BA$2,M$1,'Debt Schedule'!$E$25:$BA$25)*-1</f>
        <v>-568.09500000000003</v>
      </c>
      <c r="N105" s="152">
        <f>SUMIF('Debt Schedule'!$E$2:$BA$2,N$1,'Debt Schedule'!$E$25:$BA$25)*-1</f>
        <v>-568.0949999999998</v>
      </c>
      <c r="O105" s="152">
        <f>SUMIF('Debt Schedule'!$E$2:$BA$2,O$1,'Debt Schedule'!$E$25:$BA$25)*-1</f>
        <v>0</v>
      </c>
      <c r="P105" s="152">
        <f>SUMIF('Debt Schedule'!$E$2:$BA$2,P$1,'Debt Schedule'!$E$25:$BA$25)*-1</f>
        <v>0</v>
      </c>
      <c r="Q105" s="152">
        <f>SUMIF('Debt Schedule'!$E$2:$BA$2,Q$1,'Debt Schedule'!$E$25:$BA$25)*-1</f>
        <v>0</v>
      </c>
      <c r="R105" s="290">
        <f>SUMIF('Debt Schedule'!$E$2:$BA$2,R$1,'Debt Schedule'!$E$25:$BA$25)*-1</f>
        <v>0</v>
      </c>
      <c r="S105" s="290">
        <f>SUMIF('Debt Schedule'!$E$2:$BA$2,S$1,'Debt Schedule'!$E$25:$BA$25)*-1</f>
        <v>0</v>
      </c>
      <c r="T105" s="295"/>
      <c r="U105" s="295"/>
      <c r="V105" s="295"/>
      <c r="W105" s="295"/>
      <c r="X105" s="295"/>
      <c r="Y105" s="295"/>
      <c r="Z105" s="295"/>
      <c r="AA105" s="295"/>
      <c r="AB105" s="64"/>
      <c r="AC105" s="64"/>
      <c r="AD105" s="64"/>
      <c r="AE105" s="64"/>
      <c r="AF105" s="64"/>
      <c r="AG105" s="64"/>
      <c r="AH105" s="64"/>
      <c r="AI105" s="64"/>
      <c r="AJ105" s="64"/>
      <c r="AK105" s="64"/>
    </row>
    <row r="106" spans="1:37">
      <c r="B106" s="277" t="s">
        <v>208</v>
      </c>
      <c r="C106" s="150"/>
      <c r="D106" s="152"/>
      <c r="E106" s="152"/>
      <c r="F106" s="152"/>
      <c r="G106" s="152"/>
      <c r="H106" s="152">
        <f t="shared" ref="H106:S106" si="44">H86*-1</f>
        <v>-91.45</v>
      </c>
      <c r="I106" s="152">
        <f t="shared" si="44"/>
        <v>-78.61</v>
      </c>
      <c r="J106" s="152">
        <f t="shared" si="44"/>
        <v>-63.279999999999994</v>
      </c>
      <c r="K106" s="152">
        <f t="shared" si="44"/>
        <v>-44.08</v>
      </c>
      <c r="L106" s="152">
        <f t="shared" si="44"/>
        <v>-17.700000000000003</v>
      </c>
      <c r="M106" s="152">
        <f t="shared" si="44"/>
        <v>-9.0000000000000011E-2</v>
      </c>
      <c r="N106" s="152">
        <f t="shared" si="44"/>
        <v>-0.03</v>
      </c>
      <c r="O106" s="152">
        <f t="shared" si="44"/>
        <v>0</v>
      </c>
      <c r="P106" s="152">
        <f t="shared" si="44"/>
        <v>0</v>
      </c>
      <c r="Q106" s="152">
        <f t="shared" si="44"/>
        <v>0</v>
      </c>
      <c r="R106" s="290">
        <f t="shared" si="44"/>
        <v>0</v>
      </c>
      <c r="S106" s="290">
        <f t="shared" si="44"/>
        <v>0</v>
      </c>
      <c r="T106" s="295"/>
      <c r="U106" s="295"/>
      <c r="V106" s="295"/>
      <c r="W106" s="295"/>
      <c r="X106" s="295"/>
      <c r="Y106" s="295"/>
      <c r="Z106" s="295"/>
      <c r="AA106" s="295"/>
      <c r="AB106" s="64"/>
      <c r="AC106" s="64"/>
      <c r="AD106" s="64"/>
      <c r="AE106" s="64"/>
      <c r="AF106" s="64"/>
      <c r="AG106" s="64"/>
      <c r="AH106" s="64"/>
      <c r="AI106" s="64"/>
      <c r="AJ106" s="64"/>
      <c r="AK106" s="64"/>
    </row>
    <row r="107" spans="1:37" ht="15">
      <c r="B107" s="283" t="s">
        <v>214</v>
      </c>
      <c r="C107" s="150"/>
      <c r="D107" s="153"/>
      <c r="E107" s="153"/>
      <c r="F107" s="153"/>
      <c r="G107" s="153"/>
      <c r="H107" s="153">
        <f t="shared" ref="H107:S107" si="45">SUM(H99:H106)</f>
        <v>-231.33999999999997</v>
      </c>
      <c r="I107" s="153">
        <f t="shared" si="45"/>
        <v>-229.31</v>
      </c>
      <c r="J107" s="153">
        <f t="shared" si="45"/>
        <v>-251.64</v>
      </c>
      <c r="K107" s="153">
        <f t="shared" si="45"/>
        <v>-279.53999999999996</v>
      </c>
      <c r="L107" s="153">
        <f t="shared" si="45"/>
        <v>-313.45</v>
      </c>
      <c r="M107" s="153">
        <f t="shared" si="45"/>
        <v>-568.18500000000006</v>
      </c>
      <c r="N107" s="153">
        <f t="shared" si="45"/>
        <v>-568.12499999999977</v>
      </c>
      <c r="O107" s="153">
        <f t="shared" si="45"/>
        <v>0</v>
      </c>
      <c r="P107" s="153">
        <f t="shared" si="45"/>
        <v>0</v>
      </c>
      <c r="Q107" s="153">
        <f t="shared" si="45"/>
        <v>0</v>
      </c>
      <c r="R107" s="291">
        <f t="shared" si="45"/>
        <v>0</v>
      </c>
      <c r="S107" s="291">
        <f t="shared" si="45"/>
        <v>0</v>
      </c>
      <c r="T107" s="296"/>
      <c r="U107" s="296"/>
      <c r="V107" s="296"/>
      <c r="W107" s="296"/>
      <c r="X107" s="296"/>
      <c r="Y107" s="296"/>
      <c r="Z107" s="296"/>
      <c r="AA107" s="296"/>
      <c r="AB107" s="139"/>
      <c r="AC107" s="139"/>
      <c r="AD107" s="139"/>
      <c r="AE107" s="139"/>
      <c r="AF107" s="139"/>
      <c r="AG107" s="139"/>
      <c r="AH107" s="139"/>
      <c r="AI107" s="139"/>
      <c r="AJ107" s="139"/>
      <c r="AK107" s="139"/>
    </row>
    <row r="108" spans="1:37">
      <c r="B108" s="276"/>
      <c r="C108" s="150"/>
      <c r="D108" s="152"/>
      <c r="E108" s="152"/>
      <c r="F108" s="152"/>
      <c r="G108" s="152"/>
      <c r="H108" s="152"/>
      <c r="I108" s="152"/>
      <c r="J108" s="152"/>
      <c r="K108" s="152"/>
      <c r="L108" s="152"/>
      <c r="M108" s="152"/>
      <c r="N108" s="152"/>
      <c r="O108" s="152"/>
      <c r="P108" s="152"/>
      <c r="Q108" s="152"/>
      <c r="R108" s="290"/>
      <c r="S108" s="290"/>
      <c r="T108" s="295"/>
      <c r="U108" s="295"/>
      <c r="V108" s="295"/>
      <c r="W108" s="295"/>
      <c r="X108" s="295"/>
      <c r="Y108" s="295"/>
      <c r="Z108" s="295"/>
      <c r="AA108" s="295"/>
    </row>
    <row r="109" spans="1:37" ht="15">
      <c r="A109" s="35"/>
      <c r="B109" s="278" t="s">
        <v>215</v>
      </c>
      <c r="C109" s="150"/>
      <c r="D109" s="152"/>
      <c r="E109" s="152"/>
      <c r="F109" s="152"/>
      <c r="G109" s="152"/>
      <c r="H109" s="152"/>
      <c r="I109" s="152"/>
      <c r="J109" s="152"/>
      <c r="K109" s="152"/>
      <c r="L109" s="152"/>
      <c r="M109" s="152"/>
      <c r="N109" s="152"/>
      <c r="O109" s="152"/>
      <c r="P109" s="152"/>
      <c r="Q109" s="152"/>
      <c r="R109" s="290"/>
      <c r="S109" s="290"/>
      <c r="T109" s="295"/>
      <c r="U109" s="295"/>
      <c r="V109" s="295"/>
      <c r="W109" s="295"/>
      <c r="X109" s="295"/>
      <c r="Y109" s="295"/>
      <c r="Z109" s="295"/>
      <c r="AA109" s="295"/>
    </row>
    <row r="110" spans="1:37">
      <c r="A110" s="35"/>
      <c r="B110" s="277" t="s">
        <v>226</v>
      </c>
      <c r="C110" s="150"/>
      <c r="D110" s="152"/>
      <c r="E110" s="152"/>
      <c r="F110" s="152"/>
      <c r="G110" s="152"/>
      <c r="H110" s="152"/>
      <c r="I110" s="152"/>
      <c r="J110" s="152"/>
      <c r="K110" s="152"/>
      <c r="L110" s="152"/>
      <c r="M110" s="152"/>
      <c r="N110" s="152"/>
      <c r="O110" s="152"/>
      <c r="P110" s="152"/>
      <c r="Q110" s="152"/>
      <c r="R110" s="290"/>
      <c r="S110" s="290"/>
      <c r="T110" s="295"/>
      <c r="U110" s="295"/>
      <c r="V110" s="295"/>
      <c r="W110" s="295"/>
      <c r="X110" s="295"/>
      <c r="Y110" s="295"/>
      <c r="Z110" s="295"/>
      <c r="AA110" s="295"/>
      <c r="AB110" s="64"/>
      <c r="AC110" s="64"/>
      <c r="AD110" s="64"/>
      <c r="AE110" s="64"/>
      <c r="AF110" s="64"/>
      <c r="AG110" s="64"/>
      <c r="AH110" s="64"/>
      <c r="AI110" s="64"/>
      <c r="AJ110" s="64"/>
      <c r="AK110" s="64"/>
    </row>
    <row r="111" spans="1:37">
      <c r="B111" s="277"/>
      <c r="C111" s="150"/>
      <c r="D111" s="152"/>
      <c r="E111" s="152"/>
      <c r="F111" s="152"/>
      <c r="G111" s="152"/>
      <c r="H111" s="152"/>
      <c r="I111" s="152"/>
      <c r="J111" s="152"/>
      <c r="K111" s="152"/>
      <c r="L111" s="152"/>
      <c r="M111" s="152"/>
      <c r="N111" s="152"/>
      <c r="O111" s="152"/>
      <c r="P111" s="152"/>
      <c r="Q111" s="152"/>
      <c r="R111" s="290"/>
      <c r="S111" s="290"/>
      <c r="T111" s="295"/>
      <c r="U111" s="295"/>
      <c r="V111" s="295"/>
      <c r="W111" s="295"/>
      <c r="X111" s="295"/>
      <c r="Y111" s="295"/>
      <c r="Z111" s="295"/>
      <c r="AA111" s="295"/>
    </row>
    <row r="112" spans="1:37" ht="15">
      <c r="A112" s="35"/>
      <c r="B112" s="283" t="s">
        <v>215</v>
      </c>
      <c r="C112" s="150"/>
      <c r="D112" s="153"/>
      <c r="E112" s="153"/>
      <c r="F112" s="153"/>
      <c r="G112" s="153"/>
      <c r="H112" s="153">
        <f t="shared" ref="H112:R112" si="46">SUM(H110:H111)</f>
        <v>0</v>
      </c>
      <c r="I112" s="153">
        <f t="shared" si="46"/>
        <v>0</v>
      </c>
      <c r="J112" s="153">
        <f t="shared" si="46"/>
        <v>0</v>
      </c>
      <c r="K112" s="153">
        <f t="shared" si="46"/>
        <v>0</v>
      </c>
      <c r="L112" s="153">
        <f t="shared" si="46"/>
        <v>0</v>
      </c>
      <c r="M112" s="153">
        <f t="shared" si="46"/>
        <v>0</v>
      </c>
      <c r="N112" s="153">
        <f t="shared" si="46"/>
        <v>0</v>
      </c>
      <c r="O112" s="153">
        <f t="shared" si="46"/>
        <v>0</v>
      </c>
      <c r="P112" s="153">
        <f t="shared" si="46"/>
        <v>0</v>
      </c>
      <c r="Q112" s="153">
        <f t="shared" si="46"/>
        <v>0</v>
      </c>
      <c r="R112" s="291">
        <f t="shared" si="46"/>
        <v>0</v>
      </c>
      <c r="S112" s="291">
        <f>SUM(S110:S111)</f>
        <v>0</v>
      </c>
      <c r="T112" s="296"/>
      <c r="U112" s="296"/>
      <c r="V112" s="296"/>
      <c r="W112" s="296"/>
      <c r="X112" s="296"/>
      <c r="Y112" s="296"/>
      <c r="Z112" s="296"/>
      <c r="AA112" s="296"/>
      <c r="AB112" s="139"/>
      <c r="AC112" s="139"/>
      <c r="AD112" s="139"/>
      <c r="AE112" s="139"/>
      <c r="AF112" s="139"/>
      <c r="AG112" s="139"/>
      <c r="AH112" s="139"/>
      <c r="AI112" s="139"/>
      <c r="AJ112" s="139"/>
      <c r="AK112" s="139"/>
    </row>
    <row r="113" spans="2:37">
      <c r="B113" s="276"/>
      <c r="C113" s="150"/>
      <c r="D113" s="152"/>
      <c r="E113" s="152"/>
      <c r="F113" s="152"/>
      <c r="G113" s="152"/>
      <c r="H113" s="152"/>
      <c r="I113" s="152"/>
      <c r="J113" s="152"/>
      <c r="K113" s="152"/>
      <c r="L113" s="152"/>
      <c r="M113" s="152"/>
      <c r="N113" s="152"/>
      <c r="O113" s="152"/>
      <c r="P113" s="152"/>
      <c r="Q113" s="152"/>
      <c r="R113" s="290"/>
      <c r="S113" s="290"/>
      <c r="T113" s="295"/>
      <c r="U113" s="295"/>
      <c r="V113" s="295"/>
      <c r="W113" s="295"/>
      <c r="X113" s="295"/>
      <c r="Y113" s="295"/>
      <c r="Z113" s="295"/>
      <c r="AA113" s="295"/>
    </row>
    <row r="114" spans="2:37">
      <c r="B114" s="279" t="s">
        <v>216</v>
      </c>
      <c r="C114" s="150"/>
      <c r="D114" s="152"/>
      <c r="E114" s="152"/>
      <c r="F114" s="152"/>
      <c r="G114" s="152"/>
      <c r="H114" s="152">
        <f t="shared" ref="H114:S114" si="47">G119</f>
        <v>12.904567795999982</v>
      </c>
      <c r="I114" s="152">
        <f t="shared" si="47"/>
        <v>-379.11621627296472</v>
      </c>
      <c r="J114" s="152">
        <f t="shared" si="47"/>
        <v>-437.6000956070277</v>
      </c>
      <c r="K114" s="152">
        <f t="shared" si="47"/>
        <v>-544.41049761305658</v>
      </c>
      <c r="L114" s="152">
        <f t="shared" si="47"/>
        <v>-668.32900178886109</v>
      </c>
      <c r="M114" s="152">
        <f t="shared" si="47"/>
        <v>-814.35864314654441</v>
      </c>
      <c r="N114" s="152">
        <f t="shared" si="47"/>
        <v>-1204.311685418977</v>
      </c>
      <c r="O114" s="152">
        <f t="shared" si="47"/>
        <v>-1588.3476908271696</v>
      </c>
      <c r="P114" s="152">
        <f t="shared" si="47"/>
        <v>-1385.8239571037695</v>
      </c>
      <c r="Q114" s="152">
        <f t="shared" si="47"/>
        <v>-1168.8763954237361</v>
      </c>
      <c r="R114" s="290">
        <f t="shared" si="47"/>
        <v>-937.774508980875</v>
      </c>
      <c r="S114" s="290">
        <f t="shared" si="47"/>
        <v>-728.42543225803843</v>
      </c>
      <c r="T114" s="295"/>
      <c r="U114" s="295"/>
      <c r="V114" s="295"/>
      <c r="W114" s="295"/>
      <c r="X114" s="295"/>
      <c r="Y114" s="295"/>
      <c r="Z114" s="295"/>
      <c r="AA114" s="295"/>
      <c r="AB114" s="64"/>
      <c r="AC114" s="64"/>
      <c r="AD114" s="64"/>
      <c r="AE114" s="64"/>
      <c r="AF114" s="64"/>
      <c r="AG114" s="64"/>
      <c r="AH114" s="64"/>
      <c r="AI114" s="64"/>
      <c r="AJ114" s="64"/>
      <c r="AK114" s="64"/>
    </row>
    <row r="115" spans="2:37" ht="15">
      <c r="B115" s="279" t="s">
        <v>217</v>
      </c>
      <c r="C115" s="150"/>
      <c r="D115" s="153"/>
      <c r="E115" s="153"/>
      <c r="F115" s="153"/>
      <c r="G115" s="153"/>
      <c r="H115" s="153">
        <f t="shared" ref="H115:S115" si="48">SUM(H96,H107,H112)</f>
        <v>-392.0207840689647</v>
      </c>
      <c r="I115" s="153">
        <f t="shared" si="48"/>
        <v>-58.483879334062948</v>
      </c>
      <c r="J115" s="153">
        <f t="shared" si="48"/>
        <v>-69.678941412685589</v>
      </c>
      <c r="K115" s="153">
        <f t="shared" si="48"/>
        <v>-86.849492922471342</v>
      </c>
      <c r="L115" s="153">
        <f t="shared" si="48"/>
        <v>-108.63581753557088</v>
      </c>
      <c r="M115" s="153">
        <f t="shared" si="48"/>
        <v>-443.44251350663166</v>
      </c>
      <c r="N115" s="153">
        <f t="shared" si="48"/>
        <v>-442.14082984278235</v>
      </c>
      <c r="O115" s="153">
        <f t="shared" si="48"/>
        <v>231.51001234601972</v>
      </c>
      <c r="P115" s="153">
        <f t="shared" si="48"/>
        <v>244.79852969385277</v>
      </c>
      <c r="Q115" s="153">
        <f t="shared" si="48"/>
        <v>261.58816506548078</v>
      </c>
      <c r="R115" s="291">
        <f t="shared" si="48"/>
        <v>122.0255514637778</v>
      </c>
      <c r="S115" s="291">
        <f t="shared" si="48"/>
        <v>12.241059480712913</v>
      </c>
      <c r="T115" s="296"/>
      <c r="U115" s="296"/>
      <c r="V115" s="296"/>
      <c r="W115" s="296"/>
      <c r="X115" s="296"/>
      <c r="Y115" s="296"/>
      <c r="Z115" s="296"/>
      <c r="AA115" s="296"/>
      <c r="AB115" s="139"/>
      <c r="AC115" s="139"/>
      <c r="AD115" s="139"/>
      <c r="AE115" s="139"/>
      <c r="AF115" s="139"/>
      <c r="AG115" s="139"/>
      <c r="AH115" s="139"/>
      <c r="AI115" s="139"/>
      <c r="AJ115" s="139"/>
      <c r="AK115" s="139"/>
    </row>
    <row r="116" spans="2:37" ht="15">
      <c r="B116" s="284" t="s">
        <v>303</v>
      </c>
      <c r="C116" s="150"/>
      <c r="D116" s="153"/>
      <c r="E116" s="153"/>
      <c r="F116" s="153"/>
      <c r="G116" s="153"/>
      <c r="H116" s="153">
        <f>SUMIF('Other Schedules'!$I$2:$AO$2,H$1,'Other Schedules'!$I$123:$AO$123)*-1 + SUMIF('Other Schedules'!$I$2:$AO$2,H$1,'Other Schedules'!$I$124:$AO$124)*-1</f>
        <v>0</v>
      </c>
      <c r="I116" s="153">
        <f>SUMIF('Other Schedules'!$I$2:$AO$2,I$1,'Other Schedules'!$I$123:$AO$123)*-1 + SUMIF('Other Schedules'!$I$2:$AO$2,I$1,'Other Schedules'!$I$124:$AO$124)*-1</f>
        <v>0</v>
      </c>
      <c r="J116" s="153">
        <f>SUMIF('Other Schedules'!$I$2:$AO$2,J$1,'Other Schedules'!$I$123:$AO$123)*-1 + SUMIF('Other Schedules'!$I$2:$AO$2,J$1,'Other Schedules'!$I$124:$AO$124)*-1</f>
        <v>-37.131460593343235</v>
      </c>
      <c r="K116" s="153">
        <f>SUMIF('Other Schedules'!$I$2:$AO$2,K$1,'Other Schedules'!$I$123:$AO$123)*-1 + SUMIF('Other Schedules'!$I$2:$AO$2,K$1,'Other Schedules'!$I$124:$AO$124)*-1</f>
        <v>-37.06901125333323</v>
      </c>
      <c r="L116" s="153">
        <f>SUMIF('Other Schedules'!$I$2:$AO$2,L$1,'Other Schedules'!$I$123:$AO$123)*-1 + SUMIF('Other Schedules'!$I$2:$AO$2,L$1,'Other Schedules'!$I$124:$AO$124)*-1</f>
        <v>-37.393823822112438</v>
      </c>
      <c r="M116" s="153">
        <f>SUMIF('Other Schedules'!$I$2:$AO$2,M$1,'Other Schedules'!$I$123:$AO$123)*-1 + SUMIF('Other Schedules'!$I$2:$AO$2,M$1,'Other Schedules'!$I$124:$AO$124)*-1</f>
        <v>53.489471234199172</v>
      </c>
      <c r="N116" s="153">
        <f>SUMIF('Other Schedules'!$I$2:$AO$2,N$1,'Other Schedules'!$I$123:$AO$123)*-1 + SUMIF('Other Schedules'!$I$2:$AO$2,N$1,'Other Schedules'!$I$124:$AO$124)*-1</f>
        <v>58.104824434589787</v>
      </c>
      <c r="O116" s="153">
        <f>SUMIF('Other Schedules'!$I$2:$AO$2,O$1,'Other Schedules'!$I$123:$AO$123)*-1 + SUMIF('Other Schedules'!$I$2:$AO$2,O$1,'Other Schedules'!$I$124:$AO$124)*-1</f>
        <v>-28.986278622619693</v>
      </c>
      <c r="P116" s="153">
        <f>SUMIF('Other Schedules'!$I$2:$AO$2,P$1,'Other Schedules'!$I$123:$AO$123)*-1 + SUMIF('Other Schedules'!$I$2:$AO$2,P$1,'Other Schedules'!$I$124:$AO$124)*-1</f>
        <v>-27.850968013819315</v>
      </c>
      <c r="Q116" s="153">
        <f>SUMIF('Other Schedules'!$I$2:$AO$2,Q$1,'Other Schedules'!$I$123:$AO$123)*-1 + SUMIF('Other Schedules'!$I$2:$AO$2,Q$1,'Other Schedules'!$I$124:$AO$124)*-1</f>
        <v>-30.48627862261975</v>
      </c>
      <c r="R116" s="153">
        <f>SUMIF('Other Schedules'!$I$2:$AO$2,R$1,'Other Schedules'!$I$123:$AO$123)*-1 + SUMIF('Other Schedules'!$I$2:$AO$2,R$1,'Other Schedules'!$I$124:$AO$124)*-1</f>
        <v>87.323525259058769</v>
      </c>
      <c r="S116" s="153">
        <f>SUMIF('Other Schedules'!$I$2:$AO$2,S$1,'Other Schedules'!$I$123:$AO$123)*-1 + SUMIF('Other Schedules'!$I$2:$AO$2,S$1,'Other Schedules'!$I$124:$AO$124)*-1</f>
        <v>0</v>
      </c>
      <c r="T116" s="296"/>
      <c r="U116" s="296"/>
      <c r="V116" s="296"/>
      <c r="W116" s="296"/>
      <c r="X116" s="296"/>
      <c r="Y116" s="296"/>
      <c r="Z116" s="296"/>
      <c r="AA116" s="296"/>
      <c r="AB116" s="139"/>
      <c r="AC116" s="139"/>
      <c r="AD116" s="139"/>
      <c r="AE116" s="139"/>
      <c r="AF116" s="139"/>
      <c r="AG116" s="139"/>
      <c r="AH116" s="139"/>
      <c r="AI116" s="139"/>
      <c r="AJ116" s="139"/>
      <c r="AK116" s="139"/>
    </row>
    <row r="117" spans="2:37" ht="15">
      <c r="B117" s="284"/>
      <c r="C117" s="150"/>
      <c r="D117" s="153"/>
      <c r="E117" s="153"/>
      <c r="F117" s="153"/>
      <c r="G117" s="153"/>
      <c r="H117" s="153"/>
      <c r="I117" s="153"/>
      <c r="J117" s="153"/>
      <c r="K117" s="153"/>
      <c r="L117" s="153"/>
      <c r="M117" s="153"/>
      <c r="N117" s="153"/>
      <c r="O117" s="153"/>
      <c r="P117" s="153"/>
      <c r="Q117" s="153"/>
      <c r="R117" s="291"/>
      <c r="S117" s="291"/>
      <c r="T117" s="296"/>
      <c r="U117" s="296"/>
      <c r="V117" s="296"/>
      <c r="W117" s="296"/>
      <c r="X117" s="296"/>
      <c r="Y117" s="296"/>
      <c r="Z117" s="296"/>
      <c r="AA117" s="296"/>
      <c r="AB117" s="139"/>
      <c r="AC117" s="139"/>
      <c r="AD117" s="139"/>
      <c r="AE117" s="139"/>
      <c r="AF117" s="139"/>
      <c r="AG117" s="139"/>
      <c r="AH117" s="139"/>
      <c r="AI117" s="139"/>
      <c r="AJ117" s="139"/>
      <c r="AK117" s="139"/>
    </row>
    <row r="118" spans="2:37" ht="15">
      <c r="B118" s="279"/>
      <c r="C118" s="150"/>
      <c r="D118" s="153"/>
      <c r="E118" s="153"/>
      <c r="F118" s="153"/>
      <c r="G118" s="153"/>
      <c r="H118" s="153"/>
      <c r="I118" s="153"/>
      <c r="J118" s="153"/>
      <c r="K118" s="153"/>
      <c r="L118" s="153"/>
      <c r="M118" s="153"/>
      <c r="N118" s="153"/>
      <c r="O118" s="153"/>
      <c r="P118" s="153"/>
      <c r="Q118" s="153"/>
      <c r="R118" s="291"/>
      <c r="S118" s="291"/>
      <c r="T118" s="296"/>
      <c r="U118" s="296"/>
      <c r="V118" s="296"/>
      <c r="W118" s="296"/>
      <c r="X118" s="296"/>
      <c r="Y118" s="296"/>
      <c r="Z118" s="296"/>
      <c r="AA118" s="296"/>
      <c r="AB118" s="139"/>
      <c r="AC118" s="139"/>
      <c r="AD118" s="139"/>
      <c r="AE118" s="139"/>
      <c r="AF118" s="139"/>
      <c r="AG118" s="139"/>
      <c r="AH118" s="139"/>
      <c r="AI118" s="139"/>
      <c r="AJ118" s="139"/>
      <c r="AK118" s="139"/>
    </row>
    <row r="119" spans="2:37" ht="15.75" thickBot="1">
      <c r="B119" s="140" t="s">
        <v>218</v>
      </c>
      <c r="C119" s="141"/>
      <c r="D119" s="149"/>
      <c r="E119" s="149"/>
      <c r="F119" s="149"/>
      <c r="G119" s="149">
        <f>G75</f>
        <v>12.904567795999982</v>
      </c>
      <c r="H119" s="149">
        <f t="shared" ref="H119:R119" si="49">SUM(H114:H117)</f>
        <v>-379.11621627296472</v>
      </c>
      <c r="I119" s="149">
        <f t="shared" si="49"/>
        <v>-437.6000956070277</v>
      </c>
      <c r="J119" s="149">
        <f t="shared" si="49"/>
        <v>-544.41049761305658</v>
      </c>
      <c r="K119" s="149">
        <f t="shared" si="49"/>
        <v>-668.32900178886109</v>
      </c>
      <c r="L119" s="149">
        <f t="shared" si="49"/>
        <v>-814.35864314654441</v>
      </c>
      <c r="M119" s="149">
        <f t="shared" si="49"/>
        <v>-1204.311685418977</v>
      </c>
      <c r="N119" s="149">
        <f t="shared" si="49"/>
        <v>-1588.3476908271696</v>
      </c>
      <c r="O119" s="149">
        <f t="shared" si="49"/>
        <v>-1385.8239571037695</v>
      </c>
      <c r="P119" s="149">
        <f t="shared" si="49"/>
        <v>-1168.8763954237361</v>
      </c>
      <c r="Q119" s="149">
        <f t="shared" si="49"/>
        <v>-937.774508980875</v>
      </c>
      <c r="R119" s="149">
        <f t="shared" si="49"/>
        <v>-728.42543225803843</v>
      </c>
      <c r="S119" s="149">
        <f>SUM(S114:S117)</f>
        <v>-716.18437277732551</v>
      </c>
      <c r="T119" s="296"/>
      <c r="U119" s="296"/>
      <c r="V119" s="296"/>
      <c r="W119" s="296"/>
      <c r="X119" s="296"/>
      <c r="Y119" s="296"/>
      <c r="Z119" s="296"/>
      <c r="AA119" s="296"/>
      <c r="AB119" s="139"/>
      <c r="AC119" s="139"/>
      <c r="AD119" s="139"/>
      <c r="AE119" s="139"/>
      <c r="AF119" s="139"/>
      <c r="AG119" s="139"/>
      <c r="AH119" s="139"/>
      <c r="AI119" s="139"/>
      <c r="AJ119" s="139"/>
      <c r="AK119" s="139"/>
    </row>
    <row r="120" spans="2:37">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row>
    <row r="121" spans="2:37">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row>
    <row r="122" spans="2:37">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row>
    <row r="123" spans="2:37">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row>
    <row r="124" spans="2:37">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row>
    <row r="125" spans="2:37">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row>
    <row r="126" spans="2:37">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row>
    <row r="127" spans="2:37">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row>
    <row r="128" spans="2:37">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row>
    <row r="129" spans="4:27">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row>
    <row r="130" spans="4:27">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row>
    <row r="131" spans="4:27">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row>
    <row r="132" spans="4:27">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row>
    <row r="133" spans="4:27">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row>
    <row r="134" spans="4:27">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row>
    <row r="135" spans="4:27">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row>
    <row r="136" spans="4:27">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row>
  </sheetData>
  <conditionalFormatting sqref="D80 F80:AK80">
    <cfRule type="cellIs" dxfId="3" priority="3" operator="equal">
      <formula>"Error"</formula>
    </cfRule>
    <cfRule type="cellIs" dxfId="2" priority="4" operator="equal">
      <formula>"OK"</formula>
    </cfRule>
  </conditionalFormatting>
  <conditionalFormatting sqref="E80">
    <cfRule type="cellIs" dxfId="1" priority="1" operator="equal">
      <formula>"Error"</formula>
    </cfRule>
    <cfRule type="cellIs" dxfId="0" priority="2" operator="equal">
      <formula>"OK"</formula>
    </cfRule>
  </conditionalFormatting>
  <pageMargins left="0.7" right="0.7" top="0.75" bottom="0.75" header="0.3" footer="0.3"/>
  <pageSetup orientation="portrait" horizontalDpi="1200" verticalDpi="1200" r:id="rId1"/>
  <ignoredErrors>
    <ignoredError sqref="H53:S53 H72:S72"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667-8BDF-4D00-A9C0-2317EF1CDF12}">
  <sheetPr>
    <tabColor theme="6" tint="-0.499984740745262"/>
  </sheetPr>
  <dimension ref="B2:F33"/>
  <sheetViews>
    <sheetView showGridLines="0" topLeftCell="A31" workbookViewId="0">
      <selection activeCell="C30" sqref="C30"/>
    </sheetView>
  </sheetViews>
  <sheetFormatPr defaultRowHeight="15"/>
  <cols>
    <col min="1" max="1" width="4.5703125" customWidth="1"/>
    <col min="2" max="2" width="34.42578125" customWidth="1"/>
    <col min="3" max="6" width="13.7109375" customWidth="1"/>
  </cols>
  <sheetData>
    <row r="2" spans="2:6" ht="18.75">
      <c r="B2" s="348" t="s">
        <v>319</v>
      </c>
      <c r="C2" s="349"/>
      <c r="D2" s="349"/>
      <c r="E2" s="349"/>
      <c r="F2" s="349"/>
    </row>
    <row r="4" spans="2:6">
      <c r="B4" s="350" t="s">
        <v>320</v>
      </c>
      <c r="C4" s="350"/>
      <c r="D4" s="350"/>
      <c r="E4" s="350"/>
      <c r="F4" s="350"/>
    </row>
    <row r="6" spans="2:6">
      <c r="B6" s="351" t="s">
        <v>321</v>
      </c>
      <c r="C6" s="352">
        <v>2019</v>
      </c>
      <c r="D6" s="352">
        <f>C6+1</f>
        <v>2020</v>
      </c>
      <c r="E6" s="352">
        <f>D6+1</f>
        <v>2021</v>
      </c>
      <c r="F6" s="353">
        <f>E6+1</f>
        <v>2022</v>
      </c>
    </row>
    <row r="7" spans="2:6">
      <c r="B7" s="354" t="str">
        <f>Financials!B9</f>
        <v>Total Revenue from Operations</v>
      </c>
      <c r="C7" s="355">
        <f>Financials!D9</f>
        <v>169.27</v>
      </c>
      <c r="D7" s="355">
        <f>Financials!E9</f>
        <v>162.15</v>
      </c>
      <c r="E7" s="355">
        <f>Financials!F9</f>
        <v>169.95704899999998</v>
      </c>
      <c r="F7" s="355">
        <f>Financials!G9</f>
        <v>185.28209749999999</v>
      </c>
    </row>
    <row r="8" spans="2:6">
      <c r="B8" s="354" t="str">
        <f>Financials!B11</f>
        <v>Other Income</v>
      </c>
      <c r="C8" s="355">
        <f>Financials!D11</f>
        <v>61.33</v>
      </c>
      <c r="D8" s="355">
        <f>Financials!E11</f>
        <v>47.33</v>
      </c>
      <c r="E8" s="355">
        <f>Financials!F11</f>
        <v>1.25</v>
      </c>
      <c r="F8" s="355">
        <f>Financials!G11</f>
        <v>0.72227030000000003</v>
      </c>
    </row>
    <row r="9" spans="2:6">
      <c r="B9" s="356" t="str">
        <f>Financials!B12</f>
        <v>Total Income</v>
      </c>
      <c r="C9" s="357">
        <f>SUM(C7:C8)</f>
        <v>230.60000000000002</v>
      </c>
      <c r="D9" s="357">
        <f>SUM(D7:D8)</f>
        <v>209.48000000000002</v>
      </c>
      <c r="E9" s="357">
        <f>SUM(E7:E8)</f>
        <v>171.20704899999998</v>
      </c>
      <c r="F9" s="357">
        <f>SUM(F7:F8)</f>
        <v>186.00436779999998</v>
      </c>
    </row>
    <row r="10" spans="2:6">
      <c r="B10" t="str">
        <f>Financials!B14</f>
        <v>Operational Costs (Excl Pers)</v>
      </c>
      <c r="C10" s="355">
        <f>Financials!D14</f>
        <v>23.75</v>
      </c>
      <c r="D10" s="355">
        <f>Financials!E14</f>
        <v>19.84</v>
      </c>
      <c r="E10" s="355">
        <f>Financials!F14</f>
        <v>32.46</v>
      </c>
      <c r="F10" s="355">
        <f>Financials!G14</f>
        <v>28.755754172918738</v>
      </c>
    </row>
    <row r="11" spans="2:6">
      <c r="B11" t="str">
        <f>Financials!B15</f>
        <v>Operational Costs (Personnel)</v>
      </c>
      <c r="C11" s="355">
        <f>Financials!D15</f>
        <v>9.52</v>
      </c>
      <c r="D11" s="355">
        <f>Financials!E15</f>
        <v>9.98</v>
      </c>
      <c r="E11" s="355">
        <f>Financials!F15</f>
        <v>9.26</v>
      </c>
      <c r="F11" s="355">
        <f>Financials!G15</f>
        <v>9.7795945</v>
      </c>
    </row>
    <row r="12" spans="2:6">
      <c r="B12" t="str">
        <f>Financials!B16</f>
        <v xml:space="preserve">Routine Maintenance </v>
      </c>
      <c r="C12" s="355">
        <f>Financials!D16</f>
        <v>0</v>
      </c>
      <c r="D12" s="355">
        <f>Financials!E16</f>
        <v>0</v>
      </c>
      <c r="E12" s="355">
        <f>Financials!F16</f>
        <v>0</v>
      </c>
      <c r="F12" s="355">
        <f>Financials!G16</f>
        <v>0</v>
      </c>
    </row>
    <row r="13" spans="2:6">
      <c r="B13" t="str">
        <f>Financials!B17</f>
        <v>Other Expense</v>
      </c>
      <c r="C13" s="355">
        <f>Financials!D17</f>
        <v>4.34</v>
      </c>
      <c r="D13" s="355">
        <f>Financials!E17</f>
        <v>0.67</v>
      </c>
      <c r="E13" s="355">
        <f>Financials!F17</f>
        <v>0.41854807799999999</v>
      </c>
      <c r="F13" s="355">
        <f>Financials!G17</f>
        <v>4.2524562480000005</v>
      </c>
    </row>
    <row r="14" spans="2:6">
      <c r="B14" t="str">
        <f>Financials!B18</f>
        <v>MME Provision</v>
      </c>
      <c r="C14" s="355">
        <f>Financials!D18</f>
        <v>1.82</v>
      </c>
      <c r="D14" s="355">
        <f>Financials!E18</f>
        <v>1.98</v>
      </c>
      <c r="E14" s="355">
        <f>Financials!F18</f>
        <v>8.7100000000000009</v>
      </c>
      <c r="F14" s="355">
        <f>Financials!G18</f>
        <v>23.6758928494542</v>
      </c>
    </row>
    <row r="15" spans="2:6">
      <c r="B15" t="str">
        <f>Financials!B19</f>
        <v>Other Provision</v>
      </c>
      <c r="C15" s="355">
        <f>Financials!D19</f>
        <v>0</v>
      </c>
      <c r="D15" s="355">
        <f>Financials!E19</f>
        <v>0</v>
      </c>
      <c r="E15" s="355">
        <f>Financials!F19</f>
        <v>0</v>
      </c>
      <c r="F15" s="355">
        <f>Financials!G19</f>
        <v>0</v>
      </c>
    </row>
    <row r="16" spans="2:6">
      <c r="B16" s="358" t="str">
        <f>Financials!B20</f>
        <v>Operating Expenses</v>
      </c>
      <c r="C16" s="357">
        <f>SUM(C10:C15)</f>
        <v>39.43</v>
      </c>
      <c r="D16" s="357">
        <f>SUM(D10:D15)</f>
        <v>32.47</v>
      </c>
      <c r="E16" s="357">
        <f>SUM(E10:E15)</f>
        <v>50.848548078</v>
      </c>
      <c r="F16" s="357">
        <f>SUM(F10:F15)</f>
        <v>66.463697770372931</v>
      </c>
    </row>
    <row r="17" spans="2:6">
      <c r="C17" s="355"/>
      <c r="D17" s="355"/>
      <c r="E17" s="355"/>
      <c r="F17" s="355"/>
    </row>
    <row r="18" spans="2:6">
      <c r="B18" s="358" t="s">
        <v>322</v>
      </c>
      <c r="C18" s="357">
        <f>C9-C16</f>
        <v>191.17000000000002</v>
      </c>
      <c r="D18" s="357">
        <f>D9-D16</f>
        <v>177.01000000000002</v>
      </c>
      <c r="E18" s="357">
        <f>E9-E16</f>
        <v>120.35850092199999</v>
      </c>
      <c r="F18" s="357">
        <f>F9-F16</f>
        <v>119.54067002962705</v>
      </c>
    </row>
    <row r="19" spans="2:6">
      <c r="B19" t="str">
        <f>Financials!B25</f>
        <v>Depreciation</v>
      </c>
      <c r="C19" s="355">
        <f>Financials!D25</f>
        <v>116.53</v>
      </c>
      <c r="D19" s="355">
        <f>Financials!E25</f>
        <v>89.74</v>
      </c>
      <c r="E19" s="355">
        <f>Financials!F25</f>
        <v>117.79144940587399</v>
      </c>
      <c r="F19" s="355">
        <f>Financials!G25</f>
        <v>87.735052307094975</v>
      </c>
    </row>
    <row r="20" spans="2:6">
      <c r="C20" s="355"/>
      <c r="D20" s="355"/>
      <c r="E20" s="355"/>
      <c r="F20" s="355"/>
    </row>
    <row r="21" spans="2:6">
      <c r="B21" s="358" t="s">
        <v>323</v>
      </c>
      <c r="C21" s="357">
        <f>C18-C19</f>
        <v>74.640000000000015</v>
      </c>
      <c r="D21" s="357">
        <f>D18-D19</f>
        <v>87.270000000000024</v>
      </c>
      <c r="E21" s="357">
        <f>E18-E19</f>
        <v>2.5670515161259999</v>
      </c>
      <c r="F21" s="357">
        <f>F18-F19</f>
        <v>31.805617722532077</v>
      </c>
    </row>
    <row r="22" spans="2:6">
      <c r="B22" t="str">
        <f>Financials!B26</f>
        <v>Unwinding Cost (IND-AS Entry)</v>
      </c>
      <c r="C22" s="355">
        <f>Financials!D26</f>
        <v>101.88</v>
      </c>
      <c r="D22" s="355">
        <f>Financials!E26</f>
        <v>112.958</v>
      </c>
      <c r="E22" s="355">
        <f>Financials!F26</f>
        <v>413.87003454564496</v>
      </c>
      <c r="F22" s="355">
        <f>Financials!G26</f>
        <v>86.998906970100904</v>
      </c>
    </row>
    <row r="23" spans="2:6">
      <c r="B23" t="str">
        <f>Financials!B27</f>
        <v>Finance Cost</v>
      </c>
      <c r="C23" s="355">
        <f>Financials!D27</f>
        <v>120.68</v>
      </c>
      <c r="D23" s="355">
        <f>Financials!E27</f>
        <v>114.15200000000002</v>
      </c>
      <c r="E23" s="355">
        <f>Financials!F27</f>
        <v>106.12</v>
      </c>
      <c r="F23" s="355">
        <f>Financials!G27</f>
        <v>96.028147899999993</v>
      </c>
    </row>
    <row r="24" spans="2:6">
      <c r="C24" s="355"/>
      <c r="D24" s="355"/>
      <c r="E24" s="355"/>
      <c r="F24" s="355"/>
    </row>
    <row r="25" spans="2:6">
      <c r="B25" s="358" t="s">
        <v>35</v>
      </c>
      <c r="C25" s="357">
        <f>C18-C19-C22-C23</f>
        <v>-147.91999999999999</v>
      </c>
      <c r="D25" s="357">
        <f>D18-D19-D22-D23</f>
        <v>-139.83999999999997</v>
      </c>
      <c r="E25" s="357">
        <f>E18-E19-E22-E23</f>
        <v>-517.42298302951895</v>
      </c>
      <c r="F25" s="357">
        <f>F18-F19-F22-F23</f>
        <v>-151.22143714756882</v>
      </c>
    </row>
    <row r="26" spans="2:6">
      <c r="B26" s="354" t="str">
        <f>Financials!B30</f>
        <v>IT Payable</v>
      </c>
      <c r="C26" s="355">
        <f>Financials!D30</f>
        <v>0</v>
      </c>
      <c r="D26" s="355">
        <f>Financials!E30</f>
        <v>0</v>
      </c>
      <c r="E26" s="355">
        <f>Financials!F30</f>
        <v>0</v>
      </c>
      <c r="F26" s="355">
        <f>Financials!G30</f>
        <v>0</v>
      </c>
    </row>
    <row r="27" spans="2:6">
      <c r="B27" s="354" t="str">
        <f>Financials!B31</f>
        <v>Exceptional Item</v>
      </c>
      <c r="C27" s="355">
        <f>Financials!D31</f>
        <v>137.69</v>
      </c>
      <c r="D27" s="355">
        <f>Financials!E31</f>
        <v>0</v>
      </c>
      <c r="E27" s="355">
        <f>Financials!F31</f>
        <v>0</v>
      </c>
      <c r="F27" s="355">
        <f>Financials!G31</f>
        <v>0</v>
      </c>
    </row>
    <row r="28" spans="2:6">
      <c r="B28" s="356" t="str">
        <f>Financials!B32</f>
        <v>PAT</v>
      </c>
      <c r="C28" s="357">
        <f>C25+C27</f>
        <v>-10.22999999999999</v>
      </c>
      <c r="D28" s="357">
        <f>D25-D26-D27</f>
        <v>-139.83999999999997</v>
      </c>
      <c r="E28" s="357">
        <f>E25-E26-E27</f>
        <v>-517.42298302951895</v>
      </c>
      <c r="F28" s="357">
        <f>F25-F26-F27</f>
        <v>-151.22143714756882</v>
      </c>
    </row>
    <row r="30" spans="2:6">
      <c r="B30" s="359" t="s">
        <v>324</v>
      </c>
      <c r="C30" s="360">
        <f>C28/C9</f>
        <v>-4.4362532523850778E-2</v>
      </c>
      <c r="D30" s="360">
        <f>D28/D9</f>
        <v>-0.66755776207752515</v>
      </c>
      <c r="E30" s="360">
        <f>E28/E9</f>
        <v>-3.0222060718394776</v>
      </c>
      <c r="F30" s="360">
        <f>F28/F9</f>
        <v>-0.81299938778947767</v>
      </c>
    </row>
    <row r="31" spans="2:6">
      <c r="B31" s="14" t="s">
        <v>325</v>
      </c>
      <c r="C31" s="361">
        <f>C18/C9</f>
        <v>0.8290112749349523</v>
      </c>
      <c r="D31" s="361">
        <f>D18/D9</f>
        <v>0.84499713576475088</v>
      </c>
      <c r="E31" s="361">
        <f>E18/E9</f>
        <v>0.70299968152596337</v>
      </c>
      <c r="F31" s="361">
        <f>F18/F9</f>
        <v>0.64267668250759791</v>
      </c>
    </row>
    <row r="32" spans="2:6">
      <c r="B32" s="14" t="s">
        <v>326</v>
      </c>
      <c r="C32" s="361">
        <f>C21/C9</f>
        <v>0.32367736339982656</v>
      </c>
      <c r="D32" s="361">
        <f>D21/D9</f>
        <v>0.41660301699446256</v>
      </c>
      <c r="E32" s="361">
        <f>E21/E9</f>
        <v>1.4993842433006365E-2</v>
      </c>
      <c r="F32" s="361">
        <f>F21/F9</f>
        <v>0.17099392932928792</v>
      </c>
    </row>
    <row r="33" spans="2:6">
      <c r="B33" s="362" t="s">
        <v>327</v>
      </c>
      <c r="C33" s="363"/>
      <c r="D33" s="363">
        <f>D9/C9-1</f>
        <v>-9.1587163920208159E-2</v>
      </c>
      <c r="E33" s="363">
        <f>E9/D9-1</f>
        <v>-0.18270455890777182</v>
      </c>
      <c r="F33" s="363">
        <f>F9/E9-1</f>
        <v>8.6429378267012913E-2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D5680-0B36-40C9-A409-DAD278690EB7}">
  <sheetPr>
    <tabColor theme="5" tint="-0.499984740745262"/>
  </sheetPr>
  <dimension ref="B2:N33"/>
  <sheetViews>
    <sheetView showGridLines="0" topLeftCell="A7" workbookViewId="0">
      <selection activeCell="C21" sqref="C21"/>
    </sheetView>
  </sheetViews>
  <sheetFormatPr defaultRowHeight="15"/>
  <cols>
    <col min="1" max="1" width="4.140625" customWidth="1"/>
    <col min="2" max="2" width="32.28515625" customWidth="1"/>
  </cols>
  <sheetData>
    <row r="2" spans="2:13" ht="18.75">
      <c r="B2" s="348" t="s">
        <v>319</v>
      </c>
      <c r="C2" s="349"/>
      <c r="D2" s="349"/>
      <c r="E2" s="349"/>
      <c r="F2" s="349"/>
      <c r="G2" s="349"/>
      <c r="H2" s="349"/>
      <c r="I2" s="349"/>
      <c r="J2" s="349"/>
      <c r="K2" s="349"/>
      <c r="L2" s="349"/>
      <c r="M2" s="349"/>
    </row>
    <row r="4" spans="2:13">
      <c r="B4" s="350" t="s">
        <v>328</v>
      </c>
      <c r="C4" s="350"/>
      <c r="D4" s="350"/>
      <c r="E4" s="350"/>
      <c r="F4" s="350"/>
      <c r="G4" s="350"/>
      <c r="H4" s="350"/>
      <c r="I4" s="350"/>
      <c r="J4" s="350"/>
      <c r="K4" s="350"/>
      <c r="L4" s="350"/>
      <c r="M4" s="350"/>
    </row>
    <row r="6" spans="2:13">
      <c r="B6" s="351" t="s">
        <v>321</v>
      </c>
      <c r="C6" s="353">
        <v>2023</v>
      </c>
      <c r="D6" s="353">
        <f>C6+1</f>
        <v>2024</v>
      </c>
      <c r="E6" s="353">
        <f t="shared" ref="E6:M6" si="0">D6+1</f>
        <v>2025</v>
      </c>
      <c r="F6" s="353">
        <f t="shared" si="0"/>
        <v>2026</v>
      </c>
      <c r="G6" s="353">
        <f t="shared" si="0"/>
        <v>2027</v>
      </c>
      <c r="H6" s="353">
        <f t="shared" si="0"/>
        <v>2028</v>
      </c>
      <c r="I6" s="353">
        <f t="shared" si="0"/>
        <v>2029</v>
      </c>
      <c r="J6" s="353">
        <f t="shared" si="0"/>
        <v>2030</v>
      </c>
      <c r="K6" s="353">
        <f t="shared" si="0"/>
        <v>2031</v>
      </c>
      <c r="L6" s="353">
        <f t="shared" si="0"/>
        <v>2032</v>
      </c>
      <c r="M6" s="353">
        <f t="shared" si="0"/>
        <v>2033</v>
      </c>
    </row>
    <row r="7" spans="2:13">
      <c r="B7" s="354" t="str">
        <f>Financials!B9</f>
        <v>Total Revenue from Operations</v>
      </c>
      <c r="C7" s="355">
        <f>Financials!H7</f>
        <v>206.43966</v>
      </c>
      <c r="D7" s="355">
        <f>Financials!I7</f>
        <v>220.55098199999998</v>
      </c>
      <c r="E7" s="355">
        <f>Financials!J7</f>
        <v>232.64707299999998</v>
      </c>
      <c r="F7" s="355">
        <f>Financials!K7</f>
        <v>245.53912099999999</v>
      </c>
      <c r="G7" s="355">
        <f>Financials!L7</f>
        <v>258.5420135</v>
      </c>
      <c r="H7" s="355">
        <f>Financials!M7</f>
        <v>273.51788399999998</v>
      </c>
      <c r="I7" s="355">
        <f>Financials!N7</f>
        <v>286.66697249999999</v>
      </c>
      <c r="J7" s="355">
        <f>Financials!O7</f>
        <v>301.87201349999998</v>
      </c>
      <c r="K7" s="355">
        <f>Financials!P7</f>
        <v>319.12547500000005</v>
      </c>
      <c r="L7" s="355">
        <f>Financials!Q7</f>
        <v>336.39598800000005</v>
      </c>
      <c r="M7" s="355">
        <f>Financials!R7</f>
        <v>353.59101299999998</v>
      </c>
    </row>
    <row r="8" spans="2:13">
      <c r="B8" s="354" t="str">
        <f>Financials!B11</f>
        <v>Other Income</v>
      </c>
      <c r="C8" s="355">
        <f>Financials!H8</f>
        <v>0</v>
      </c>
      <c r="D8" s="355">
        <f>Financials!I8</f>
        <v>0</v>
      </c>
      <c r="E8" s="355">
        <f>Financials!J8</f>
        <v>2.2278876356005939</v>
      </c>
      <c r="F8" s="355">
        <f>Financials!K8</f>
        <v>3.3399579732005908</v>
      </c>
      <c r="G8" s="355">
        <f>Financials!L8</f>
        <v>5.5738430254639608</v>
      </c>
      <c r="H8" s="355">
        <f>Financials!M8</f>
        <v>5.0909736031013582</v>
      </c>
      <c r="I8" s="355">
        <f>Financials!N8</f>
        <v>1.7431447330376919</v>
      </c>
      <c r="J8" s="355">
        <f>Financials!O8</f>
        <v>0.86958835867859074</v>
      </c>
      <c r="K8" s="355">
        <f>Financials!P8</f>
        <v>2.5747057577717607</v>
      </c>
      <c r="L8" s="355">
        <f>Financials!Q8</f>
        <v>4.3248231568649329</v>
      </c>
      <c r="M8" s="355">
        <f>Financials!R8</f>
        <v>2.6197057577717624</v>
      </c>
    </row>
    <row r="9" spans="2:13">
      <c r="B9" s="356" t="str">
        <f>Financials!B12</f>
        <v>Total Income</v>
      </c>
      <c r="C9" s="357">
        <f>SUM(C7:C8)</f>
        <v>206.43966</v>
      </c>
      <c r="D9" s="357">
        <f t="shared" ref="D9:M9" si="1">SUM(D7:D8)</f>
        <v>220.55098199999998</v>
      </c>
      <c r="E9" s="357">
        <f t="shared" si="1"/>
        <v>234.87496063560056</v>
      </c>
      <c r="F9" s="357">
        <f t="shared" si="1"/>
        <v>248.87907897320059</v>
      </c>
      <c r="G9" s="357">
        <f t="shared" si="1"/>
        <v>264.11585652546398</v>
      </c>
      <c r="H9" s="357">
        <f t="shared" si="1"/>
        <v>278.60885760310134</v>
      </c>
      <c r="I9" s="357">
        <f t="shared" si="1"/>
        <v>288.41011723303768</v>
      </c>
      <c r="J9" s="357">
        <f t="shared" si="1"/>
        <v>302.74160185867856</v>
      </c>
      <c r="K9" s="357">
        <f t="shared" si="1"/>
        <v>321.70018075777182</v>
      </c>
      <c r="L9" s="357">
        <f t="shared" si="1"/>
        <v>340.72081115686495</v>
      </c>
      <c r="M9" s="357">
        <f t="shared" si="1"/>
        <v>356.21071875777176</v>
      </c>
    </row>
    <row r="10" spans="2:13">
      <c r="B10" t="str">
        <f>Financials!B14</f>
        <v>Operational Costs (Excl Pers)</v>
      </c>
      <c r="C10" s="355">
        <f>Financials!H14</f>
        <v>30.193541881564677</v>
      </c>
      <c r="D10" s="355">
        <f>Financials!I14</f>
        <v>31.703218975642912</v>
      </c>
      <c r="E10" s="355">
        <f>Financials!J14</f>
        <v>33.288379924425058</v>
      </c>
      <c r="F10" s="355">
        <f>Financials!K14</f>
        <v>34.952798920646316</v>
      </c>
      <c r="G10" s="355">
        <f>Financials!L14</f>
        <v>36.700438866678631</v>
      </c>
      <c r="H10" s="355">
        <f>Financials!M14</f>
        <v>38.535460810012566</v>
      </c>
      <c r="I10" s="355">
        <f>Financials!N14</f>
        <v>40.462233850513194</v>
      </c>
      <c r="J10" s="355">
        <f>Financials!O14</f>
        <v>42.485345543038854</v>
      </c>
      <c r="K10" s="355">
        <f>Financials!P14</f>
        <v>44.609612820190797</v>
      </c>
      <c r="L10" s="355">
        <f>Financials!Q14</f>
        <v>46.84009346120034</v>
      </c>
      <c r="M10" s="355">
        <f>Financials!R14</f>
        <v>49.182098134260357</v>
      </c>
    </row>
    <row r="11" spans="2:13">
      <c r="B11" t="str">
        <f>Financials!B15</f>
        <v>Operational Costs (Personnel)</v>
      </c>
      <c r="C11" s="355">
        <f>Financials!H15</f>
        <v>10.75755395</v>
      </c>
      <c r="D11" s="355">
        <f>Financials!I15</f>
        <v>11.833309345000002</v>
      </c>
      <c r="E11" s="355">
        <f>Financials!J15</f>
        <v>13.016640279500002</v>
      </c>
      <c r="F11" s="355">
        <f>Financials!K15</f>
        <v>14.318304307450004</v>
      </c>
      <c r="G11" s="355">
        <f>Financials!L15</f>
        <v>15.750134738195007</v>
      </c>
      <c r="H11" s="355">
        <f>Financials!M15</f>
        <v>17.325148212014508</v>
      </c>
      <c r="I11" s="355">
        <f>Financials!N15</f>
        <v>19.05766303321596</v>
      </c>
      <c r="J11" s="355">
        <f>Financials!O15</f>
        <v>20.963429336537558</v>
      </c>
      <c r="K11" s="355">
        <f>Financials!P15</f>
        <v>23.059772270191317</v>
      </c>
      <c r="L11" s="355">
        <f>Financials!Q15</f>
        <v>25.365749497210452</v>
      </c>
      <c r="M11" s="355">
        <f>Financials!R15</f>
        <v>27.902324446931498</v>
      </c>
    </row>
    <row r="12" spans="2:13">
      <c r="B12" t="str">
        <f>Financials!B16</f>
        <v xml:space="preserve">Routine Maintenance </v>
      </c>
      <c r="C12" s="355">
        <f>Financials!H16</f>
        <v>0</v>
      </c>
      <c r="D12" s="355">
        <f>Financials!I16</f>
        <v>0</v>
      </c>
      <c r="E12" s="355">
        <f>Financials!J16</f>
        <v>0</v>
      </c>
      <c r="F12" s="355">
        <f>Financials!K16</f>
        <v>0</v>
      </c>
      <c r="G12" s="355">
        <f>Financials!L16</f>
        <v>0</v>
      </c>
      <c r="H12" s="355">
        <f>Financials!M16</f>
        <v>0</v>
      </c>
      <c r="I12" s="355">
        <f>Financials!N16</f>
        <v>0</v>
      </c>
      <c r="J12" s="355">
        <f>Financials!O16</f>
        <v>0</v>
      </c>
      <c r="K12" s="355">
        <f>Financials!P16</f>
        <v>0</v>
      </c>
      <c r="L12" s="355">
        <f>Financials!Q16</f>
        <v>0</v>
      </c>
      <c r="M12" s="355">
        <f>Financials!R16</f>
        <v>0</v>
      </c>
    </row>
    <row r="13" spans="2:13">
      <c r="B13" t="str">
        <f>Financials!B17</f>
        <v>Other Expense</v>
      </c>
      <c r="C13" s="355">
        <f>Financials!H17</f>
        <v>4.4650790604000008</v>
      </c>
      <c r="D13" s="355">
        <f>Financials!I17</f>
        <v>4.6883330134200012</v>
      </c>
      <c r="E13" s="355">
        <f>Financials!J17</f>
        <v>4.9227496640910013</v>
      </c>
      <c r="F13" s="355">
        <f>Financials!K17</f>
        <v>5.1688871472955515</v>
      </c>
      <c r="G13" s="355">
        <f>Financials!L17</f>
        <v>5.4273315046603292</v>
      </c>
      <c r="H13" s="355">
        <f>Financials!M17</f>
        <v>5.6986980798933455</v>
      </c>
      <c r="I13" s="355">
        <f>Financials!N17</f>
        <v>5.9836329838880129</v>
      </c>
      <c r="J13" s="355">
        <f>Financials!O17</f>
        <v>6.2828146330824142</v>
      </c>
      <c r="K13" s="355">
        <f>Financials!P17</f>
        <v>6.5969553647365355</v>
      </c>
      <c r="L13" s="355">
        <f>Financials!Q17</f>
        <v>6.9268031329733626</v>
      </c>
      <c r="M13" s="355">
        <f>Financials!R17</f>
        <v>7.2731432896220314</v>
      </c>
    </row>
    <row r="14" spans="2:13">
      <c r="B14" t="str">
        <f>Financials!B18</f>
        <v>MME Provision</v>
      </c>
      <c r="C14" s="355">
        <f>Financials!H18</f>
        <v>161.45301598162706</v>
      </c>
      <c r="D14" s="355">
        <f>Financials!I18</f>
        <v>0</v>
      </c>
      <c r="E14" s="355">
        <f>Financials!J18</f>
        <v>38.817592773613342</v>
      </c>
      <c r="F14" s="355">
        <f>Financials!K18</f>
        <v>38.817592773613342</v>
      </c>
      <c r="G14" s="355">
        <f>Financials!L18</f>
        <v>38.817592773613342</v>
      </c>
      <c r="H14" s="355">
        <f>Financials!M18</f>
        <v>38.817592773613342</v>
      </c>
      <c r="I14" s="355">
        <f>Financials!N18</f>
        <v>38.817592773613342</v>
      </c>
      <c r="J14" s="355">
        <f>Financials!O18</f>
        <v>30.486278622619693</v>
      </c>
      <c r="K14" s="355">
        <f>Financials!P18</f>
        <v>30.486278622619693</v>
      </c>
      <c r="L14" s="355">
        <f>Financials!Q18</f>
        <v>30.48627862261975</v>
      </c>
      <c r="M14" s="355">
        <f>Financials!R18</f>
        <v>30.486278622619693</v>
      </c>
    </row>
    <row r="15" spans="2:13">
      <c r="B15" t="str">
        <f>Financials!B19</f>
        <v>Other Provision</v>
      </c>
      <c r="C15" s="355">
        <f>Financials!H19</f>
        <v>0</v>
      </c>
      <c r="D15" s="355">
        <f>Financials!I19</f>
        <v>0</v>
      </c>
      <c r="E15" s="355">
        <f>Financials!J19</f>
        <v>0</v>
      </c>
      <c r="F15" s="355">
        <f>Financials!K19</f>
        <v>0</v>
      </c>
      <c r="G15" s="355">
        <f>Financials!L19</f>
        <v>0</v>
      </c>
      <c r="H15" s="355">
        <f>Financials!M19</f>
        <v>0</v>
      </c>
      <c r="I15" s="355">
        <f>Financials!N19</f>
        <v>0</v>
      </c>
      <c r="J15" s="355">
        <f>Financials!O19</f>
        <v>0</v>
      </c>
      <c r="K15" s="355">
        <f>Financials!P19</f>
        <v>0</v>
      </c>
      <c r="L15" s="355">
        <f>Financials!Q19</f>
        <v>0</v>
      </c>
      <c r="M15" s="355">
        <f>Financials!R19</f>
        <v>0</v>
      </c>
    </row>
    <row r="16" spans="2:13">
      <c r="B16" s="358" t="str">
        <f>Financials!B20</f>
        <v>Operating Expenses</v>
      </c>
      <c r="C16" s="357">
        <f>SUM(C10:C15)</f>
        <v>206.86919087359175</v>
      </c>
      <c r="D16" s="357">
        <f t="shared" ref="D16:M16" si="2">SUM(D10:D15)</f>
        <v>48.224861334062915</v>
      </c>
      <c r="E16" s="357">
        <f t="shared" si="2"/>
        <v>90.045362641629396</v>
      </c>
      <c r="F16" s="357">
        <f t="shared" si="2"/>
        <v>93.257583149005214</v>
      </c>
      <c r="G16" s="357">
        <f t="shared" si="2"/>
        <v>96.695497883147311</v>
      </c>
      <c r="H16" s="357">
        <f t="shared" si="2"/>
        <v>100.37689987553377</v>
      </c>
      <c r="I16" s="357">
        <f t="shared" si="2"/>
        <v>104.3211226412305</v>
      </c>
      <c r="J16" s="357">
        <f t="shared" si="2"/>
        <v>100.21786813527852</v>
      </c>
      <c r="K16" s="357">
        <f t="shared" si="2"/>
        <v>104.75261907773834</v>
      </c>
      <c r="L16" s="357">
        <f t="shared" si="2"/>
        <v>109.6189247140039</v>
      </c>
      <c r="M16" s="357">
        <f t="shared" si="2"/>
        <v>114.84384449343358</v>
      </c>
    </row>
    <row r="17" spans="2:13">
      <c r="C17" s="355"/>
      <c r="D17" s="355"/>
      <c r="E17" s="355"/>
      <c r="F17" s="355"/>
    </row>
    <row r="18" spans="2:13">
      <c r="B18" s="358" t="s">
        <v>322</v>
      </c>
      <c r="C18" s="357">
        <f>C9-C16</f>
        <v>-0.42953087359174447</v>
      </c>
      <c r="D18" s="357">
        <f t="shared" ref="D18:M18" si="3">D9-D16</f>
        <v>172.32612066593705</v>
      </c>
      <c r="E18" s="357">
        <f t="shared" si="3"/>
        <v>144.82959799397116</v>
      </c>
      <c r="F18" s="357">
        <f t="shared" si="3"/>
        <v>155.62149582419539</v>
      </c>
      <c r="G18" s="357">
        <f t="shared" si="3"/>
        <v>167.42035864231667</v>
      </c>
      <c r="H18" s="357">
        <f t="shared" si="3"/>
        <v>178.23195772756759</v>
      </c>
      <c r="I18" s="357">
        <f t="shared" si="3"/>
        <v>184.08899459180719</v>
      </c>
      <c r="J18" s="357">
        <f t="shared" si="3"/>
        <v>202.52373372340003</v>
      </c>
      <c r="K18" s="357">
        <f t="shared" si="3"/>
        <v>216.94756168003346</v>
      </c>
      <c r="L18" s="357">
        <f t="shared" si="3"/>
        <v>231.10188644286106</v>
      </c>
      <c r="M18" s="357">
        <f t="shared" si="3"/>
        <v>241.36687426433818</v>
      </c>
    </row>
    <row r="19" spans="2:13">
      <c r="B19" t="str">
        <f>Financials!B25</f>
        <v>Depreciation</v>
      </c>
      <c r="C19" s="355">
        <f>Financials!H25</f>
        <v>96.457532674718593</v>
      </c>
      <c r="D19" s="355">
        <f>Financials!I25</f>
        <v>103.05095228652415</v>
      </c>
      <c r="E19" s="355">
        <f>Financials!J25</f>
        <v>108.70276886512572</v>
      </c>
      <c r="F19" s="355">
        <f>Financials!K25</f>
        <v>114.72649096001797</v>
      </c>
      <c r="G19" s="355">
        <f>Financials!L25</f>
        <v>120.80200439665414</v>
      </c>
      <c r="H19" s="355">
        <f>Financials!M25</f>
        <v>127.79937843847392</v>
      </c>
      <c r="I19" s="355">
        <f>Financials!N25</f>
        <v>133.94320096575149</v>
      </c>
      <c r="J19" s="355">
        <f>Financials!O25</f>
        <v>141.04765337125309</v>
      </c>
      <c r="K19" s="355">
        <f>Financials!P25</f>
        <v>149.10921637900196</v>
      </c>
      <c r="L19" s="355">
        <f>Financials!Q25</f>
        <v>157.17874658461579</v>
      </c>
      <c r="M19" s="355">
        <f>Financials!R25</f>
        <v>165.21300553359924</v>
      </c>
    </row>
    <row r="20" spans="2:13">
      <c r="C20" s="355"/>
      <c r="D20" s="355"/>
      <c r="E20" s="355"/>
      <c r="F20" s="355"/>
      <c r="G20" s="355"/>
      <c r="H20" s="355"/>
      <c r="I20" s="355"/>
      <c r="J20" s="355"/>
      <c r="K20" s="355"/>
      <c r="L20" s="355"/>
      <c r="M20" s="355"/>
    </row>
    <row r="21" spans="2:13">
      <c r="B21" s="358" t="s">
        <v>323</v>
      </c>
      <c r="C21" s="357">
        <f>C18-C19</f>
        <v>-96.887063548310337</v>
      </c>
      <c r="D21" s="357">
        <f t="shared" ref="D21:M21" si="4">D18-D19</f>
        <v>69.275168379412904</v>
      </c>
      <c r="E21" s="357">
        <f t="shared" si="4"/>
        <v>36.126829128845444</v>
      </c>
      <c r="F21" s="357">
        <f t="shared" si="4"/>
        <v>40.895004864177423</v>
      </c>
      <c r="G21" s="357">
        <f t="shared" si="4"/>
        <v>46.61835424566253</v>
      </c>
      <c r="H21" s="357">
        <f t="shared" si="4"/>
        <v>50.432579289093667</v>
      </c>
      <c r="I21" s="357">
        <f t="shared" si="4"/>
        <v>50.145793626055706</v>
      </c>
      <c r="J21" s="357">
        <f t="shared" si="4"/>
        <v>61.476080352146937</v>
      </c>
      <c r="K21" s="357">
        <f t="shared" si="4"/>
        <v>67.838345301031495</v>
      </c>
      <c r="L21" s="357">
        <f t="shared" si="4"/>
        <v>73.923139858245264</v>
      </c>
      <c r="M21" s="357">
        <f t="shared" si="4"/>
        <v>76.153868730738935</v>
      </c>
    </row>
    <row r="22" spans="2:13">
      <c r="B22" t="str">
        <f>Financials!B26</f>
        <v>Unwinding Cost (IND-AS Entry)</v>
      </c>
      <c r="C22" s="355">
        <f>Financials!H26</f>
        <v>0</v>
      </c>
      <c r="D22" s="355">
        <f>Financials!I26</f>
        <v>0</v>
      </c>
      <c r="E22" s="355">
        <f>Financials!J26</f>
        <v>0</v>
      </c>
      <c r="F22" s="355">
        <f>Financials!K26</f>
        <v>0</v>
      </c>
      <c r="G22" s="355">
        <f>Financials!L26</f>
        <v>0</v>
      </c>
      <c r="H22" s="355">
        <f>Financials!M26</f>
        <v>0</v>
      </c>
      <c r="I22" s="355">
        <f>Financials!N26</f>
        <v>0</v>
      </c>
      <c r="J22" s="355">
        <f>Financials!O26</f>
        <v>0</v>
      </c>
      <c r="K22" s="355">
        <f>Financials!P26</f>
        <v>0</v>
      </c>
      <c r="L22" s="355">
        <f>Financials!Q26</f>
        <v>0</v>
      </c>
      <c r="M22" s="355">
        <f>Financials!R26</f>
        <v>0</v>
      </c>
    </row>
    <row r="23" spans="2:13">
      <c r="B23" t="str">
        <f>Financials!B27</f>
        <v>Finance Cost</v>
      </c>
      <c r="C23" s="355">
        <f>Financials!D27</f>
        <v>120.68</v>
      </c>
      <c r="D23" s="355">
        <f>Financials!E27</f>
        <v>114.15200000000002</v>
      </c>
      <c r="E23" s="355">
        <f>Financials!F27</f>
        <v>106.12</v>
      </c>
      <c r="F23" s="355">
        <f>Financials!G27</f>
        <v>96.028147899999993</v>
      </c>
      <c r="G23" s="355">
        <f>Financials!H27</f>
        <v>91.45</v>
      </c>
      <c r="H23" s="355">
        <f>Financials!I27</f>
        <v>78.61</v>
      </c>
      <c r="I23" s="355">
        <f>Financials!J27</f>
        <v>63.279999999999994</v>
      </c>
      <c r="J23" s="355">
        <f>Financials!K27</f>
        <v>44.08</v>
      </c>
      <c r="K23" s="355">
        <f>Financials!L27</f>
        <v>17.700000000000003</v>
      </c>
      <c r="L23" s="355">
        <f>Financials!M27</f>
        <v>9.0000000000000011E-2</v>
      </c>
      <c r="M23" s="355">
        <f>Financials!N27</f>
        <v>0.03</v>
      </c>
    </row>
    <row r="24" spans="2:13">
      <c r="C24" s="355"/>
      <c r="D24" s="355"/>
      <c r="E24" s="355"/>
      <c r="F24" s="355"/>
      <c r="G24" s="355"/>
      <c r="H24" s="355"/>
      <c r="I24" s="355"/>
      <c r="J24" s="355"/>
      <c r="K24" s="355"/>
      <c r="L24" s="355"/>
      <c r="M24" s="355"/>
    </row>
    <row r="25" spans="2:13">
      <c r="B25" s="358" t="s">
        <v>35</v>
      </c>
      <c r="C25" s="357">
        <f>C18-C19-C22-C23</f>
        <v>-217.56706354831033</v>
      </c>
      <c r="D25" s="357">
        <f t="shared" ref="D25:M25" si="5">D18-D19-D22-D23</f>
        <v>-44.876831620587112</v>
      </c>
      <c r="E25" s="357">
        <f t="shared" si="5"/>
        <v>-69.993170871154561</v>
      </c>
      <c r="F25" s="357">
        <f t="shared" si="5"/>
        <v>-55.13314303582257</v>
      </c>
      <c r="G25" s="357">
        <f t="shared" si="5"/>
        <v>-44.831645754337472</v>
      </c>
      <c r="H25" s="357">
        <f t="shared" si="5"/>
        <v>-28.177420710906333</v>
      </c>
      <c r="I25" s="357">
        <f t="shared" si="5"/>
        <v>-13.134206373944288</v>
      </c>
      <c r="J25" s="357">
        <f t="shared" si="5"/>
        <v>17.396080352146939</v>
      </c>
      <c r="K25" s="357">
        <f t="shared" si="5"/>
        <v>50.138345301031492</v>
      </c>
      <c r="L25" s="357">
        <f t="shared" si="5"/>
        <v>73.833139858245261</v>
      </c>
      <c r="M25" s="357">
        <f t="shared" si="5"/>
        <v>76.123868730738934</v>
      </c>
    </row>
    <row r="26" spans="2:13">
      <c r="B26" s="354" t="str">
        <f>Financials!B30</f>
        <v>IT Payable</v>
      </c>
      <c r="C26" s="355">
        <f>Financials!H30</f>
        <v>0</v>
      </c>
      <c r="D26" s="355">
        <f>Financials!I30</f>
        <v>0</v>
      </c>
      <c r="E26" s="355">
        <f>Financials!J30</f>
        <v>0</v>
      </c>
      <c r="F26" s="355">
        <f>Financials!K30</f>
        <v>0</v>
      </c>
      <c r="G26" s="355">
        <f>Financials!L30</f>
        <v>0</v>
      </c>
      <c r="H26" s="355">
        <f>Financials!M30</f>
        <v>0</v>
      </c>
      <c r="I26" s="355">
        <f>Financials!N30</f>
        <v>0</v>
      </c>
      <c r="J26" s="355">
        <f>Financials!O30</f>
        <v>0</v>
      </c>
      <c r="K26" s="355">
        <f>Financials!P30</f>
        <v>0</v>
      </c>
      <c r="L26" s="355">
        <f>Financials!Q30</f>
        <v>0</v>
      </c>
      <c r="M26" s="355">
        <f>Financials!R30</f>
        <v>14.461643049501602</v>
      </c>
    </row>
    <row r="27" spans="2:13">
      <c r="B27" s="354" t="str">
        <f>Financials!B31</f>
        <v>Exceptional Item</v>
      </c>
      <c r="C27" s="355">
        <f>Financials!H31</f>
        <v>43.43</v>
      </c>
      <c r="D27" s="355">
        <f>Financials!I31</f>
        <v>0</v>
      </c>
      <c r="E27" s="355">
        <f>Financials!J31</f>
        <v>0</v>
      </c>
      <c r="F27" s="355">
        <f>Financials!K31</f>
        <v>0</v>
      </c>
      <c r="G27" s="355">
        <f>Financials!L31</f>
        <v>0</v>
      </c>
      <c r="H27" s="355">
        <f>Financials!M31</f>
        <v>0</v>
      </c>
      <c r="I27" s="355">
        <f>Financials!N31</f>
        <v>0</v>
      </c>
      <c r="J27" s="355">
        <f>Financials!O31</f>
        <v>0</v>
      </c>
      <c r="K27" s="355">
        <f>Financials!P31</f>
        <v>0</v>
      </c>
      <c r="L27" s="355">
        <f>Financials!Q31</f>
        <v>0</v>
      </c>
      <c r="M27" s="355">
        <f>Financials!R31</f>
        <v>0</v>
      </c>
    </row>
    <row r="28" spans="2:13">
      <c r="B28" s="356" t="str">
        <f>Financials!B32</f>
        <v>PAT</v>
      </c>
      <c r="C28" s="357">
        <f>Financials!H32</f>
        <v>-231.76706354831035</v>
      </c>
      <c r="D28" s="357">
        <f>Financials!I32</f>
        <v>-9.3348316205870958</v>
      </c>
      <c r="E28" s="357">
        <f>Financials!J32</f>
        <v>-27.153170871154551</v>
      </c>
      <c r="F28" s="357">
        <f>Financials!K32</f>
        <v>-3.1849951358225752</v>
      </c>
      <c r="G28" s="357">
        <f>Financials!L32</f>
        <v>28.918354245662528</v>
      </c>
      <c r="H28" s="357">
        <f>Financials!M32</f>
        <v>50.342579289093663</v>
      </c>
      <c r="I28" s="357">
        <f>Financials!N32</f>
        <v>50.115793626055705</v>
      </c>
      <c r="J28" s="357">
        <f>Financials!O32</f>
        <v>61.476080352146937</v>
      </c>
      <c r="K28" s="357">
        <f>Financials!P32</f>
        <v>67.838345301031495</v>
      </c>
      <c r="L28" s="357">
        <f>Financials!Q32</f>
        <v>73.923139858245264</v>
      </c>
      <c r="M28" s="357">
        <f>Financials!R32</f>
        <v>61.692225681237332</v>
      </c>
    </row>
    <row r="30" spans="2:13">
      <c r="B30" s="359" t="s">
        <v>324</v>
      </c>
      <c r="C30" s="360">
        <f>C28/C9</f>
        <v>-1.1226867141144794</v>
      </c>
      <c r="D30" s="360">
        <f t="shared" ref="D30:M30" si="6">D28/D9</f>
        <v>-4.2325051269039904E-2</v>
      </c>
      <c r="E30" s="360">
        <f t="shared" si="6"/>
        <v>-0.11560692037020348</v>
      </c>
      <c r="F30" s="360">
        <f t="shared" si="6"/>
        <v>-1.279735986231907E-2</v>
      </c>
      <c r="G30" s="360">
        <f t="shared" si="6"/>
        <v>0.10949117037535551</v>
      </c>
      <c r="H30" s="360">
        <f t="shared" si="6"/>
        <v>0.18069267331338884</v>
      </c>
      <c r="I30" s="360">
        <f t="shared" si="6"/>
        <v>0.17376572676041646</v>
      </c>
      <c r="J30" s="360">
        <f t="shared" si="6"/>
        <v>0.20306452755325086</v>
      </c>
      <c r="K30" s="360">
        <f t="shared" si="6"/>
        <v>0.21087443948970369</v>
      </c>
      <c r="L30" s="360">
        <f t="shared" si="6"/>
        <v>0.21696103506930101</v>
      </c>
      <c r="M30" s="360">
        <f t="shared" si="6"/>
        <v>0.17319025630778084</v>
      </c>
    </row>
    <row r="31" spans="2:13">
      <c r="B31" s="14" t="s">
        <v>325</v>
      </c>
      <c r="C31" s="361">
        <f>C18/C9</f>
        <v>-2.0806606327085815E-3</v>
      </c>
      <c r="D31" s="361">
        <f t="shared" ref="D31:M31" si="7">D18/D9</f>
        <v>0.78134370159338973</v>
      </c>
      <c r="E31" s="361">
        <f t="shared" si="7"/>
        <v>0.6166242565918667</v>
      </c>
      <c r="F31" s="361">
        <f t="shared" si="7"/>
        <v>0.62528958426816095</v>
      </c>
      <c r="G31" s="361">
        <f t="shared" si="7"/>
        <v>0.63388984230174494</v>
      </c>
      <c r="H31" s="361">
        <f t="shared" si="7"/>
        <v>0.6397210744156312</v>
      </c>
      <c r="I31" s="361">
        <f t="shared" si="7"/>
        <v>0.63828896280729919</v>
      </c>
      <c r="J31" s="361">
        <f t="shared" si="7"/>
        <v>0.66896565414204034</v>
      </c>
      <c r="K31" s="361">
        <f t="shared" si="7"/>
        <v>0.67437811557646232</v>
      </c>
      <c r="L31" s="361">
        <f t="shared" si="7"/>
        <v>0.67827346870357064</v>
      </c>
      <c r="M31" s="361">
        <f t="shared" si="7"/>
        <v>0.67759576440054015</v>
      </c>
    </row>
    <row r="32" spans="2:13">
      <c r="B32" s="14" t="s">
        <v>326</v>
      </c>
      <c r="C32" s="361">
        <f>C21/C9</f>
        <v>-0.46932388644851641</v>
      </c>
      <c r="D32" s="361">
        <f t="shared" ref="D32:M32" si="8">D21/D9</f>
        <v>0.31410047577758193</v>
      </c>
      <c r="E32" s="361">
        <f t="shared" si="8"/>
        <v>0.15381302898819779</v>
      </c>
      <c r="F32" s="361">
        <f t="shared" si="8"/>
        <v>0.16431676391964234</v>
      </c>
      <c r="G32" s="361">
        <f t="shared" si="8"/>
        <v>0.17650721489782251</v>
      </c>
      <c r="H32" s="361">
        <f t="shared" si="8"/>
        <v>0.18101570683347964</v>
      </c>
      <c r="I32" s="361">
        <f t="shared" si="8"/>
        <v>0.17386974530278876</v>
      </c>
      <c r="J32" s="361">
        <f t="shared" si="8"/>
        <v>0.20306452755325086</v>
      </c>
      <c r="K32" s="361">
        <f t="shared" si="8"/>
        <v>0.21087443948970369</v>
      </c>
      <c r="L32" s="361">
        <f t="shared" si="8"/>
        <v>0.21696103506930101</v>
      </c>
      <c r="M32" s="361">
        <f t="shared" si="8"/>
        <v>0.21378881858556487</v>
      </c>
    </row>
    <row r="33" spans="2:14">
      <c r="B33" s="362" t="s">
        <v>327</v>
      </c>
      <c r="C33" s="363">
        <f>C9/'Historical P&amp;L RK'!F9-1</f>
        <v>0.10986458243804753</v>
      </c>
      <c r="D33" s="363">
        <f>D9/C9-1</f>
        <v>6.835567351738514E-2</v>
      </c>
      <c r="E33" s="363">
        <f t="shared" ref="E33:M33" si="9">E9/D9-1</f>
        <v>6.4946338056207642E-2</v>
      </c>
      <c r="F33" s="363">
        <f t="shared" si="9"/>
        <v>5.962371765684682E-2</v>
      </c>
      <c r="G33" s="363">
        <f t="shared" si="9"/>
        <v>6.1221608562381791E-2</v>
      </c>
      <c r="H33" s="363">
        <f t="shared" si="9"/>
        <v>5.4873650027294163E-2</v>
      </c>
      <c r="I33" s="363">
        <f t="shared" si="9"/>
        <v>3.5179282217577379E-2</v>
      </c>
      <c r="J33" s="363">
        <f t="shared" si="9"/>
        <v>4.9691338026331966E-2</v>
      </c>
      <c r="K33" s="363">
        <f t="shared" si="9"/>
        <v>6.2622972140919053E-2</v>
      </c>
      <c r="L33" s="363">
        <f t="shared" si="9"/>
        <v>5.9125333266178526E-2</v>
      </c>
      <c r="M33" s="363">
        <f t="shared" si="9"/>
        <v>4.5462170474158015E-2</v>
      </c>
      <c r="N33" s="372"/>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8920F-903B-442E-99BA-8E1E1D0B5402}">
  <sheetPr>
    <tabColor theme="8" tint="-0.249977111117893"/>
  </sheetPr>
  <dimension ref="B2:K19"/>
  <sheetViews>
    <sheetView showGridLines="0" workbookViewId="0">
      <selection activeCell="B13" sqref="B13:C16"/>
    </sheetView>
  </sheetViews>
  <sheetFormatPr defaultRowHeight="15"/>
  <cols>
    <col min="1" max="1" width="6" customWidth="1"/>
    <col min="2" max="2" width="35.7109375" customWidth="1"/>
    <col min="3" max="3" width="14.5703125" customWidth="1"/>
    <col min="11" max="11" width="10.28515625" customWidth="1"/>
  </cols>
  <sheetData>
    <row r="2" spans="2:11" ht="18.75">
      <c r="B2" s="348" t="s">
        <v>319</v>
      </c>
      <c r="C2" s="348"/>
      <c r="D2" s="348"/>
      <c r="E2" s="348"/>
      <c r="F2" s="348"/>
      <c r="G2" s="348"/>
      <c r="H2" s="348"/>
      <c r="I2" s="348"/>
      <c r="J2" s="348"/>
      <c r="K2" s="348"/>
    </row>
    <row r="3" spans="2:11" ht="13.5" customHeight="1"/>
    <row r="4" spans="2:11">
      <c r="B4" s="436" t="s">
        <v>329</v>
      </c>
      <c r="C4" s="436" t="s">
        <v>330</v>
      </c>
      <c r="D4" s="436" t="s">
        <v>331</v>
      </c>
      <c r="E4" s="440" t="s">
        <v>332</v>
      </c>
      <c r="F4" s="441"/>
      <c r="G4" s="441"/>
      <c r="H4" s="441"/>
      <c r="I4" s="441"/>
      <c r="J4" s="436" t="s">
        <v>333</v>
      </c>
      <c r="K4" s="436" t="s">
        <v>334</v>
      </c>
    </row>
    <row r="5" spans="2:11">
      <c r="B5" s="437"/>
      <c r="C5" s="437"/>
      <c r="D5" s="437"/>
      <c r="E5" s="364">
        <v>2022</v>
      </c>
      <c r="F5" s="364">
        <v>2021</v>
      </c>
      <c r="G5" s="365">
        <v>2020</v>
      </c>
      <c r="H5" s="365">
        <v>2019</v>
      </c>
      <c r="I5" s="365">
        <v>2018</v>
      </c>
      <c r="J5" s="437"/>
      <c r="K5" s="437"/>
    </row>
    <row r="6" spans="2:11">
      <c r="B6" s="16" t="s">
        <v>335</v>
      </c>
      <c r="C6" s="366">
        <v>12841.93</v>
      </c>
      <c r="D6" s="16">
        <v>1.1100000000000001</v>
      </c>
      <c r="E6" s="16">
        <v>0.64</v>
      </c>
      <c r="F6" s="16">
        <v>3.42</v>
      </c>
      <c r="G6" s="16">
        <v>2.92</v>
      </c>
      <c r="H6" s="16">
        <v>1.46</v>
      </c>
      <c r="I6" s="16">
        <v>1.89</v>
      </c>
      <c r="J6" s="367">
        <f>AVERAGE(E6:I6)</f>
        <v>2.0659999999999998</v>
      </c>
      <c r="K6" s="367">
        <f>D6/(1+((1-'WACC RK'!$F$7)*J6))</f>
        <v>0.47353798092005422</v>
      </c>
    </row>
    <row r="7" spans="2:11">
      <c r="B7" s="16" t="s">
        <v>336</v>
      </c>
      <c r="C7" s="366">
        <v>3418.51</v>
      </c>
      <c r="D7" s="16">
        <v>1.28</v>
      </c>
      <c r="E7" s="16">
        <v>0.71</v>
      </c>
      <c r="F7" s="16">
        <v>0.7</v>
      </c>
      <c r="G7" s="16">
        <v>0.76</v>
      </c>
      <c r="H7" s="16">
        <v>1</v>
      </c>
      <c r="I7" s="16">
        <v>1.1299999999999999</v>
      </c>
      <c r="J7" s="367">
        <f>AVERAGE(E7:I7)</f>
        <v>0.86</v>
      </c>
      <c r="K7" s="367">
        <f>D7/(1+((1-'WACC RK'!$F$7)*J7))</f>
        <v>0.82078557387275364</v>
      </c>
    </row>
    <row r="8" spans="2:11">
      <c r="B8" s="16" t="s">
        <v>337</v>
      </c>
      <c r="C8" s="366">
        <v>1323.09</v>
      </c>
      <c r="D8" s="16">
        <v>0.94</v>
      </c>
      <c r="E8" s="16">
        <v>1.1100000000000001</v>
      </c>
      <c r="F8" s="16">
        <v>0.77</v>
      </c>
      <c r="G8" s="16">
        <v>0.75</v>
      </c>
      <c r="H8" s="16">
        <v>0.71</v>
      </c>
      <c r="I8" s="16">
        <v>0.82</v>
      </c>
      <c r="J8" s="367">
        <f>AVERAGE(E8:I8)</f>
        <v>0.83200000000000007</v>
      </c>
      <c r="K8" s="367">
        <f>D8/(1+((1-'WACC RK'!$F$7)*J8))</f>
        <v>0.60988826639338134</v>
      </c>
    </row>
    <row r="9" spans="2:11">
      <c r="B9" s="16" t="s">
        <v>338</v>
      </c>
      <c r="C9" s="366">
        <v>3547.33</v>
      </c>
      <c r="D9" s="16">
        <v>1.07</v>
      </c>
      <c r="E9" s="16">
        <v>0.2</v>
      </c>
      <c r="F9" s="16">
        <v>0.28000000000000003</v>
      </c>
      <c r="G9" s="16">
        <v>0.32</v>
      </c>
      <c r="H9" s="16">
        <v>0.37</v>
      </c>
      <c r="I9" s="16">
        <v>0.27</v>
      </c>
      <c r="J9" s="367">
        <f>AVERAGE(E9:I9)</f>
        <v>0.28799999999999998</v>
      </c>
      <c r="K9" s="367">
        <f>D9/(1+((1-'WACC RK'!$F$7)*J9))</f>
        <v>0.90115790199929724</v>
      </c>
    </row>
    <row r="10" spans="2:11">
      <c r="B10" s="16" t="s">
        <v>339</v>
      </c>
      <c r="C10" s="366">
        <v>1838.33</v>
      </c>
      <c r="D10" s="16">
        <v>1.1599999999999999</v>
      </c>
      <c r="E10" s="16">
        <v>2.87</v>
      </c>
      <c r="F10" s="16">
        <v>5.22</v>
      </c>
      <c r="G10" s="16">
        <v>2.31</v>
      </c>
      <c r="H10" s="16">
        <v>2.16</v>
      </c>
      <c r="I10" s="16">
        <v>1.19</v>
      </c>
      <c r="J10" s="367">
        <f>AVERAGE(E10:I10)</f>
        <v>2.75</v>
      </c>
      <c r="K10" s="367">
        <f>D10/(1+((1-'WACC RK'!$F$7)*J10))</f>
        <v>0.41591371941599975</v>
      </c>
    </row>
    <row r="11" spans="2:11">
      <c r="B11" s="16"/>
      <c r="C11" s="368"/>
      <c r="D11" s="16"/>
      <c r="E11" s="16"/>
      <c r="F11" s="16"/>
      <c r="G11" s="16"/>
      <c r="H11" s="16"/>
      <c r="I11" s="16"/>
      <c r="J11" s="367">
        <f>AVERAGE(J6:J10)</f>
        <v>1.3592</v>
      </c>
      <c r="K11" s="367">
        <f>SUMPRODUCT(K6:K10,C6:C10)/SUM(C6:C10)</f>
        <v>0.59450217835944674</v>
      </c>
    </row>
    <row r="13" spans="2:11">
      <c r="B13" s="438" t="s">
        <v>340</v>
      </c>
      <c r="C13" s="439"/>
      <c r="K13" s="369"/>
    </row>
    <row r="14" spans="2:11">
      <c r="B14" s="16" t="s">
        <v>341</v>
      </c>
      <c r="C14" s="367">
        <f>'WACC RK'!D15</f>
        <v>0.69300431152690767</v>
      </c>
    </row>
    <row r="15" spans="2:11">
      <c r="B15" s="16" t="s">
        <v>342</v>
      </c>
      <c r="C15" s="367">
        <f>'WACC RK'!D16</f>
        <v>0.30699568847309239</v>
      </c>
    </row>
    <row r="16" spans="2:11">
      <c r="B16" s="16" t="s">
        <v>343</v>
      </c>
      <c r="C16" s="367">
        <f>C14/C15</f>
        <v>2.2573747369994357</v>
      </c>
    </row>
    <row r="17" spans="2:3">
      <c r="C17" s="369"/>
    </row>
    <row r="19" spans="2:3">
      <c r="B19" s="358" t="s">
        <v>344</v>
      </c>
      <c r="C19" s="370">
        <f>K11*(1+(C16*(1-'WACC RK'!$F$7)))</f>
        <v>1.4675629353484538</v>
      </c>
    </row>
  </sheetData>
  <mergeCells count="7">
    <mergeCell ref="J4:J5"/>
    <mergeCell ref="K4:K5"/>
    <mergeCell ref="B13:C13"/>
    <mergeCell ref="B4:B5"/>
    <mergeCell ref="C4:C5"/>
    <mergeCell ref="D4:D5"/>
    <mergeCell ref="E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96142-455E-47DB-A360-095EC6A029A4}">
  <sheetPr>
    <tabColor theme="7" tint="0.39997558519241921"/>
  </sheetPr>
  <dimension ref="A2:G20"/>
  <sheetViews>
    <sheetView showGridLines="0" topLeftCell="A8" workbookViewId="0">
      <selection activeCell="F20" sqref="F20"/>
    </sheetView>
  </sheetViews>
  <sheetFormatPr defaultRowHeight="15"/>
  <cols>
    <col min="2" max="2" width="43.140625" customWidth="1"/>
    <col min="3" max="3" width="11.7109375" bestFit="1" customWidth="1"/>
    <col min="5" max="5" width="25.85546875" customWidth="1"/>
  </cols>
  <sheetData>
    <row r="2" spans="1:7" ht="18.75">
      <c r="B2" s="348" t="s">
        <v>319</v>
      </c>
      <c r="C2" s="348"/>
      <c r="D2" s="348"/>
      <c r="E2" s="348"/>
      <c r="F2" s="348"/>
    </row>
    <row r="5" spans="1:7">
      <c r="B5" s="442" t="s">
        <v>364</v>
      </c>
      <c r="C5" s="442"/>
      <c r="E5" s="443" t="s">
        <v>363</v>
      </c>
      <c r="F5" s="444"/>
    </row>
    <row r="6" spans="1:7">
      <c r="A6" s="395" t="s">
        <v>362</v>
      </c>
      <c r="B6" s="387" t="s">
        <v>361</v>
      </c>
      <c r="C6" s="386">
        <v>7.3669999999999999E-2</v>
      </c>
      <c r="D6" s="385"/>
      <c r="E6" s="391" t="s">
        <v>360</v>
      </c>
      <c r="F6" s="386">
        <f>[189]Input!C137</f>
        <v>9.5000000000000001E-2</v>
      </c>
    </row>
    <row r="7" spans="1:7" ht="30">
      <c r="A7" s="394" t="s">
        <v>359</v>
      </c>
      <c r="B7" s="393" t="s">
        <v>382</v>
      </c>
      <c r="C7" s="392">
        <v>0.14000000000000001</v>
      </c>
      <c r="D7" s="385"/>
      <c r="E7" s="391" t="s">
        <v>358</v>
      </c>
      <c r="F7" s="386">
        <f>[189]Input!C146</f>
        <v>0.34944000000000003</v>
      </c>
      <c r="G7" t="s">
        <v>357</v>
      </c>
    </row>
    <row r="8" spans="1:7">
      <c r="B8" s="387" t="s">
        <v>356</v>
      </c>
      <c r="C8" s="390">
        <f>'Beta RK'!C19</f>
        <v>1.4675629353484538</v>
      </c>
      <c r="D8" s="385"/>
      <c r="E8" s="389"/>
      <c r="F8" s="388"/>
    </row>
    <row r="9" spans="1:7">
      <c r="B9" s="387" t="s">
        <v>355</v>
      </c>
      <c r="C9" s="386">
        <f>C6+(C7-C6)*C8</f>
        <v>0.17101344950166297</v>
      </c>
      <c r="D9" s="385"/>
      <c r="E9" s="384" t="s">
        <v>354</v>
      </c>
      <c r="F9" s="383">
        <f>F6*(1-F7)</f>
        <v>6.1803200000000003E-2</v>
      </c>
    </row>
    <row r="13" spans="1:7">
      <c r="B13" s="445" t="s">
        <v>353</v>
      </c>
      <c r="C13" s="446"/>
      <c r="D13" s="446"/>
      <c r="E13" s="447"/>
    </row>
    <row r="14" spans="1:7">
      <c r="B14" s="382" t="s">
        <v>352</v>
      </c>
      <c r="C14" s="382" t="s">
        <v>351</v>
      </c>
      <c r="D14" s="382" t="s">
        <v>350</v>
      </c>
      <c r="E14" s="382" t="s">
        <v>349</v>
      </c>
    </row>
    <row r="15" spans="1:7">
      <c r="B15" s="380" t="s">
        <v>348</v>
      </c>
      <c r="C15" s="381">
        <f>[190]Actual!$F$11</f>
        <v>981.55168314209459</v>
      </c>
      <c r="D15" s="378">
        <f>C15/$C$17</f>
        <v>0.69300431152690767</v>
      </c>
      <c r="E15" s="377">
        <f>F9</f>
        <v>6.1803200000000003E-2</v>
      </c>
    </row>
    <row r="16" spans="1:7">
      <c r="B16" s="380" t="s">
        <v>347</v>
      </c>
      <c r="C16" s="379">
        <f>SUM([189]Financials!G38:G39)</f>
        <v>434.82</v>
      </c>
      <c r="D16" s="378">
        <f>C16/$C$17</f>
        <v>0.30699568847309239</v>
      </c>
      <c r="E16" s="377">
        <f>C9</f>
        <v>0.17101344950166297</v>
      </c>
    </row>
    <row r="17" spans="2:5">
      <c r="B17" s="376" t="s">
        <v>75</v>
      </c>
      <c r="C17" s="375">
        <f>SUM(C15:C16)</f>
        <v>1416.3716831420945</v>
      </c>
      <c r="D17" s="374">
        <f>C17/$C$17</f>
        <v>1</v>
      </c>
      <c r="E17" s="373">
        <f>SUMPRODUCT(D15:D16,E15:E16)</f>
        <v>9.5330275734081232E-2</v>
      </c>
    </row>
    <row r="19" spans="2:5">
      <c r="B19" t="s">
        <v>346</v>
      </c>
      <c r="C19" s="372">
        <v>0.03</v>
      </c>
    </row>
    <row r="20" spans="2:5">
      <c r="B20" s="14" t="s">
        <v>345</v>
      </c>
      <c r="C20" s="371">
        <f>E17+C19</f>
        <v>0.12533027573408123</v>
      </c>
    </row>
  </sheetData>
  <mergeCells count="3">
    <mergeCell ref="B5:C5"/>
    <mergeCell ref="E5:F5"/>
    <mergeCell ref="B13:E13"/>
  </mergeCells>
  <hyperlinks>
    <hyperlink ref="A7" r:id="rId1" xr:uid="{F722F1ED-E179-4108-B4E3-5114C42D2BDF}"/>
    <hyperlink ref="A6" r:id="rId2" xr:uid="{659563CB-9E18-44BF-9D95-DE95D1243A7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0A21-4697-43E7-AB34-87F6515A28FD}">
  <sheetPr>
    <tabColor rgb="FF92D050"/>
  </sheetPr>
  <dimension ref="B2:M55"/>
  <sheetViews>
    <sheetView showGridLines="0" tabSelected="1" topLeftCell="A31" zoomScale="90" zoomScaleNormal="90" workbookViewId="0">
      <selection activeCell="I53" sqref="I53"/>
    </sheetView>
  </sheetViews>
  <sheetFormatPr defaultRowHeight="15"/>
  <cols>
    <col min="1" max="1" width="4" customWidth="1"/>
    <col min="2" max="2" width="42.42578125" customWidth="1"/>
    <col min="3" max="3" width="11.42578125" bestFit="1" customWidth="1"/>
    <col min="9" max="9" width="9.7109375" bestFit="1" customWidth="1"/>
  </cols>
  <sheetData>
    <row r="2" spans="2:13" ht="18.75">
      <c r="B2" s="348" t="s">
        <v>319</v>
      </c>
      <c r="C2" s="349"/>
      <c r="D2" s="349"/>
      <c r="E2" s="349"/>
      <c r="F2" s="349"/>
      <c r="G2" s="349"/>
      <c r="H2" s="349"/>
      <c r="I2" s="349"/>
      <c r="J2" s="349"/>
      <c r="K2" s="349"/>
      <c r="L2" s="349"/>
      <c r="M2" s="349"/>
    </row>
    <row r="4" spans="2:13">
      <c r="B4" s="396" t="s">
        <v>365</v>
      </c>
      <c r="C4" s="350"/>
      <c r="D4" s="350"/>
      <c r="E4" s="350"/>
      <c r="F4" s="350"/>
      <c r="G4" s="350"/>
      <c r="H4" s="350"/>
      <c r="I4" s="350"/>
      <c r="J4" s="350"/>
      <c r="K4" s="350"/>
      <c r="L4" s="350"/>
      <c r="M4" s="350"/>
    </row>
    <row r="5" spans="2:13">
      <c r="B5" s="397"/>
    </row>
    <row r="6" spans="2:13">
      <c r="B6" s="350" t="s">
        <v>321</v>
      </c>
      <c r="C6" s="416">
        <f>'Projected P&amp;L RK'!C6</f>
        <v>2023</v>
      </c>
      <c r="D6" s="416">
        <f>'Projected P&amp;L RK'!D6</f>
        <v>2024</v>
      </c>
      <c r="E6" s="416">
        <f>'Projected P&amp;L RK'!E6</f>
        <v>2025</v>
      </c>
      <c r="F6" s="416">
        <f>'Projected P&amp;L RK'!F6</f>
        <v>2026</v>
      </c>
      <c r="G6" s="416">
        <f>'Projected P&amp;L RK'!G6</f>
        <v>2027</v>
      </c>
      <c r="H6" s="416">
        <f>'Projected P&amp;L RK'!H6</f>
        <v>2028</v>
      </c>
      <c r="I6" s="416">
        <f>'Projected P&amp;L RK'!I6</f>
        <v>2029</v>
      </c>
      <c r="J6" s="416">
        <f>'Projected P&amp;L RK'!J6</f>
        <v>2030</v>
      </c>
      <c r="K6" s="416">
        <f>'Projected P&amp;L RK'!K6</f>
        <v>2031</v>
      </c>
      <c r="L6" s="416">
        <f>'Projected P&amp;L RK'!L6</f>
        <v>2032</v>
      </c>
      <c r="M6" s="416">
        <f>'Projected P&amp;L RK'!M6</f>
        <v>2033</v>
      </c>
    </row>
    <row r="7" spans="2:13">
      <c r="B7" t="s">
        <v>366</v>
      </c>
      <c r="C7" s="398">
        <f>Financials!H7</f>
        <v>206.43966</v>
      </c>
      <c r="D7" s="398">
        <f>Financials!I7</f>
        <v>220.55098199999998</v>
      </c>
      <c r="E7" s="398">
        <f>Financials!J7</f>
        <v>232.64707299999998</v>
      </c>
      <c r="F7" s="398">
        <f>Financials!K7</f>
        <v>245.53912099999999</v>
      </c>
      <c r="G7" s="398">
        <f>Financials!L7</f>
        <v>258.5420135</v>
      </c>
      <c r="H7" s="398">
        <f>Financials!M7</f>
        <v>273.51788399999998</v>
      </c>
      <c r="I7" s="398">
        <f>Financials!N7</f>
        <v>286.66697249999999</v>
      </c>
      <c r="J7" s="398">
        <f>Financials!O7</f>
        <v>301.87201349999998</v>
      </c>
      <c r="K7" s="398">
        <f>Financials!P7</f>
        <v>319.12547500000005</v>
      </c>
      <c r="L7" s="398">
        <f>Financials!Q7</f>
        <v>336.39598800000005</v>
      </c>
      <c r="M7" s="398">
        <f>Financials!R7</f>
        <v>353.59101299999998</v>
      </c>
    </row>
    <row r="8" spans="2:13">
      <c r="B8" t="s">
        <v>367</v>
      </c>
      <c r="C8" s="398">
        <f>Financials!H8</f>
        <v>0</v>
      </c>
      <c r="D8" s="398">
        <f>Financials!I8</f>
        <v>0</v>
      </c>
      <c r="E8" s="398">
        <f>Financials!J8</f>
        <v>2.2278876356005939</v>
      </c>
      <c r="F8" s="398">
        <f>Financials!K8</f>
        <v>3.3399579732005908</v>
      </c>
      <c r="G8" s="398">
        <f>Financials!L8</f>
        <v>5.5738430254639608</v>
      </c>
      <c r="H8" s="398">
        <f>Financials!M8</f>
        <v>5.0909736031013582</v>
      </c>
      <c r="I8" s="398">
        <f>Financials!N8</f>
        <v>1.7431447330376919</v>
      </c>
      <c r="J8" s="398">
        <f>Financials!O8</f>
        <v>0.86958835867859074</v>
      </c>
      <c r="K8" s="398">
        <f>Financials!P8</f>
        <v>2.5747057577717607</v>
      </c>
      <c r="L8" s="398">
        <f>Financials!Q8</f>
        <v>4.3248231568649329</v>
      </c>
      <c r="M8" s="398">
        <f>Financials!R8</f>
        <v>2.6197057577717624</v>
      </c>
    </row>
    <row r="9" spans="2:13">
      <c r="B9" s="14" t="s">
        <v>368</v>
      </c>
      <c r="C9" s="399">
        <f>SUM(C7:C8)</f>
        <v>206.43966</v>
      </c>
      <c r="D9" s="399">
        <f t="shared" ref="D9:M9" si="0">SUM(D7:D8)</f>
        <v>220.55098199999998</v>
      </c>
      <c r="E9" s="399">
        <f t="shared" si="0"/>
        <v>234.87496063560056</v>
      </c>
      <c r="F9" s="399">
        <f t="shared" si="0"/>
        <v>248.87907897320059</v>
      </c>
      <c r="G9" s="399">
        <f t="shared" si="0"/>
        <v>264.11585652546398</v>
      </c>
      <c r="H9" s="399">
        <f t="shared" si="0"/>
        <v>278.60885760310134</v>
      </c>
      <c r="I9" s="399">
        <f t="shared" si="0"/>
        <v>288.41011723303768</v>
      </c>
      <c r="J9" s="399">
        <f t="shared" si="0"/>
        <v>302.74160185867856</v>
      </c>
      <c r="K9" s="399">
        <f t="shared" si="0"/>
        <v>321.70018075777182</v>
      </c>
      <c r="L9" s="399">
        <f t="shared" si="0"/>
        <v>340.72081115686495</v>
      </c>
      <c r="M9" s="399">
        <f t="shared" si="0"/>
        <v>356.21071875777176</v>
      </c>
    </row>
    <row r="10" spans="2:13">
      <c r="B10" s="14"/>
      <c r="C10" s="399"/>
      <c r="D10" s="399"/>
      <c r="E10" s="399"/>
      <c r="F10" s="399"/>
      <c r="G10" s="399"/>
      <c r="H10" s="399"/>
      <c r="I10" s="399"/>
      <c r="J10" s="399"/>
      <c r="K10" s="399"/>
      <c r="L10" s="399"/>
      <c r="M10" s="399"/>
    </row>
    <row r="11" spans="2:13">
      <c r="B11" t="s">
        <v>33</v>
      </c>
      <c r="C11" s="398">
        <f>SUM(Financials!H14:H17)</f>
        <v>45.41617489196468</v>
      </c>
      <c r="D11" s="398">
        <f>SUM(Financials!I14:I17)</f>
        <v>48.224861334062915</v>
      </c>
      <c r="E11" s="398">
        <f>SUM(Financials!J14:J17)</f>
        <v>51.227769868016061</v>
      </c>
      <c r="F11" s="398">
        <f>SUM(Financials!K14:K17)</f>
        <v>54.439990375391872</v>
      </c>
      <c r="G11" s="398">
        <f>SUM(Financials!L14:L17)</f>
        <v>57.87790510953397</v>
      </c>
      <c r="H11" s="398">
        <f>SUM(Financials!M14:M17)</f>
        <v>61.559307101920425</v>
      </c>
      <c r="I11" s="398">
        <f>SUM(Financials!N14:N17)</f>
        <v>65.503529867617161</v>
      </c>
      <c r="J11" s="398">
        <f>SUM(Financials!O14:O17)</f>
        <v>69.731589512658829</v>
      </c>
      <c r="K11" s="398">
        <f>SUM(Financials!P14:P17)</f>
        <v>74.266340455118652</v>
      </c>
      <c r="L11" s="398">
        <f>SUM(Financials!Q14:Q17)</f>
        <v>79.132646091384146</v>
      </c>
      <c r="M11" s="398">
        <f>SUM(Financials!R14:R17)</f>
        <v>84.357565870813886</v>
      </c>
    </row>
    <row r="12" spans="2:13">
      <c r="B12" t="s">
        <v>220</v>
      </c>
      <c r="C12" s="398">
        <f>Input!C114</f>
        <v>200</v>
      </c>
      <c r="D12" s="398">
        <f>-FCFF!H11</f>
        <v>1.5</v>
      </c>
      <c r="E12" s="398">
        <f>-FCFF!I11</f>
        <v>1.6861321802701068</v>
      </c>
      <c r="F12" s="398">
        <f>-FCFF!J11</f>
        <v>1.7485815202801107</v>
      </c>
      <c r="G12" s="398">
        <f>-FCFF!K11</f>
        <v>1.4237689515009073</v>
      </c>
      <c r="H12" s="398">
        <f>-FCFF!L11</f>
        <v>92.307064007812514</v>
      </c>
      <c r="I12" s="398">
        <f>-FCFF!M11</f>
        <v>96.922417208203129</v>
      </c>
      <c r="J12" s="398">
        <f>-FCFF!N11</f>
        <v>1.5</v>
      </c>
      <c r="K12" s="398">
        <f>-FCFF!O11</f>
        <v>2.6353106088003768</v>
      </c>
      <c r="L12" s="398">
        <f>-FCFF!P11</f>
        <v>0</v>
      </c>
      <c r="M12" s="398">
        <f>-FCFF!Q11</f>
        <v>117.80980388167846</v>
      </c>
    </row>
    <row r="13" spans="2:13">
      <c r="B13" t="s">
        <v>318</v>
      </c>
      <c r="C13" s="398">
        <f>Input!C128</f>
        <v>43.43</v>
      </c>
      <c r="D13" s="398"/>
      <c r="E13" s="398"/>
      <c r="F13" s="398"/>
      <c r="G13" s="398"/>
      <c r="H13" s="398"/>
      <c r="I13" s="398"/>
      <c r="J13" s="398"/>
      <c r="K13" s="398"/>
      <c r="L13" s="398"/>
      <c r="M13" s="398"/>
    </row>
    <row r="14" spans="2:13">
      <c r="B14" s="14" t="s">
        <v>369</v>
      </c>
      <c r="C14" s="399">
        <f>SUM(C11:C13)</f>
        <v>288.84617489196467</v>
      </c>
      <c r="D14" s="399">
        <f t="shared" ref="D14:M14" si="1">SUM(D11:D13)</f>
        <v>49.724861334062915</v>
      </c>
      <c r="E14" s="399">
        <f t="shared" si="1"/>
        <v>52.913902048286168</v>
      </c>
      <c r="F14" s="399">
        <f t="shared" si="1"/>
        <v>56.188571895671984</v>
      </c>
      <c r="G14" s="399">
        <f t="shared" si="1"/>
        <v>59.301674061034873</v>
      </c>
      <c r="H14" s="399">
        <f t="shared" si="1"/>
        <v>153.86637110973294</v>
      </c>
      <c r="I14" s="399">
        <f t="shared" si="1"/>
        <v>162.42594707582029</v>
      </c>
      <c r="J14" s="399">
        <f t="shared" si="1"/>
        <v>71.231589512658829</v>
      </c>
      <c r="K14" s="399">
        <f t="shared" si="1"/>
        <v>76.901651063919033</v>
      </c>
      <c r="L14" s="399">
        <f t="shared" si="1"/>
        <v>79.132646091384146</v>
      </c>
      <c r="M14" s="399">
        <f t="shared" si="1"/>
        <v>202.16736975249233</v>
      </c>
    </row>
    <row r="15" spans="2:13">
      <c r="B15" s="14"/>
      <c r="C15" s="399"/>
      <c r="D15" s="399"/>
      <c r="E15" s="399"/>
      <c r="F15" s="399"/>
      <c r="G15" s="399"/>
      <c r="H15" s="399"/>
      <c r="I15" s="399"/>
      <c r="J15" s="399"/>
      <c r="K15" s="399"/>
      <c r="L15" s="399"/>
      <c r="M15" s="399"/>
    </row>
    <row r="16" spans="2:13">
      <c r="B16" s="400" t="s">
        <v>322</v>
      </c>
      <c r="C16" s="401">
        <f>C9-C14</f>
        <v>-82.406514891964662</v>
      </c>
      <c r="D16" s="401">
        <f t="shared" ref="D16:M16" si="2">D9-D14</f>
        <v>170.82612066593705</v>
      </c>
      <c r="E16" s="401">
        <f t="shared" si="2"/>
        <v>181.9610585873144</v>
      </c>
      <c r="F16" s="401">
        <f t="shared" si="2"/>
        <v>192.69050707752859</v>
      </c>
      <c r="G16" s="401">
        <f t="shared" si="2"/>
        <v>204.81418246442911</v>
      </c>
      <c r="H16" s="401">
        <f t="shared" si="2"/>
        <v>124.7424864933684</v>
      </c>
      <c r="I16" s="401">
        <f t="shared" si="2"/>
        <v>125.98417015721739</v>
      </c>
      <c r="J16" s="401">
        <f t="shared" si="2"/>
        <v>231.51001234601972</v>
      </c>
      <c r="K16" s="401">
        <f t="shared" si="2"/>
        <v>244.7985296938528</v>
      </c>
      <c r="L16" s="401">
        <f t="shared" si="2"/>
        <v>261.58816506548078</v>
      </c>
      <c r="M16" s="401">
        <f t="shared" si="2"/>
        <v>154.04334900527942</v>
      </c>
    </row>
    <row r="17" spans="2:13">
      <c r="B17" s="385" t="s">
        <v>370</v>
      </c>
      <c r="C17" s="402">
        <f>Financials!H25</f>
        <v>96.457532674718593</v>
      </c>
      <c r="D17" s="402">
        <f>Financials!I25</f>
        <v>103.05095228652415</v>
      </c>
      <c r="E17" s="402">
        <f>Financials!J25</f>
        <v>108.70276886512572</v>
      </c>
      <c r="F17" s="402">
        <f>Financials!K25</f>
        <v>114.72649096001797</v>
      </c>
      <c r="G17" s="402">
        <f>Financials!L25</f>
        <v>120.80200439665414</v>
      </c>
      <c r="H17" s="402">
        <f>Financials!M25</f>
        <v>127.79937843847392</v>
      </c>
      <c r="I17" s="402">
        <f>Financials!N25</f>
        <v>133.94320096575149</v>
      </c>
      <c r="J17" s="402">
        <f>Financials!O25</f>
        <v>141.04765337125309</v>
      </c>
      <c r="K17" s="402">
        <f>Financials!P25</f>
        <v>149.10921637900196</v>
      </c>
      <c r="L17" s="402">
        <f>Financials!Q25</f>
        <v>157.17874658461579</v>
      </c>
      <c r="M17" s="402">
        <f>Financials!R25</f>
        <v>165.21300553359924</v>
      </c>
    </row>
    <row r="18" spans="2:13">
      <c r="B18" s="385"/>
      <c r="C18" s="403"/>
      <c r="D18" s="403"/>
      <c r="E18" s="403"/>
      <c r="F18" s="403"/>
      <c r="G18" s="403"/>
      <c r="H18" s="404"/>
    </row>
    <row r="19" spans="2:13">
      <c r="B19" s="400" t="s">
        <v>323</v>
      </c>
      <c r="C19" s="401">
        <f>C16-C17</f>
        <v>-178.86404756668327</v>
      </c>
      <c r="D19" s="401">
        <f t="shared" ref="D19:M19" si="3">D16-D17</f>
        <v>67.775168379412904</v>
      </c>
      <c r="E19" s="401">
        <f t="shared" si="3"/>
        <v>73.258289722188678</v>
      </c>
      <c r="F19" s="401">
        <f t="shared" si="3"/>
        <v>77.964016117510624</v>
      </c>
      <c r="G19" s="401">
        <f t="shared" si="3"/>
        <v>84.012178067774968</v>
      </c>
      <c r="H19" s="401">
        <f t="shared" si="3"/>
        <v>-3.0568919451055194</v>
      </c>
      <c r="I19" s="401">
        <f t="shared" si="3"/>
        <v>-7.9590308085340951</v>
      </c>
      <c r="J19" s="401">
        <f t="shared" si="3"/>
        <v>90.46235897476663</v>
      </c>
      <c r="K19" s="401">
        <f t="shared" si="3"/>
        <v>95.689313314850835</v>
      </c>
      <c r="L19" s="401">
        <f t="shared" si="3"/>
        <v>104.40941848086499</v>
      </c>
      <c r="M19" s="401">
        <f t="shared" si="3"/>
        <v>-11.16965652831982</v>
      </c>
    </row>
    <row r="20" spans="2:13">
      <c r="B20" s="385" t="s">
        <v>371</v>
      </c>
      <c r="C20" s="405">
        <v>0</v>
      </c>
      <c r="D20" s="405">
        <v>0</v>
      </c>
      <c r="E20" s="405">
        <v>0</v>
      </c>
      <c r="F20" s="405">
        <v>0</v>
      </c>
      <c r="G20" s="405">
        <v>0</v>
      </c>
      <c r="H20" s="406">
        <v>0</v>
      </c>
      <c r="I20" s="406">
        <v>0</v>
      </c>
      <c r="J20" s="406">
        <v>0</v>
      </c>
      <c r="K20" s="406">
        <v>0</v>
      </c>
      <c r="L20" s="406">
        <v>0</v>
      </c>
      <c r="M20" s="406">
        <v>0.34939999999999999</v>
      </c>
    </row>
    <row r="21" spans="2:13">
      <c r="B21" s="385" t="s">
        <v>372</v>
      </c>
      <c r="C21" s="405">
        <f>(1-C20)</f>
        <v>1</v>
      </c>
      <c r="D21" s="405">
        <f t="shared" ref="D21:M21" si="4">(1-D20)</f>
        <v>1</v>
      </c>
      <c r="E21" s="405">
        <f t="shared" si="4"/>
        <v>1</v>
      </c>
      <c r="F21" s="405">
        <f t="shared" si="4"/>
        <v>1</v>
      </c>
      <c r="G21" s="405">
        <f t="shared" si="4"/>
        <v>1</v>
      </c>
      <c r="H21" s="405">
        <f t="shared" si="4"/>
        <v>1</v>
      </c>
      <c r="I21" s="405">
        <f t="shared" si="4"/>
        <v>1</v>
      </c>
      <c r="J21" s="405">
        <f t="shared" si="4"/>
        <v>1</v>
      </c>
      <c r="K21" s="405">
        <f t="shared" si="4"/>
        <v>1</v>
      </c>
      <c r="L21" s="405">
        <f t="shared" si="4"/>
        <v>1</v>
      </c>
      <c r="M21" s="405">
        <f t="shared" si="4"/>
        <v>0.65060000000000007</v>
      </c>
    </row>
    <row r="22" spans="2:13">
      <c r="B22" s="385"/>
      <c r="C22" s="405"/>
      <c r="D22" s="405"/>
      <c r="E22" s="405"/>
      <c r="F22" s="405"/>
      <c r="G22" s="405"/>
      <c r="H22" s="405"/>
      <c r="I22" s="405"/>
      <c r="J22" s="405"/>
      <c r="K22" s="405"/>
      <c r="L22" s="405"/>
      <c r="M22" s="405"/>
    </row>
    <row r="23" spans="2:13">
      <c r="B23" s="400" t="s">
        <v>373</v>
      </c>
      <c r="C23" s="401">
        <f t="shared" ref="C23:M23" si="5">C19*C21</f>
        <v>-178.86404756668327</v>
      </c>
      <c r="D23" s="401">
        <f t="shared" si="5"/>
        <v>67.775168379412904</v>
      </c>
      <c r="E23" s="401">
        <f t="shared" si="5"/>
        <v>73.258289722188678</v>
      </c>
      <c r="F23" s="401">
        <f t="shared" si="5"/>
        <v>77.964016117510624</v>
      </c>
      <c r="G23" s="401">
        <f t="shared" si="5"/>
        <v>84.012178067774968</v>
      </c>
      <c r="H23" s="401">
        <f t="shared" si="5"/>
        <v>-3.0568919451055194</v>
      </c>
      <c r="I23" s="401">
        <f t="shared" si="5"/>
        <v>-7.9590308085340951</v>
      </c>
      <c r="J23" s="401">
        <f t="shared" si="5"/>
        <v>90.46235897476663</v>
      </c>
      <c r="K23" s="401">
        <f t="shared" si="5"/>
        <v>95.689313314850835</v>
      </c>
      <c r="L23" s="401">
        <f t="shared" si="5"/>
        <v>104.40941848086499</v>
      </c>
      <c r="M23" s="401">
        <f t="shared" si="5"/>
        <v>-7.2669785373248752</v>
      </c>
    </row>
    <row r="24" spans="2:13">
      <c r="B24" s="385"/>
      <c r="C24" s="403"/>
      <c r="D24" s="403"/>
      <c r="E24" s="403"/>
      <c r="F24" s="403"/>
      <c r="G24" s="403"/>
    </row>
    <row r="25" spans="2:13">
      <c r="B25" s="385" t="s">
        <v>374</v>
      </c>
      <c r="C25" s="402">
        <f>C17</f>
        <v>96.457532674718593</v>
      </c>
      <c r="D25" s="402">
        <f t="shared" ref="D25:M25" si="6">D17</f>
        <v>103.05095228652415</v>
      </c>
      <c r="E25" s="402">
        <f t="shared" si="6"/>
        <v>108.70276886512572</v>
      </c>
      <c r="F25" s="402">
        <f t="shared" si="6"/>
        <v>114.72649096001797</v>
      </c>
      <c r="G25" s="402">
        <f t="shared" si="6"/>
        <v>120.80200439665414</v>
      </c>
      <c r="H25" s="402">
        <f t="shared" si="6"/>
        <v>127.79937843847392</v>
      </c>
      <c r="I25" s="402">
        <f t="shared" si="6"/>
        <v>133.94320096575149</v>
      </c>
      <c r="J25" s="402">
        <f t="shared" si="6"/>
        <v>141.04765337125309</v>
      </c>
      <c r="K25" s="402">
        <f t="shared" si="6"/>
        <v>149.10921637900196</v>
      </c>
      <c r="L25" s="402">
        <f t="shared" si="6"/>
        <v>157.17874658461579</v>
      </c>
      <c r="M25" s="402">
        <f t="shared" si="6"/>
        <v>165.21300553359924</v>
      </c>
    </row>
    <row r="26" spans="2:13">
      <c r="B26" s="385"/>
      <c r="C26" s="402"/>
      <c r="D26" s="403"/>
      <c r="E26" s="403"/>
      <c r="F26" s="403"/>
      <c r="G26" s="403"/>
      <c r="H26" s="404"/>
    </row>
    <row r="27" spans="2:13">
      <c r="B27" s="385" t="s">
        <v>375</v>
      </c>
      <c r="C27" s="402">
        <f>-FCFF!G13</f>
        <v>34.844269177000001</v>
      </c>
      <c r="D27" s="402">
        <f>-FCFF!H13</f>
        <v>0</v>
      </c>
      <c r="E27" s="402">
        <f>-FCFF!I13</f>
        <v>0</v>
      </c>
      <c r="F27" s="402">
        <f>-FCFF!J13</f>
        <v>0</v>
      </c>
      <c r="G27" s="402">
        <f>-FCFF!K13</f>
        <v>0</v>
      </c>
      <c r="H27" s="402">
        <f>-FCFF!L13</f>
        <v>0</v>
      </c>
      <c r="I27" s="402">
        <f>-FCFF!M13</f>
        <v>0</v>
      </c>
      <c r="J27" s="402">
        <f>-FCFF!N13</f>
        <v>0</v>
      </c>
      <c r="K27" s="402">
        <f>-FCFF!O13</f>
        <v>0</v>
      </c>
      <c r="L27" s="402">
        <f>-FCFF!P13</f>
        <v>0</v>
      </c>
      <c r="M27" s="402">
        <f>-FCFF!Q13</f>
        <v>9.9161544920000075</v>
      </c>
    </row>
    <row r="28" spans="2:13">
      <c r="B28" s="385"/>
      <c r="C28" s="403"/>
      <c r="D28" s="403"/>
      <c r="E28" s="403"/>
      <c r="F28" s="403"/>
      <c r="G28" s="403"/>
      <c r="H28" s="404"/>
    </row>
    <row r="29" spans="2:13">
      <c r="B29" s="385" t="s">
        <v>376</v>
      </c>
      <c r="C29" s="402">
        <v>0</v>
      </c>
      <c r="D29" s="402">
        <v>0</v>
      </c>
      <c r="E29" s="402">
        <v>0</v>
      </c>
      <c r="F29" s="402">
        <v>0</v>
      </c>
      <c r="G29" s="402">
        <v>0</v>
      </c>
      <c r="H29" s="402">
        <v>0</v>
      </c>
      <c r="I29" s="402">
        <v>0</v>
      </c>
      <c r="J29" s="402">
        <v>0</v>
      </c>
      <c r="K29" s="402">
        <v>0</v>
      </c>
      <c r="L29" s="402">
        <v>0</v>
      </c>
      <c r="M29" s="402">
        <v>0</v>
      </c>
    </row>
    <row r="30" spans="2:13">
      <c r="B30" s="385"/>
      <c r="C30" s="403"/>
      <c r="D30" s="403"/>
      <c r="E30" s="403"/>
      <c r="F30" s="403"/>
      <c r="G30" s="403"/>
      <c r="H30" s="404"/>
    </row>
    <row r="31" spans="2:13">
      <c r="B31" s="407" t="s">
        <v>383</v>
      </c>
      <c r="C31" s="408">
        <f>C23+C25-C27-C29</f>
        <v>-117.25078406896468</v>
      </c>
      <c r="D31" s="408">
        <f t="shared" ref="D31:M31" si="7">D23+D25-D27-D29</f>
        <v>170.82612066593705</v>
      </c>
      <c r="E31" s="408">
        <f t="shared" si="7"/>
        <v>181.9610585873144</v>
      </c>
      <c r="F31" s="408">
        <f t="shared" si="7"/>
        <v>192.69050707752859</v>
      </c>
      <c r="G31" s="408">
        <f t="shared" si="7"/>
        <v>204.81418246442911</v>
      </c>
      <c r="H31" s="408">
        <f t="shared" si="7"/>
        <v>124.7424864933684</v>
      </c>
      <c r="I31" s="408">
        <f t="shared" si="7"/>
        <v>125.98417015721739</v>
      </c>
      <c r="J31" s="408">
        <f t="shared" si="7"/>
        <v>231.51001234601972</v>
      </c>
      <c r="K31" s="408">
        <f t="shared" si="7"/>
        <v>244.7985296938528</v>
      </c>
      <c r="L31" s="408">
        <f t="shared" si="7"/>
        <v>261.58816506548078</v>
      </c>
      <c r="M31" s="408">
        <f t="shared" si="7"/>
        <v>148.02987250427435</v>
      </c>
    </row>
    <row r="33" spans="2:13">
      <c r="B33" s="400" t="s">
        <v>377</v>
      </c>
      <c r="C33" s="409">
        <f>I53</f>
        <v>0.12533027573408123</v>
      </c>
      <c r="D33" s="385"/>
      <c r="E33" s="385"/>
      <c r="F33" s="385"/>
      <c r="G33" s="385"/>
    </row>
    <row r="34" spans="2:13">
      <c r="B34" s="385"/>
      <c r="C34" s="385"/>
      <c r="D34" s="385"/>
      <c r="E34" s="385"/>
      <c r="F34" s="385"/>
      <c r="G34" s="385"/>
    </row>
    <row r="35" spans="2:13">
      <c r="B35" s="385"/>
      <c r="C35" s="385"/>
      <c r="D35" s="385"/>
      <c r="E35" s="385"/>
      <c r="F35" s="385"/>
      <c r="G35" s="385"/>
      <c r="H35" s="418"/>
      <c r="I35" s="418"/>
      <c r="J35" s="418"/>
      <c r="K35" s="418"/>
      <c r="L35" s="418"/>
      <c r="M35" s="418"/>
    </row>
    <row r="36" spans="2:13">
      <c r="B36" s="385" t="s">
        <v>378</v>
      </c>
      <c r="C36" s="419">
        <f>8/12</f>
        <v>0.66666666666666663</v>
      </c>
      <c r="D36" s="402">
        <f>C36+1</f>
        <v>1.6666666666666665</v>
      </c>
      <c r="E36" s="402">
        <f t="shared" ref="E36:M36" si="8">D36+1</f>
        <v>2.6666666666666665</v>
      </c>
      <c r="F36" s="402">
        <f t="shared" si="8"/>
        <v>3.6666666666666665</v>
      </c>
      <c r="G36" s="402">
        <f t="shared" si="8"/>
        <v>4.6666666666666661</v>
      </c>
      <c r="H36" s="402">
        <f t="shared" si="8"/>
        <v>5.6666666666666661</v>
      </c>
      <c r="I36" s="402">
        <f t="shared" si="8"/>
        <v>6.6666666666666661</v>
      </c>
      <c r="J36" s="402">
        <f t="shared" si="8"/>
        <v>7.6666666666666661</v>
      </c>
      <c r="K36" s="402">
        <f t="shared" si="8"/>
        <v>8.6666666666666661</v>
      </c>
      <c r="L36" s="402">
        <f t="shared" si="8"/>
        <v>9.6666666666666661</v>
      </c>
      <c r="M36" s="402">
        <f t="shared" si="8"/>
        <v>10.666666666666666</v>
      </c>
    </row>
    <row r="37" spans="2:13">
      <c r="B37" s="385"/>
      <c r="C37" s="385"/>
      <c r="D37" s="385"/>
      <c r="E37" s="385"/>
      <c r="F37" s="385"/>
      <c r="G37" s="385"/>
      <c r="H37" s="418"/>
      <c r="I37" s="418"/>
      <c r="J37" s="418"/>
      <c r="K37" s="418"/>
      <c r="L37" s="418"/>
      <c r="M37" s="418"/>
    </row>
    <row r="38" spans="2:13">
      <c r="B38" s="385" t="s">
        <v>379</v>
      </c>
      <c r="C38" s="402">
        <f>1/(1+$C$33)^C36</f>
        <v>0.92430080479830867</v>
      </c>
      <c r="D38" s="402">
        <f t="shared" ref="D38:M38" si="9">1/(1+$C$33)^D36</f>
        <v>0.8213595819195072</v>
      </c>
      <c r="E38" s="402">
        <f t="shared" si="9"/>
        <v>0.72988312820759538</v>
      </c>
      <c r="F38" s="402">
        <f t="shared" si="9"/>
        <v>0.64859458946972193</v>
      </c>
      <c r="G38" s="402">
        <f t="shared" si="9"/>
        <v>0.57635931730942491</v>
      </c>
      <c r="H38" s="402">
        <f t="shared" si="9"/>
        <v>0.51216903138365422</v>
      </c>
      <c r="I38" s="402">
        <f t="shared" si="9"/>
        <v>0.45512774554079549</v>
      </c>
      <c r="J38" s="402">
        <f t="shared" si="9"/>
        <v>0.40443926139275349</v>
      </c>
      <c r="K38" s="402">
        <f t="shared" si="9"/>
        <v>0.35939605475283926</v>
      </c>
      <c r="L38" s="402">
        <f t="shared" si="9"/>
        <v>0.31936939981322021</v>
      </c>
      <c r="M38" s="402">
        <f t="shared" si="9"/>
        <v>0.28380059321241269</v>
      </c>
    </row>
    <row r="39" spans="2:13">
      <c r="B39" s="385"/>
      <c r="C39" s="402"/>
      <c r="D39" s="402"/>
      <c r="E39" s="402"/>
      <c r="F39" s="402"/>
      <c r="G39" s="402"/>
    </row>
    <row r="40" spans="2:13">
      <c r="B40" s="400" t="s">
        <v>380</v>
      </c>
      <c r="C40" s="420">
        <f t="shared" ref="C40:M40" si="10">C38*C31</f>
        <v>-108.37499407817675</v>
      </c>
      <c r="D40" s="420">
        <f t="shared" si="10"/>
        <v>140.30967105110534</v>
      </c>
      <c r="E40" s="420">
        <f t="shared" si="10"/>
        <v>132.81030665367456</v>
      </c>
      <c r="F40" s="420">
        <f t="shared" si="10"/>
        <v>124.97802033266221</v>
      </c>
      <c r="G40" s="420">
        <f t="shared" si="10"/>
        <v>118.04656238048635</v>
      </c>
      <c r="H40" s="420">
        <f t="shared" si="10"/>
        <v>63.889238479697063</v>
      </c>
      <c r="I40" s="420">
        <f t="shared" si="10"/>
        <v>57.338891337482316</v>
      </c>
      <c r="J40" s="420">
        <f t="shared" si="10"/>
        <v>93.631738398251457</v>
      </c>
      <c r="K40" s="420">
        <f t="shared" si="10"/>
        <v>87.979625781266463</v>
      </c>
      <c r="L40" s="420">
        <f t="shared" si="10"/>
        <v>83.543255275204174</v>
      </c>
      <c r="M40" s="420">
        <f t="shared" si="10"/>
        <v>42.010965629870881</v>
      </c>
    </row>
    <row r="41" spans="2:13">
      <c r="B41" s="385"/>
      <c r="C41" s="385"/>
      <c r="D41" s="385"/>
      <c r="E41" s="385"/>
      <c r="F41" s="385"/>
      <c r="G41" s="385"/>
    </row>
    <row r="42" spans="2:13">
      <c r="B42" s="385"/>
      <c r="C42" s="385"/>
      <c r="D42" s="385"/>
      <c r="E42" s="385"/>
      <c r="F42" s="385"/>
      <c r="G42" s="385"/>
    </row>
    <row r="43" spans="2:13" ht="18.75">
      <c r="B43" s="411" t="s">
        <v>381</v>
      </c>
      <c r="C43" s="412">
        <f>SUM(C40:M40)</f>
        <v>836.16328124152403</v>
      </c>
      <c r="D43" s="413" t="s">
        <v>384</v>
      </c>
      <c r="E43" s="410"/>
      <c r="F43" s="411" t="s">
        <v>385</v>
      </c>
      <c r="G43" s="410"/>
      <c r="H43" s="410"/>
      <c r="I43" s="410"/>
      <c r="J43" s="410"/>
      <c r="K43" s="410"/>
      <c r="L43" s="410"/>
      <c r="M43" s="410"/>
    </row>
    <row r="45" spans="2:13" ht="15.75">
      <c r="B45" s="414" t="s">
        <v>389</v>
      </c>
      <c r="C45" s="415"/>
      <c r="D45" s="415"/>
      <c r="E45" s="415"/>
      <c r="F45" s="415"/>
      <c r="G45" s="415"/>
      <c r="H45" s="415"/>
      <c r="I45" s="415"/>
      <c r="J45" s="415"/>
      <c r="K45" s="415"/>
      <c r="L45" s="415"/>
      <c r="M45" s="415"/>
    </row>
    <row r="47" spans="2:13">
      <c r="B47" s="448" t="s">
        <v>390</v>
      </c>
      <c r="C47" s="448"/>
    </row>
    <row r="48" spans="2:13">
      <c r="B48" s="17" t="s">
        <v>386</v>
      </c>
      <c r="C48" s="421">
        <v>44770</v>
      </c>
    </row>
    <row r="49" spans="2:9">
      <c r="B49" s="17" t="s">
        <v>387</v>
      </c>
      <c r="C49" s="422">
        <f>'WACC RK'!C20</f>
        <v>0.12533027573408123</v>
      </c>
    </row>
    <row r="50" spans="2:9">
      <c r="B50" s="17" t="s">
        <v>388</v>
      </c>
      <c r="C50" s="423">
        <v>0.01</v>
      </c>
    </row>
    <row r="52" spans="2:9" ht="30.75" thickBot="1">
      <c r="B52" s="424" t="s">
        <v>391</v>
      </c>
      <c r="C52" s="424" t="s">
        <v>387</v>
      </c>
      <c r="D52" s="424" t="s">
        <v>392</v>
      </c>
    </row>
    <row r="53" spans="2:9" ht="16.5" thickBot="1">
      <c r="B53" s="17" t="s">
        <v>393</v>
      </c>
      <c r="C53" s="425">
        <f>C54-C50</f>
        <v>0.11533027573408124</v>
      </c>
      <c r="D53" s="426">
        <v>882.26</v>
      </c>
      <c r="G53" s="449" t="s">
        <v>387</v>
      </c>
      <c r="H53" s="449"/>
      <c r="I53" s="417">
        <v>0.12533027573408123</v>
      </c>
    </row>
    <row r="54" spans="2:9">
      <c r="B54" s="17" t="s">
        <v>394</v>
      </c>
      <c r="C54" s="427">
        <f>C49</f>
        <v>0.12533027573408123</v>
      </c>
      <c r="D54" s="428">
        <v>836.16</v>
      </c>
    </row>
    <row r="55" spans="2:9">
      <c r="B55" s="17" t="s">
        <v>395</v>
      </c>
      <c r="C55" s="425">
        <f>C54+C50</f>
        <v>0.13533027573408124</v>
      </c>
      <c r="D55" s="426">
        <v>793.21</v>
      </c>
    </row>
  </sheetData>
  <dataConsolidate/>
  <mergeCells count="2">
    <mergeCell ref="B47:C47"/>
    <mergeCell ref="G53:H53"/>
  </mergeCells>
  <dataValidations count="1">
    <dataValidation type="list" allowBlank="1" showInputMessage="1" showErrorMessage="1" sqref="I53" xr:uid="{288E691B-1296-4F34-B6E0-AB45A4E0FFF9}">
      <formula1>$C$53:$C$55</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49"/>
  <sheetViews>
    <sheetView showGridLines="0" topLeftCell="A131" workbookViewId="0">
      <selection activeCell="B114" sqref="B114:C124"/>
    </sheetView>
  </sheetViews>
  <sheetFormatPr defaultColWidth="9.140625" defaultRowHeight="13.5" outlineLevelRow="1"/>
  <cols>
    <col min="1" max="1" width="4.7109375" style="1" customWidth="1"/>
    <col min="2" max="2" width="33.28515625" style="1" customWidth="1"/>
    <col min="3" max="3" width="17" style="1" customWidth="1"/>
    <col min="4" max="4" width="19.42578125" style="1" customWidth="1"/>
    <col min="5" max="5" width="14.140625" style="1" bestFit="1" customWidth="1"/>
    <col min="6" max="6" width="10.5703125" style="1" customWidth="1"/>
    <col min="7" max="20" width="9.140625" style="1"/>
    <col min="21" max="39" width="9.140625" style="1" customWidth="1"/>
    <col min="40" max="16384" width="9.140625" style="1"/>
  </cols>
  <sheetData>
    <row r="1" spans="2:8" ht="21" customHeight="1" thickBot="1">
      <c r="B1" s="431" t="str">
        <f>Cover!B11</f>
        <v>Surat Hazira NH-6 Tollway Private Limited</v>
      </c>
      <c r="C1" s="432"/>
      <c r="D1" s="432"/>
      <c r="E1" s="433"/>
    </row>
    <row r="3" spans="2:8" s="88" customFormat="1" ht="15">
      <c r="B3" s="89" t="s">
        <v>0</v>
      </c>
    </row>
    <row r="4" spans="2:8">
      <c r="B4" s="154" t="s">
        <v>1</v>
      </c>
      <c r="C4" s="161">
        <v>4</v>
      </c>
      <c r="D4" s="150"/>
      <c r="E4" s="150"/>
      <c r="F4" s="150"/>
    </row>
    <row r="5" spans="2:8">
      <c r="B5" s="154" t="s">
        <v>2</v>
      </c>
      <c r="C5" s="162" t="s">
        <v>5</v>
      </c>
      <c r="D5" s="150"/>
      <c r="E5" s="150"/>
      <c r="F5" s="150"/>
    </row>
    <row r="6" spans="2:8">
      <c r="B6" s="154" t="s">
        <v>13</v>
      </c>
      <c r="C6" s="286">
        <v>1509.1</v>
      </c>
      <c r="D6" s="150"/>
      <c r="E6" s="150"/>
      <c r="F6" s="150"/>
    </row>
    <row r="7" spans="2:8">
      <c r="B7" s="154" t="s">
        <v>3</v>
      </c>
      <c r="C7" s="163">
        <v>103</v>
      </c>
      <c r="D7" s="164" t="s">
        <v>276</v>
      </c>
      <c r="E7" s="163">
        <v>29.1</v>
      </c>
      <c r="F7" s="165" t="s">
        <v>276</v>
      </c>
    </row>
    <row r="8" spans="2:8">
      <c r="B8" s="154" t="s">
        <v>6</v>
      </c>
      <c r="C8" s="163">
        <f>C7+E7-0.6</f>
        <v>131.5</v>
      </c>
      <c r="D8" s="164"/>
      <c r="E8" s="163"/>
      <c r="F8" s="165"/>
    </row>
    <row r="9" spans="2:8">
      <c r="B9" s="154" t="s">
        <v>4</v>
      </c>
      <c r="C9" s="166">
        <v>2</v>
      </c>
      <c r="D9" s="150"/>
      <c r="E9" s="150"/>
      <c r="F9" s="150"/>
    </row>
    <row r="10" spans="2:8">
      <c r="B10" s="90"/>
      <c r="C10" s="91"/>
    </row>
    <row r="11" spans="2:8" s="88" customFormat="1" ht="15">
      <c r="B11" s="89" t="s">
        <v>7</v>
      </c>
      <c r="C11" s="92" t="s">
        <v>15</v>
      </c>
      <c r="D11" s="92" t="s">
        <v>16</v>
      </c>
      <c r="E11" s="88" t="s">
        <v>279</v>
      </c>
      <c r="F11" s="88" t="s">
        <v>280</v>
      </c>
      <c r="G11" s="88" t="s">
        <v>281</v>
      </c>
      <c r="H11" s="101" t="s">
        <v>6</v>
      </c>
    </row>
    <row r="12" spans="2:8">
      <c r="B12" s="154" t="s">
        <v>277</v>
      </c>
      <c r="C12" s="163">
        <v>74.8</v>
      </c>
      <c r="D12" s="163">
        <v>52.469999999999992</v>
      </c>
      <c r="E12" s="163">
        <v>5.3</v>
      </c>
      <c r="F12" s="163">
        <v>11.23</v>
      </c>
      <c r="G12" s="163">
        <v>0</v>
      </c>
      <c r="H12" s="163">
        <f>SUM(D12:G12)</f>
        <v>68.999999999999986</v>
      </c>
    </row>
    <row r="13" spans="2:8">
      <c r="B13" s="154" t="s">
        <v>278</v>
      </c>
      <c r="C13" s="163">
        <v>5.45</v>
      </c>
      <c r="D13" s="163">
        <v>61.34</v>
      </c>
      <c r="E13" s="163">
        <v>0</v>
      </c>
      <c r="F13" s="163">
        <v>0</v>
      </c>
      <c r="G13" s="163">
        <v>1.1599999999999999</v>
      </c>
      <c r="H13" s="163">
        <f>SUM(D13:G13)</f>
        <v>62.5</v>
      </c>
    </row>
    <row r="14" spans="2:8">
      <c r="B14" s="90"/>
      <c r="C14" s="298"/>
      <c r="D14" s="298"/>
    </row>
    <row r="16" spans="2:8" s="88" customFormat="1" ht="15">
      <c r="B16" s="89" t="s">
        <v>8</v>
      </c>
      <c r="C16" s="93" t="s">
        <v>18</v>
      </c>
      <c r="D16" s="93" t="s">
        <v>27</v>
      </c>
      <c r="E16" s="93" t="s">
        <v>28</v>
      </c>
    </row>
    <row r="17" spans="2:5">
      <c r="B17" s="154" t="s">
        <v>9</v>
      </c>
      <c r="C17" s="167">
        <v>39862</v>
      </c>
      <c r="D17" s="150">
        <f>EOMONTH(DATE(YEAR(C17),CEILING(MONTH(C17),3),1),0)</f>
        <v>39903</v>
      </c>
      <c r="E17" s="150">
        <f>DATE(IF(MONTH(C17)&lt;=3,YEAR(C17),(YEAR(C17)+1)),3,31)</f>
        <v>39903</v>
      </c>
    </row>
    <row r="18" spans="2:5">
      <c r="B18" s="154" t="s">
        <v>10</v>
      </c>
      <c r="C18" s="167">
        <v>39951</v>
      </c>
      <c r="D18" s="150">
        <f t="shared" ref="D18:D25" si="0">EOMONTH(DATE(YEAR(C18),CEILING(MONTH(C18),3),1),0)</f>
        <v>39994</v>
      </c>
      <c r="E18" s="150">
        <f>DATE(IF(MONTH(C18)&lt;=3,YEAR(C18),(YEAR(C18)+1)),3,31)</f>
        <v>40268</v>
      </c>
    </row>
    <row r="19" spans="2:5">
      <c r="B19" s="154" t="s">
        <v>11</v>
      </c>
      <c r="C19" s="167">
        <v>40268</v>
      </c>
      <c r="D19" s="150">
        <f t="shared" si="0"/>
        <v>40268</v>
      </c>
      <c r="E19" s="150">
        <f>DATE(IF(MONTH(C19)&lt;=3,YEAR(C19),(YEAR(C19)+1)),3,31)</f>
        <v>40268</v>
      </c>
    </row>
    <row r="20" spans="2:5">
      <c r="B20" s="154" t="s">
        <v>12</v>
      </c>
      <c r="C20" s="167">
        <f>C19</f>
        <v>40268</v>
      </c>
      <c r="D20" s="150">
        <f t="shared" si="0"/>
        <v>40268</v>
      </c>
      <c r="E20" s="150">
        <f>DATE(IF(MONTH(C20)&lt;=3,YEAR(C20),(YEAR(C20)+1)),3,31)</f>
        <v>40268</v>
      </c>
    </row>
    <row r="21" spans="2:5">
      <c r="B21" s="154" t="s">
        <v>14</v>
      </c>
      <c r="C21" s="285">
        <v>19</v>
      </c>
      <c r="D21" s="150"/>
      <c r="E21" s="150"/>
    </row>
    <row r="22" spans="2:5">
      <c r="B22" s="154" t="s">
        <v>282</v>
      </c>
      <c r="C22" s="285">
        <f>3.8+3/12</f>
        <v>4.05</v>
      </c>
      <c r="D22" s="150"/>
      <c r="E22" s="150"/>
    </row>
    <row r="23" spans="2:5">
      <c r="B23" s="154" t="s">
        <v>17</v>
      </c>
      <c r="C23" s="150">
        <f>C19 + (C21+C22) * 365.25-1</f>
        <v>48686.012499999997</v>
      </c>
      <c r="D23" s="150">
        <f t="shared" si="0"/>
        <v>48760</v>
      </c>
      <c r="E23" s="150">
        <f>DATE(IF(MONTH(C23)&lt;=3,YEAR(C23),(YEAR(C23)+1)),3,31)</f>
        <v>49034</v>
      </c>
    </row>
    <row r="24" spans="2:5">
      <c r="B24" s="154" t="s">
        <v>22</v>
      </c>
      <c r="C24" s="150">
        <f>C19+910</f>
        <v>41178</v>
      </c>
      <c r="D24" s="150">
        <f t="shared" si="0"/>
        <v>41182</v>
      </c>
      <c r="E24" s="150">
        <f>DATE(IF(MONTH(C24)&lt;=3,YEAR(C24),(YEAR(C24)+1)),3,31)</f>
        <v>41364</v>
      </c>
    </row>
    <row r="25" spans="2:5">
      <c r="B25" s="154" t="s">
        <v>19</v>
      </c>
      <c r="C25" s="167">
        <v>42235</v>
      </c>
      <c r="D25" s="150">
        <f t="shared" si="0"/>
        <v>42277</v>
      </c>
      <c r="E25" s="150">
        <f>DATE(IF(MONTH(C25)&lt;=3,YEAR(C25),(YEAR(C25)+1)),3,31)</f>
        <v>42460</v>
      </c>
    </row>
    <row r="26" spans="2:5">
      <c r="B26" s="154" t="s">
        <v>20</v>
      </c>
      <c r="C26" s="168">
        <v>117.4</v>
      </c>
      <c r="D26" s="150"/>
      <c r="E26" s="150"/>
    </row>
    <row r="27" spans="2:5" hidden="1">
      <c r="B27" s="154" t="s">
        <v>268</v>
      </c>
      <c r="C27" s="169"/>
      <c r="D27" s="170"/>
      <c r="E27" s="170"/>
    </row>
    <row r="28" spans="2:5">
      <c r="B28" s="154" t="s">
        <v>199</v>
      </c>
      <c r="C28" s="171" t="s">
        <v>248</v>
      </c>
      <c r="D28" s="150"/>
      <c r="E28" s="150"/>
    </row>
    <row r="29" spans="2:5">
      <c r="B29" s="154" t="s">
        <v>255</v>
      </c>
      <c r="C29" s="168">
        <v>0</v>
      </c>
      <c r="D29" s="150"/>
      <c r="E29" s="150"/>
    </row>
    <row r="30" spans="2:5">
      <c r="B30" s="154" t="s">
        <v>21</v>
      </c>
      <c r="C30" s="168">
        <f>IF(C28="Yes",C8-C29,C8)</f>
        <v>131.5</v>
      </c>
      <c r="D30" s="150"/>
      <c r="E30" s="150"/>
    </row>
    <row r="31" spans="2:5">
      <c r="B31" s="154"/>
      <c r="C31" s="150"/>
      <c r="D31" s="150"/>
      <c r="E31" s="150"/>
    </row>
    <row r="32" spans="2:5" ht="15">
      <c r="D32" s="94"/>
    </row>
    <row r="33" spans="2:6" s="88" customFormat="1" ht="15">
      <c r="B33" s="89" t="s">
        <v>243</v>
      </c>
      <c r="C33" s="95"/>
    </row>
    <row r="34" spans="2:6" outlineLevel="1">
      <c r="C34" s="72"/>
    </row>
    <row r="35" spans="2:6" ht="15" outlineLevel="1">
      <c r="B35" s="172" t="s">
        <v>137</v>
      </c>
      <c r="C35" s="172"/>
      <c r="D35" s="150"/>
    </row>
    <row r="36" spans="2:6" ht="15" outlineLevel="1">
      <c r="B36" s="156" t="s">
        <v>138</v>
      </c>
      <c r="C36" s="173">
        <v>39453</v>
      </c>
      <c r="D36" s="150"/>
    </row>
    <row r="37" spans="2:6" outlineLevel="1">
      <c r="B37" s="174" t="s">
        <v>139</v>
      </c>
      <c r="C37" s="175">
        <v>5</v>
      </c>
      <c r="D37" s="174" t="s">
        <v>140</v>
      </c>
    </row>
    <row r="38" spans="2:6" outlineLevel="1">
      <c r="B38" s="174" t="s">
        <v>141</v>
      </c>
      <c r="C38" s="175">
        <v>1.5</v>
      </c>
      <c r="D38" s="174" t="s">
        <v>142</v>
      </c>
    </row>
    <row r="39" spans="2:6" outlineLevel="1">
      <c r="B39" s="174" t="s">
        <v>145</v>
      </c>
      <c r="C39" s="175">
        <f>2/3*50</f>
        <v>33.333333333333329</v>
      </c>
      <c r="D39" s="174" t="s">
        <v>146</v>
      </c>
    </row>
    <row r="40" spans="2:6" outlineLevel="1">
      <c r="B40" s="174" t="s">
        <v>143</v>
      </c>
      <c r="C40" s="176">
        <v>150</v>
      </c>
      <c r="D40" s="174" t="s">
        <v>144</v>
      </c>
    </row>
    <row r="41" spans="2:6" outlineLevel="1"/>
    <row r="42" spans="2:6" ht="15" outlineLevel="1">
      <c r="B42" s="177" t="s">
        <v>147</v>
      </c>
      <c r="C42" s="178" t="s">
        <v>148</v>
      </c>
      <c r="D42" s="178" t="s">
        <v>279</v>
      </c>
      <c r="E42" s="178" t="s">
        <v>280</v>
      </c>
      <c r="F42" s="178" t="s">
        <v>281</v>
      </c>
    </row>
    <row r="43" spans="2:6" outlineLevel="1">
      <c r="B43" s="179" t="s">
        <v>149</v>
      </c>
      <c r="C43" s="180">
        <v>0.65</v>
      </c>
      <c r="D43" s="180">
        <v>17</v>
      </c>
      <c r="E43" s="180">
        <v>25.75</v>
      </c>
      <c r="F43" s="180">
        <v>20</v>
      </c>
    </row>
    <row r="44" spans="2:6" outlineLevel="1">
      <c r="B44" s="179" t="s">
        <v>150</v>
      </c>
      <c r="C44" s="180">
        <v>1.05</v>
      </c>
      <c r="D44" s="180">
        <v>25.5</v>
      </c>
      <c r="E44" s="180">
        <v>38.75</v>
      </c>
      <c r="F44" s="180">
        <v>30</v>
      </c>
    </row>
    <row r="45" spans="2:6" outlineLevel="1">
      <c r="B45" s="179" t="s">
        <v>259</v>
      </c>
      <c r="C45" s="180">
        <v>2.2000000000000002</v>
      </c>
      <c r="D45" s="180">
        <v>51</v>
      </c>
      <c r="E45" s="180">
        <v>77.25</v>
      </c>
      <c r="F45" s="180">
        <v>60</v>
      </c>
    </row>
    <row r="46" spans="2:6" outlineLevel="1">
      <c r="B46" s="179" t="s">
        <v>260</v>
      </c>
      <c r="C46" s="180">
        <v>2.2000000000000002</v>
      </c>
      <c r="D46" s="180">
        <v>51</v>
      </c>
      <c r="E46" s="180">
        <v>77.25</v>
      </c>
      <c r="F46" s="180">
        <v>60</v>
      </c>
    </row>
    <row r="47" spans="2:6" outlineLevel="1">
      <c r="B47" s="179" t="s">
        <v>152</v>
      </c>
      <c r="C47" s="180">
        <v>3.45</v>
      </c>
      <c r="D47" s="180">
        <v>76</v>
      </c>
      <c r="E47" s="180">
        <v>115.5</v>
      </c>
      <c r="F47" s="180">
        <v>89.5</v>
      </c>
    </row>
    <row r="48" spans="2:6" outlineLevel="1">
      <c r="B48" s="179" t="s">
        <v>153</v>
      </c>
      <c r="C48" s="180">
        <v>4.2</v>
      </c>
      <c r="D48" s="180">
        <v>102</v>
      </c>
      <c r="E48" s="180">
        <v>154.5</v>
      </c>
      <c r="F48" s="180">
        <v>120</v>
      </c>
    </row>
    <row r="49" spans="2:29" outlineLevel="1"/>
    <row r="50" spans="2:29" ht="15" outlineLevel="1">
      <c r="B50" s="156" t="s">
        <v>157</v>
      </c>
      <c r="C50" s="181">
        <f>EOMONTH(C36,2)</f>
        <v>39538</v>
      </c>
    </row>
    <row r="51" spans="2:29" outlineLevel="1">
      <c r="B51" s="182" t="s">
        <v>156</v>
      </c>
      <c r="C51" s="183">
        <v>208.7</v>
      </c>
    </row>
    <row r="52" spans="2:29" ht="15" outlineLevel="1">
      <c r="B52" s="150"/>
      <c r="C52" s="150"/>
      <c r="D52" s="184"/>
      <c r="E52" s="150"/>
      <c r="F52" s="185">
        <f>Financials!D1</f>
        <v>43555</v>
      </c>
      <c r="G52" s="185">
        <f>EOMONTH(F52,12)</f>
        <v>43921</v>
      </c>
      <c r="H52" s="185">
        <f t="shared" ref="H52:AC52" si="1">EOMONTH(G52,12)</f>
        <v>44286</v>
      </c>
      <c r="I52" s="185">
        <f t="shared" si="1"/>
        <v>44651</v>
      </c>
      <c r="J52" s="185">
        <f t="shared" si="1"/>
        <v>45016</v>
      </c>
      <c r="K52" s="185">
        <f t="shared" si="1"/>
        <v>45382</v>
      </c>
      <c r="L52" s="185">
        <f t="shared" si="1"/>
        <v>45747</v>
      </c>
      <c r="M52" s="185">
        <f t="shared" si="1"/>
        <v>46112</v>
      </c>
      <c r="N52" s="185">
        <f t="shared" si="1"/>
        <v>46477</v>
      </c>
      <c r="O52" s="185">
        <f t="shared" si="1"/>
        <v>46843</v>
      </c>
      <c r="P52" s="185">
        <f t="shared" si="1"/>
        <v>47208</v>
      </c>
      <c r="Q52" s="185">
        <f t="shared" si="1"/>
        <v>47573</v>
      </c>
      <c r="R52" s="185">
        <f t="shared" si="1"/>
        <v>47938</v>
      </c>
      <c r="S52" s="185">
        <f t="shared" si="1"/>
        <v>48304</v>
      </c>
      <c r="T52" s="185">
        <f t="shared" si="1"/>
        <v>48669</v>
      </c>
      <c r="U52" s="185">
        <f t="shared" si="1"/>
        <v>49034</v>
      </c>
      <c r="V52" s="185">
        <f t="shared" si="1"/>
        <v>49399</v>
      </c>
      <c r="W52" s="185">
        <f t="shared" si="1"/>
        <v>49765</v>
      </c>
      <c r="X52" s="185">
        <f t="shared" si="1"/>
        <v>50130</v>
      </c>
      <c r="Y52" s="185">
        <f t="shared" si="1"/>
        <v>50495</v>
      </c>
      <c r="Z52" s="185">
        <f t="shared" si="1"/>
        <v>50860</v>
      </c>
      <c r="AA52" s="185">
        <f t="shared" si="1"/>
        <v>51226</v>
      </c>
      <c r="AB52" s="185">
        <f t="shared" si="1"/>
        <v>51591</v>
      </c>
      <c r="AC52" s="185">
        <f t="shared" si="1"/>
        <v>51956</v>
      </c>
    </row>
    <row r="53" spans="2:29" outlineLevel="1">
      <c r="B53" s="150" t="s">
        <v>305</v>
      </c>
      <c r="C53" s="150"/>
      <c r="D53" s="184"/>
      <c r="E53" s="150"/>
      <c r="F53" s="186">
        <v>3.579479140361097E-2</v>
      </c>
      <c r="G53" s="186">
        <v>3.458587244453204E-2</v>
      </c>
      <c r="H53" s="186">
        <v>2.7568922305764243E-2</v>
      </c>
      <c r="I53" s="186">
        <v>1.9512195121951237E-2</v>
      </c>
      <c r="J53" s="186">
        <v>0.142753919133396</v>
      </c>
      <c r="K53" s="215">
        <v>0.05</v>
      </c>
      <c r="L53" s="215">
        <v>0.04</v>
      </c>
      <c r="M53" s="215">
        <v>3.3000000000000002E-2</v>
      </c>
      <c r="N53" s="215">
        <v>3.3000000000000002E-2</v>
      </c>
      <c r="O53" s="215">
        <v>3.3000000000000002E-2</v>
      </c>
      <c r="P53" s="215">
        <v>3.3000000000000002E-2</v>
      </c>
      <c r="Q53" s="215">
        <v>3.3000000000000002E-2</v>
      </c>
      <c r="R53" s="215">
        <v>3.3000000000000002E-2</v>
      </c>
      <c r="S53" s="215">
        <v>3.3000000000000002E-2</v>
      </c>
      <c r="T53" s="215">
        <v>3.3000000000000002E-2</v>
      </c>
      <c r="U53" s="215">
        <v>3.3000000000000002E-2</v>
      </c>
      <c r="V53" s="215">
        <v>3.3000000000000002E-2</v>
      </c>
      <c r="W53" s="215">
        <v>3.3000000000000002E-2</v>
      </c>
      <c r="X53" s="215">
        <v>3.3000000000000002E-2</v>
      </c>
      <c r="Y53" s="215">
        <v>3.3000000000000002E-2</v>
      </c>
      <c r="Z53" s="215">
        <v>3.3000000000000002E-2</v>
      </c>
      <c r="AA53" s="215">
        <v>3.3000000000000002E-2</v>
      </c>
      <c r="AB53" s="215">
        <v>3.3000000000000002E-2</v>
      </c>
      <c r="AC53" s="215">
        <v>3.3000000000000002E-2</v>
      </c>
    </row>
    <row r="54" spans="2:29" outlineLevel="1">
      <c r="D54" s="73"/>
    </row>
    <row r="55" spans="2:29" ht="15" outlineLevel="1">
      <c r="B55" s="75" t="s">
        <v>315</v>
      </c>
      <c r="C55" s="75"/>
      <c r="D55" s="75"/>
    </row>
    <row r="56" spans="2:29" ht="15" outlineLevel="1">
      <c r="B56" s="189" t="s">
        <v>154</v>
      </c>
      <c r="C56" s="190" t="str">
        <f>$B12</f>
        <v>TP-1 (Mandal)</v>
      </c>
      <c r="D56" s="190" t="str">
        <f>$B13</f>
        <v>TP-2 (Bhatia)</v>
      </c>
      <c r="F56" s="72"/>
      <c r="G56" s="72"/>
    </row>
    <row r="57" spans="2:29" outlineLevel="1">
      <c r="B57" s="191" t="s">
        <v>149</v>
      </c>
      <c r="C57" s="192">
        <v>5392</v>
      </c>
      <c r="D57" s="192">
        <f>7078</f>
        <v>7078</v>
      </c>
      <c r="G57" s="72"/>
    </row>
    <row r="58" spans="2:29" outlineLevel="1">
      <c r="B58" s="191" t="s">
        <v>150</v>
      </c>
      <c r="C58" s="192">
        <v>333</v>
      </c>
      <c r="D58" s="192">
        <v>499</v>
      </c>
      <c r="F58" s="72"/>
      <c r="G58" s="72"/>
      <c r="I58" s="72"/>
    </row>
    <row r="59" spans="2:29" outlineLevel="1">
      <c r="B59" s="191" t="s">
        <v>259</v>
      </c>
      <c r="C59" s="192">
        <v>0</v>
      </c>
      <c r="D59" s="192">
        <v>0</v>
      </c>
      <c r="I59" s="72"/>
    </row>
    <row r="60" spans="2:29" outlineLevel="1">
      <c r="B60" s="191" t="s">
        <v>260</v>
      </c>
      <c r="C60" s="192">
        <v>1258</v>
      </c>
      <c r="D60" s="192">
        <v>575</v>
      </c>
    </row>
    <row r="61" spans="2:29" outlineLevel="1">
      <c r="B61" s="191" t="s">
        <v>152</v>
      </c>
      <c r="C61" s="192">
        <f>3140</f>
        <v>3140</v>
      </c>
      <c r="D61" s="192">
        <f>2715</f>
        <v>2715</v>
      </c>
    </row>
    <row r="62" spans="2:29" outlineLevel="1">
      <c r="B62" s="191" t="s">
        <v>153</v>
      </c>
      <c r="C62" s="192">
        <v>0</v>
      </c>
      <c r="D62" s="192">
        <v>0</v>
      </c>
    </row>
    <row r="63" spans="2:29" ht="15" outlineLevel="1">
      <c r="B63" s="189" t="s">
        <v>75</v>
      </c>
      <c r="C63" s="193">
        <f>SUM(C57:C62)</f>
        <v>10123</v>
      </c>
      <c r="D63" s="193">
        <f>SUM(D57:D62)</f>
        <v>10867</v>
      </c>
    </row>
    <row r="64" spans="2:29" outlineLevel="1">
      <c r="D64" s="73"/>
    </row>
    <row r="65" spans="2:38" ht="15" outlineLevel="1">
      <c r="B65" s="98" t="s">
        <v>249</v>
      </c>
      <c r="D65" s="73"/>
    </row>
    <row r="66" spans="2:38" ht="15" outlineLevel="1">
      <c r="B66" s="194" t="s">
        <v>173</v>
      </c>
      <c r="C66" s="150"/>
      <c r="D66" s="184"/>
      <c r="E66" s="150"/>
      <c r="F66" s="195"/>
      <c r="G66" s="305">
        <f>G52</f>
        <v>43921</v>
      </c>
      <c r="H66" s="305">
        <f t="shared" ref="H66:AD66" si="2">H52</f>
        <v>44286</v>
      </c>
      <c r="I66" s="305">
        <f t="shared" si="2"/>
        <v>44651</v>
      </c>
      <c r="J66" s="305">
        <f t="shared" si="2"/>
        <v>45016</v>
      </c>
      <c r="K66" s="305">
        <f t="shared" si="2"/>
        <v>45382</v>
      </c>
      <c r="L66" s="305">
        <f t="shared" si="2"/>
        <v>45747</v>
      </c>
      <c r="M66" s="305">
        <f t="shared" si="2"/>
        <v>46112</v>
      </c>
      <c r="N66" s="305">
        <f t="shared" si="2"/>
        <v>46477</v>
      </c>
      <c r="O66" s="305">
        <f t="shared" si="2"/>
        <v>46843</v>
      </c>
      <c r="P66" s="305">
        <f t="shared" si="2"/>
        <v>47208</v>
      </c>
      <c r="Q66" s="305">
        <f t="shared" si="2"/>
        <v>47573</v>
      </c>
      <c r="R66" s="305">
        <f t="shared" si="2"/>
        <v>47938</v>
      </c>
      <c r="S66" s="305">
        <f t="shared" si="2"/>
        <v>48304</v>
      </c>
      <c r="T66" s="305">
        <f t="shared" si="2"/>
        <v>48669</v>
      </c>
      <c r="U66" s="305">
        <f t="shared" si="2"/>
        <v>49034</v>
      </c>
      <c r="V66" s="305">
        <f t="shared" si="2"/>
        <v>49399</v>
      </c>
      <c r="W66" s="305">
        <f t="shared" si="2"/>
        <v>49765</v>
      </c>
      <c r="X66" s="305">
        <f t="shared" si="2"/>
        <v>50130</v>
      </c>
      <c r="Y66" s="305">
        <f t="shared" si="2"/>
        <v>50495</v>
      </c>
      <c r="Z66" s="305">
        <f t="shared" si="2"/>
        <v>50860</v>
      </c>
      <c r="AA66" s="305">
        <f t="shared" si="2"/>
        <v>51226</v>
      </c>
      <c r="AB66" s="305">
        <f t="shared" si="2"/>
        <v>51591</v>
      </c>
      <c r="AC66" s="305">
        <f t="shared" si="2"/>
        <v>51956</v>
      </c>
      <c r="AD66" s="305">
        <f t="shared" si="2"/>
        <v>0</v>
      </c>
      <c r="AE66" s="150"/>
      <c r="AF66" s="150"/>
      <c r="AG66" s="150"/>
      <c r="AH66" s="150"/>
      <c r="AI66" s="150"/>
      <c r="AJ66" s="150"/>
      <c r="AK66" s="150"/>
      <c r="AL66" s="150"/>
    </row>
    <row r="67" spans="2:38" outlineLevel="1">
      <c r="B67" s="191" t="s">
        <v>149</v>
      </c>
      <c r="C67" s="150"/>
      <c r="D67" s="184"/>
      <c r="E67" s="150"/>
      <c r="F67" s="186"/>
      <c r="G67" s="186"/>
      <c r="H67" s="186"/>
      <c r="I67" s="186">
        <v>0</v>
      </c>
      <c r="J67" s="186">
        <v>0.02</v>
      </c>
      <c r="K67" s="222">
        <v>0.02</v>
      </c>
      <c r="L67" s="222">
        <v>0.02</v>
      </c>
      <c r="M67" s="222">
        <v>0.02</v>
      </c>
      <c r="N67" s="222">
        <v>0.02</v>
      </c>
      <c r="O67" s="222">
        <v>0.02</v>
      </c>
      <c r="P67" s="222">
        <v>0.02</v>
      </c>
      <c r="Q67" s="222">
        <v>0.02</v>
      </c>
      <c r="R67" s="222">
        <v>0.02</v>
      </c>
      <c r="S67" s="222">
        <v>0.02</v>
      </c>
      <c r="T67" s="222">
        <v>0.02</v>
      </c>
      <c r="U67" s="186">
        <v>0.02</v>
      </c>
      <c r="V67" s="186">
        <v>0.02</v>
      </c>
      <c r="W67" s="186">
        <v>0.02</v>
      </c>
      <c r="X67" s="186">
        <v>0.02</v>
      </c>
      <c r="Y67" s="186">
        <v>0.02</v>
      </c>
      <c r="Z67" s="186">
        <v>0.02</v>
      </c>
      <c r="AA67" s="186">
        <v>0.02</v>
      </c>
      <c r="AB67" s="186">
        <v>0.02</v>
      </c>
      <c r="AC67" s="186">
        <v>0.02</v>
      </c>
      <c r="AD67" s="186">
        <v>0.02</v>
      </c>
      <c r="AE67" s="186">
        <v>0.02</v>
      </c>
      <c r="AF67" s="186">
        <v>0.02</v>
      </c>
      <c r="AG67" s="186">
        <v>0.02</v>
      </c>
      <c r="AH67" s="186">
        <v>0.02</v>
      </c>
      <c r="AI67" s="186">
        <v>0.02</v>
      </c>
      <c r="AJ67" s="186">
        <v>0.02</v>
      </c>
      <c r="AK67" s="186">
        <v>0.02</v>
      </c>
      <c r="AL67" s="186">
        <v>0.02</v>
      </c>
    </row>
    <row r="68" spans="2:38" outlineLevel="1">
      <c r="B68" s="191" t="s">
        <v>150</v>
      </c>
      <c r="C68" s="150"/>
      <c r="D68" s="184"/>
      <c r="E68" s="150"/>
      <c r="F68" s="186"/>
      <c r="G68" s="186"/>
      <c r="H68" s="186"/>
      <c r="I68" s="186">
        <v>0</v>
      </c>
      <c r="J68" s="186">
        <v>0.02</v>
      </c>
      <c r="K68" s="222">
        <v>0.02</v>
      </c>
      <c r="L68" s="222">
        <v>0.02</v>
      </c>
      <c r="M68" s="222">
        <v>0.02</v>
      </c>
      <c r="N68" s="222">
        <v>0.02</v>
      </c>
      <c r="O68" s="222">
        <v>0.02</v>
      </c>
      <c r="P68" s="222">
        <v>0.02</v>
      </c>
      <c r="Q68" s="222">
        <v>0.02</v>
      </c>
      <c r="R68" s="222">
        <v>0.02</v>
      </c>
      <c r="S68" s="222">
        <v>0.02</v>
      </c>
      <c r="T68" s="222">
        <v>0.02</v>
      </c>
      <c r="U68" s="186">
        <v>0.02</v>
      </c>
      <c r="V68" s="186">
        <v>0.02</v>
      </c>
      <c r="W68" s="186">
        <v>0.02</v>
      </c>
      <c r="X68" s="186">
        <v>0.02</v>
      </c>
      <c r="Y68" s="186">
        <v>0.02</v>
      </c>
      <c r="Z68" s="186">
        <v>0.02</v>
      </c>
      <c r="AA68" s="186">
        <v>0.02</v>
      </c>
      <c r="AB68" s="186">
        <v>0.02</v>
      </c>
      <c r="AC68" s="186">
        <v>0.02</v>
      </c>
      <c r="AD68" s="186">
        <v>0.02</v>
      </c>
      <c r="AE68" s="186">
        <v>0.02</v>
      </c>
      <c r="AF68" s="186">
        <v>0.02</v>
      </c>
      <c r="AG68" s="186">
        <v>0.02</v>
      </c>
      <c r="AH68" s="186">
        <v>0.02</v>
      </c>
      <c r="AI68" s="186">
        <v>0.02</v>
      </c>
      <c r="AJ68" s="186">
        <v>0.02</v>
      </c>
      <c r="AK68" s="186">
        <v>0.02</v>
      </c>
      <c r="AL68" s="186">
        <v>0.02</v>
      </c>
    </row>
    <row r="69" spans="2:38" outlineLevel="1">
      <c r="B69" s="191" t="s">
        <v>259</v>
      </c>
      <c r="C69" s="150"/>
      <c r="D69" s="184"/>
      <c r="E69" s="150"/>
      <c r="F69" s="186"/>
      <c r="G69" s="186"/>
      <c r="H69" s="186"/>
      <c r="I69" s="186">
        <v>0</v>
      </c>
      <c r="J69" s="186">
        <v>0.02</v>
      </c>
      <c r="K69" s="222">
        <v>0.02</v>
      </c>
      <c r="L69" s="222">
        <v>0.02</v>
      </c>
      <c r="M69" s="222">
        <v>0.02</v>
      </c>
      <c r="N69" s="222">
        <v>0.02</v>
      </c>
      <c r="O69" s="222">
        <v>0.02</v>
      </c>
      <c r="P69" s="222">
        <v>0.02</v>
      </c>
      <c r="Q69" s="222">
        <v>0.02</v>
      </c>
      <c r="R69" s="222">
        <v>0.02</v>
      </c>
      <c r="S69" s="222">
        <v>0.02</v>
      </c>
      <c r="T69" s="222">
        <v>0.02</v>
      </c>
      <c r="U69" s="186">
        <v>0.02</v>
      </c>
      <c r="V69" s="186">
        <v>0.02</v>
      </c>
      <c r="W69" s="186">
        <v>0.02</v>
      </c>
      <c r="X69" s="186">
        <v>0.02</v>
      </c>
      <c r="Y69" s="186">
        <v>0.02</v>
      </c>
      <c r="Z69" s="186">
        <v>0.02</v>
      </c>
      <c r="AA69" s="186">
        <v>0.02</v>
      </c>
      <c r="AB69" s="186">
        <v>0.02</v>
      </c>
      <c r="AC69" s="186">
        <v>0.02</v>
      </c>
      <c r="AD69" s="186">
        <v>0.02</v>
      </c>
      <c r="AE69" s="186">
        <v>0.02</v>
      </c>
      <c r="AF69" s="186">
        <v>0.02</v>
      </c>
      <c r="AG69" s="186">
        <v>0.02</v>
      </c>
      <c r="AH69" s="186">
        <v>0.02</v>
      </c>
      <c r="AI69" s="186">
        <v>0.02</v>
      </c>
      <c r="AJ69" s="186">
        <v>0.02</v>
      </c>
      <c r="AK69" s="186">
        <v>0.02</v>
      </c>
      <c r="AL69" s="186">
        <v>0.02</v>
      </c>
    </row>
    <row r="70" spans="2:38" outlineLevel="1">
      <c r="B70" s="191" t="s">
        <v>260</v>
      </c>
      <c r="C70" s="150"/>
      <c r="D70" s="184"/>
      <c r="E70" s="150"/>
      <c r="F70" s="186"/>
      <c r="G70" s="186"/>
      <c r="H70" s="186"/>
      <c r="I70" s="186">
        <v>0</v>
      </c>
      <c r="J70" s="186">
        <v>0.02</v>
      </c>
      <c r="K70" s="222">
        <v>0.02</v>
      </c>
      <c r="L70" s="222">
        <v>0.02</v>
      </c>
      <c r="M70" s="222">
        <v>0.02</v>
      </c>
      <c r="N70" s="222">
        <v>0.02</v>
      </c>
      <c r="O70" s="222">
        <v>0.02</v>
      </c>
      <c r="P70" s="222">
        <v>0.02</v>
      </c>
      <c r="Q70" s="222">
        <v>0.02</v>
      </c>
      <c r="R70" s="222">
        <v>0.02</v>
      </c>
      <c r="S70" s="222">
        <v>0.02</v>
      </c>
      <c r="T70" s="222">
        <v>0.02</v>
      </c>
      <c r="U70" s="186">
        <v>0.02</v>
      </c>
      <c r="V70" s="186">
        <v>0.02</v>
      </c>
      <c r="W70" s="186">
        <v>0.02</v>
      </c>
      <c r="X70" s="186">
        <v>0.02</v>
      </c>
      <c r="Y70" s="186">
        <v>0.02</v>
      </c>
      <c r="Z70" s="186">
        <v>0.02</v>
      </c>
      <c r="AA70" s="186">
        <v>0.02</v>
      </c>
      <c r="AB70" s="186">
        <v>0.02</v>
      </c>
      <c r="AC70" s="186">
        <v>0.02</v>
      </c>
      <c r="AD70" s="186">
        <v>0.02</v>
      </c>
      <c r="AE70" s="186">
        <v>0.02</v>
      </c>
      <c r="AF70" s="186">
        <v>0.02</v>
      </c>
      <c r="AG70" s="186">
        <v>0.02</v>
      </c>
      <c r="AH70" s="186">
        <v>0.02</v>
      </c>
      <c r="AI70" s="186">
        <v>0.02</v>
      </c>
      <c r="AJ70" s="186">
        <v>0.02</v>
      </c>
      <c r="AK70" s="186">
        <v>0.02</v>
      </c>
      <c r="AL70" s="186">
        <v>0.02</v>
      </c>
    </row>
    <row r="71" spans="2:38" outlineLevel="1">
      <c r="B71" s="191" t="s">
        <v>152</v>
      </c>
      <c r="C71" s="150"/>
      <c r="D71" s="184"/>
      <c r="E71" s="150"/>
      <c r="F71" s="186"/>
      <c r="G71" s="186"/>
      <c r="H71" s="186"/>
      <c r="I71" s="186">
        <v>0</v>
      </c>
      <c r="J71" s="186">
        <v>0.01</v>
      </c>
      <c r="K71" s="222">
        <v>0.01</v>
      </c>
      <c r="L71" s="222">
        <v>0.01</v>
      </c>
      <c r="M71" s="222">
        <v>0.01</v>
      </c>
      <c r="N71" s="222">
        <v>0.01</v>
      </c>
      <c r="O71" s="222">
        <v>0.01</v>
      </c>
      <c r="P71" s="222">
        <v>0.01</v>
      </c>
      <c r="Q71" s="222">
        <v>0.01</v>
      </c>
      <c r="R71" s="222">
        <v>0.01</v>
      </c>
      <c r="S71" s="222">
        <v>0.01</v>
      </c>
      <c r="T71" s="222">
        <v>0.01</v>
      </c>
      <c r="U71" s="186">
        <v>0.01</v>
      </c>
      <c r="V71" s="186">
        <v>0.01</v>
      </c>
      <c r="W71" s="186">
        <v>0.01</v>
      </c>
      <c r="X71" s="186">
        <v>0.01</v>
      </c>
      <c r="Y71" s="186">
        <v>0.01</v>
      </c>
      <c r="Z71" s="186">
        <v>0.01</v>
      </c>
      <c r="AA71" s="186">
        <v>0.01</v>
      </c>
      <c r="AB71" s="186">
        <v>0.01</v>
      </c>
      <c r="AC71" s="186">
        <v>0.01</v>
      </c>
      <c r="AD71" s="186">
        <v>0.01</v>
      </c>
      <c r="AE71" s="186">
        <v>0.01</v>
      </c>
      <c r="AF71" s="186">
        <v>0.01</v>
      </c>
      <c r="AG71" s="186">
        <v>0.01</v>
      </c>
      <c r="AH71" s="186">
        <v>0.01</v>
      </c>
      <c r="AI71" s="186">
        <v>0.01</v>
      </c>
      <c r="AJ71" s="186">
        <v>0.01</v>
      </c>
      <c r="AK71" s="186">
        <v>0.01</v>
      </c>
      <c r="AL71" s="186">
        <v>0.01</v>
      </c>
    </row>
    <row r="72" spans="2:38" outlineLevel="1">
      <c r="B72" s="191" t="s">
        <v>153</v>
      </c>
      <c r="C72" s="150"/>
      <c r="D72" s="184"/>
      <c r="E72" s="150"/>
      <c r="F72" s="186"/>
      <c r="G72" s="186"/>
      <c r="H72" s="186"/>
      <c r="I72" s="186">
        <v>0</v>
      </c>
      <c r="J72" s="186">
        <v>0.01</v>
      </c>
      <c r="K72" s="222">
        <v>0.01</v>
      </c>
      <c r="L72" s="222">
        <v>0.01</v>
      </c>
      <c r="M72" s="222">
        <v>0.01</v>
      </c>
      <c r="N72" s="222">
        <v>0.01</v>
      </c>
      <c r="O72" s="222">
        <v>0.01</v>
      </c>
      <c r="P72" s="222">
        <v>0.01</v>
      </c>
      <c r="Q72" s="222">
        <v>0.01</v>
      </c>
      <c r="R72" s="222">
        <v>0.01</v>
      </c>
      <c r="S72" s="222">
        <v>0.01</v>
      </c>
      <c r="T72" s="222">
        <v>0.01</v>
      </c>
      <c r="U72" s="186">
        <v>0.01</v>
      </c>
      <c r="V72" s="186">
        <v>0.01</v>
      </c>
      <c r="W72" s="186">
        <v>0.01</v>
      </c>
      <c r="X72" s="186">
        <v>0.01</v>
      </c>
      <c r="Y72" s="186">
        <v>0.01</v>
      </c>
      <c r="Z72" s="186">
        <v>0.01</v>
      </c>
      <c r="AA72" s="186">
        <v>0.01</v>
      </c>
      <c r="AB72" s="186">
        <v>0.01</v>
      </c>
      <c r="AC72" s="186">
        <v>0.01</v>
      </c>
      <c r="AD72" s="186">
        <v>0.01</v>
      </c>
      <c r="AE72" s="186">
        <v>0.01</v>
      </c>
      <c r="AF72" s="186">
        <v>0.01</v>
      </c>
      <c r="AG72" s="186">
        <v>0.01</v>
      </c>
      <c r="AH72" s="186">
        <v>0.01</v>
      </c>
      <c r="AI72" s="186">
        <v>0.01</v>
      </c>
      <c r="AJ72" s="186">
        <v>0.01</v>
      </c>
      <c r="AK72" s="186">
        <v>0.01</v>
      </c>
      <c r="AL72" s="186">
        <v>0.01</v>
      </c>
    </row>
    <row r="73" spans="2:38" outlineLevel="1">
      <c r="B73" s="78"/>
      <c r="D73" s="73"/>
    </row>
    <row r="74" spans="2:38" ht="15" outlineLevel="1">
      <c r="B74" s="194" t="s">
        <v>174</v>
      </c>
      <c r="C74" s="150"/>
      <c r="D74" s="184"/>
      <c r="E74" s="150"/>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row>
    <row r="75" spans="2:38" outlineLevel="1">
      <c r="B75" s="191" t="s">
        <v>149</v>
      </c>
      <c r="C75" s="150"/>
      <c r="D75" s="184"/>
      <c r="E75" s="150"/>
      <c r="F75" s="196"/>
      <c r="G75" s="196"/>
      <c r="H75" s="196"/>
      <c r="I75" s="196">
        <f t="shared" ref="I75:I80" si="3">I67</f>
        <v>0</v>
      </c>
      <c r="J75" s="196">
        <f t="shared" ref="J75:AL80" si="4">J67</f>
        <v>0.02</v>
      </c>
      <c r="K75" s="311">
        <f t="shared" si="4"/>
        <v>0.02</v>
      </c>
      <c r="L75" s="311">
        <f t="shared" si="4"/>
        <v>0.02</v>
      </c>
      <c r="M75" s="311">
        <f t="shared" si="4"/>
        <v>0.02</v>
      </c>
      <c r="N75" s="311">
        <f t="shared" si="4"/>
        <v>0.02</v>
      </c>
      <c r="O75" s="311">
        <f t="shared" si="4"/>
        <v>0.02</v>
      </c>
      <c r="P75" s="311">
        <f t="shared" si="4"/>
        <v>0.02</v>
      </c>
      <c r="Q75" s="311">
        <f t="shared" si="4"/>
        <v>0.02</v>
      </c>
      <c r="R75" s="311">
        <f t="shared" si="4"/>
        <v>0.02</v>
      </c>
      <c r="S75" s="311">
        <f t="shared" si="4"/>
        <v>0.02</v>
      </c>
      <c r="T75" s="311">
        <f t="shared" si="4"/>
        <v>0.02</v>
      </c>
      <c r="U75" s="196">
        <f t="shared" si="4"/>
        <v>0.02</v>
      </c>
      <c r="V75" s="196">
        <f t="shared" si="4"/>
        <v>0.02</v>
      </c>
      <c r="W75" s="196">
        <f t="shared" si="4"/>
        <v>0.02</v>
      </c>
      <c r="X75" s="196">
        <f t="shared" si="4"/>
        <v>0.02</v>
      </c>
      <c r="Y75" s="196">
        <f t="shared" si="4"/>
        <v>0.02</v>
      </c>
      <c r="Z75" s="196">
        <f t="shared" si="4"/>
        <v>0.02</v>
      </c>
      <c r="AA75" s="196">
        <f t="shared" si="4"/>
        <v>0.02</v>
      </c>
      <c r="AB75" s="196">
        <f t="shared" si="4"/>
        <v>0.02</v>
      </c>
      <c r="AC75" s="196">
        <f t="shared" si="4"/>
        <v>0.02</v>
      </c>
      <c r="AD75" s="196">
        <f t="shared" si="4"/>
        <v>0.02</v>
      </c>
      <c r="AE75" s="196">
        <f t="shared" si="4"/>
        <v>0.02</v>
      </c>
      <c r="AF75" s="196">
        <f t="shared" si="4"/>
        <v>0.02</v>
      </c>
      <c r="AG75" s="196">
        <f t="shared" si="4"/>
        <v>0.02</v>
      </c>
      <c r="AH75" s="196">
        <f t="shared" si="4"/>
        <v>0.02</v>
      </c>
      <c r="AI75" s="196">
        <f t="shared" si="4"/>
        <v>0.02</v>
      </c>
      <c r="AJ75" s="196">
        <f t="shared" si="4"/>
        <v>0.02</v>
      </c>
      <c r="AK75" s="196">
        <f t="shared" si="4"/>
        <v>0.02</v>
      </c>
      <c r="AL75" s="196">
        <f t="shared" si="4"/>
        <v>0.02</v>
      </c>
    </row>
    <row r="76" spans="2:38" outlineLevel="1">
      <c r="B76" s="191" t="s">
        <v>150</v>
      </c>
      <c r="C76" s="150"/>
      <c r="D76" s="184"/>
      <c r="E76" s="150"/>
      <c r="F76" s="186"/>
      <c r="G76" s="196"/>
      <c r="H76" s="196"/>
      <c r="I76" s="196">
        <f t="shared" si="3"/>
        <v>0</v>
      </c>
      <c r="J76" s="196">
        <f t="shared" ref="J76:X76" si="5">J68</f>
        <v>0.02</v>
      </c>
      <c r="K76" s="311">
        <f t="shared" si="5"/>
        <v>0.02</v>
      </c>
      <c r="L76" s="311">
        <f t="shared" si="5"/>
        <v>0.02</v>
      </c>
      <c r="M76" s="311">
        <f t="shared" si="5"/>
        <v>0.02</v>
      </c>
      <c r="N76" s="311">
        <f t="shared" si="5"/>
        <v>0.02</v>
      </c>
      <c r="O76" s="311">
        <f t="shared" si="5"/>
        <v>0.02</v>
      </c>
      <c r="P76" s="311">
        <f t="shared" si="5"/>
        <v>0.02</v>
      </c>
      <c r="Q76" s="311">
        <f t="shared" si="5"/>
        <v>0.02</v>
      </c>
      <c r="R76" s="311">
        <f t="shared" si="5"/>
        <v>0.02</v>
      </c>
      <c r="S76" s="311">
        <f t="shared" si="5"/>
        <v>0.02</v>
      </c>
      <c r="T76" s="311">
        <f t="shared" si="5"/>
        <v>0.02</v>
      </c>
      <c r="U76" s="196">
        <f t="shared" si="5"/>
        <v>0.02</v>
      </c>
      <c r="V76" s="196">
        <f t="shared" si="5"/>
        <v>0.02</v>
      </c>
      <c r="W76" s="196">
        <f t="shared" si="5"/>
        <v>0.02</v>
      </c>
      <c r="X76" s="196">
        <f t="shared" si="5"/>
        <v>0.02</v>
      </c>
      <c r="Y76" s="196">
        <f t="shared" si="4"/>
        <v>0.02</v>
      </c>
      <c r="Z76" s="196">
        <f t="shared" si="4"/>
        <v>0.02</v>
      </c>
      <c r="AA76" s="196">
        <f t="shared" si="4"/>
        <v>0.02</v>
      </c>
      <c r="AB76" s="196">
        <f t="shared" si="4"/>
        <v>0.02</v>
      </c>
      <c r="AC76" s="196">
        <f t="shared" si="4"/>
        <v>0.02</v>
      </c>
      <c r="AD76" s="196">
        <f t="shared" si="4"/>
        <v>0.02</v>
      </c>
      <c r="AE76" s="196">
        <f t="shared" si="4"/>
        <v>0.02</v>
      </c>
      <c r="AF76" s="196">
        <f t="shared" si="4"/>
        <v>0.02</v>
      </c>
      <c r="AG76" s="196">
        <f t="shared" si="4"/>
        <v>0.02</v>
      </c>
      <c r="AH76" s="196">
        <f t="shared" si="4"/>
        <v>0.02</v>
      </c>
      <c r="AI76" s="196">
        <f t="shared" si="4"/>
        <v>0.02</v>
      </c>
      <c r="AJ76" s="196">
        <f t="shared" si="4"/>
        <v>0.02</v>
      </c>
      <c r="AK76" s="196">
        <f t="shared" si="4"/>
        <v>0.02</v>
      </c>
      <c r="AL76" s="196">
        <f t="shared" si="4"/>
        <v>0.02</v>
      </c>
    </row>
    <row r="77" spans="2:38" outlineLevel="1">
      <c r="B77" s="191" t="s">
        <v>259</v>
      </c>
      <c r="C77" s="150"/>
      <c r="D77" s="184"/>
      <c r="E77" s="150"/>
      <c r="F77" s="186"/>
      <c r="G77" s="196"/>
      <c r="H77" s="196"/>
      <c r="I77" s="196">
        <f t="shared" si="3"/>
        <v>0</v>
      </c>
      <c r="J77" s="196">
        <f t="shared" si="4"/>
        <v>0.02</v>
      </c>
      <c r="K77" s="311">
        <f t="shared" si="4"/>
        <v>0.02</v>
      </c>
      <c r="L77" s="311">
        <f t="shared" si="4"/>
        <v>0.02</v>
      </c>
      <c r="M77" s="311">
        <f t="shared" si="4"/>
        <v>0.02</v>
      </c>
      <c r="N77" s="311">
        <f t="shared" si="4"/>
        <v>0.02</v>
      </c>
      <c r="O77" s="311">
        <f t="shared" si="4"/>
        <v>0.02</v>
      </c>
      <c r="P77" s="311">
        <f t="shared" si="4"/>
        <v>0.02</v>
      </c>
      <c r="Q77" s="311">
        <f t="shared" si="4"/>
        <v>0.02</v>
      </c>
      <c r="R77" s="311">
        <f t="shared" si="4"/>
        <v>0.02</v>
      </c>
      <c r="S77" s="311">
        <f t="shared" si="4"/>
        <v>0.02</v>
      </c>
      <c r="T77" s="311">
        <f t="shared" si="4"/>
        <v>0.02</v>
      </c>
      <c r="U77" s="196">
        <f t="shared" si="4"/>
        <v>0.02</v>
      </c>
      <c r="V77" s="196">
        <f t="shared" si="4"/>
        <v>0.02</v>
      </c>
      <c r="W77" s="196">
        <f t="shared" si="4"/>
        <v>0.02</v>
      </c>
      <c r="X77" s="196">
        <f t="shared" si="4"/>
        <v>0.02</v>
      </c>
      <c r="Y77" s="196">
        <f t="shared" si="4"/>
        <v>0.02</v>
      </c>
      <c r="Z77" s="196">
        <f t="shared" si="4"/>
        <v>0.02</v>
      </c>
      <c r="AA77" s="196">
        <f t="shared" si="4"/>
        <v>0.02</v>
      </c>
      <c r="AB77" s="196">
        <f t="shared" si="4"/>
        <v>0.02</v>
      </c>
      <c r="AC77" s="196">
        <f t="shared" si="4"/>
        <v>0.02</v>
      </c>
      <c r="AD77" s="196">
        <f t="shared" si="4"/>
        <v>0.02</v>
      </c>
      <c r="AE77" s="196">
        <f t="shared" si="4"/>
        <v>0.02</v>
      </c>
      <c r="AF77" s="196">
        <f t="shared" si="4"/>
        <v>0.02</v>
      </c>
      <c r="AG77" s="196">
        <f t="shared" si="4"/>
        <v>0.02</v>
      </c>
      <c r="AH77" s="196">
        <f t="shared" si="4"/>
        <v>0.02</v>
      </c>
      <c r="AI77" s="196">
        <f t="shared" si="4"/>
        <v>0.02</v>
      </c>
      <c r="AJ77" s="196">
        <f t="shared" si="4"/>
        <v>0.02</v>
      </c>
      <c r="AK77" s="196">
        <f t="shared" si="4"/>
        <v>0.02</v>
      </c>
      <c r="AL77" s="196">
        <f t="shared" si="4"/>
        <v>0.02</v>
      </c>
    </row>
    <row r="78" spans="2:38" outlineLevel="1">
      <c r="B78" s="191" t="s">
        <v>260</v>
      </c>
      <c r="C78" s="150"/>
      <c r="D78" s="184"/>
      <c r="E78" s="150"/>
      <c r="F78" s="186"/>
      <c r="G78" s="196"/>
      <c r="H78" s="196"/>
      <c r="I78" s="196">
        <f t="shared" si="3"/>
        <v>0</v>
      </c>
      <c r="J78" s="196">
        <f t="shared" si="4"/>
        <v>0.02</v>
      </c>
      <c r="K78" s="311">
        <f t="shared" si="4"/>
        <v>0.02</v>
      </c>
      <c r="L78" s="311">
        <f t="shared" si="4"/>
        <v>0.02</v>
      </c>
      <c r="M78" s="311">
        <f t="shared" si="4"/>
        <v>0.02</v>
      </c>
      <c r="N78" s="311">
        <f t="shared" si="4"/>
        <v>0.02</v>
      </c>
      <c r="O78" s="311">
        <f t="shared" si="4"/>
        <v>0.02</v>
      </c>
      <c r="P78" s="311">
        <f t="shared" si="4"/>
        <v>0.02</v>
      </c>
      <c r="Q78" s="311">
        <f t="shared" si="4"/>
        <v>0.02</v>
      </c>
      <c r="R78" s="311">
        <f t="shared" si="4"/>
        <v>0.02</v>
      </c>
      <c r="S78" s="311">
        <f t="shared" si="4"/>
        <v>0.02</v>
      </c>
      <c r="T78" s="311">
        <f t="shared" si="4"/>
        <v>0.02</v>
      </c>
      <c r="U78" s="196">
        <f t="shared" si="4"/>
        <v>0.02</v>
      </c>
      <c r="V78" s="196">
        <f t="shared" si="4"/>
        <v>0.02</v>
      </c>
      <c r="W78" s="196">
        <f t="shared" si="4"/>
        <v>0.02</v>
      </c>
      <c r="X78" s="196">
        <f t="shared" si="4"/>
        <v>0.02</v>
      </c>
      <c r="Y78" s="196">
        <f t="shared" si="4"/>
        <v>0.02</v>
      </c>
      <c r="Z78" s="196">
        <f t="shared" si="4"/>
        <v>0.02</v>
      </c>
      <c r="AA78" s="196">
        <f t="shared" si="4"/>
        <v>0.02</v>
      </c>
      <c r="AB78" s="196">
        <f t="shared" si="4"/>
        <v>0.02</v>
      </c>
      <c r="AC78" s="196">
        <f t="shared" si="4"/>
        <v>0.02</v>
      </c>
      <c r="AD78" s="196">
        <f t="shared" si="4"/>
        <v>0.02</v>
      </c>
      <c r="AE78" s="196">
        <f t="shared" si="4"/>
        <v>0.02</v>
      </c>
      <c r="AF78" s="196">
        <f t="shared" si="4"/>
        <v>0.02</v>
      </c>
      <c r="AG78" s="196">
        <f t="shared" si="4"/>
        <v>0.02</v>
      </c>
      <c r="AH78" s="196">
        <f t="shared" si="4"/>
        <v>0.02</v>
      </c>
      <c r="AI78" s="196">
        <f t="shared" si="4"/>
        <v>0.02</v>
      </c>
      <c r="AJ78" s="196">
        <f t="shared" si="4"/>
        <v>0.02</v>
      </c>
      <c r="AK78" s="196">
        <f t="shared" si="4"/>
        <v>0.02</v>
      </c>
      <c r="AL78" s="196">
        <f t="shared" si="4"/>
        <v>0.02</v>
      </c>
    </row>
    <row r="79" spans="2:38" outlineLevel="1">
      <c r="B79" s="191" t="s">
        <v>152</v>
      </c>
      <c r="C79" s="150"/>
      <c r="D79" s="184"/>
      <c r="E79" s="150"/>
      <c r="F79" s="186"/>
      <c r="G79" s="196"/>
      <c r="H79" s="196"/>
      <c r="I79" s="196">
        <f t="shared" si="3"/>
        <v>0</v>
      </c>
      <c r="J79" s="196">
        <f t="shared" si="4"/>
        <v>0.01</v>
      </c>
      <c r="K79" s="311">
        <f t="shared" si="4"/>
        <v>0.01</v>
      </c>
      <c r="L79" s="311">
        <f t="shared" si="4"/>
        <v>0.01</v>
      </c>
      <c r="M79" s="311">
        <f t="shared" si="4"/>
        <v>0.01</v>
      </c>
      <c r="N79" s="311">
        <f t="shared" si="4"/>
        <v>0.01</v>
      </c>
      <c r="O79" s="311">
        <f t="shared" si="4"/>
        <v>0.01</v>
      </c>
      <c r="P79" s="311">
        <f t="shared" si="4"/>
        <v>0.01</v>
      </c>
      <c r="Q79" s="311">
        <f t="shared" si="4"/>
        <v>0.01</v>
      </c>
      <c r="R79" s="311">
        <f t="shared" si="4"/>
        <v>0.01</v>
      </c>
      <c r="S79" s="311">
        <f t="shared" si="4"/>
        <v>0.01</v>
      </c>
      <c r="T79" s="311">
        <f t="shared" si="4"/>
        <v>0.01</v>
      </c>
      <c r="U79" s="196">
        <f t="shared" si="4"/>
        <v>0.01</v>
      </c>
      <c r="V79" s="196">
        <f t="shared" si="4"/>
        <v>0.01</v>
      </c>
      <c r="W79" s="196">
        <f t="shared" si="4"/>
        <v>0.01</v>
      </c>
      <c r="X79" s="196">
        <f t="shared" si="4"/>
        <v>0.01</v>
      </c>
      <c r="Y79" s="196">
        <f t="shared" si="4"/>
        <v>0.01</v>
      </c>
      <c r="Z79" s="196">
        <f t="shared" si="4"/>
        <v>0.01</v>
      </c>
      <c r="AA79" s="196">
        <f t="shared" si="4"/>
        <v>0.01</v>
      </c>
      <c r="AB79" s="196">
        <f t="shared" si="4"/>
        <v>0.01</v>
      </c>
      <c r="AC79" s="196">
        <f t="shared" si="4"/>
        <v>0.01</v>
      </c>
      <c r="AD79" s="196">
        <f t="shared" si="4"/>
        <v>0.01</v>
      </c>
      <c r="AE79" s="196">
        <f t="shared" si="4"/>
        <v>0.01</v>
      </c>
      <c r="AF79" s="196">
        <f t="shared" si="4"/>
        <v>0.01</v>
      </c>
      <c r="AG79" s="196">
        <f t="shared" si="4"/>
        <v>0.01</v>
      </c>
      <c r="AH79" s="196">
        <f t="shared" si="4"/>
        <v>0.01</v>
      </c>
      <c r="AI79" s="196">
        <f t="shared" si="4"/>
        <v>0.01</v>
      </c>
      <c r="AJ79" s="196">
        <f t="shared" si="4"/>
        <v>0.01</v>
      </c>
      <c r="AK79" s="196">
        <f t="shared" si="4"/>
        <v>0.01</v>
      </c>
      <c r="AL79" s="196">
        <f t="shared" si="4"/>
        <v>0.01</v>
      </c>
    </row>
    <row r="80" spans="2:38" outlineLevel="1">
      <c r="B80" s="191" t="s">
        <v>153</v>
      </c>
      <c r="C80" s="150"/>
      <c r="D80" s="184"/>
      <c r="E80" s="150"/>
      <c r="F80" s="186"/>
      <c r="G80" s="196"/>
      <c r="H80" s="196"/>
      <c r="I80" s="196">
        <f t="shared" si="3"/>
        <v>0</v>
      </c>
      <c r="J80" s="196">
        <f t="shared" si="4"/>
        <v>0.01</v>
      </c>
      <c r="K80" s="311">
        <f t="shared" si="4"/>
        <v>0.01</v>
      </c>
      <c r="L80" s="311">
        <f t="shared" si="4"/>
        <v>0.01</v>
      </c>
      <c r="M80" s="311">
        <f t="shared" si="4"/>
        <v>0.01</v>
      </c>
      <c r="N80" s="311">
        <f t="shared" si="4"/>
        <v>0.01</v>
      </c>
      <c r="O80" s="311">
        <f t="shared" si="4"/>
        <v>0.01</v>
      </c>
      <c r="P80" s="311">
        <f t="shared" si="4"/>
        <v>0.01</v>
      </c>
      <c r="Q80" s="311">
        <f t="shared" si="4"/>
        <v>0.01</v>
      </c>
      <c r="R80" s="311">
        <f t="shared" si="4"/>
        <v>0.01</v>
      </c>
      <c r="S80" s="311">
        <f t="shared" si="4"/>
        <v>0.01</v>
      </c>
      <c r="T80" s="311">
        <f t="shared" si="4"/>
        <v>0.01</v>
      </c>
      <c r="U80" s="196">
        <f t="shared" si="4"/>
        <v>0.01</v>
      </c>
      <c r="V80" s="196">
        <f t="shared" si="4"/>
        <v>0.01</v>
      </c>
      <c r="W80" s="196">
        <f t="shared" si="4"/>
        <v>0.01</v>
      </c>
      <c r="X80" s="196">
        <f t="shared" si="4"/>
        <v>0.01</v>
      </c>
      <c r="Y80" s="196">
        <f t="shared" si="4"/>
        <v>0.01</v>
      </c>
      <c r="Z80" s="196">
        <f t="shared" si="4"/>
        <v>0.01</v>
      </c>
      <c r="AA80" s="196">
        <f t="shared" si="4"/>
        <v>0.01</v>
      </c>
      <c r="AB80" s="196">
        <f t="shared" si="4"/>
        <v>0.01</v>
      </c>
      <c r="AC80" s="196">
        <f t="shared" si="4"/>
        <v>0.01</v>
      </c>
      <c r="AD80" s="196">
        <f t="shared" si="4"/>
        <v>0.01</v>
      </c>
      <c r="AE80" s="196">
        <f t="shared" si="4"/>
        <v>0.01</v>
      </c>
      <c r="AF80" s="196">
        <f t="shared" si="4"/>
        <v>0.01</v>
      </c>
      <c r="AG80" s="196">
        <f t="shared" si="4"/>
        <v>0.01</v>
      </c>
      <c r="AH80" s="196">
        <f t="shared" si="4"/>
        <v>0.01</v>
      </c>
      <c r="AI80" s="196">
        <f t="shared" si="4"/>
        <v>0.01</v>
      </c>
      <c r="AJ80" s="196">
        <f t="shared" si="4"/>
        <v>0.01</v>
      </c>
      <c r="AK80" s="196">
        <f t="shared" si="4"/>
        <v>0.01</v>
      </c>
      <c r="AL80" s="196">
        <f t="shared" si="4"/>
        <v>0.01</v>
      </c>
    </row>
    <row r="81" spans="2:40" hidden="1" outlineLevel="1">
      <c r="B81" s="78"/>
      <c r="D81" s="73"/>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row>
    <row r="82" spans="2:40" ht="15" hidden="1" outlineLevel="1">
      <c r="B82" s="194" t="s">
        <v>196</v>
      </c>
      <c r="C82" s="150"/>
      <c r="D82" s="184"/>
      <c r="E82" s="150"/>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row>
    <row r="83" spans="2:40" hidden="1" outlineLevel="1">
      <c r="B83" s="191" t="s">
        <v>149</v>
      </c>
      <c r="C83" s="150"/>
      <c r="D83" s="184"/>
      <c r="E83" s="150"/>
      <c r="F83" s="196"/>
      <c r="G83" s="196">
        <v>0</v>
      </c>
      <c r="H83" s="196">
        <v>0</v>
      </c>
      <c r="I83" s="196">
        <v>0</v>
      </c>
      <c r="J83" s="196">
        <v>0</v>
      </c>
      <c r="K83" s="196">
        <v>0</v>
      </c>
      <c r="L83" s="196">
        <v>0</v>
      </c>
      <c r="M83" s="196">
        <v>0</v>
      </c>
      <c r="N83" s="196">
        <v>0</v>
      </c>
      <c r="O83" s="196">
        <v>0</v>
      </c>
      <c r="P83" s="196">
        <v>0</v>
      </c>
      <c r="Q83" s="196">
        <v>0</v>
      </c>
      <c r="R83" s="196">
        <v>0</v>
      </c>
      <c r="S83" s="196">
        <v>0</v>
      </c>
      <c r="T83" s="196">
        <v>0</v>
      </c>
      <c r="U83" s="196">
        <v>0</v>
      </c>
      <c r="V83" s="196">
        <v>0</v>
      </c>
      <c r="W83" s="196">
        <v>0</v>
      </c>
      <c r="X83" s="196">
        <v>0</v>
      </c>
      <c r="Y83" s="196">
        <v>0</v>
      </c>
      <c r="Z83" s="196">
        <v>0</v>
      </c>
      <c r="AA83" s="196">
        <v>0</v>
      </c>
      <c r="AB83" s="196">
        <v>0</v>
      </c>
      <c r="AC83" s="196">
        <v>0</v>
      </c>
      <c r="AD83" s="196">
        <v>0</v>
      </c>
      <c r="AE83" s="196">
        <v>0</v>
      </c>
      <c r="AF83" s="196">
        <v>0</v>
      </c>
      <c r="AG83" s="196">
        <v>0</v>
      </c>
      <c r="AH83" s="196">
        <v>0</v>
      </c>
      <c r="AI83" s="196">
        <v>0</v>
      </c>
      <c r="AJ83" s="196">
        <v>0</v>
      </c>
      <c r="AK83" s="196">
        <v>0</v>
      </c>
      <c r="AL83" s="196">
        <v>0</v>
      </c>
    </row>
    <row r="84" spans="2:40" hidden="1" outlineLevel="1">
      <c r="B84" s="191" t="s">
        <v>150</v>
      </c>
      <c r="C84" s="150"/>
      <c r="D84" s="184"/>
      <c r="E84" s="150"/>
      <c r="F84" s="186"/>
      <c r="G84" s="196">
        <v>0</v>
      </c>
      <c r="H84" s="196">
        <v>0</v>
      </c>
      <c r="I84" s="196">
        <v>0</v>
      </c>
      <c r="J84" s="196">
        <v>0</v>
      </c>
      <c r="K84" s="196">
        <v>0</v>
      </c>
      <c r="L84" s="196">
        <v>0</v>
      </c>
      <c r="M84" s="196">
        <v>0</v>
      </c>
      <c r="N84" s="196">
        <v>0</v>
      </c>
      <c r="O84" s="196">
        <v>0</v>
      </c>
      <c r="P84" s="196">
        <v>0</v>
      </c>
      <c r="Q84" s="196">
        <v>0</v>
      </c>
      <c r="R84" s="196">
        <v>0</v>
      </c>
      <c r="S84" s="196">
        <v>0</v>
      </c>
      <c r="T84" s="196">
        <v>0</v>
      </c>
      <c r="U84" s="196">
        <v>0</v>
      </c>
      <c r="V84" s="196">
        <v>0</v>
      </c>
      <c r="W84" s="196">
        <v>0</v>
      </c>
      <c r="X84" s="196">
        <v>0</v>
      </c>
      <c r="Y84" s="196">
        <v>0</v>
      </c>
      <c r="Z84" s="196">
        <v>0</v>
      </c>
      <c r="AA84" s="196">
        <v>0</v>
      </c>
      <c r="AB84" s="196">
        <v>0</v>
      </c>
      <c r="AC84" s="196">
        <v>0</v>
      </c>
      <c r="AD84" s="196">
        <v>0</v>
      </c>
      <c r="AE84" s="196">
        <v>0</v>
      </c>
      <c r="AF84" s="196">
        <v>0</v>
      </c>
      <c r="AG84" s="196">
        <v>0</v>
      </c>
      <c r="AH84" s="196">
        <v>0</v>
      </c>
      <c r="AI84" s="196">
        <v>0</v>
      </c>
      <c r="AJ84" s="196">
        <v>0</v>
      </c>
      <c r="AK84" s="196">
        <v>0</v>
      </c>
      <c r="AL84" s="196">
        <v>0</v>
      </c>
    </row>
    <row r="85" spans="2:40" hidden="1" outlineLevel="1">
      <c r="B85" s="191" t="s">
        <v>259</v>
      </c>
      <c r="C85" s="150"/>
      <c r="D85" s="184"/>
      <c r="E85" s="150"/>
      <c r="F85" s="186"/>
      <c r="G85" s="196">
        <v>0</v>
      </c>
      <c r="H85" s="196">
        <v>0</v>
      </c>
      <c r="I85" s="196">
        <v>0</v>
      </c>
      <c r="J85" s="196">
        <v>0</v>
      </c>
      <c r="K85" s="196">
        <v>0</v>
      </c>
      <c r="L85" s="196">
        <v>0</v>
      </c>
      <c r="M85" s="196">
        <v>0</v>
      </c>
      <c r="N85" s="196">
        <v>0</v>
      </c>
      <c r="O85" s="196">
        <v>0</v>
      </c>
      <c r="P85" s="196">
        <v>0</v>
      </c>
      <c r="Q85" s="196">
        <v>0</v>
      </c>
      <c r="R85" s="196">
        <v>0</v>
      </c>
      <c r="S85" s="196">
        <v>0</v>
      </c>
      <c r="T85" s="196">
        <v>0</v>
      </c>
      <c r="U85" s="196">
        <v>0</v>
      </c>
      <c r="V85" s="196">
        <v>0</v>
      </c>
      <c r="W85" s="196">
        <v>0</v>
      </c>
      <c r="X85" s="196">
        <v>0</v>
      </c>
      <c r="Y85" s="196">
        <v>0</v>
      </c>
      <c r="Z85" s="196">
        <v>0</v>
      </c>
      <c r="AA85" s="196">
        <v>0</v>
      </c>
      <c r="AB85" s="196">
        <v>0</v>
      </c>
      <c r="AC85" s="196">
        <v>0</v>
      </c>
      <c r="AD85" s="196">
        <v>0</v>
      </c>
      <c r="AE85" s="196">
        <v>0</v>
      </c>
      <c r="AF85" s="196">
        <v>0</v>
      </c>
      <c r="AG85" s="196">
        <v>0</v>
      </c>
      <c r="AH85" s="196">
        <v>0</v>
      </c>
      <c r="AI85" s="196">
        <v>0</v>
      </c>
      <c r="AJ85" s="196">
        <v>0</v>
      </c>
      <c r="AK85" s="196">
        <v>0</v>
      </c>
      <c r="AL85" s="196">
        <v>0</v>
      </c>
    </row>
    <row r="86" spans="2:40" hidden="1" outlineLevel="1">
      <c r="B86" s="191" t="s">
        <v>260</v>
      </c>
      <c r="C86" s="150"/>
      <c r="D86" s="184"/>
      <c r="E86" s="150"/>
      <c r="F86" s="186"/>
      <c r="G86" s="196">
        <v>0</v>
      </c>
      <c r="H86" s="196">
        <v>0</v>
      </c>
      <c r="I86" s="196">
        <v>0</v>
      </c>
      <c r="J86" s="196">
        <v>0</v>
      </c>
      <c r="K86" s="196">
        <v>0</v>
      </c>
      <c r="L86" s="196">
        <v>0</v>
      </c>
      <c r="M86" s="196">
        <v>0</v>
      </c>
      <c r="N86" s="196">
        <v>0</v>
      </c>
      <c r="O86" s="196">
        <v>0</v>
      </c>
      <c r="P86" s="196">
        <v>0</v>
      </c>
      <c r="Q86" s="196">
        <v>0</v>
      </c>
      <c r="R86" s="196">
        <v>0</v>
      </c>
      <c r="S86" s="196">
        <v>0</v>
      </c>
      <c r="T86" s="196">
        <v>0</v>
      </c>
      <c r="U86" s="196">
        <v>0</v>
      </c>
      <c r="V86" s="196">
        <v>0</v>
      </c>
      <c r="W86" s="196">
        <v>0</v>
      </c>
      <c r="X86" s="196">
        <v>0</v>
      </c>
      <c r="Y86" s="196">
        <v>0</v>
      </c>
      <c r="Z86" s="196">
        <v>0</v>
      </c>
      <c r="AA86" s="196">
        <v>0</v>
      </c>
      <c r="AB86" s="196">
        <v>0</v>
      </c>
      <c r="AC86" s="196">
        <v>0</v>
      </c>
      <c r="AD86" s="196">
        <v>0</v>
      </c>
      <c r="AE86" s="196">
        <v>0</v>
      </c>
      <c r="AF86" s="196">
        <v>0</v>
      </c>
      <c r="AG86" s="196">
        <v>0</v>
      </c>
      <c r="AH86" s="196">
        <v>0</v>
      </c>
      <c r="AI86" s="196">
        <v>0</v>
      </c>
      <c r="AJ86" s="196">
        <v>0</v>
      </c>
      <c r="AK86" s="196">
        <v>0</v>
      </c>
      <c r="AL86" s="196">
        <v>0</v>
      </c>
    </row>
    <row r="87" spans="2:40" hidden="1" outlineLevel="1">
      <c r="B87" s="191" t="s">
        <v>152</v>
      </c>
      <c r="C87" s="150"/>
      <c r="D87" s="184"/>
      <c r="E87" s="150"/>
      <c r="F87" s="186"/>
      <c r="G87" s="196">
        <v>0</v>
      </c>
      <c r="H87" s="196">
        <v>0</v>
      </c>
      <c r="I87" s="196">
        <v>0</v>
      </c>
      <c r="J87" s="196">
        <v>0</v>
      </c>
      <c r="K87" s="196">
        <v>0</v>
      </c>
      <c r="L87" s="196">
        <v>0</v>
      </c>
      <c r="M87" s="196">
        <v>0</v>
      </c>
      <c r="N87" s="196">
        <v>0</v>
      </c>
      <c r="O87" s="196">
        <v>0</v>
      </c>
      <c r="P87" s="196">
        <v>0</v>
      </c>
      <c r="Q87" s="196">
        <v>0</v>
      </c>
      <c r="R87" s="196">
        <v>0</v>
      </c>
      <c r="S87" s="196">
        <v>0</v>
      </c>
      <c r="T87" s="196">
        <v>0</v>
      </c>
      <c r="U87" s="196">
        <v>0</v>
      </c>
      <c r="V87" s="196">
        <v>0</v>
      </c>
      <c r="W87" s="196">
        <v>0</v>
      </c>
      <c r="X87" s="196">
        <v>0</v>
      </c>
      <c r="Y87" s="196">
        <v>0</v>
      </c>
      <c r="Z87" s="196">
        <v>0</v>
      </c>
      <c r="AA87" s="196">
        <v>0</v>
      </c>
      <c r="AB87" s="196">
        <v>0</v>
      </c>
      <c r="AC87" s="196">
        <v>0</v>
      </c>
      <c r="AD87" s="196">
        <v>0</v>
      </c>
      <c r="AE87" s="196">
        <v>0</v>
      </c>
      <c r="AF87" s="196">
        <v>0</v>
      </c>
      <c r="AG87" s="196">
        <v>0</v>
      </c>
      <c r="AH87" s="196">
        <v>0</v>
      </c>
      <c r="AI87" s="196">
        <v>0</v>
      </c>
      <c r="AJ87" s="196">
        <v>0</v>
      </c>
      <c r="AK87" s="196">
        <v>0</v>
      </c>
      <c r="AL87" s="196">
        <v>0</v>
      </c>
    </row>
    <row r="88" spans="2:40" hidden="1" outlineLevel="1">
      <c r="B88" s="191" t="s">
        <v>153</v>
      </c>
      <c r="C88" s="150"/>
      <c r="D88" s="184"/>
      <c r="E88" s="150"/>
      <c r="F88" s="186"/>
      <c r="G88" s="196">
        <v>0</v>
      </c>
      <c r="H88" s="196">
        <v>0</v>
      </c>
      <c r="I88" s="196">
        <v>0</v>
      </c>
      <c r="J88" s="196">
        <v>0</v>
      </c>
      <c r="K88" s="196">
        <v>0</v>
      </c>
      <c r="L88" s="196">
        <v>0</v>
      </c>
      <c r="M88" s="196">
        <v>0</v>
      </c>
      <c r="N88" s="196">
        <v>0</v>
      </c>
      <c r="O88" s="196">
        <v>0</v>
      </c>
      <c r="P88" s="196">
        <v>0</v>
      </c>
      <c r="Q88" s="196">
        <v>0</v>
      </c>
      <c r="R88" s="196">
        <v>0</v>
      </c>
      <c r="S88" s="196">
        <v>0</v>
      </c>
      <c r="T88" s="196">
        <v>0</v>
      </c>
      <c r="U88" s="196">
        <v>0</v>
      </c>
      <c r="V88" s="196">
        <v>0</v>
      </c>
      <c r="W88" s="196">
        <v>0</v>
      </c>
      <c r="X88" s="196">
        <v>0</v>
      </c>
      <c r="Y88" s="196">
        <v>0</v>
      </c>
      <c r="Z88" s="196">
        <v>0</v>
      </c>
      <c r="AA88" s="196">
        <v>0</v>
      </c>
      <c r="AB88" s="196">
        <v>0</v>
      </c>
      <c r="AC88" s="196">
        <v>0</v>
      </c>
      <c r="AD88" s="196">
        <v>0</v>
      </c>
      <c r="AE88" s="196">
        <v>0</v>
      </c>
      <c r="AF88" s="196">
        <v>0</v>
      </c>
      <c r="AG88" s="196">
        <v>0</v>
      </c>
      <c r="AH88" s="196">
        <v>0</v>
      </c>
      <c r="AI88" s="196">
        <v>0</v>
      </c>
      <c r="AJ88" s="196">
        <v>0</v>
      </c>
      <c r="AK88" s="196">
        <v>0</v>
      </c>
      <c r="AL88" s="196">
        <v>0</v>
      </c>
    </row>
    <row r="89" spans="2:40" outlineLevel="1">
      <c r="D89" s="73"/>
    </row>
    <row r="90" spans="2:40" ht="15" outlineLevel="1">
      <c r="B90" s="3"/>
      <c r="C90" s="329"/>
      <c r="D90" s="73"/>
      <c r="E90" s="73"/>
      <c r="F90" s="73"/>
      <c r="I90" s="72"/>
      <c r="J90" s="72"/>
      <c r="K90" s="72"/>
      <c r="L90" s="72"/>
      <c r="M90" s="72"/>
      <c r="N90" s="72"/>
      <c r="O90" s="72"/>
      <c r="P90" s="72"/>
      <c r="Q90" s="72"/>
      <c r="R90" s="72"/>
      <c r="S90" s="72"/>
      <c r="T90" s="72"/>
      <c r="AN90" s="72">
        <v>17</v>
      </c>
    </row>
    <row r="91" spans="2:40" outlineLevel="1">
      <c r="C91" s="83"/>
      <c r="D91" s="73"/>
      <c r="J91" s="333"/>
      <c r="K91" s="333"/>
      <c r="L91" s="333"/>
      <c r="M91" s="333"/>
      <c r="N91" s="333"/>
      <c r="O91" s="333"/>
      <c r="P91" s="333"/>
      <c r="Q91" s="333"/>
      <c r="R91" s="333"/>
      <c r="S91" s="333"/>
      <c r="T91" s="333"/>
      <c r="U91" s="333"/>
    </row>
    <row r="92" spans="2:40" outlineLevel="1">
      <c r="D92" s="73"/>
    </row>
    <row r="93" spans="2:40" outlineLevel="1">
      <c r="B93" s="150" t="s">
        <v>244</v>
      </c>
      <c r="C93" s="150"/>
      <c r="D93" s="184"/>
    </row>
    <row r="94" spans="2:40" outlineLevel="1">
      <c r="B94" s="150" t="s">
        <v>18</v>
      </c>
      <c r="C94" s="198">
        <v>43374</v>
      </c>
      <c r="D94" s="184"/>
    </row>
    <row r="95" spans="2:40" outlineLevel="1">
      <c r="B95" s="150" t="s">
        <v>245</v>
      </c>
      <c r="C95" s="150">
        <v>37920</v>
      </c>
      <c r="D95" s="184" t="s">
        <v>246</v>
      </c>
    </row>
    <row r="96" spans="2:40" outlineLevel="1">
      <c r="B96" s="150"/>
      <c r="C96" s="150"/>
      <c r="D96" s="184"/>
    </row>
    <row r="97" spans="2:29" outlineLevel="1">
      <c r="B97" s="150" t="s">
        <v>247</v>
      </c>
      <c r="C97" s="150">
        <v>120000</v>
      </c>
      <c r="D97" s="184" t="s">
        <v>246</v>
      </c>
    </row>
    <row r="98" spans="2:29" outlineLevel="1">
      <c r="D98" s="73"/>
    </row>
    <row r="99" spans="2:29" outlineLevel="1">
      <c r="D99" s="73"/>
    </row>
    <row r="100" spans="2:29">
      <c r="D100" s="73"/>
    </row>
    <row r="101" spans="2:29" s="88" customFormat="1" ht="15">
      <c r="B101" s="89" t="s">
        <v>80</v>
      </c>
      <c r="D101" s="100"/>
    </row>
    <row r="102" spans="2:29" ht="15" outlineLevel="1">
      <c r="D102" s="94"/>
      <c r="F102" s="3" t="s">
        <v>81</v>
      </c>
      <c r="I102" s="310">
        <f>I66</f>
        <v>44651</v>
      </c>
      <c r="J102" s="310">
        <f t="shared" ref="J102:T102" si="6">J66</f>
        <v>45016</v>
      </c>
      <c r="K102" s="310">
        <f t="shared" si="6"/>
        <v>45382</v>
      </c>
      <c r="L102" s="310">
        <f t="shared" si="6"/>
        <v>45747</v>
      </c>
      <c r="M102" s="310">
        <f t="shared" si="6"/>
        <v>46112</v>
      </c>
      <c r="N102" s="310">
        <f t="shared" si="6"/>
        <v>46477</v>
      </c>
      <c r="O102" s="310">
        <f t="shared" si="6"/>
        <v>46843</v>
      </c>
      <c r="P102" s="310">
        <f t="shared" si="6"/>
        <v>47208</v>
      </c>
      <c r="Q102" s="310">
        <f t="shared" si="6"/>
        <v>47573</v>
      </c>
      <c r="R102" s="310">
        <f t="shared" si="6"/>
        <v>47938</v>
      </c>
      <c r="S102" s="310">
        <f t="shared" si="6"/>
        <v>48304</v>
      </c>
      <c r="T102" s="310">
        <f t="shared" si="6"/>
        <v>48669</v>
      </c>
    </row>
    <row r="103" spans="2:29" outlineLevel="1">
      <c r="B103" s="150" t="s">
        <v>78</v>
      </c>
      <c r="C103" s="165"/>
      <c r="D103" s="330"/>
      <c r="E103" s="150"/>
      <c r="F103" s="187"/>
      <c r="G103" s="187"/>
      <c r="H103" s="187"/>
      <c r="I103" s="187">
        <v>0.05</v>
      </c>
      <c r="J103" s="188">
        <f t="shared" ref="J103:AC103" si="7">I103</f>
        <v>0.05</v>
      </c>
      <c r="K103" s="188">
        <f t="shared" si="7"/>
        <v>0.05</v>
      </c>
      <c r="L103" s="188">
        <f t="shared" si="7"/>
        <v>0.05</v>
      </c>
      <c r="M103" s="188">
        <f t="shared" si="7"/>
        <v>0.05</v>
      </c>
      <c r="N103" s="188">
        <f t="shared" si="7"/>
        <v>0.05</v>
      </c>
      <c r="O103" s="188">
        <f t="shared" si="7"/>
        <v>0.05</v>
      </c>
      <c r="P103" s="188">
        <f t="shared" si="7"/>
        <v>0.05</v>
      </c>
      <c r="Q103" s="188">
        <f t="shared" si="7"/>
        <v>0.05</v>
      </c>
      <c r="R103" s="188">
        <f t="shared" si="7"/>
        <v>0.05</v>
      </c>
      <c r="S103" s="188">
        <f t="shared" si="7"/>
        <v>0.05</v>
      </c>
      <c r="T103" s="188">
        <f t="shared" si="7"/>
        <v>0.05</v>
      </c>
      <c r="U103" s="188">
        <f t="shared" si="7"/>
        <v>0.05</v>
      </c>
      <c r="V103" s="188">
        <f t="shared" si="7"/>
        <v>0.05</v>
      </c>
      <c r="W103" s="188">
        <f t="shared" si="7"/>
        <v>0.05</v>
      </c>
      <c r="X103" s="188">
        <f t="shared" si="7"/>
        <v>0.05</v>
      </c>
      <c r="Y103" s="188">
        <f t="shared" si="7"/>
        <v>0.05</v>
      </c>
      <c r="Z103" s="188">
        <f t="shared" si="7"/>
        <v>0.05</v>
      </c>
      <c r="AA103" s="188">
        <f t="shared" si="7"/>
        <v>0.05</v>
      </c>
      <c r="AB103" s="188">
        <f t="shared" si="7"/>
        <v>0.05</v>
      </c>
      <c r="AC103" s="188">
        <f t="shared" si="7"/>
        <v>0.05</v>
      </c>
    </row>
    <row r="104" spans="2:29" outlineLevel="1">
      <c r="B104" s="150" t="s">
        <v>79</v>
      </c>
      <c r="C104" s="165"/>
      <c r="D104" s="330"/>
      <c r="E104" s="150"/>
      <c r="F104" s="187"/>
      <c r="G104" s="187"/>
      <c r="H104" s="187"/>
      <c r="I104" s="187">
        <v>0.1</v>
      </c>
      <c r="J104" s="188">
        <f t="shared" ref="J104:AC106" si="8">I104</f>
        <v>0.1</v>
      </c>
      <c r="K104" s="188">
        <f t="shared" si="8"/>
        <v>0.1</v>
      </c>
      <c r="L104" s="188">
        <f t="shared" si="8"/>
        <v>0.1</v>
      </c>
      <c r="M104" s="188">
        <f t="shared" si="8"/>
        <v>0.1</v>
      </c>
      <c r="N104" s="188">
        <f t="shared" si="8"/>
        <v>0.1</v>
      </c>
      <c r="O104" s="188">
        <f t="shared" si="8"/>
        <v>0.1</v>
      </c>
      <c r="P104" s="188">
        <f t="shared" si="8"/>
        <v>0.1</v>
      </c>
      <c r="Q104" s="188">
        <f t="shared" si="8"/>
        <v>0.1</v>
      </c>
      <c r="R104" s="188">
        <f t="shared" si="8"/>
        <v>0.1</v>
      </c>
      <c r="S104" s="188">
        <f t="shared" si="8"/>
        <v>0.1</v>
      </c>
      <c r="T104" s="188">
        <f t="shared" si="8"/>
        <v>0.1</v>
      </c>
      <c r="U104" s="188">
        <f t="shared" si="8"/>
        <v>0.1</v>
      </c>
      <c r="V104" s="188">
        <f t="shared" si="8"/>
        <v>0.1</v>
      </c>
      <c r="W104" s="188">
        <f t="shared" si="8"/>
        <v>0.1</v>
      </c>
      <c r="X104" s="188">
        <f t="shared" si="8"/>
        <v>0.1</v>
      </c>
      <c r="Y104" s="188">
        <f t="shared" si="8"/>
        <v>0.1</v>
      </c>
      <c r="Z104" s="188">
        <f t="shared" si="8"/>
        <v>0.1</v>
      </c>
      <c r="AA104" s="188">
        <f t="shared" si="8"/>
        <v>0.1</v>
      </c>
      <c r="AB104" s="188">
        <f t="shared" si="8"/>
        <v>0.1</v>
      </c>
      <c r="AC104" s="188">
        <f t="shared" si="8"/>
        <v>0.1</v>
      </c>
    </row>
    <row r="105" spans="2:29" outlineLevel="1">
      <c r="B105" s="150" t="s">
        <v>69</v>
      </c>
      <c r="C105" s="165"/>
      <c r="D105" s="330"/>
      <c r="E105" s="150"/>
      <c r="F105" s="187"/>
      <c r="G105" s="187"/>
      <c r="H105" s="187"/>
      <c r="I105" s="187">
        <f>I103</f>
        <v>0.05</v>
      </c>
      <c r="J105" s="188">
        <f t="shared" si="8"/>
        <v>0.05</v>
      </c>
      <c r="K105" s="188">
        <f t="shared" si="8"/>
        <v>0.05</v>
      </c>
      <c r="L105" s="188">
        <f t="shared" si="8"/>
        <v>0.05</v>
      </c>
      <c r="M105" s="188">
        <f t="shared" si="8"/>
        <v>0.05</v>
      </c>
      <c r="N105" s="188">
        <f t="shared" si="8"/>
        <v>0.05</v>
      </c>
      <c r="O105" s="188">
        <f t="shared" si="8"/>
        <v>0.05</v>
      </c>
      <c r="P105" s="188">
        <f t="shared" si="8"/>
        <v>0.05</v>
      </c>
      <c r="Q105" s="188">
        <f t="shared" si="8"/>
        <v>0.05</v>
      </c>
      <c r="R105" s="188">
        <f t="shared" si="8"/>
        <v>0.05</v>
      </c>
      <c r="S105" s="188">
        <f t="shared" si="8"/>
        <v>0.05</v>
      </c>
      <c r="T105" s="188">
        <f t="shared" si="8"/>
        <v>0.05</v>
      </c>
      <c r="U105" s="188">
        <f t="shared" si="8"/>
        <v>0.05</v>
      </c>
      <c r="V105" s="188">
        <f t="shared" si="8"/>
        <v>0.05</v>
      </c>
      <c r="W105" s="188">
        <f t="shared" si="8"/>
        <v>0.05</v>
      </c>
      <c r="X105" s="188">
        <f t="shared" si="8"/>
        <v>0.05</v>
      </c>
      <c r="Y105" s="188">
        <f t="shared" si="8"/>
        <v>0.05</v>
      </c>
      <c r="Z105" s="188">
        <f t="shared" si="8"/>
        <v>0.05</v>
      </c>
      <c r="AA105" s="188">
        <f t="shared" si="8"/>
        <v>0.05</v>
      </c>
      <c r="AB105" s="188">
        <f t="shared" si="8"/>
        <v>0.05</v>
      </c>
      <c r="AC105" s="188">
        <f t="shared" si="8"/>
        <v>0.05</v>
      </c>
    </row>
    <row r="106" spans="2:29" outlineLevel="1">
      <c r="B106" s="150" t="s">
        <v>253</v>
      </c>
      <c r="C106" s="165"/>
      <c r="D106" s="330"/>
      <c r="E106" s="150"/>
      <c r="F106" s="187"/>
      <c r="G106" s="187"/>
      <c r="H106" s="187"/>
      <c r="I106" s="187">
        <v>0.05</v>
      </c>
      <c r="J106" s="188">
        <f t="shared" si="8"/>
        <v>0.05</v>
      </c>
      <c r="K106" s="188">
        <f t="shared" si="8"/>
        <v>0.05</v>
      </c>
      <c r="L106" s="188">
        <f t="shared" si="8"/>
        <v>0.05</v>
      </c>
      <c r="M106" s="188">
        <f t="shared" si="8"/>
        <v>0.05</v>
      </c>
      <c r="N106" s="188">
        <f t="shared" si="8"/>
        <v>0.05</v>
      </c>
      <c r="O106" s="188">
        <f t="shared" si="8"/>
        <v>0.05</v>
      </c>
      <c r="P106" s="188">
        <f t="shared" si="8"/>
        <v>0.05</v>
      </c>
      <c r="Q106" s="188">
        <f t="shared" si="8"/>
        <v>0.05</v>
      </c>
      <c r="R106" s="188">
        <f t="shared" si="8"/>
        <v>0.05</v>
      </c>
      <c r="S106" s="188">
        <f t="shared" si="8"/>
        <v>0.05</v>
      </c>
      <c r="T106" s="188">
        <f t="shared" si="8"/>
        <v>0.05</v>
      </c>
      <c r="U106" s="188">
        <f t="shared" si="8"/>
        <v>0.05</v>
      </c>
      <c r="V106" s="188">
        <f t="shared" si="8"/>
        <v>0.05</v>
      </c>
      <c r="W106" s="188">
        <f t="shared" si="8"/>
        <v>0.05</v>
      </c>
      <c r="X106" s="188">
        <f t="shared" si="8"/>
        <v>0.05</v>
      </c>
      <c r="Y106" s="188">
        <f t="shared" si="8"/>
        <v>0.05</v>
      </c>
      <c r="Z106" s="188">
        <f t="shared" si="8"/>
        <v>0.05</v>
      </c>
      <c r="AA106" s="188">
        <f t="shared" si="8"/>
        <v>0.05</v>
      </c>
      <c r="AB106" s="188">
        <f t="shared" si="8"/>
        <v>0.05</v>
      </c>
      <c r="AC106" s="188">
        <f t="shared" si="8"/>
        <v>0.05</v>
      </c>
    </row>
    <row r="107" spans="2:29" outlineLevel="1"/>
    <row r="108" spans="2:29" outlineLevel="1">
      <c r="C108" s="36"/>
      <c r="D108" s="308"/>
    </row>
    <row r="110" spans="2:29" s="88" customFormat="1" ht="15">
      <c r="B110" s="89" t="s">
        <v>82</v>
      </c>
      <c r="C110" s="89" t="s">
        <v>293</v>
      </c>
    </row>
    <row r="111" spans="2:29" ht="15">
      <c r="B111" s="178" t="s">
        <v>83</v>
      </c>
      <c r="C111" s="287" t="s">
        <v>292</v>
      </c>
    </row>
    <row r="112" spans="2:29" outlineLevel="1">
      <c r="B112" s="200">
        <f>DATE(2021,3,31)</f>
        <v>44286</v>
      </c>
      <c r="C112" s="300">
        <v>0</v>
      </c>
      <c r="D112" s="72"/>
    </row>
    <row r="113" spans="1:5" outlineLevel="1">
      <c r="B113" s="200">
        <f>EOMONTH(B112,12)</f>
        <v>44651</v>
      </c>
      <c r="C113" s="300">
        <v>0</v>
      </c>
    </row>
    <row r="114" spans="1:5" outlineLevel="1">
      <c r="B114" s="200">
        <f>EOMONTH(B113,12)</f>
        <v>45016</v>
      </c>
      <c r="C114" s="300">
        <f>200</f>
        <v>200</v>
      </c>
      <c r="D114" s="72"/>
    </row>
    <row r="115" spans="1:5" outlineLevel="1">
      <c r="B115" s="200">
        <f t="shared" ref="B115:B124" si="9">EOMONTH(B114,12)</f>
        <v>45382</v>
      </c>
      <c r="C115" s="300">
        <v>1.5</v>
      </c>
    </row>
    <row r="116" spans="1:5" outlineLevel="1">
      <c r="B116" s="200">
        <f t="shared" si="9"/>
        <v>45747</v>
      </c>
      <c r="C116" s="300">
        <v>1.6861321802701068</v>
      </c>
    </row>
    <row r="117" spans="1:5" outlineLevel="1">
      <c r="B117" s="201">
        <f t="shared" si="9"/>
        <v>46112</v>
      </c>
      <c r="C117" s="301">
        <v>1.7485815202801107</v>
      </c>
    </row>
    <row r="118" spans="1:5" outlineLevel="1">
      <c r="B118" s="201">
        <f t="shared" si="9"/>
        <v>46477</v>
      </c>
      <c r="C118" s="301">
        <v>1.4237689515009073</v>
      </c>
    </row>
    <row r="119" spans="1:5" outlineLevel="1">
      <c r="B119" s="201">
        <f t="shared" si="9"/>
        <v>46843</v>
      </c>
      <c r="C119" s="301">
        <f>(1.1*131.5*1.05^5)/2</f>
        <v>92.307064007812514</v>
      </c>
    </row>
    <row r="120" spans="1:5" outlineLevel="1">
      <c r="B120" s="201">
        <f t="shared" si="9"/>
        <v>47208</v>
      </c>
      <c r="C120" s="301">
        <f>(1.1*131.5*1.05^6)/2</f>
        <v>96.922417208203129</v>
      </c>
    </row>
    <row r="121" spans="1:5" outlineLevel="1">
      <c r="B121" s="201">
        <f t="shared" si="9"/>
        <v>47573</v>
      </c>
      <c r="C121" s="301">
        <v>1.5</v>
      </c>
    </row>
    <row r="122" spans="1:5" outlineLevel="1">
      <c r="B122" s="200">
        <f t="shared" si="9"/>
        <v>47938</v>
      </c>
      <c r="C122" s="300">
        <v>2.6353106088003768</v>
      </c>
    </row>
    <row r="123" spans="1:5" outlineLevel="1">
      <c r="B123" s="200">
        <f t="shared" si="9"/>
        <v>48304</v>
      </c>
      <c r="C123" s="300">
        <v>0</v>
      </c>
    </row>
    <row r="124" spans="1:5" outlineLevel="1">
      <c r="B124" s="200">
        <f t="shared" si="9"/>
        <v>48669</v>
      </c>
      <c r="C124" s="301">
        <f>(1.1*131.5*1.05^10)/2</f>
        <v>117.80980388167846</v>
      </c>
    </row>
    <row r="125" spans="1:5" outlineLevel="1">
      <c r="C125" s="72"/>
    </row>
    <row r="126" spans="1:5" ht="15" outlineLevel="1">
      <c r="A126" s="88"/>
      <c r="B126" s="89" t="s">
        <v>316</v>
      </c>
      <c r="C126" s="89"/>
      <c r="D126" s="88"/>
      <c r="E126" s="88"/>
    </row>
    <row r="127" spans="1:5" outlineLevel="1"/>
    <row r="128" spans="1:5" ht="15" outlineLevel="1">
      <c r="B128" s="343">
        <f>B114</f>
        <v>45016</v>
      </c>
      <c r="C128" s="300">
        <v>43.43</v>
      </c>
    </row>
    <row r="129" spans="2:7" outlineLevel="1"/>
    <row r="130" spans="2:7" outlineLevel="1"/>
    <row r="131" spans="2:7" outlineLevel="1"/>
    <row r="132" spans="2:7">
      <c r="B132" s="13"/>
    </row>
    <row r="133" spans="2:7" s="88" customFormat="1" ht="15">
      <c r="B133" s="102" t="s">
        <v>76</v>
      </c>
    </row>
    <row r="134" spans="2:7" ht="15" outlineLevel="1">
      <c r="B134" s="3" t="s">
        <v>286</v>
      </c>
      <c r="C134" s="325">
        <v>1136.19</v>
      </c>
    </row>
    <row r="135" spans="2:7" ht="15" outlineLevel="1">
      <c r="B135" s="3"/>
    </row>
    <row r="136" spans="2:7" ht="15" outlineLevel="1">
      <c r="B136" s="3" t="s">
        <v>205</v>
      </c>
    </row>
    <row r="137" spans="2:7" outlineLevel="1">
      <c r="B137" s="150" t="s">
        <v>204</v>
      </c>
      <c r="C137" s="186">
        <v>9.5000000000000001E-2</v>
      </c>
    </row>
    <row r="138" spans="2:7" outlineLevel="1">
      <c r="B138" s="150" t="s">
        <v>133</v>
      </c>
      <c r="C138" s="186">
        <v>1E-4</v>
      </c>
    </row>
    <row r="141" spans="2:7" s="88" customFormat="1" ht="15">
      <c r="B141" s="102" t="s">
        <v>228</v>
      </c>
    </row>
    <row r="142" spans="2:7" ht="15" outlineLevel="1">
      <c r="B142" s="3" t="s">
        <v>228</v>
      </c>
    </row>
    <row r="143" spans="2:7" outlineLevel="1">
      <c r="B143" s="202" t="s">
        <v>269</v>
      </c>
      <c r="C143" s="203">
        <f>DATE(2021,4,1)</f>
        <v>44287</v>
      </c>
      <c r="D143" s="202"/>
      <c r="G143" s="83"/>
    </row>
    <row r="144" spans="2:7" outlineLevel="1">
      <c r="B144" s="202" t="s">
        <v>232</v>
      </c>
      <c r="C144" s="204">
        <f>IF(MONTH(C143)&lt;=3,DATE(YEAR(C143),3,31),DATE(YEAR(C143)+1,3,31))</f>
        <v>44651</v>
      </c>
      <c r="D144" s="202"/>
      <c r="G144" s="74"/>
    </row>
    <row r="145" spans="2:7" outlineLevel="1">
      <c r="B145" s="202" t="s">
        <v>232</v>
      </c>
      <c r="C145" s="203">
        <f>EOMONTH(C144,9*12)</f>
        <v>47938</v>
      </c>
      <c r="D145" s="202"/>
      <c r="G145" s="74"/>
    </row>
    <row r="146" spans="2:7" outlineLevel="1">
      <c r="B146" s="202" t="s">
        <v>103</v>
      </c>
      <c r="C146" s="205">
        <f>(30%*(1+12%))*(1+4%)</f>
        <v>0.34944000000000003</v>
      </c>
      <c r="D146" s="202"/>
    </row>
    <row r="147" spans="2:7" outlineLevel="1">
      <c r="B147" s="202" t="s">
        <v>229</v>
      </c>
      <c r="C147" s="205">
        <f>18.5%*(1+12%)*(1+4%)</f>
        <v>0.21548800000000004</v>
      </c>
      <c r="D147" s="202"/>
    </row>
    <row r="148" spans="2:7" outlineLevel="1">
      <c r="B148" s="202" t="s">
        <v>230</v>
      </c>
      <c r="C148" s="206">
        <v>15</v>
      </c>
      <c r="D148" s="202" t="s">
        <v>231</v>
      </c>
      <c r="G148" s="74"/>
    </row>
    <row r="149" spans="2:7" outlineLevel="1">
      <c r="B149" s="150" t="s">
        <v>238</v>
      </c>
      <c r="C149" s="207">
        <v>0.2056</v>
      </c>
      <c r="D149" s="150"/>
    </row>
  </sheetData>
  <mergeCells count="1">
    <mergeCell ref="B1:E1"/>
  </mergeCells>
  <dataValidations disablePrompts="1"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R24"/>
  <sheetViews>
    <sheetView showGridLines="0" zoomScaleNormal="100" workbookViewId="0">
      <pane ySplit="2" topLeftCell="A3" activePane="bottomLeft" state="frozen"/>
      <selection pane="bottomLeft" activeCell="G13" sqref="G13"/>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14" width="9.5703125" style="1" bestFit="1" customWidth="1"/>
    <col min="15" max="15" width="9.140625" style="1" bestFit="1" customWidth="1"/>
    <col min="16" max="16" width="9.5703125" style="1" bestFit="1" customWidth="1"/>
    <col min="17" max="17" width="10.42578125" style="1" bestFit="1" customWidth="1"/>
    <col min="18" max="16384" width="9.140625" style="1"/>
  </cols>
  <sheetData>
    <row r="1" spans="1:18" ht="15">
      <c r="B1" s="38" t="s">
        <v>184</v>
      </c>
      <c r="C1" s="30"/>
      <c r="D1" s="7"/>
      <c r="E1" s="7">
        <v>44286</v>
      </c>
      <c r="F1" s="7">
        <f t="shared" ref="F1:R1" si="0">EOMONTH(E1,12)</f>
        <v>44651</v>
      </c>
      <c r="G1" s="7">
        <f t="shared" si="0"/>
        <v>45016</v>
      </c>
      <c r="H1" s="7">
        <f t="shared" si="0"/>
        <v>45382</v>
      </c>
      <c r="I1" s="7">
        <f t="shared" si="0"/>
        <v>45747</v>
      </c>
      <c r="J1" s="7">
        <f t="shared" si="0"/>
        <v>46112</v>
      </c>
      <c r="K1" s="7">
        <f t="shared" si="0"/>
        <v>46477</v>
      </c>
      <c r="L1" s="7">
        <f t="shared" si="0"/>
        <v>46843</v>
      </c>
      <c r="M1" s="7">
        <f t="shared" si="0"/>
        <v>47208</v>
      </c>
      <c r="N1" s="7">
        <f t="shared" si="0"/>
        <v>47573</v>
      </c>
      <c r="O1" s="7">
        <f t="shared" si="0"/>
        <v>47938</v>
      </c>
      <c r="P1" s="7">
        <f t="shared" si="0"/>
        <v>48304</v>
      </c>
      <c r="Q1" s="7">
        <f t="shared" si="0"/>
        <v>48669</v>
      </c>
      <c r="R1" s="7">
        <f t="shared" si="0"/>
        <v>49034</v>
      </c>
    </row>
    <row r="2" spans="1:18" ht="15.75" thickBot="1">
      <c r="B2" s="39" t="s">
        <v>202</v>
      </c>
      <c r="C2" s="31"/>
      <c r="D2" s="71"/>
      <c r="E2" s="71">
        <f>IF(YEAR(E$1)&lt;=YEAR([187]Input!$E$22),IF(MOD(YEAR(E1),4)=0,366,365),0)</f>
        <v>365</v>
      </c>
      <c r="F2" s="71">
        <f>IF(YEAR(F$1)&lt;=YEAR([187]Input!$E$22),IF(MOD(YEAR(F1),4)=0,366,365),0)</f>
        <v>365</v>
      </c>
      <c r="G2" s="71">
        <f>IF(YEAR(G$1)&lt;=YEAR([187]Input!$E$22),IF(MOD(YEAR(G1),4)=0,366,365),0)</f>
        <v>365</v>
      </c>
      <c r="H2" s="71">
        <f>IF(YEAR(H$1)&lt;=YEAR([187]Input!$E$22),IF(MOD(YEAR(H1),4)=0,366,365),0)</f>
        <v>366</v>
      </c>
      <c r="I2" s="71">
        <f>IF(YEAR(I$1)&lt;=YEAR([187]Input!$E$22),IF(MOD(YEAR(I1),4)=0,366,365),0)</f>
        <v>365</v>
      </c>
      <c r="J2" s="71">
        <f>IF(YEAR(J$1)&lt;=YEAR([187]Input!$E$22),IF(MOD(YEAR(J1),4)=0,366,365),0)</f>
        <v>365</v>
      </c>
      <c r="K2" s="71">
        <f>IF(YEAR(K$1)&lt;=YEAR([187]Input!$E$22),IF(MOD(YEAR(K1),4)=0,366,365),0)</f>
        <v>365</v>
      </c>
      <c r="L2" s="71">
        <f>IF(YEAR(L$1)&lt;=YEAR([187]Input!$E$22),IF(MOD(YEAR(L1),4)=0,366,365),0)</f>
        <v>366</v>
      </c>
      <c r="M2" s="71">
        <f>IF(YEAR(M$1)&lt;=YEAR([187]Input!$E$22),IF(MOD(YEAR(M1),4)=0,366,365),0)</f>
        <v>365</v>
      </c>
      <c r="N2" s="71">
        <f>IF(YEAR(N$1)&lt;=YEAR([187]Input!$E$22),IF(MOD(YEAR(N1),4)=0,366,365),0)</f>
        <v>365</v>
      </c>
      <c r="O2" s="71">
        <f>IF(YEAR(O$1)&lt;=YEAR([187]Input!$E$22),IF(MOD(YEAR(O1),4)=0,366,365),0)</f>
        <v>365</v>
      </c>
      <c r="P2" s="71">
        <f>IF(YEAR(P$1)&lt;=YEAR([187]Input!$E$22),IF(MOD(YEAR(P1),4)=0,366,365),0)</f>
        <v>366</v>
      </c>
      <c r="Q2" s="71">
        <f>IF(YEAR(Q$1)&lt;=YEAR([187]Input!$E$22),IF(MOD(YEAR(Q1),4)=0,366,365),0)</f>
        <v>365</v>
      </c>
      <c r="R2" s="71">
        <f>IF(YEAR(R$1)&lt;=YEAR([187]Input!$E$22),IF(MOD(YEAR(R1),4)=0,366,365),0)</f>
        <v>365</v>
      </c>
    </row>
    <row r="6" spans="1:18" ht="15">
      <c r="B6" s="28" t="s">
        <v>291</v>
      </c>
    </row>
    <row r="7" spans="1:18" ht="15">
      <c r="D7" s="302"/>
      <c r="E7" s="302"/>
      <c r="F7" s="302">
        <v>44742</v>
      </c>
      <c r="G7" s="302">
        <f t="shared" ref="G7:Q7" si="1">G1</f>
        <v>45016</v>
      </c>
      <c r="H7" s="302">
        <f t="shared" si="1"/>
        <v>45382</v>
      </c>
      <c r="I7" s="302">
        <f t="shared" si="1"/>
        <v>45747</v>
      </c>
      <c r="J7" s="302">
        <f t="shared" si="1"/>
        <v>46112</v>
      </c>
      <c r="K7" s="302">
        <f t="shared" si="1"/>
        <v>46477</v>
      </c>
      <c r="L7" s="302">
        <f t="shared" si="1"/>
        <v>46843</v>
      </c>
      <c r="M7" s="302">
        <f t="shared" si="1"/>
        <v>47208</v>
      </c>
      <c r="N7" s="302">
        <f t="shared" si="1"/>
        <v>47573</v>
      </c>
      <c r="O7" s="302">
        <f t="shared" si="1"/>
        <v>47938</v>
      </c>
      <c r="P7" s="302">
        <f t="shared" si="1"/>
        <v>48304</v>
      </c>
      <c r="Q7" s="302">
        <f t="shared" si="1"/>
        <v>48669</v>
      </c>
      <c r="R7" s="302">
        <f>R1</f>
        <v>49034</v>
      </c>
    </row>
    <row r="8" spans="1:18">
      <c r="B8" s="150" t="s">
        <v>294</v>
      </c>
      <c r="C8" s="150"/>
      <c r="D8" s="195"/>
      <c r="E8" s="195"/>
      <c r="F8" s="195"/>
      <c r="G8" s="195">
        <f>Financials!H9*3/4</f>
        <v>154.829745</v>
      </c>
      <c r="H8" s="195">
        <f>Financials!I9</f>
        <v>220.55098199999998</v>
      </c>
      <c r="I8" s="195">
        <f>Financials!J9</f>
        <v>234.87496063560056</v>
      </c>
      <c r="J8" s="195">
        <f>Financials!K9</f>
        <v>248.87907897320059</v>
      </c>
      <c r="K8" s="195">
        <f>Financials!L9</f>
        <v>264.11585652546398</v>
      </c>
      <c r="L8" s="195">
        <f>Financials!M9</f>
        <v>278.60885760310134</v>
      </c>
      <c r="M8" s="195">
        <f>Financials!N9</f>
        <v>288.41011723303768</v>
      </c>
      <c r="N8" s="195">
        <f>Financials!O9</f>
        <v>302.74160185867856</v>
      </c>
      <c r="O8" s="195">
        <f>Financials!P9</f>
        <v>321.70018075777182</v>
      </c>
      <c r="P8" s="195">
        <f>Financials!Q9</f>
        <v>340.72081115686495</v>
      </c>
      <c r="Q8" s="195">
        <f>Financials!R9</f>
        <v>356.21071875777176</v>
      </c>
      <c r="R8" s="195">
        <f>Financials!S9</f>
        <v>17.542400999999998</v>
      </c>
    </row>
    <row r="9" spans="1:18">
      <c r="B9" s="150" t="s">
        <v>295</v>
      </c>
      <c r="C9" s="150"/>
      <c r="D9" s="195"/>
      <c r="E9" s="195"/>
      <c r="F9" s="195"/>
      <c r="G9" s="195">
        <f>SUM(Financials!H14:H17)*-1*3/4</f>
        <v>-34.062131168973508</v>
      </c>
      <c r="H9" s="195">
        <f>SUM(Financials!I14:I17)*-1</f>
        <v>-48.224861334062915</v>
      </c>
      <c r="I9" s="195">
        <f>SUM(Financials!J14:J17)*-1</f>
        <v>-51.227769868016061</v>
      </c>
      <c r="J9" s="195">
        <f>SUM(Financials!K14:K17)*-1</f>
        <v>-54.439990375391872</v>
      </c>
      <c r="K9" s="195">
        <f>SUM(Financials!L14:L17)*-1</f>
        <v>-57.87790510953397</v>
      </c>
      <c r="L9" s="195">
        <f>SUM(Financials!M14:M17)*-1</f>
        <v>-61.559307101920425</v>
      </c>
      <c r="M9" s="195">
        <f>SUM(Financials!N14:N17)*-1</f>
        <v>-65.503529867617161</v>
      </c>
      <c r="N9" s="195">
        <f>SUM(Financials!O14:O17)*-1</f>
        <v>-69.731589512658829</v>
      </c>
      <c r="O9" s="195">
        <f>SUM(Financials!P14:P17)*-1</f>
        <v>-74.266340455118652</v>
      </c>
      <c r="P9" s="195">
        <f>SUM(Financials!Q14:Q17)*-1</f>
        <v>-79.132646091384146</v>
      </c>
      <c r="Q9" s="195">
        <f>SUM(Financials!R14:R17)*-1</f>
        <v>-84.357565870813886</v>
      </c>
      <c r="R9" s="195">
        <f>SUM(Financials!S14:S17)*-1</f>
        <v>-4.1904096618463553</v>
      </c>
    </row>
    <row r="10" spans="1:18">
      <c r="B10" s="150" t="s">
        <v>318</v>
      </c>
      <c r="C10" s="150"/>
      <c r="D10" s="195"/>
      <c r="E10" s="195"/>
      <c r="F10" s="195"/>
      <c r="G10" s="195">
        <f>Financials!H31*-1</f>
        <v>-43.43</v>
      </c>
      <c r="H10" s="195"/>
      <c r="I10" s="195"/>
      <c r="J10" s="195"/>
      <c r="K10" s="195"/>
      <c r="L10" s="195"/>
      <c r="M10" s="195"/>
      <c r="N10" s="195"/>
      <c r="O10" s="195"/>
      <c r="P10" s="195"/>
      <c r="Q10" s="195"/>
      <c r="R10" s="195"/>
    </row>
    <row r="11" spans="1:18">
      <c r="B11" s="150" t="s">
        <v>220</v>
      </c>
      <c r="C11" s="150"/>
      <c r="D11" s="195"/>
      <c r="E11" s="195"/>
      <c r="F11" s="195"/>
      <c r="G11" s="195">
        <f>'Other Schedules'!L111*-1</f>
        <v>-243.43</v>
      </c>
      <c r="H11" s="195">
        <f>'Other Schedules'!M111*-1</f>
        <v>-1.5</v>
      </c>
      <c r="I11" s="195">
        <f>'Other Schedules'!N111*-1</f>
        <v>-1.6861321802701068</v>
      </c>
      <c r="J11" s="195">
        <f>'Other Schedules'!O111*-1</f>
        <v>-1.7485815202801107</v>
      </c>
      <c r="K11" s="195">
        <f>'Other Schedules'!P111*-1</f>
        <v>-1.4237689515009073</v>
      </c>
      <c r="L11" s="195">
        <f>'Other Schedules'!Q111*-1</f>
        <v>-92.307064007812514</v>
      </c>
      <c r="M11" s="195">
        <f>'Other Schedules'!R111*-1</f>
        <v>-96.922417208203129</v>
      </c>
      <c r="N11" s="195">
        <f>'Other Schedules'!S111*-1</f>
        <v>-1.5</v>
      </c>
      <c r="O11" s="195">
        <f>'Other Schedules'!T111*-1</f>
        <v>-2.6353106088003768</v>
      </c>
      <c r="P11" s="195">
        <f>'Other Schedules'!U111*-1</f>
        <v>0</v>
      </c>
      <c r="Q11" s="195">
        <f>'Other Schedules'!V111*-1</f>
        <v>-117.80980388167846</v>
      </c>
      <c r="R11" s="195">
        <f>'Other Schedules'!W111*-1</f>
        <v>0</v>
      </c>
    </row>
    <row r="12" spans="1:18">
      <c r="A12" s="1">
        <v>1</v>
      </c>
      <c r="B12" s="150" t="s">
        <v>302</v>
      </c>
      <c r="C12" s="150"/>
      <c r="D12" s="195"/>
      <c r="E12" s="195"/>
      <c r="F12" s="195"/>
      <c r="G12" s="195"/>
      <c r="H12" s="195"/>
      <c r="I12" s="195">
        <f xml:space="preserve"> -1 * SUM('Other Schedules'!N$123:N$124)*$A$12</f>
        <v>-37.131460593343235</v>
      </c>
      <c r="J12" s="195">
        <f xml:space="preserve"> -1 * SUM('Other Schedules'!O$123:O$124)*$A$12</f>
        <v>-37.06901125333323</v>
      </c>
      <c r="K12" s="195">
        <f xml:space="preserve"> -1 * SUM('Other Schedules'!P$123:P$124)*$A$12</f>
        <v>-37.393823822112438</v>
      </c>
      <c r="L12" s="195">
        <f xml:space="preserve"> -1 * SUM('Other Schedules'!Q$123:Q$124)*$A$12</f>
        <v>53.489471234199172</v>
      </c>
      <c r="M12" s="195">
        <f xml:space="preserve"> -1 * SUM('Other Schedules'!R$123:R$124)*$A$12</f>
        <v>58.104824434589787</v>
      </c>
      <c r="N12" s="195">
        <f xml:space="preserve"> -1 * SUM('Other Schedules'!S$123:S$124)*$A$12</f>
        <v>-28.986278622619693</v>
      </c>
      <c r="O12" s="195">
        <f xml:space="preserve"> -1 * SUM('Other Schedules'!T$123:T$124)*$A$12</f>
        <v>-27.850968013819315</v>
      </c>
      <c r="P12" s="195">
        <f xml:space="preserve"> -1 * SUM('Other Schedules'!U$123:U$124)*$A$12</f>
        <v>-30.48627862261975</v>
      </c>
      <c r="Q12" s="195">
        <f xml:space="preserve"> -1 * SUM('Other Schedules'!V$123:V$124)*$A$12</f>
        <v>87.323525259058769</v>
      </c>
      <c r="R12" s="195">
        <f xml:space="preserve"> -1 * SUM('Other Schedules'!W$123:W$124)*$A$12</f>
        <v>0</v>
      </c>
    </row>
    <row r="13" spans="1:18">
      <c r="B13" s="150" t="s">
        <v>307</v>
      </c>
      <c r="C13" s="150"/>
      <c r="D13" s="195"/>
      <c r="E13" s="195"/>
      <c r="F13" s="195"/>
      <c r="G13" s="195">
        <f>SUM(Financials!H92:H95)</f>
        <v>-34.844269177000001</v>
      </c>
      <c r="H13" s="195">
        <f>SUM(Financials!I92:I95)</f>
        <v>0</v>
      </c>
      <c r="I13" s="195">
        <f>SUM(Financials!J92:J95)</f>
        <v>0</v>
      </c>
      <c r="J13" s="195">
        <f>SUM(Financials!K92:K95)</f>
        <v>0</v>
      </c>
      <c r="K13" s="195">
        <f>SUM(Financials!L92:L95)</f>
        <v>0</v>
      </c>
      <c r="L13" s="195">
        <f>SUM(Financials!M92:M95)</f>
        <v>0</v>
      </c>
      <c r="M13" s="195">
        <f>SUM(Financials!N92:N95)</f>
        <v>0</v>
      </c>
      <c r="N13" s="195">
        <f>SUM(Financials!O92:O95)</f>
        <v>0</v>
      </c>
      <c r="O13" s="195">
        <f>SUM(Financials!P92:P95)</f>
        <v>0</v>
      </c>
      <c r="P13" s="195">
        <f>SUM(Financials!Q92:Q95)</f>
        <v>0</v>
      </c>
      <c r="Q13" s="195">
        <f>SUM(Financials!R92:R95)+7.64</f>
        <v>-9.9161544920000075</v>
      </c>
      <c r="R13" s="195">
        <f>SUM(Financials!S92:S95)</f>
        <v>0</v>
      </c>
    </row>
    <row r="14" spans="1:18" ht="15">
      <c r="B14" s="156" t="s">
        <v>296</v>
      </c>
      <c r="C14" s="150"/>
      <c r="D14" s="195">
        <v>0</v>
      </c>
      <c r="E14" s="213">
        <f t="shared" ref="E14:R14" si="2">SUM(E8:E13)</f>
        <v>0</v>
      </c>
      <c r="F14" s="213">
        <f t="shared" si="2"/>
        <v>0</v>
      </c>
      <c r="G14" s="213">
        <f t="shared" si="2"/>
        <v>-200.93665534597352</v>
      </c>
      <c r="H14" s="213">
        <f t="shared" si="2"/>
        <v>170.82612066593705</v>
      </c>
      <c r="I14" s="213">
        <f t="shared" si="2"/>
        <v>144.82959799397116</v>
      </c>
      <c r="J14" s="213">
        <f t="shared" si="2"/>
        <v>155.62149582419539</v>
      </c>
      <c r="K14" s="213">
        <f t="shared" si="2"/>
        <v>167.42035864231667</v>
      </c>
      <c r="L14" s="213">
        <f t="shared" si="2"/>
        <v>178.23195772756759</v>
      </c>
      <c r="M14" s="213">
        <f t="shared" si="2"/>
        <v>184.08899459180719</v>
      </c>
      <c r="N14" s="213">
        <f t="shared" si="2"/>
        <v>202.52373372340003</v>
      </c>
      <c r="O14" s="213">
        <f t="shared" si="2"/>
        <v>216.94756168003346</v>
      </c>
      <c r="P14" s="213">
        <f t="shared" si="2"/>
        <v>231.10188644286103</v>
      </c>
      <c r="Q14" s="213">
        <f t="shared" si="2"/>
        <v>231.4507197723382</v>
      </c>
      <c r="R14" s="213">
        <f t="shared" si="2"/>
        <v>13.351991338153642</v>
      </c>
    </row>
    <row r="15" spans="1:18" ht="15">
      <c r="B15" s="3"/>
      <c r="C15" s="3"/>
      <c r="D15" s="41"/>
      <c r="E15" s="41"/>
      <c r="F15" s="41"/>
      <c r="G15" s="41"/>
      <c r="H15" s="41"/>
      <c r="I15" s="41"/>
      <c r="J15" s="41"/>
      <c r="K15" s="41"/>
      <c r="L15" s="41"/>
      <c r="M15" s="41"/>
      <c r="N15" s="41"/>
      <c r="O15" s="41"/>
      <c r="P15" s="41"/>
      <c r="Q15" s="41"/>
    </row>
    <row r="16" spans="1:18" ht="15">
      <c r="B16" s="3" t="s">
        <v>309</v>
      </c>
      <c r="C16" s="340">
        <v>13</v>
      </c>
    </row>
    <row r="17" spans="2:18" ht="15">
      <c r="B17" s="334"/>
      <c r="C17" s="335" t="s">
        <v>310</v>
      </c>
      <c r="D17" s="336" t="s">
        <v>311</v>
      </c>
      <c r="E17" s="72"/>
      <c r="F17" s="72"/>
      <c r="G17" s="72"/>
      <c r="H17" s="72"/>
      <c r="I17" s="72"/>
      <c r="J17" s="72"/>
      <c r="K17" s="72"/>
      <c r="L17" s="72"/>
      <c r="M17" s="72"/>
      <c r="N17" s="72"/>
      <c r="O17" s="72"/>
      <c r="P17" s="72"/>
      <c r="Q17" s="72"/>
      <c r="R17" s="72"/>
    </row>
    <row r="18" spans="2:18" ht="15">
      <c r="B18" s="338" t="s">
        <v>317</v>
      </c>
      <c r="C18" s="337">
        <f>XNPV(C16%,F14:R14,F7:R7)</f>
        <v>707.14704684674803</v>
      </c>
      <c r="D18" s="337">
        <f>XNPV(C16%,F14:O14,F7:O7)</f>
        <v>571.71565844449185</v>
      </c>
    </row>
    <row r="19" spans="2:18">
      <c r="C19" s="332"/>
    </row>
    <row r="20" spans="2:18">
      <c r="B20" s="1" t="s">
        <v>313</v>
      </c>
      <c r="C20" s="72">
        <v>2145.3769381420943</v>
      </c>
    </row>
    <row r="21" spans="2:18">
      <c r="B21" s="1" t="s">
        <v>314</v>
      </c>
      <c r="C21" s="333">
        <f>C18/C20</f>
        <v>0.32961436019683349</v>
      </c>
    </row>
    <row r="22" spans="2:18">
      <c r="C22" s="333"/>
    </row>
    <row r="24" spans="2:18">
      <c r="C24" s="7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M342"/>
  <sheetViews>
    <sheetView showGridLines="0" workbookViewId="0">
      <pane xSplit="2" ySplit="3" topLeftCell="C246" activePane="bottomRight" state="frozen"/>
      <selection pane="topRight" activeCell="C1" sqref="C1"/>
      <selection pane="bottomLeft" activeCell="A4" sqref="A4"/>
      <selection pane="bottomRight" activeCell="B12" sqref="B12"/>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35" width="10.28515625" style="1" bestFit="1" customWidth="1"/>
    <col min="36" max="38" width="11.140625" style="1" bestFit="1" customWidth="1"/>
    <col min="39" max="39" width="9.5703125" style="1" bestFit="1" customWidth="1"/>
    <col min="40" max="16384" width="9.140625" style="1"/>
  </cols>
  <sheetData>
    <row r="1" spans="2:39" ht="15">
      <c r="B1" s="28" t="s">
        <v>184</v>
      </c>
      <c r="C1" s="7"/>
      <c r="D1" s="7"/>
      <c r="E1" s="7"/>
      <c r="F1" s="7">
        <f>Financials!D1</f>
        <v>43555</v>
      </c>
      <c r="G1" s="7">
        <f>Financials!E1</f>
        <v>43921</v>
      </c>
      <c r="H1" s="7">
        <f>Financials!F1</f>
        <v>44286</v>
      </c>
      <c r="I1" s="7">
        <f>Financials!G1</f>
        <v>44651</v>
      </c>
      <c r="J1" s="7">
        <f>Financials!H1</f>
        <v>45016</v>
      </c>
      <c r="K1" s="7">
        <f>Financials!I1</f>
        <v>45382</v>
      </c>
      <c r="L1" s="7">
        <f>Financials!J1</f>
        <v>45747</v>
      </c>
      <c r="M1" s="7">
        <f>Financials!K1</f>
        <v>46112</v>
      </c>
      <c r="N1" s="7">
        <f>Financials!L1</f>
        <v>46477</v>
      </c>
      <c r="O1" s="7">
        <f>Financials!M1</f>
        <v>46843</v>
      </c>
      <c r="P1" s="7">
        <f>Financials!N1</f>
        <v>47208</v>
      </c>
      <c r="Q1" s="7">
        <f>Financials!O1</f>
        <v>47573</v>
      </c>
      <c r="R1" s="7">
        <f>Financials!P1</f>
        <v>47938</v>
      </c>
      <c r="S1" s="7">
        <f>Financials!Q1</f>
        <v>48304</v>
      </c>
      <c r="T1" s="7">
        <f>Financials!R1</f>
        <v>48669</v>
      </c>
      <c r="U1" s="7">
        <f>Financials!S1</f>
        <v>49034</v>
      </c>
      <c r="V1" s="15"/>
      <c r="W1" s="15"/>
      <c r="X1" s="15"/>
      <c r="Y1" s="15"/>
      <c r="Z1" s="15"/>
      <c r="AA1" s="15"/>
      <c r="AB1" s="15"/>
      <c r="AC1" s="15"/>
      <c r="AD1" s="15"/>
      <c r="AE1" s="15"/>
      <c r="AF1" s="15"/>
      <c r="AG1" s="15"/>
      <c r="AH1" s="15"/>
      <c r="AI1" s="15"/>
      <c r="AJ1" s="15"/>
      <c r="AK1" s="15"/>
      <c r="AL1" s="15"/>
      <c r="AM1" s="15"/>
    </row>
    <row r="2" spans="2:39" ht="15">
      <c r="B2" s="28" t="s">
        <v>159</v>
      </c>
      <c r="C2" s="9"/>
      <c r="D2" s="9"/>
      <c r="E2" s="9"/>
      <c r="F2" s="9">
        <f>Financials!D3</f>
        <v>365</v>
      </c>
      <c r="G2" s="9">
        <f>Financials!E3</f>
        <v>366</v>
      </c>
      <c r="H2" s="304">
        <f>Financials!F3</f>
        <v>346</v>
      </c>
      <c r="I2" s="9">
        <f>Financials!G3</f>
        <v>365</v>
      </c>
      <c r="J2" s="9">
        <f>Financials!H3</f>
        <v>365</v>
      </c>
      <c r="K2" s="9">
        <f>Financials!I3</f>
        <v>366</v>
      </c>
      <c r="L2" s="9">
        <f>Financials!J3</f>
        <v>365</v>
      </c>
      <c r="M2" s="9">
        <f>Financials!K3</f>
        <v>365</v>
      </c>
      <c r="N2" s="9">
        <f>Financials!L3</f>
        <v>365</v>
      </c>
      <c r="O2" s="9">
        <f>Financials!M3</f>
        <v>366</v>
      </c>
      <c r="P2" s="9">
        <f>Financials!N3</f>
        <v>365</v>
      </c>
      <c r="Q2" s="9">
        <f>Financials!O3</f>
        <v>365</v>
      </c>
      <c r="R2" s="9">
        <f>Financials!P3</f>
        <v>365</v>
      </c>
      <c r="S2" s="9">
        <f>Financials!Q3</f>
        <v>366</v>
      </c>
      <c r="T2" s="9">
        <f>Financials!R3</f>
        <v>365</v>
      </c>
      <c r="U2" s="9">
        <f>Financials!S3</f>
        <v>17</v>
      </c>
      <c r="V2" s="36"/>
      <c r="W2" s="36"/>
      <c r="X2" s="36"/>
      <c r="Y2" s="36"/>
      <c r="Z2" s="36"/>
      <c r="AA2" s="36"/>
      <c r="AB2" s="36"/>
      <c r="AC2" s="36"/>
      <c r="AD2" s="36"/>
      <c r="AE2" s="36"/>
      <c r="AF2" s="36"/>
      <c r="AG2" s="36"/>
      <c r="AH2" s="36"/>
      <c r="AI2" s="36"/>
      <c r="AJ2" s="36"/>
      <c r="AK2" s="36"/>
      <c r="AL2" s="36"/>
      <c r="AM2" s="36"/>
    </row>
    <row r="3" spans="2:39" ht="15">
      <c r="B3" s="28" t="s">
        <v>198</v>
      </c>
      <c r="C3" s="9"/>
      <c r="D3" s="9"/>
      <c r="E3" s="9"/>
      <c r="F3" s="9">
        <f t="shared" ref="F3:T3" si="0">ROUND(F2/30,0)</f>
        <v>12</v>
      </c>
      <c r="G3" s="9">
        <f t="shared" si="0"/>
        <v>12</v>
      </c>
      <c r="H3" s="9">
        <f t="shared" si="0"/>
        <v>12</v>
      </c>
      <c r="I3" s="9">
        <f t="shared" si="0"/>
        <v>12</v>
      </c>
      <c r="J3" s="9">
        <f t="shared" si="0"/>
        <v>12</v>
      </c>
      <c r="K3" s="9">
        <f t="shared" si="0"/>
        <v>12</v>
      </c>
      <c r="L3" s="9">
        <f t="shared" si="0"/>
        <v>12</v>
      </c>
      <c r="M3" s="9">
        <f t="shared" si="0"/>
        <v>12</v>
      </c>
      <c r="N3" s="9">
        <f t="shared" si="0"/>
        <v>12</v>
      </c>
      <c r="O3" s="9">
        <f t="shared" si="0"/>
        <v>12</v>
      </c>
      <c r="P3" s="9">
        <f t="shared" si="0"/>
        <v>12</v>
      </c>
      <c r="Q3" s="9">
        <f t="shared" si="0"/>
        <v>12</v>
      </c>
      <c r="R3" s="9">
        <f t="shared" si="0"/>
        <v>12</v>
      </c>
      <c r="S3" s="9">
        <f t="shared" si="0"/>
        <v>12</v>
      </c>
      <c r="T3" s="9">
        <f t="shared" si="0"/>
        <v>12</v>
      </c>
      <c r="U3" s="9">
        <f>ROUND(U2/30,0)</f>
        <v>1</v>
      </c>
      <c r="V3" s="36"/>
      <c r="W3" s="36"/>
      <c r="X3" s="36"/>
      <c r="Y3" s="36"/>
      <c r="Z3" s="36"/>
      <c r="AA3" s="36"/>
      <c r="AB3" s="36"/>
      <c r="AC3" s="36"/>
      <c r="AD3" s="36"/>
      <c r="AE3" s="36"/>
      <c r="AF3" s="36"/>
      <c r="AG3" s="36"/>
      <c r="AH3" s="36"/>
      <c r="AI3" s="36"/>
      <c r="AJ3" s="36"/>
      <c r="AK3" s="36"/>
      <c r="AL3" s="36"/>
      <c r="AM3" s="36"/>
    </row>
    <row r="5" spans="2:39" ht="15">
      <c r="B5" s="156" t="s">
        <v>283</v>
      </c>
      <c r="C5" s="287" t="str">
        <f>Input!B12</f>
        <v>TP-1 (Mandal)</v>
      </c>
      <c r="D5" s="287" t="str">
        <f>Input!E11</f>
        <v>Bajipura By</v>
      </c>
      <c r="E5" s="287" t="str">
        <f>Input!F11</f>
        <v>Vyara By</v>
      </c>
      <c r="F5" s="287" t="str">
        <f>Input!B13</f>
        <v>TP-2 (Bhatia)</v>
      </c>
      <c r="G5" s="287" t="str">
        <f>Input!G11</f>
        <v>Sachin Fly</v>
      </c>
      <c r="H5" s="287">
        <f>Input!B14</f>
        <v>0</v>
      </c>
      <c r="I5" s="156" t="s">
        <v>136</v>
      </c>
    </row>
    <row r="6" spans="2:39">
      <c r="B6" s="150" t="s">
        <v>134</v>
      </c>
      <c r="C6" s="216">
        <f>Input!C12</f>
        <v>74.8</v>
      </c>
      <c r="D6" s="216"/>
      <c r="E6" s="216"/>
      <c r="F6" s="216">
        <f>Input!C13</f>
        <v>5.45</v>
      </c>
      <c r="G6" s="216"/>
      <c r="H6" s="216">
        <f>Input!C14</f>
        <v>0</v>
      </c>
      <c r="I6" s="150"/>
    </row>
    <row r="7" spans="2:39" ht="15">
      <c r="B7" s="150" t="s">
        <v>135</v>
      </c>
      <c r="C7" s="216">
        <f>Input!$D12</f>
        <v>52.469999999999992</v>
      </c>
      <c r="D7" s="216">
        <f>Input!E12</f>
        <v>5.3</v>
      </c>
      <c r="E7" s="216">
        <f>Input!F12</f>
        <v>11.23</v>
      </c>
      <c r="F7" s="216">
        <f>Input!$D13</f>
        <v>61.34</v>
      </c>
      <c r="G7" s="216">
        <f>Input!G13</f>
        <v>1.1599999999999999</v>
      </c>
      <c r="H7" s="216">
        <f>Input!$D14</f>
        <v>0</v>
      </c>
      <c r="I7" s="217">
        <f>SUM(C7:H7)</f>
        <v>131.49999999999997</v>
      </c>
    </row>
    <row r="9" spans="2:39" ht="15">
      <c r="B9" s="75" t="s">
        <v>137</v>
      </c>
      <c r="C9" s="75"/>
      <c r="D9" s="75"/>
      <c r="E9" s="75"/>
      <c r="F9" s="75"/>
      <c r="G9" s="75"/>
      <c r="H9" s="75"/>
      <c r="I9" s="75"/>
      <c r="J9" s="75"/>
      <c r="K9" s="75"/>
      <c r="L9" s="75"/>
      <c r="M9" s="75"/>
      <c r="N9" s="75"/>
      <c r="O9" s="75"/>
      <c r="P9" s="75"/>
      <c r="Q9" s="75"/>
      <c r="R9" s="75"/>
      <c r="S9" s="75"/>
      <c r="T9" s="75"/>
      <c r="U9" s="75"/>
      <c r="V9" s="3"/>
      <c r="W9" s="3"/>
      <c r="X9" s="3"/>
      <c r="Y9" s="3"/>
      <c r="Z9" s="3"/>
      <c r="AA9" s="3"/>
      <c r="AB9" s="3"/>
      <c r="AC9" s="3"/>
      <c r="AD9" s="3"/>
      <c r="AE9" s="3"/>
      <c r="AF9" s="3"/>
      <c r="AG9" s="3"/>
      <c r="AH9" s="3"/>
      <c r="AI9" s="3"/>
      <c r="AJ9" s="3"/>
      <c r="AK9" s="3"/>
      <c r="AL9" s="3"/>
      <c r="AM9" s="3"/>
    </row>
    <row r="11" spans="2:39" ht="15">
      <c r="B11" s="156" t="s">
        <v>138</v>
      </c>
      <c r="C11" s="218">
        <f>Input!C36</f>
        <v>39453</v>
      </c>
      <c r="D11" s="150"/>
    </row>
    <row r="12" spans="2:39">
      <c r="B12" s="174" t="s">
        <v>139</v>
      </c>
      <c r="C12" s="219">
        <f>Input!C37</f>
        <v>5</v>
      </c>
      <c r="D12" s="174" t="str">
        <f>Input!D37</f>
        <v>Rupee</v>
      </c>
    </row>
    <row r="13" spans="2:39">
      <c r="B13" s="174" t="s">
        <v>141</v>
      </c>
      <c r="C13" s="219">
        <f>Input!C38</f>
        <v>1.5</v>
      </c>
      <c r="D13" s="174" t="str">
        <f>Input!D38</f>
        <v>Times Single Trip Toll</v>
      </c>
    </row>
    <row r="14" spans="2:39">
      <c r="B14" s="174" t="s">
        <v>145</v>
      </c>
      <c r="C14" s="219">
        <f>Input!C39</f>
        <v>33.333333333333329</v>
      </c>
      <c r="D14" s="174" t="str">
        <f>Input!D39</f>
        <v>Times single Trip Toll</v>
      </c>
    </row>
    <row r="15" spans="2:39">
      <c r="B15" s="174" t="s">
        <v>143</v>
      </c>
      <c r="C15" s="219">
        <f>Input!C40</f>
        <v>150</v>
      </c>
      <c r="D15" s="174" t="str">
        <f>Input!D40</f>
        <v>Rs. Monthly Pass</v>
      </c>
    </row>
    <row r="17" spans="2:39" ht="15">
      <c r="B17" s="177" t="s">
        <v>147</v>
      </c>
      <c r="C17" s="288" t="str">
        <f>Input!C42</f>
        <v>Rs/km</v>
      </c>
      <c r="D17" s="288" t="str">
        <f>Input!D42</f>
        <v>Bajipura By</v>
      </c>
      <c r="E17" s="288" t="str">
        <f>Input!E42</f>
        <v>Vyara By</v>
      </c>
      <c r="F17" s="288" t="str">
        <f>Input!F42</f>
        <v>Sachin Fly</v>
      </c>
    </row>
    <row r="18" spans="2:39">
      <c r="B18" s="179" t="s">
        <v>149</v>
      </c>
      <c r="C18" s="220">
        <f>Input!C43</f>
        <v>0.65</v>
      </c>
      <c r="D18" s="220">
        <f>Input!D43</f>
        <v>17</v>
      </c>
      <c r="E18" s="220">
        <f>Input!E43</f>
        <v>25.75</v>
      </c>
      <c r="F18" s="220">
        <f>Input!F43</f>
        <v>20</v>
      </c>
    </row>
    <row r="19" spans="2:39">
      <c r="B19" s="179" t="s">
        <v>150</v>
      </c>
      <c r="C19" s="220">
        <f>Input!C44</f>
        <v>1.05</v>
      </c>
      <c r="D19" s="220">
        <f>Input!D44</f>
        <v>25.5</v>
      </c>
      <c r="E19" s="220">
        <f>Input!E44</f>
        <v>38.75</v>
      </c>
      <c r="F19" s="220">
        <f>Input!F44</f>
        <v>30</v>
      </c>
    </row>
    <row r="20" spans="2:39">
      <c r="B20" s="179" t="s">
        <v>259</v>
      </c>
      <c r="C20" s="220">
        <f>Input!C45</f>
        <v>2.2000000000000002</v>
      </c>
      <c r="D20" s="220">
        <f>Input!D45</f>
        <v>51</v>
      </c>
      <c r="E20" s="220">
        <f>Input!E45</f>
        <v>77.25</v>
      </c>
      <c r="F20" s="220">
        <f>Input!F45</f>
        <v>60</v>
      </c>
    </row>
    <row r="21" spans="2:39">
      <c r="B21" s="179" t="s">
        <v>263</v>
      </c>
      <c r="C21" s="220">
        <f>Input!C46</f>
        <v>2.2000000000000002</v>
      </c>
      <c r="D21" s="220">
        <f>Input!D46</f>
        <v>51</v>
      </c>
      <c r="E21" s="220">
        <f>Input!E46</f>
        <v>77.25</v>
      </c>
      <c r="F21" s="220">
        <f>Input!F46</f>
        <v>60</v>
      </c>
    </row>
    <row r="22" spans="2:39">
      <c r="B22" s="179" t="s">
        <v>152</v>
      </c>
      <c r="C22" s="220">
        <f>Input!C47</f>
        <v>3.45</v>
      </c>
      <c r="D22" s="220">
        <f>Input!D47</f>
        <v>76</v>
      </c>
      <c r="E22" s="220">
        <f>Input!E47</f>
        <v>115.5</v>
      </c>
      <c r="F22" s="220">
        <f>Input!F47</f>
        <v>89.5</v>
      </c>
    </row>
    <row r="23" spans="2:39" ht="15">
      <c r="B23" s="179" t="s">
        <v>153</v>
      </c>
      <c r="C23" s="220">
        <f>Input!C48</f>
        <v>4.2</v>
      </c>
      <c r="D23" s="220">
        <f>Input!D48</f>
        <v>102</v>
      </c>
      <c r="E23" s="220">
        <f>Input!E48</f>
        <v>154.5</v>
      </c>
      <c r="F23" s="220">
        <f>Input!F48</f>
        <v>120</v>
      </c>
      <c r="H23" s="289"/>
    </row>
    <row r="24" spans="2:39">
      <c r="G24" s="74"/>
      <c r="H24" s="74"/>
    </row>
    <row r="25" spans="2:39" ht="15">
      <c r="B25" s="76" t="s">
        <v>155</v>
      </c>
      <c r="C25" s="76"/>
      <c r="D25" s="76"/>
      <c r="E25" s="76"/>
      <c r="F25" s="76"/>
      <c r="G25" s="76"/>
      <c r="H25" s="76"/>
      <c r="I25" s="76"/>
      <c r="J25" s="76"/>
      <c r="K25" s="76"/>
      <c r="L25" s="76"/>
      <c r="M25" s="76"/>
      <c r="N25" s="76"/>
      <c r="O25" s="76"/>
      <c r="P25" s="76"/>
      <c r="Q25" s="76"/>
      <c r="R25" s="76"/>
      <c r="S25" s="76"/>
      <c r="T25" s="76"/>
      <c r="U25" s="76"/>
      <c r="V25" s="322"/>
      <c r="W25" s="322"/>
      <c r="X25" s="322"/>
      <c r="Y25" s="322"/>
      <c r="Z25" s="322"/>
      <c r="AA25" s="322"/>
      <c r="AB25" s="322"/>
      <c r="AC25" s="322"/>
      <c r="AD25" s="322"/>
      <c r="AE25" s="322"/>
      <c r="AF25" s="322"/>
      <c r="AG25" s="322"/>
      <c r="AH25" s="322"/>
      <c r="AI25" s="322"/>
      <c r="AJ25" s="322"/>
      <c r="AK25" s="322"/>
      <c r="AL25" s="322"/>
      <c r="AM25" s="322"/>
    </row>
    <row r="26" spans="2:39">
      <c r="H26" s="72">
        <f>123*C29*D29</f>
        <v>378.051939</v>
      </c>
      <c r="I26" s="72">
        <f>124.5*C29*D29</f>
        <v>382.6623285</v>
      </c>
      <c r="J26" s="74"/>
    </row>
    <row r="27" spans="2:39" ht="15" outlineLevel="1">
      <c r="B27" s="156" t="s">
        <v>157</v>
      </c>
      <c r="C27" s="181">
        <f>EOMONTH(C11,2)</f>
        <v>39538</v>
      </c>
      <c r="D27" s="150"/>
      <c r="E27" s="181">
        <f>DATE(2018,3,31)</f>
        <v>43190</v>
      </c>
      <c r="F27" s="181">
        <f>EOMONTH(E27,12)</f>
        <v>43555</v>
      </c>
      <c r="G27" s="181">
        <f t="shared" ref="G27:U27" si="1">EOMONTH(F27,12)</f>
        <v>43921</v>
      </c>
      <c r="H27" s="181">
        <f t="shared" si="1"/>
        <v>44286</v>
      </c>
      <c r="I27" s="181">
        <f t="shared" si="1"/>
        <v>44651</v>
      </c>
      <c r="J27" s="181">
        <f t="shared" si="1"/>
        <v>45016</v>
      </c>
      <c r="K27" s="181">
        <f t="shared" si="1"/>
        <v>45382</v>
      </c>
      <c r="L27" s="181">
        <f t="shared" si="1"/>
        <v>45747</v>
      </c>
      <c r="M27" s="181">
        <f t="shared" si="1"/>
        <v>46112</v>
      </c>
      <c r="N27" s="181">
        <f t="shared" si="1"/>
        <v>46477</v>
      </c>
      <c r="O27" s="181">
        <f t="shared" si="1"/>
        <v>46843</v>
      </c>
      <c r="P27" s="181">
        <f t="shared" si="1"/>
        <v>47208</v>
      </c>
      <c r="Q27" s="181">
        <f t="shared" si="1"/>
        <v>47573</v>
      </c>
      <c r="R27" s="181">
        <f t="shared" si="1"/>
        <v>47938</v>
      </c>
      <c r="S27" s="181">
        <f t="shared" si="1"/>
        <v>48304</v>
      </c>
      <c r="T27" s="312">
        <f t="shared" si="1"/>
        <v>48669</v>
      </c>
      <c r="U27" s="312">
        <f t="shared" si="1"/>
        <v>49034</v>
      </c>
      <c r="V27" s="323"/>
      <c r="W27" s="323"/>
      <c r="X27" s="323"/>
      <c r="Y27" s="323"/>
      <c r="Z27" s="323"/>
      <c r="AA27" s="323"/>
      <c r="AB27" s="323"/>
      <c r="AC27" s="323"/>
      <c r="AD27" s="323"/>
      <c r="AE27" s="323"/>
      <c r="AF27" s="323"/>
      <c r="AG27" s="323"/>
      <c r="AH27" s="323"/>
      <c r="AI27" s="323"/>
      <c r="AJ27" s="323"/>
      <c r="AK27" s="323"/>
      <c r="AL27" s="323"/>
      <c r="AM27" s="323"/>
    </row>
    <row r="28" spans="2:39" outlineLevel="1">
      <c r="B28" s="150" t="s">
        <v>156</v>
      </c>
      <c r="C28" s="150">
        <f>Input!C51</f>
        <v>208.7</v>
      </c>
      <c r="D28" s="150"/>
      <c r="E28" s="209">
        <v>343.32089999999999</v>
      </c>
      <c r="F28" s="209">
        <v>355.61</v>
      </c>
      <c r="G28" s="209">
        <f>119.7*C29*D29</f>
        <v>367.90908210000003</v>
      </c>
      <c r="H28" s="209">
        <f t="shared" ref="H28:U28" si="2">G28*(1+H29)</f>
        <v>378.05193899999995</v>
      </c>
      <c r="I28" s="209">
        <f t="shared" si="2"/>
        <v>385.42856219999993</v>
      </c>
      <c r="J28" s="209">
        <f t="shared" si="2"/>
        <v>440.44999999999982</v>
      </c>
      <c r="K28" s="209">
        <f t="shared" si="2"/>
        <v>462.47249999999985</v>
      </c>
      <c r="L28" s="209">
        <f t="shared" si="2"/>
        <v>480.97139999999985</v>
      </c>
      <c r="M28" s="209">
        <f t="shared" si="2"/>
        <v>496.84345619999982</v>
      </c>
      <c r="N28" s="209">
        <f t="shared" si="2"/>
        <v>513.23929025459972</v>
      </c>
      <c r="O28" s="209">
        <f t="shared" si="2"/>
        <v>530.17618683300145</v>
      </c>
      <c r="P28" s="209">
        <f t="shared" si="2"/>
        <v>547.67200099849049</v>
      </c>
      <c r="Q28" s="209">
        <f t="shared" si="2"/>
        <v>565.74517703144068</v>
      </c>
      <c r="R28" s="209">
        <f t="shared" si="2"/>
        <v>584.41476787347813</v>
      </c>
      <c r="S28" s="209">
        <f t="shared" si="2"/>
        <v>603.7004552133028</v>
      </c>
      <c r="T28" s="313">
        <f t="shared" si="2"/>
        <v>623.62257023534175</v>
      </c>
      <c r="U28" s="313">
        <f t="shared" si="2"/>
        <v>644.20211505310795</v>
      </c>
      <c r="V28" s="72"/>
      <c r="W28" s="72"/>
      <c r="X28" s="72"/>
      <c r="Y28" s="72"/>
      <c r="Z28" s="72"/>
      <c r="AA28" s="72"/>
      <c r="AB28" s="72"/>
      <c r="AC28" s="72"/>
      <c r="AD28" s="72"/>
      <c r="AE28" s="72"/>
      <c r="AF28" s="72"/>
      <c r="AG28" s="72"/>
      <c r="AH28" s="72"/>
      <c r="AI28" s="72"/>
      <c r="AJ28" s="72"/>
      <c r="AK28" s="72"/>
      <c r="AL28" s="72"/>
      <c r="AM28" s="72"/>
    </row>
    <row r="29" spans="2:39" outlineLevel="1">
      <c r="B29" s="150" t="s">
        <v>158</v>
      </c>
      <c r="C29" s="150">
        <v>1.873</v>
      </c>
      <c r="D29" s="150">
        <v>1.641</v>
      </c>
      <c r="E29" s="221"/>
      <c r="F29" s="222">
        <f>Input!F53</f>
        <v>3.579479140361097E-2</v>
      </c>
      <c r="G29" s="222">
        <f>Input!G53</f>
        <v>3.458587244453204E-2</v>
      </c>
      <c r="H29" s="222">
        <f>Input!H53</f>
        <v>2.7568922305764243E-2</v>
      </c>
      <c r="I29" s="222">
        <f>Input!I53</f>
        <v>1.9512195121951237E-2</v>
      </c>
      <c r="J29" s="222">
        <f>Input!J53</f>
        <v>0.142753919133396</v>
      </c>
      <c r="K29" s="222">
        <f>Input!K53</f>
        <v>0.05</v>
      </c>
      <c r="L29" s="222">
        <f>Input!L53</f>
        <v>0.04</v>
      </c>
      <c r="M29" s="222">
        <f>Input!M53</f>
        <v>3.3000000000000002E-2</v>
      </c>
      <c r="N29" s="222">
        <f>Input!N53</f>
        <v>3.3000000000000002E-2</v>
      </c>
      <c r="O29" s="222">
        <f>Input!O53</f>
        <v>3.3000000000000002E-2</v>
      </c>
      <c r="P29" s="222">
        <f>Input!P53</f>
        <v>3.3000000000000002E-2</v>
      </c>
      <c r="Q29" s="222">
        <f>Input!Q53</f>
        <v>3.3000000000000002E-2</v>
      </c>
      <c r="R29" s="222">
        <f>Input!R53</f>
        <v>3.3000000000000002E-2</v>
      </c>
      <c r="S29" s="222">
        <f>Input!S53</f>
        <v>3.3000000000000002E-2</v>
      </c>
      <c r="T29" s="314">
        <f>Input!T53</f>
        <v>3.3000000000000002E-2</v>
      </c>
      <c r="U29" s="314">
        <f>Input!U53</f>
        <v>3.3000000000000002E-2</v>
      </c>
      <c r="V29" s="85"/>
      <c r="W29" s="85"/>
      <c r="X29" s="85"/>
      <c r="Y29" s="85"/>
      <c r="Z29" s="85"/>
      <c r="AA29" s="85"/>
      <c r="AB29" s="85"/>
      <c r="AC29" s="85"/>
      <c r="AD29" s="85"/>
      <c r="AE29" s="85"/>
      <c r="AF29" s="85"/>
      <c r="AG29" s="85"/>
      <c r="AH29" s="85"/>
      <c r="AI29" s="85"/>
      <c r="AJ29" s="85"/>
      <c r="AK29" s="85"/>
      <c r="AL29" s="85"/>
      <c r="AM29" s="85"/>
    </row>
    <row r="30" spans="2:39" outlineLevel="1"/>
    <row r="31" spans="2:39" ht="15" outlineLevel="1">
      <c r="B31" s="156" t="s">
        <v>160</v>
      </c>
      <c r="C31" s="150"/>
      <c r="D31" s="150"/>
      <c r="E31" s="209">
        <f>(1+3%*(YEAR(E27)-YEAR($C$27)))*(1+40%*(E28/$C$28-1))</f>
        <v>1.6354234211787255</v>
      </c>
      <c r="F31" s="209">
        <f t="shared" ref="F31:T31" si="3">(1+3%*(YEAR(F27)-YEAR($C$27)))*(1+40%*(F28/$C$28-1))</f>
        <v>1.7044902731193101</v>
      </c>
      <c r="G31" s="209">
        <f t="shared" si="3"/>
        <v>1.7749963615831337</v>
      </c>
      <c r="H31" s="209">
        <f t="shared" si="3"/>
        <v>1.8411723913943459</v>
      </c>
      <c r="I31" s="209">
        <f t="shared" si="3"/>
        <v>1.9009862162414946</v>
      </c>
      <c r="J31" s="209">
        <f t="shared" si="3"/>
        <v>2.0940584571154766</v>
      </c>
      <c r="K31" s="209">
        <f t="shared" si="3"/>
        <v>2.1998529947292762</v>
      </c>
      <c r="L31" s="209">
        <f t="shared" si="3"/>
        <v>2.2979823938667945</v>
      </c>
      <c r="M31" s="209">
        <f t="shared" si="3"/>
        <v>2.3904857164312405</v>
      </c>
      <c r="N31" s="209">
        <f t="shared" si="3"/>
        <v>2.4863903894580188</v>
      </c>
      <c r="O31" s="209">
        <f t="shared" si="3"/>
        <v>2.5858397679593725</v>
      </c>
      <c r="P31" s="209">
        <f t="shared" si="3"/>
        <v>2.6889829643076948</v>
      </c>
      <c r="Q31" s="209">
        <f t="shared" si="3"/>
        <v>2.7959750721076984</v>
      </c>
      <c r="R31" s="209">
        <f t="shared" si="3"/>
        <v>2.9069773985743712</v>
      </c>
      <c r="S31" s="209">
        <f t="shared" si="3"/>
        <v>3.0221577057343185</v>
      </c>
      <c r="T31" s="313">
        <f t="shared" si="3"/>
        <v>3.1416904607797758</v>
      </c>
      <c r="U31" s="313">
        <f>(1+3%*(YEAR(U27)-YEAR($C$27)))*(1+40%*(U28/$C$28-1))</f>
        <v>3.2657570959166886</v>
      </c>
      <c r="V31" s="72"/>
      <c r="W31" s="72"/>
      <c r="X31" s="72"/>
      <c r="Y31" s="72"/>
      <c r="Z31" s="72"/>
      <c r="AA31" s="72"/>
      <c r="AB31" s="72"/>
      <c r="AC31" s="72"/>
      <c r="AD31" s="72"/>
      <c r="AE31" s="72"/>
      <c r="AF31" s="72"/>
      <c r="AG31" s="72"/>
      <c r="AH31" s="72"/>
      <c r="AI31" s="72"/>
      <c r="AJ31" s="72"/>
      <c r="AK31" s="72"/>
      <c r="AL31" s="72"/>
      <c r="AM31" s="72"/>
    </row>
    <row r="32" spans="2:39" outlineLevel="1"/>
    <row r="33" spans="2:39" ht="15" outlineLevel="1">
      <c r="B33" s="77" t="s">
        <v>161</v>
      </c>
      <c r="C33" s="77" t="s">
        <v>167</v>
      </c>
      <c r="D33" s="77"/>
      <c r="E33" s="77"/>
      <c r="F33" s="77"/>
      <c r="G33" s="77"/>
      <c r="H33" s="77"/>
      <c r="I33" s="77"/>
      <c r="J33" s="77"/>
      <c r="K33" s="77"/>
      <c r="L33" s="77"/>
      <c r="M33" s="77"/>
      <c r="N33" s="77"/>
      <c r="O33" s="77"/>
      <c r="P33" s="77"/>
      <c r="Q33" s="77"/>
      <c r="R33" s="77"/>
      <c r="S33" s="77"/>
      <c r="T33" s="77"/>
      <c r="U33" s="77"/>
      <c r="V33" s="3"/>
      <c r="W33" s="3"/>
      <c r="X33" s="3"/>
      <c r="Y33" s="3"/>
      <c r="Z33" s="3"/>
      <c r="AA33" s="3"/>
      <c r="AB33" s="3"/>
      <c r="AC33" s="3"/>
      <c r="AD33" s="3"/>
      <c r="AE33" s="3"/>
      <c r="AF33" s="3"/>
      <c r="AG33" s="3"/>
      <c r="AH33" s="3"/>
      <c r="AI33" s="3"/>
      <c r="AJ33" s="3"/>
      <c r="AK33" s="3"/>
      <c r="AL33" s="3"/>
      <c r="AM33" s="3"/>
    </row>
    <row r="34" spans="2:39" ht="15" outlineLevel="2">
      <c r="B34" s="75" t="s">
        <v>162</v>
      </c>
      <c r="C34" s="75"/>
      <c r="D34" s="75"/>
      <c r="E34" s="75"/>
      <c r="F34" s="75"/>
      <c r="G34" s="75"/>
      <c r="H34" s="75"/>
      <c r="I34" s="75"/>
      <c r="J34" s="75"/>
      <c r="K34" s="75"/>
      <c r="L34" s="75"/>
      <c r="M34" s="75"/>
      <c r="N34" s="75"/>
      <c r="O34" s="75"/>
      <c r="P34" s="75"/>
      <c r="Q34" s="75"/>
      <c r="R34" s="75"/>
      <c r="S34" s="75"/>
      <c r="T34" s="75"/>
      <c r="U34" s="75"/>
      <c r="V34" s="3"/>
      <c r="W34" s="3"/>
      <c r="X34" s="3"/>
      <c r="Y34" s="3"/>
      <c r="Z34" s="3"/>
      <c r="AA34" s="3"/>
      <c r="AB34" s="3"/>
      <c r="AC34" s="3"/>
      <c r="AD34" s="3"/>
      <c r="AE34" s="3"/>
      <c r="AF34" s="3"/>
      <c r="AG34" s="3"/>
      <c r="AH34" s="3"/>
      <c r="AI34" s="3"/>
      <c r="AJ34" s="3"/>
      <c r="AK34" s="3"/>
      <c r="AL34" s="3"/>
      <c r="AM34" s="3"/>
    </row>
    <row r="35" spans="2:39" outlineLevel="2">
      <c r="B35" s="191" t="s">
        <v>149</v>
      </c>
      <c r="C35" s="150"/>
      <c r="D35" s="150"/>
      <c r="E35" s="150"/>
      <c r="F35" s="150">
        <f t="shared" ref="F35:T40" si="4">MROUND($C18*$C$7*F$31+SUM($D18:$E18)*F$31,$C$12)</f>
        <v>130</v>
      </c>
      <c r="G35" s="150">
        <f t="shared" si="4"/>
        <v>135</v>
      </c>
      <c r="H35" s="150">
        <f t="shared" si="4"/>
        <v>140</v>
      </c>
      <c r="I35" s="150">
        <f t="shared" si="4"/>
        <v>145</v>
      </c>
      <c r="J35" s="150">
        <f t="shared" si="4"/>
        <v>160</v>
      </c>
      <c r="K35" s="150">
        <f t="shared" si="4"/>
        <v>170</v>
      </c>
      <c r="L35" s="150">
        <f t="shared" si="4"/>
        <v>175</v>
      </c>
      <c r="M35" s="150">
        <f t="shared" si="4"/>
        <v>185</v>
      </c>
      <c r="N35" s="150">
        <f t="shared" si="4"/>
        <v>190</v>
      </c>
      <c r="O35" s="150">
        <f t="shared" si="4"/>
        <v>200</v>
      </c>
      <c r="P35" s="150">
        <f t="shared" si="4"/>
        <v>205</v>
      </c>
      <c r="Q35" s="150">
        <f t="shared" si="4"/>
        <v>215</v>
      </c>
      <c r="R35" s="150">
        <f t="shared" si="4"/>
        <v>225</v>
      </c>
      <c r="S35" s="150">
        <f t="shared" si="4"/>
        <v>230</v>
      </c>
      <c r="T35" s="315">
        <f t="shared" si="4"/>
        <v>240</v>
      </c>
      <c r="U35" s="315">
        <f t="shared" ref="U35:U40" si="5">MROUND($C18*$C$7*U$31+SUM($D18:$E18)*U$31,$C$12)</f>
        <v>250</v>
      </c>
    </row>
    <row r="36" spans="2:39" outlineLevel="2">
      <c r="B36" s="191" t="s">
        <v>150</v>
      </c>
      <c r="C36" s="150"/>
      <c r="D36" s="150"/>
      <c r="E36" s="150"/>
      <c r="F36" s="150">
        <f t="shared" ref="F36:T36" si="6">MROUND($C19*$C$7*F$31+SUM($D19:$E19)*F$31,$C$12)</f>
        <v>205</v>
      </c>
      <c r="G36" s="150">
        <f t="shared" si="6"/>
        <v>210</v>
      </c>
      <c r="H36" s="150">
        <f t="shared" si="6"/>
        <v>220</v>
      </c>
      <c r="I36" s="150">
        <f t="shared" si="6"/>
        <v>225</v>
      </c>
      <c r="J36" s="150">
        <f t="shared" si="6"/>
        <v>250</v>
      </c>
      <c r="K36" s="150">
        <f t="shared" si="6"/>
        <v>265</v>
      </c>
      <c r="L36" s="150">
        <f t="shared" si="6"/>
        <v>275</v>
      </c>
      <c r="M36" s="150">
        <f t="shared" si="6"/>
        <v>285</v>
      </c>
      <c r="N36" s="150">
        <f t="shared" si="6"/>
        <v>295</v>
      </c>
      <c r="O36" s="150">
        <f t="shared" si="6"/>
        <v>310</v>
      </c>
      <c r="P36" s="150">
        <f t="shared" si="6"/>
        <v>320</v>
      </c>
      <c r="Q36" s="150">
        <f t="shared" si="6"/>
        <v>335</v>
      </c>
      <c r="R36" s="150">
        <f t="shared" si="6"/>
        <v>345</v>
      </c>
      <c r="S36" s="150">
        <f t="shared" si="6"/>
        <v>360</v>
      </c>
      <c r="T36" s="315">
        <f t="shared" si="6"/>
        <v>375</v>
      </c>
      <c r="U36" s="315">
        <f t="shared" si="5"/>
        <v>390</v>
      </c>
    </row>
    <row r="37" spans="2:39" outlineLevel="2">
      <c r="B37" s="191" t="s">
        <v>259</v>
      </c>
      <c r="C37" s="150"/>
      <c r="D37" s="150"/>
      <c r="E37" s="150"/>
      <c r="F37" s="150">
        <f t="shared" si="4"/>
        <v>415</v>
      </c>
      <c r="G37" s="150">
        <f t="shared" si="4"/>
        <v>435</v>
      </c>
      <c r="H37" s="150">
        <f t="shared" si="4"/>
        <v>450</v>
      </c>
      <c r="I37" s="150">
        <f t="shared" si="4"/>
        <v>465</v>
      </c>
      <c r="J37" s="150">
        <f t="shared" si="4"/>
        <v>510</v>
      </c>
      <c r="K37" s="150">
        <f t="shared" si="4"/>
        <v>535</v>
      </c>
      <c r="L37" s="150">
        <f t="shared" si="4"/>
        <v>560</v>
      </c>
      <c r="M37" s="150">
        <f t="shared" si="4"/>
        <v>585</v>
      </c>
      <c r="N37" s="150">
        <f t="shared" si="4"/>
        <v>605</v>
      </c>
      <c r="O37" s="150">
        <f t="shared" si="4"/>
        <v>630</v>
      </c>
      <c r="P37" s="150">
        <f t="shared" si="4"/>
        <v>655</v>
      </c>
      <c r="Q37" s="150">
        <f t="shared" si="4"/>
        <v>680</v>
      </c>
      <c r="R37" s="150">
        <f t="shared" si="4"/>
        <v>710</v>
      </c>
      <c r="S37" s="150">
        <f t="shared" si="4"/>
        <v>735</v>
      </c>
      <c r="T37" s="315">
        <f t="shared" si="4"/>
        <v>765</v>
      </c>
      <c r="U37" s="315">
        <f t="shared" si="5"/>
        <v>795</v>
      </c>
    </row>
    <row r="38" spans="2:39" outlineLevel="2">
      <c r="B38" s="191" t="s">
        <v>263</v>
      </c>
      <c r="C38" s="150"/>
      <c r="D38" s="150"/>
      <c r="E38" s="150"/>
      <c r="F38" s="150">
        <f t="shared" si="4"/>
        <v>415</v>
      </c>
      <c r="G38" s="150">
        <f t="shared" si="4"/>
        <v>435</v>
      </c>
      <c r="H38" s="150">
        <f t="shared" si="4"/>
        <v>450</v>
      </c>
      <c r="I38" s="150">
        <f t="shared" si="4"/>
        <v>465</v>
      </c>
      <c r="J38" s="150">
        <f t="shared" si="4"/>
        <v>510</v>
      </c>
      <c r="K38" s="150">
        <f t="shared" si="4"/>
        <v>535</v>
      </c>
      <c r="L38" s="150">
        <f t="shared" si="4"/>
        <v>560</v>
      </c>
      <c r="M38" s="150">
        <f t="shared" si="4"/>
        <v>585</v>
      </c>
      <c r="N38" s="150">
        <f t="shared" si="4"/>
        <v>605</v>
      </c>
      <c r="O38" s="150">
        <f t="shared" si="4"/>
        <v>630</v>
      </c>
      <c r="P38" s="150">
        <f t="shared" si="4"/>
        <v>655</v>
      </c>
      <c r="Q38" s="150">
        <f t="shared" si="4"/>
        <v>680</v>
      </c>
      <c r="R38" s="150">
        <f t="shared" si="4"/>
        <v>710</v>
      </c>
      <c r="S38" s="150">
        <f t="shared" si="4"/>
        <v>735</v>
      </c>
      <c r="T38" s="315">
        <f t="shared" si="4"/>
        <v>765</v>
      </c>
      <c r="U38" s="315">
        <f t="shared" si="5"/>
        <v>795</v>
      </c>
    </row>
    <row r="39" spans="2:39" outlineLevel="2">
      <c r="B39" s="191" t="s">
        <v>152</v>
      </c>
      <c r="C39" s="150"/>
      <c r="D39" s="150"/>
      <c r="E39" s="150"/>
      <c r="F39" s="150">
        <f t="shared" si="4"/>
        <v>635</v>
      </c>
      <c r="G39" s="150">
        <f t="shared" si="4"/>
        <v>660</v>
      </c>
      <c r="H39" s="150">
        <f t="shared" si="4"/>
        <v>685</v>
      </c>
      <c r="I39" s="150">
        <f t="shared" si="4"/>
        <v>710</v>
      </c>
      <c r="J39" s="150">
        <f t="shared" si="4"/>
        <v>780</v>
      </c>
      <c r="K39" s="150">
        <f t="shared" si="4"/>
        <v>820</v>
      </c>
      <c r="L39" s="150">
        <f t="shared" si="4"/>
        <v>855</v>
      </c>
      <c r="M39" s="150">
        <f t="shared" si="4"/>
        <v>890</v>
      </c>
      <c r="N39" s="150">
        <f t="shared" si="4"/>
        <v>925</v>
      </c>
      <c r="O39" s="150">
        <f t="shared" si="4"/>
        <v>965</v>
      </c>
      <c r="P39" s="150">
        <f t="shared" si="4"/>
        <v>1000</v>
      </c>
      <c r="Q39" s="150">
        <f t="shared" si="4"/>
        <v>1040</v>
      </c>
      <c r="R39" s="150">
        <f t="shared" si="4"/>
        <v>1085</v>
      </c>
      <c r="S39" s="150">
        <f t="shared" si="4"/>
        <v>1125</v>
      </c>
      <c r="T39" s="315">
        <f t="shared" si="4"/>
        <v>1170</v>
      </c>
      <c r="U39" s="315">
        <f t="shared" si="5"/>
        <v>1215</v>
      </c>
    </row>
    <row r="40" spans="2:39" outlineLevel="2">
      <c r="B40" s="191" t="s">
        <v>153</v>
      </c>
      <c r="C40" s="150"/>
      <c r="D40" s="150"/>
      <c r="E40" s="150"/>
      <c r="F40" s="150">
        <f t="shared" si="4"/>
        <v>815</v>
      </c>
      <c r="G40" s="150">
        <f t="shared" si="4"/>
        <v>845</v>
      </c>
      <c r="H40" s="150">
        <f t="shared" si="4"/>
        <v>880</v>
      </c>
      <c r="I40" s="150">
        <f t="shared" si="4"/>
        <v>905</v>
      </c>
      <c r="J40" s="150">
        <f t="shared" si="4"/>
        <v>1000</v>
      </c>
      <c r="K40" s="150">
        <f t="shared" si="4"/>
        <v>1050</v>
      </c>
      <c r="L40" s="150">
        <f t="shared" si="4"/>
        <v>1095</v>
      </c>
      <c r="M40" s="150">
        <f t="shared" si="4"/>
        <v>1140</v>
      </c>
      <c r="N40" s="150">
        <f t="shared" si="4"/>
        <v>1185</v>
      </c>
      <c r="O40" s="150">
        <f t="shared" si="4"/>
        <v>1235</v>
      </c>
      <c r="P40" s="150">
        <f t="shared" si="4"/>
        <v>1280</v>
      </c>
      <c r="Q40" s="150">
        <f t="shared" si="4"/>
        <v>1335</v>
      </c>
      <c r="R40" s="150">
        <f t="shared" si="4"/>
        <v>1385</v>
      </c>
      <c r="S40" s="150">
        <f t="shared" si="4"/>
        <v>1440</v>
      </c>
      <c r="T40" s="315">
        <f t="shared" si="4"/>
        <v>1500</v>
      </c>
      <c r="U40" s="315">
        <f t="shared" si="5"/>
        <v>1555</v>
      </c>
    </row>
    <row r="41" spans="2:39" outlineLevel="2">
      <c r="B41" s="78"/>
    </row>
    <row r="42" spans="2:39" ht="15" outlineLevel="2">
      <c r="B42" s="75" t="s">
        <v>227</v>
      </c>
      <c r="C42" s="75"/>
      <c r="D42" s="75"/>
      <c r="E42" s="75"/>
      <c r="F42" s="75"/>
      <c r="G42" s="75"/>
      <c r="H42" s="75"/>
      <c r="I42" s="75"/>
      <c r="J42" s="75"/>
      <c r="K42" s="75"/>
      <c r="L42" s="75"/>
      <c r="M42" s="75"/>
      <c r="N42" s="75"/>
      <c r="O42" s="75"/>
      <c r="P42" s="75"/>
      <c r="Q42" s="75"/>
      <c r="R42" s="75"/>
      <c r="S42" s="75"/>
      <c r="T42" s="75"/>
      <c r="U42" s="75"/>
      <c r="V42" s="3"/>
      <c r="W42" s="3"/>
      <c r="X42" s="3"/>
      <c r="Y42" s="3"/>
      <c r="Z42" s="3"/>
      <c r="AA42" s="3"/>
      <c r="AB42" s="3"/>
      <c r="AC42" s="3"/>
      <c r="AD42" s="3"/>
      <c r="AE42" s="3"/>
      <c r="AF42" s="3"/>
      <c r="AG42" s="3"/>
      <c r="AH42" s="3"/>
      <c r="AI42" s="3"/>
      <c r="AJ42" s="3"/>
      <c r="AK42" s="3"/>
      <c r="AL42" s="3"/>
      <c r="AM42" s="3"/>
    </row>
    <row r="43" spans="2:39" outlineLevel="2">
      <c r="B43" s="191" t="s">
        <v>149</v>
      </c>
      <c r="C43" s="150"/>
      <c r="D43" s="150"/>
      <c r="E43" s="150"/>
      <c r="F43" s="150">
        <f t="shared" ref="F43:T48" si="7">MROUND($C18*$C$7*F$31*$C$13+$C$13*SUM($D18:$E18)*F$31,$C$12)</f>
        <v>195</v>
      </c>
      <c r="G43" s="150">
        <f t="shared" si="7"/>
        <v>205</v>
      </c>
      <c r="H43" s="150">
        <f t="shared" si="7"/>
        <v>210</v>
      </c>
      <c r="I43" s="150">
        <f t="shared" si="7"/>
        <v>220</v>
      </c>
      <c r="J43" s="150">
        <f t="shared" si="7"/>
        <v>240</v>
      </c>
      <c r="K43" s="150">
        <f t="shared" si="7"/>
        <v>255</v>
      </c>
      <c r="L43" s="150">
        <f t="shared" si="7"/>
        <v>265</v>
      </c>
      <c r="M43" s="150">
        <f t="shared" si="7"/>
        <v>275</v>
      </c>
      <c r="N43" s="150">
        <f t="shared" si="7"/>
        <v>285</v>
      </c>
      <c r="O43" s="150">
        <f t="shared" si="7"/>
        <v>300</v>
      </c>
      <c r="P43" s="150">
        <f t="shared" si="7"/>
        <v>310</v>
      </c>
      <c r="Q43" s="150">
        <f t="shared" si="7"/>
        <v>320</v>
      </c>
      <c r="R43" s="150">
        <f t="shared" si="7"/>
        <v>335</v>
      </c>
      <c r="S43" s="150">
        <f t="shared" si="7"/>
        <v>350</v>
      </c>
      <c r="T43" s="315">
        <f t="shared" si="7"/>
        <v>360</v>
      </c>
      <c r="U43" s="315">
        <f t="shared" ref="U43:U48" si="8">MROUND($C18*$C$7*U$31*$C$13+$C$13*SUM($D18:$E18)*U$31,$C$12)</f>
        <v>375</v>
      </c>
    </row>
    <row r="44" spans="2:39" outlineLevel="2">
      <c r="B44" s="191" t="s">
        <v>150</v>
      </c>
      <c r="C44" s="150"/>
      <c r="D44" s="150"/>
      <c r="E44" s="150"/>
      <c r="F44" s="150">
        <f t="shared" ref="F44:T44" si="9">MROUND($C19*$C$7*F$31*$C$13+$C$13*SUM($D19:$E19)*F$31,$C$12)</f>
        <v>305</v>
      </c>
      <c r="G44" s="150">
        <f t="shared" si="9"/>
        <v>320</v>
      </c>
      <c r="H44" s="150">
        <f t="shared" si="9"/>
        <v>330</v>
      </c>
      <c r="I44" s="150">
        <f t="shared" si="9"/>
        <v>340</v>
      </c>
      <c r="J44" s="150">
        <f t="shared" si="9"/>
        <v>375</v>
      </c>
      <c r="K44" s="150">
        <f t="shared" si="9"/>
        <v>395</v>
      </c>
      <c r="L44" s="150">
        <f t="shared" si="9"/>
        <v>410</v>
      </c>
      <c r="M44" s="150">
        <f t="shared" si="9"/>
        <v>430</v>
      </c>
      <c r="N44" s="150">
        <f t="shared" si="9"/>
        <v>445</v>
      </c>
      <c r="O44" s="150">
        <f t="shared" si="9"/>
        <v>465</v>
      </c>
      <c r="P44" s="150">
        <f t="shared" si="9"/>
        <v>480</v>
      </c>
      <c r="Q44" s="150">
        <f t="shared" si="9"/>
        <v>500</v>
      </c>
      <c r="R44" s="150">
        <f t="shared" si="9"/>
        <v>520</v>
      </c>
      <c r="S44" s="150">
        <f t="shared" si="9"/>
        <v>540</v>
      </c>
      <c r="T44" s="315">
        <f t="shared" si="9"/>
        <v>560</v>
      </c>
      <c r="U44" s="315">
        <f t="shared" si="8"/>
        <v>585</v>
      </c>
    </row>
    <row r="45" spans="2:39" outlineLevel="2">
      <c r="B45" s="191" t="s">
        <v>259</v>
      </c>
      <c r="C45" s="150"/>
      <c r="D45" s="150"/>
      <c r="E45" s="150"/>
      <c r="F45" s="150">
        <f t="shared" si="7"/>
        <v>625</v>
      </c>
      <c r="G45" s="150">
        <f t="shared" si="7"/>
        <v>650</v>
      </c>
      <c r="H45" s="150">
        <f t="shared" si="7"/>
        <v>675</v>
      </c>
      <c r="I45" s="150">
        <f t="shared" si="7"/>
        <v>695</v>
      </c>
      <c r="J45" s="150">
        <f t="shared" si="7"/>
        <v>765</v>
      </c>
      <c r="K45" s="150">
        <f t="shared" si="7"/>
        <v>805</v>
      </c>
      <c r="L45" s="150">
        <f t="shared" si="7"/>
        <v>840</v>
      </c>
      <c r="M45" s="150">
        <f t="shared" si="7"/>
        <v>875</v>
      </c>
      <c r="N45" s="150">
        <f t="shared" si="7"/>
        <v>910</v>
      </c>
      <c r="O45" s="150">
        <f t="shared" si="7"/>
        <v>945</v>
      </c>
      <c r="P45" s="150">
        <f t="shared" si="7"/>
        <v>985</v>
      </c>
      <c r="Q45" s="150">
        <f t="shared" si="7"/>
        <v>1020</v>
      </c>
      <c r="R45" s="150">
        <f t="shared" si="7"/>
        <v>1065</v>
      </c>
      <c r="S45" s="150">
        <f t="shared" si="7"/>
        <v>1105</v>
      </c>
      <c r="T45" s="315">
        <f t="shared" si="7"/>
        <v>1150</v>
      </c>
      <c r="U45" s="315">
        <f t="shared" si="8"/>
        <v>1195</v>
      </c>
    </row>
    <row r="46" spans="2:39" outlineLevel="2">
      <c r="B46" s="191" t="s">
        <v>263</v>
      </c>
      <c r="C46" s="150"/>
      <c r="D46" s="150"/>
      <c r="E46" s="150"/>
      <c r="F46" s="150">
        <f t="shared" si="7"/>
        <v>625</v>
      </c>
      <c r="G46" s="150">
        <f t="shared" si="7"/>
        <v>650</v>
      </c>
      <c r="H46" s="150">
        <f t="shared" si="7"/>
        <v>675</v>
      </c>
      <c r="I46" s="150">
        <f t="shared" si="7"/>
        <v>695</v>
      </c>
      <c r="J46" s="150">
        <f t="shared" si="7"/>
        <v>765</v>
      </c>
      <c r="K46" s="150">
        <f t="shared" si="7"/>
        <v>805</v>
      </c>
      <c r="L46" s="150">
        <f t="shared" si="7"/>
        <v>840</v>
      </c>
      <c r="M46" s="150">
        <f t="shared" si="7"/>
        <v>875</v>
      </c>
      <c r="N46" s="150">
        <f t="shared" si="7"/>
        <v>910</v>
      </c>
      <c r="O46" s="150">
        <f t="shared" si="7"/>
        <v>945</v>
      </c>
      <c r="P46" s="150">
        <f t="shared" si="7"/>
        <v>985</v>
      </c>
      <c r="Q46" s="150">
        <f t="shared" si="7"/>
        <v>1020</v>
      </c>
      <c r="R46" s="150">
        <f t="shared" si="7"/>
        <v>1065</v>
      </c>
      <c r="S46" s="150">
        <f t="shared" si="7"/>
        <v>1105</v>
      </c>
      <c r="T46" s="315">
        <f t="shared" si="7"/>
        <v>1150</v>
      </c>
      <c r="U46" s="315">
        <f t="shared" si="8"/>
        <v>1195</v>
      </c>
    </row>
    <row r="47" spans="2:39" outlineLevel="2">
      <c r="B47" s="191" t="s">
        <v>152</v>
      </c>
      <c r="C47" s="150"/>
      <c r="D47" s="150"/>
      <c r="E47" s="150"/>
      <c r="F47" s="150">
        <f t="shared" si="7"/>
        <v>950</v>
      </c>
      <c r="G47" s="150">
        <f t="shared" si="7"/>
        <v>990</v>
      </c>
      <c r="H47" s="150">
        <f t="shared" si="7"/>
        <v>1030</v>
      </c>
      <c r="I47" s="150">
        <f t="shared" si="7"/>
        <v>1060</v>
      </c>
      <c r="J47" s="150">
        <f t="shared" si="7"/>
        <v>1170</v>
      </c>
      <c r="K47" s="150">
        <f t="shared" si="7"/>
        <v>1230</v>
      </c>
      <c r="L47" s="150">
        <f t="shared" si="7"/>
        <v>1285</v>
      </c>
      <c r="M47" s="150">
        <f t="shared" si="7"/>
        <v>1335</v>
      </c>
      <c r="N47" s="150">
        <f t="shared" si="7"/>
        <v>1390</v>
      </c>
      <c r="O47" s="150">
        <f t="shared" si="7"/>
        <v>1445</v>
      </c>
      <c r="P47" s="150">
        <f t="shared" si="7"/>
        <v>1505</v>
      </c>
      <c r="Q47" s="150">
        <f t="shared" si="7"/>
        <v>1560</v>
      </c>
      <c r="R47" s="150">
        <f t="shared" si="7"/>
        <v>1625</v>
      </c>
      <c r="S47" s="150">
        <f t="shared" si="7"/>
        <v>1690</v>
      </c>
      <c r="T47" s="315">
        <f t="shared" si="7"/>
        <v>1755</v>
      </c>
      <c r="U47" s="315">
        <f t="shared" si="8"/>
        <v>1825</v>
      </c>
    </row>
    <row r="48" spans="2:39" outlineLevel="2">
      <c r="B48" s="191" t="s">
        <v>153</v>
      </c>
      <c r="C48" s="150"/>
      <c r="D48" s="150"/>
      <c r="E48" s="150"/>
      <c r="F48" s="150">
        <f t="shared" si="7"/>
        <v>1220</v>
      </c>
      <c r="G48" s="150">
        <f t="shared" si="7"/>
        <v>1270</v>
      </c>
      <c r="H48" s="150">
        <f t="shared" si="7"/>
        <v>1315</v>
      </c>
      <c r="I48" s="150">
        <f t="shared" si="7"/>
        <v>1360</v>
      </c>
      <c r="J48" s="150">
        <f t="shared" si="7"/>
        <v>1500</v>
      </c>
      <c r="K48" s="150">
        <f t="shared" si="7"/>
        <v>1575</v>
      </c>
      <c r="L48" s="150">
        <f t="shared" si="7"/>
        <v>1645</v>
      </c>
      <c r="M48" s="150">
        <f t="shared" si="7"/>
        <v>1710</v>
      </c>
      <c r="N48" s="150">
        <f t="shared" si="7"/>
        <v>1780</v>
      </c>
      <c r="O48" s="150">
        <f t="shared" si="7"/>
        <v>1850</v>
      </c>
      <c r="P48" s="150">
        <f t="shared" si="7"/>
        <v>1925</v>
      </c>
      <c r="Q48" s="150">
        <f t="shared" si="7"/>
        <v>2000</v>
      </c>
      <c r="R48" s="150">
        <f t="shared" si="7"/>
        <v>2080</v>
      </c>
      <c r="S48" s="150">
        <f t="shared" si="7"/>
        <v>2160</v>
      </c>
      <c r="T48" s="315">
        <f t="shared" si="7"/>
        <v>2245</v>
      </c>
      <c r="U48" s="315">
        <f t="shared" si="8"/>
        <v>2335</v>
      </c>
    </row>
    <row r="49" spans="2:39" outlineLevel="2">
      <c r="B49" s="78"/>
    </row>
    <row r="50" spans="2:39" ht="15" outlineLevel="2">
      <c r="B50" s="75" t="s">
        <v>164</v>
      </c>
      <c r="C50" s="75"/>
      <c r="D50" s="75"/>
      <c r="E50" s="75"/>
      <c r="F50" s="75"/>
      <c r="G50" s="75"/>
      <c r="H50" s="75"/>
      <c r="I50" s="75"/>
      <c r="J50" s="75"/>
      <c r="K50" s="75"/>
      <c r="L50" s="75"/>
      <c r="M50" s="75"/>
      <c r="N50" s="75"/>
      <c r="O50" s="75"/>
      <c r="P50" s="75"/>
      <c r="Q50" s="75"/>
      <c r="R50" s="75"/>
      <c r="S50" s="75"/>
      <c r="T50" s="75"/>
      <c r="U50" s="75"/>
      <c r="V50" s="3"/>
      <c r="W50" s="3"/>
      <c r="X50" s="3"/>
      <c r="Y50" s="3"/>
      <c r="Z50" s="3"/>
      <c r="AA50" s="3"/>
      <c r="AB50" s="3"/>
      <c r="AC50" s="3"/>
      <c r="AD50" s="3"/>
      <c r="AE50" s="3"/>
      <c r="AF50" s="3"/>
      <c r="AG50" s="3"/>
      <c r="AH50" s="3"/>
      <c r="AI50" s="3"/>
      <c r="AJ50" s="3"/>
      <c r="AK50" s="3"/>
      <c r="AL50" s="3"/>
      <c r="AM50" s="3"/>
    </row>
    <row r="51" spans="2:39" outlineLevel="2">
      <c r="B51" s="191" t="s">
        <v>149</v>
      </c>
      <c r="C51" s="150"/>
      <c r="D51" s="150"/>
      <c r="E51" s="223"/>
      <c r="F51" s="223">
        <f t="shared" ref="F51:T56" si="10">MROUND($C18*$C$7*F$31*$C$14+$C$14*SUM($D18:$E18)*F$31,$C$12)</f>
        <v>4365</v>
      </c>
      <c r="G51" s="223">
        <f t="shared" si="10"/>
        <v>4545</v>
      </c>
      <c r="H51" s="223">
        <f t="shared" si="10"/>
        <v>4715</v>
      </c>
      <c r="I51" s="223">
        <f t="shared" si="10"/>
        <v>4870</v>
      </c>
      <c r="J51" s="223">
        <f t="shared" si="10"/>
        <v>5365</v>
      </c>
      <c r="K51" s="223">
        <f t="shared" si="10"/>
        <v>5635</v>
      </c>
      <c r="L51" s="223">
        <f t="shared" si="10"/>
        <v>5885</v>
      </c>
      <c r="M51" s="223">
        <f t="shared" si="10"/>
        <v>6125</v>
      </c>
      <c r="N51" s="223">
        <f t="shared" si="10"/>
        <v>6370</v>
      </c>
      <c r="O51" s="223">
        <f t="shared" si="10"/>
        <v>6625</v>
      </c>
      <c r="P51" s="223">
        <f t="shared" si="10"/>
        <v>6890</v>
      </c>
      <c r="Q51" s="223">
        <f t="shared" si="10"/>
        <v>7165</v>
      </c>
      <c r="R51" s="223">
        <f t="shared" si="10"/>
        <v>7445</v>
      </c>
      <c r="S51" s="223">
        <f t="shared" si="10"/>
        <v>7740</v>
      </c>
      <c r="T51" s="316">
        <f t="shared" si="10"/>
        <v>8050</v>
      </c>
      <c r="U51" s="316">
        <f t="shared" ref="U51:U56" si="11">MROUND($C18*$C$7*U$31*$C$14+$C$14*SUM($D18:$E18)*U$31,$C$12)</f>
        <v>8365</v>
      </c>
      <c r="V51" s="324"/>
      <c r="W51" s="324"/>
      <c r="X51" s="324"/>
      <c r="Y51" s="324"/>
      <c r="Z51" s="324"/>
      <c r="AA51" s="324"/>
      <c r="AB51" s="324"/>
      <c r="AC51" s="324"/>
      <c r="AD51" s="324"/>
      <c r="AE51" s="324"/>
      <c r="AF51" s="324"/>
      <c r="AG51" s="324"/>
      <c r="AH51" s="324"/>
      <c r="AI51" s="324"/>
      <c r="AJ51" s="324"/>
      <c r="AK51" s="324"/>
      <c r="AL51" s="324"/>
    </row>
    <row r="52" spans="2:39" outlineLevel="2">
      <c r="B52" s="191" t="s">
        <v>150</v>
      </c>
      <c r="C52" s="150"/>
      <c r="D52" s="150"/>
      <c r="E52" s="223"/>
      <c r="F52" s="223">
        <f t="shared" ref="F52:T52" si="12">MROUND($C19*$C$7*F$31*$C$14+$C$14*SUM($D19:$E19)*F$31,$C$12)</f>
        <v>6780</v>
      </c>
      <c r="G52" s="223">
        <f t="shared" si="12"/>
        <v>7060</v>
      </c>
      <c r="H52" s="223">
        <f t="shared" si="12"/>
        <v>7325</v>
      </c>
      <c r="I52" s="223">
        <f t="shared" si="12"/>
        <v>7560</v>
      </c>
      <c r="J52" s="223">
        <f t="shared" si="12"/>
        <v>8330</v>
      </c>
      <c r="K52" s="223">
        <f t="shared" si="12"/>
        <v>8750</v>
      </c>
      <c r="L52" s="223">
        <f t="shared" si="12"/>
        <v>9140</v>
      </c>
      <c r="M52" s="223">
        <f t="shared" si="12"/>
        <v>9510</v>
      </c>
      <c r="N52" s="223">
        <f t="shared" si="12"/>
        <v>9890</v>
      </c>
      <c r="O52" s="223">
        <f t="shared" si="12"/>
        <v>10285</v>
      </c>
      <c r="P52" s="223">
        <f t="shared" si="12"/>
        <v>10695</v>
      </c>
      <c r="Q52" s="223">
        <f t="shared" si="12"/>
        <v>11125</v>
      </c>
      <c r="R52" s="223">
        <f t="shared" si="12"/>
        <v>11565</v>
      </c>
      <c r="S52" s="223">
        <f t="shared" si="12"/>
        <v>12020</v>
      </c>
      <c r="T52" s="316">
        <f t="shared" si="12"/>
        <v>12500</v>
      </c>
      <c r="U52" s="316">
        <f t="shared" si="11"/>
        <v>12990</v>
      </c>
      <c r="V52" s="324"/>
      <c r="W52" s="324"/>
      <c r="X52" s="324"/>
      <c r="Y52" s="324"/>
      <c r="Z52" s="324"/>
      <c r="AA52" s="324"/>
      <c r="AB52" s="324"/>
      <c r="AC52" s="324"/>
      <c r="AD52" s="324"/>
      <c r="AE52" s="324"/>
      <c r="AF52" s="324"/>
      <c r="AG52" s="324"/>
      <c r="AH52" s="324"/>
      <c r="AI52" s="324"/>
      <c r="AJ52" s="324"/>
      <c r="AK52" s="324"/>
      <c r="AL52" s="324"/>
    </row>
    <row r="53" spans="2:39" outlineLevel="2">
      <c r="B53" s="191" t="s">
        <v>259</v>
      </c>
      <c r="C53" s="150"/>
      <c r="D53" s="150"/>
      <c r="E53" s="223"/>
      <c r="F53" s="223">
        <f t="shared" si="10"/>
        <v>13845</v>
      </c>
      <c r="G53" s="223">
        <f t="shared" si="10"/>
        <v>14420</v>
      </c>
      <c r="H53" s="223">
        <f t="shared" si="10"/>
        <v>14955</v>
      </c>
      <c r="I53" s="223">
        <f t="shared" si="10"/>
        <v>15440</v>
      </c>
      <c r="J53" s="223">
        <f t="shared" si="10"/>
        <v>17010</v>
      </c>
      <c r="K53" s="223">
        <f t="shared" si="10"/>
        <v>17870</v>
      </c>
      <c r="L53" s="223">
        <f t="shared" si="10"/>
        <v>18665</v>
      </c>
      <c r="M53" s="223">
        <f t="shared" si="10"/>
        <v>19415</v>
      </c>
      <c r="N53" s="223">
        <f t="shared" si="10"/>
        <v>20195</v>
      </c>
      <c r="O53" s="223">
        <f t="shared" si="10"/>
        <v>21005</v>
      </c>
      <c r="P53" s="223">
        <f t="shared" si="10"/>
        <v>21840</v>
      </c>
      <c r="Q53" s="223">
        <f t="shared" si="10"/>
        <v>22710</v>
      </c>
      <c r="R53" s="223">
        <f t="shared" si="10"/>
        <v>23615</v>
      </c>
      <c r="S53" s="223">
        <f t="shared" si="10"/>
        <v>24550</v>
      </c>
      <c r="T53" s="316">
        <f t="shared" si="10"/>
        <v>25520</v>
      </c>
      <c r="U53" s="316">
        <f t="shared" si="11"/>
        <v>26525</v>
      </c>
      <c r="V53" s="324"/>
      <c r="W53" s="324"/>
      <c r="X53" s="324"/>
      <c r="Y53" s="324"/>
      <c r="Z53" s="324"/>
      <c r="AA53" s="324"/>
      <c r="AB53" s="324"/>
      <c r="AC53" s="324"/>
      <c r="AD53" s="324"/>
      <c r="AE53" s="324"/>
      <c r="AF53" s="324"/>
      <c r="AG53" s="324"/>
      <c r="AH53" s="324"/>
      <c r="AI53" s="324"/>
      <c r="AJ53" s="324"/>
      <c r="AK53" s="324"/>
      <c r="AL53" s="324"/>
    </row>
    <row r="54" spans="2:39" outlineLevel="2">
      <c r="B54" s="191" t="s">
        <v>263</v>
      </c>
      <c r="C54" s="150"/>
      <c r="D54" s="150"/>
      <c r="E54" s="223"/>
      <c r="F54" s="223">
        <f t="shared" si="10"/>
        <v>13845</v>
      </c>
      <c r="G54" s="223">
        <f t="shared" si="10"/>
        <v>14420</v>
      </c>
      <c r="H54" s="223">
        <f t="shared" si="10"/>
        <v>14955</v>
      </c>
      <c r="I54" s="223">
        <f t="shared" si="10"/>
        <v>15440</v>
      </c>
      <c r="J54" s="223">
        <f t="shared" si="10"/>
        <v>17010</v>
      </c>
      <c r="K54" s="223">
        <f t="shared" si="10"/>
        <v>17870</v>
      </c>
      <c r="L54" s="223">
        <f t="shared" si="10"/>
        <v>18665</v>
      </c>
      <c r="M54" s="223">
        <f t="shared" si="10"/>
        <v>19415</v>
      </c>
      <c r="N54" s="223">
        <f t="shared" si="10"/>
        <v>20195</v>
      </c>
      <c r="O54" s="223">
        <f t="shared" si="10"/>
        <v>21005</v>
      </c>
      <c r="P54" s="223">
        <f t="shared" si="10"/>
        <v>21840</v>
      </c>
      <c r="Q54" s="223">
        <f t="shared" si="10"/>
        <v>22710</v>
      </c>
      <c r="R54" s="223">
        <f t="shared" si="10"/>
        <v>23615</v>
      </c>
      <c r="S54" s="223">
        <f t="shared" si="10"/>
        <v>24550</v>
      </c>
      <c r="T54" s="316">
        <f t="shared" si="10"/>
        <v>25520</v>
      </c>
      <c r="U54" s="316">
        <f t="shared" si="11"/>
        <v>26525</v>
      </c>
      <c r="V54" s="324"/>
      <c r="W54" s="324"/>
      <c r="X54" s="324"/>
      <c r="Y54" s="324"/>
      <c r="Z54" s="324"/>
      <c r="AA54" s="324"/>
      <c r="AB54" s="324"/>
      <c r="AC54" s="324"/>
      <c r="AD54" s="324"/>
      <c r="AE54" s="324"/>
      <c r="AF54" s="324"/>
      <c r="AG54" s="324"/>
      <c r="AH54" s="324"/>
      <c r="AI54" s="324"/>
      <c r="AJ54" s="324"/>
      <c r="AK54" s="324"/>
      <c r="AL54" s="324"/>
    </row>
    <row r="55" spans="2:39" outlineLevel="2">
      <c r="B55" s="191" t="s">
        <v>152</v>
      </c>
      <c r="C55" s="150"/>
      <c r="D55" s="150"/>
      <c r="E55" s="223"/>
      <c r="F55" s="223">
        <f t="shared" si="10"/>
        <v>21165</v>
      </c>
      <c r="G55" s="223">
        <f t="shared" si="10"/>
        <v>22040</v>
      </c>
      <c r="H55" s="223">
        <f t="shared" si="10"/>
        <v>22865</v>
      </c>
      <c r="I55" s="223">
        <f t="shared" si="10"/>
        <v>23605</v>
      </c>
      <c r="J55" s="223">
        <f t="shared" si="10"/>
        <v>26005</v>
      </c>
      <c r="K55" s="223">
        <f t="shared" si="10"/>
        <v>27315</v>
      </c>
      <c r="L55" s="223">
        <f t="shared" si="10"/>
        <v>28535</v>
      </c>
      <c r="M55" s="223">
        <f t="shared" si="10"/>
        <v>29685</v>
      </c>
      <c r="N55" s="223">
        <f t="shared" si="10"/>
        <v>30875</v>
      </c>
      <c r="O55" s="223">
        <f t="shared" si="10"/>
        <v>32110</v>
      </c>
      <c r="P55" s="223">
        <f t="shared" si="10"/>
        <v>33390</v>
      </c>
      <c r="Q55" s="223">
        <f t="shared" si="10"/>
        <v>34720</v>
      </c>
      <c r="R55" s="223">
        <f t="shared" si="10"/>
        <v>36095</v>
      </c>
      <c r="S55" s="223">
        <f t="shared" si="10"/>
        <v>37525</v>
      </c>
      <c r="T55" s="316">
        <f t="shared" si="10"/>
        <v>39010</v>
      </c>
      <c r="U55" s="316">
        <f t="shared" si="11"/>
        <v>40550</v>
      </c>
      <c r="V55" s="324"/>
      <c r="W55" s="324"/>
      <c r="X55" s="324"/>
      <c r="Y55" s="324"/>
      <c r="Z55" s="324"/>
      <c r="AA55" s="324"/>
      <c r="AB55" s="324"/>
      <c r="AC55" s="324"/>
      <c r="AD55" s="324"/>
      <c r="AE55" s="324"/>
      <c r="AF55" s="324"/>
      <c r="AG55" s="324"/>
      <c r="AH55" s="324"/>
      <c r="AI55" s="324"/>
      <c r="AJ55" s="324"/>
      <c r="AK55" s="324"/>
      <c r="AL55" s="324"/>
    </row>
    <row r="56" spans="2:39" outlineLevel="2">
      <c r="B56" s="191" t="s">
        <v>153</v>
      </c>
      <c r="C56" s="150"/>
      <c r="D56" s="150"/>
      <c r="E56" s="223"/>
      <c r="F56" s="223">
        <f t="shared" si="10"/>
        <v>27095</v>
      </c>
      <c r="G56" s="223">
        <f t="shared" si="10"/>
        <v>28215</v>
      </c>
      <c r="H56" s="223">
        <f t="shared" si="10"/>
        <v>29265</v>
      </c>
      <c r="I56" s="223">
        <f t="shared" si="10"/>
        <v>30220</v>
      </c>
      <c r="J56" s="223">
        <f t="shared" si="10"/>
        <v>33285</v>
      </c>
      <c r="K56" s="223">
        <f t="shared" si="10"/>
        <v>34970</v>
      </c>
      <c r="L56" s="223">
        <f t="shared" si="10"/>
        <v>36530</v>
      </c>
      <c r="M56" s="223">
        <f t="shared" si="10"/>
        <v>38000</v>
      </c>
      <c r="N56" s="223">
        <f t="shared" si="10"/>
        <v>39525</v>
      </c>
      <c r="O56" s="223">
        <f t="shared" si="10"/>
        <v>41105</v>
      </c>
      <c r="P56" s="223">
        <f t="shared" si="10"/>
        <v>42745</v>
      </c>
      <c r="Q56" s="223">
        <f t="shared" si="10"/>
        <v>44445</v>
      </c>
      <c r="R56" s="223">
        <f t="shared" si="10"/>
        <v>46210</v>
      </c>
      <c r="S56" s="223">
        <f t="shared" si="10"/>
        <v>48040</v>
      </c>
      <c r="T56" s="316">
        <f t="shared" si="10"/>
        <v>49940</v>
      </c>
      <c r="U56" s="316">
        <f t="shared" si="11"/>
        <v>51910</v>
      </c>
      <c r="V56" s="324"/>
      <c r="W56" s="324"/>
      <c r="X56" s="324"/>
      <c r="Y56" s="324"/>
      <c r="Z56" s="324"/>
      <c r="AA56" s="324"/>
      <c r="AB56" s="324"/>
      <c r="AC56" s="324"/>
      <c r="AD56" s="324"/>
      <c r="AE56" s="324"/>
      <c r="AF56" s="324"/>
      <c r="AG56" s="324"/>
      <c r="AH56" s="324"/>
      <c r="AI56" s="324"/>
      <c r="AJ56" s="324"/>
      <c r="AK56" s="324"/>
      <c r="AL56" s="324"/>
    </row>
    <row r="57" spans="2:39" outlineLevel="2">
      <c r="B57" s="78"/>
      <c r="G57" s="83"/>
    </row>
    <row r="58" spans="2:39" ht="15" outlineLevel="2">
      <c r="B58" s="75" t="s">
        <v>165</v>
      </c>
      <c r="C58" s="75"/>
      <c r="D58" s="75"/>
      <c r="E58" s="75"/>
      <c r="F58" s="75"/>
      <c r="G58" s="75"/>
      <c r="H58" s="75"/>
      <c r="I58" s="75"/>
      <c r="J58" s="75"/>
      <c r="K58" s="75"/>
      <c r="L58" s="75"/>
      <c r="M58" s="75"/>
      <c r="N58" s="75"/>
      <c r="O58" s="75"/>
      <c r="P58" s="75"/>
      <c r="Q58" s="75"/>
      <c r="R58" s="75"/>
      <c r="S58" s="75"/>
      <c r="T58" s="75"/>
      <c r="U58" s="75"/>
      <c r="V58" s="3"/>
      <c r="W58" s="3"/>
      <c r="X58" s="3"/>
      <c r="Y58" s="3"/>
      <c r="Z58" s="3"/>
      <c r="AA58" s="3"/>
      <c r="AB58" s="3"/>
      <c r="AC58" s="3"/>
      <c r="AD58" s="3"/>
      <c r="AE58" s="3"/>
      <c r="AF58" s="3"/>
      <c r="AG58" s="3"/>
      <c r="AH58" s="3"/>
      <c r="AI58" s="3"/>
      <c r="AJ58" s="3"/>
      <c r="AK58" s="3"/>
      <c r="AL58" s="3"/>
      <c r="AM58" s="3"/>
    </row>
    <row r="59" spans="2:39" outlineLevel="2">
      <c r="B59" s="191" t="s">
        <v>149</v>
      </c>
      <c r="C59" s="150"/>
      <c r="D59" s="150"/>
      <c r="E59" s="150"/>
      <c r="F59" s="150">
        <f t="shared" ref="F59:U59" si="13">MROUND($C$15*F$31,$C$12)</f>
        <v>255</v>
      </c>
      <c r="G59" s="150">
        <f t="shared" si="13"/>
        <v>265</v>
      </c>
      <c r="H59" s="150">
        <f t="shared" si="13"/>
        <v>275</v>
      </c>
      <c r="I59" s="150">
        <f t="shared" si="13"/>
        <v>285</v>
      </c>
      <c r="J59" s="150">
        <f t="shared" si="13"/>
        <v>315</v>
      </c>
      <c r="K59" s="150">
        <f t="shared" si="13"/>
        <v>330</v>
      </c>
      <c r="L59" s="150">
        <f t="shared" si="13"/>
        <v>345</v>
      </c>
      <c r="M59" s="150">
        <f t="shared" si="13"/>
        <v>360</v>
      </c>
      <c r="N59" s="150">
        <f t="shared" si="13"/>
        <v>375</v>
      </c>
      <c r="O59" s="150">
        <f t="shared" si="13"/>
        <v>390</v>
      </c>
      <c r="P59" s="150">
        <f t="shared" si="13"/>
        <v>405</v>
      </c>
      <c r="Q59" s="150">
        <f t="shared" si="13"/>
        <v>420</v>
      </c>
      <c r="R59" s="150">
        <f t="shared" si="13"/>
        <v>435</v>
      </c>
      <c r="S59" s="150">
        <f t="shared" si="13"/>
        <v>455</v>
      </c>
      <c r="T59" s="315">
        <f t="shared" si="13"/>
        <v>470</v>
      </c>
      <c r="U59" s="315">
        <f t="shared" si="13"/>
        <v>490</v>
      </c>
    </row>
    <row r="60" spans="2:39" outlineLevel="2">
      <c r="B60" s="78"/>
    </row>
    <row r="61" spans="2:39" ht="15" outlineLevel="2">
      <c r="B61" s="75" t="s">
        <v>264</v>
      </c>
    </row>
    <row r="62" spans="2:39" outlineLevel="2">
      <c r="B62" s="191" t="s">
        <v>259</v>
      </c>
      <c r="C62" s="150"/>
      <c r="D62" s="150"/>
      <c r="E62" s="150"/>
      <c r="F62" s="150"/>
      <c r="G62" s="150"/>
      <c r="H62" s="150"/>
      <c r="I62" s="150"/>
      <c r="J62" s="150"/>
      <c r="K62" s="150"/>
      <c r="L62" s="150"/>
      <c r="M62" s="150"/>
      <c r="N62" s="150"/>
      <c r="O62" s="150"/>
      <c r="P62" s="150"/>
      <c r="Q62" s="150"/>
      <c r="R62" s="150"/>
      <c r="S62" s="150"/>
      <c r="T62" s="315"/>
      <c r="U62" s="315"/>
    </row>
    <row r="63" spans="2:39" outlineLevel="2">
      <c r="B63" s="191" t="s">
        <v>263</v>
      </c>
      <c r="C63" s="150"/>
      <c r="D63" s="150"/>
      <c r="E63" s="150"/>
      <c r="F63" s="150"/>
      <c r="G63" s="150"/>
      <c r="H63" s="150"/>
      <c r="I63" s="150"/>
      <c r="J63" s="150"/>
      <c r="K63" s="150"/>
      <c r="L63" s="150"/>
      <c r="M63" s="150"/>
      <c r="N63" s="150"/>
      <c r="O63" s="150"/>
      <c r="P63" s="150"/>
      <c r="Q63" s="150"/>
      <c r="R63" s="150"/>
      <c r="S63" s="150"/>
      <c r="T63" s="315"/>
      <c r="U63" s="315"/>
    </row>
    <row r="64" spans="2:39" outlineLevel="2">
      <c r="B64" s="191" t="s">
        <v>152</v>
      </c>
      <c r="C64" s="150"/>
      <c r="D64" s="150"/>
      <c r="E64" s="150"/>
      <c r="F64" s="150"/>
      <c r="G64" s="150"/>
      <c r="H64" s="150"/>
      <c r="I64" s="150"/>
      <c r="J64" s="150"/>
      <c r="K64" s="150"/>
      <c r="L64" s="150"/>
      <c r="M64" s="150"/>
      <c r="N64" s="150"/>
      <c r="O64" s="150"/>
      <c r="P64" s="150"/>
      <c r="Q64" s="150"/>
      <c r="R64" s="150"/>
      <c r="S64" s="150"/>
      <c r="T64" s="315"/>
      <c r="U64" s="315"/>
    </row>
    <row r="65" spans="2:39" outlineLevel="1">
      <c r="B65" s="78"/>
    </row>
    <row r="66" spans="2:39" ht="15" outlineLevel="1">
      <c r="B66" s="77" t="s">
        <v>166</v>
      </c>
    </row>
    <row r="67" spans="2:39" ht="15" outlineLevel="2">
      <c r="B67" s="75" t="s">
        <v>162</v>
      </c>
      <c r="C67" s="75"/>
      <c r="D67" s="75"/>
      <c r="E67" s="75"/>
      <c r="F67" s="75"/>
      <c r="G67" s="75"/>
      <c r="H67" s="75"/>
      <c r="I67" s="75"/>
      <c r="J67" s="75"/>
      <c r="K67" s="75"/>
      <c r="L67" s="75"/>
      <c r="M67" s="75"/>
      <c r="N67" s="75"/>
      <c r="O67" s="75"/>
      <c r="P67" s="75"/>
      <c r="Q67" s="75"/>
      <c r="R67" s="75"/>
      <c r="S67" s="75"/>
      <c r="T67" s="75"/>
      <c r="U67" s="75"/>
      <c r="V67" s="3"/>
      <c r="W67" s="3"/>
      <c r="X67" s="3"/>
      <c r="Y67" s="3"/>
      <c r="Z67" s="3"/>
      <c r="AA67" s="3"/>
      <c r="AB67" s="3"/>
      <c r="AC67" s="3"/>
      <c r="AD67" s="3"/>
      <c r="AE67" s="3"/>
      <c r="AF67" s="3"/>
      <c r="AG67" s="3"/>
      <c r="AH67" s="3"/>
      <c r="AI67" s="3"/>
      <c r="AJ67" s="3"/>
      <c r="AK67" s="3"/>
      <c r="AL67" s="3"/>
      <c r="AM67" s="3"/>
    </row>
    <row r="68" spans="2:39" outlineLevel="2">
      <c r="B68" s="191" t="s">
        <v>149</v>
      </c>
      <c r="C68" s="150"/>
      <c r="D68" s="150"/>
      <c r="E68" s="150"/>
      <c r="F68" s="150">
        <f t="shared" ref="F68:T73" si="14">MROUND($C18*$F$7*F$31+$F18*F$31,$C$12)</f>
        <v>100</v>
      </c>
      <c r="G68" s="150">
        <f t="shared" si="14"/>
        <v>105</v>
      </c>
      <c r="H68" s="150">
        <f t="shared" si="14"/>
        <v>110</v>
      </c>
      <c r="I68" s="150">
        <f t="shared" si="14"/>
        <v>115</v>
      </c>
      <c r="J68" s="150">
        <f t="shared" si="14"/>
        <v>125</v>
      </c>
      <c r="K68" s="150">
        <f t="shared" si="14"/>
        <v>130</v>
      </c>
      <c r="L68" s="150">
        <f t="shared" si="14"/>
        <v>140</v>
      </c>
      <c r="M68" s="150">
        <f t="shared" si="14"/>
        <v>145</v>
      </c>
      <c r="N68" s="150">
        <f t="shared" si="14"/>
        <v>150</v>
      </c>
      <c r="O68" s="150">
        <f t="shared" si="14"/>
        <v>155</v>
      </c>
      <c r="P68" s="150">
        <f t="shared" si="14"/>
        <v>160</v>
      </c>
      <c r="Q68" s="150">
        <f t="shared" si="14"/>
        <v>165</v>
      </c>
      <c r="R68" s="150">
        <f t="shared" si="14"/>
        <v>175</v>
      </c>
      <c r="S68" s="150">
        <f t="shared" si="14"/>
        <v>180</v>
      </c>
      <c r="T68" s="315">
        <f t="shared" si="14"/>
        <v>190</v>
      </c>
      <c r="U68" s="315">
        <f t="shared" ref="U68:U73" si="15">MROUND($C18*$F$7*U$31+$F18*U$31,$C$12)</f>
        <v>195</v>
      </c>
    </row>
    <row r="69" spans="2:39" outlineLevel="2">
      <c r="B69" s="191" t="s">
        <v>150</v>
      </c>
      <c r="C69" s="150"/>
      <c r="D69" s="150"/>
      <c r="E69" s="150"/>
      <c r="F69" s="150">
        <f t="shared" ref="F69:T69" si="16">MROUND($C19*$F$7*F$31+$F19*F$31,$C$12)</f>
        <v>160</v>
      </c>
      <c r="G69" s="150">
        <f t="shared" si="16"/>
        <v>170</v>
      </c>
      <c r="H69" s="150">
        <f t="shared" si="16"/>
        <v>175</v>
      </c>
      <c r="I69" s="150">
        <f t="shared" si="16"/>
        <v>180</v>
      </c>
      <c r="J69" s="150">
        <f t="shared" si="16"/>
        <v>200</v>
      </c>
      <c r="K69" s="150">
        <f t="shared" si="16"/>
        <v>210</v>
      </c>
      <c r="L69" s="150">
        <f t="shared" si="16"/>
        <v>215</v>
      </c>
      <c r="M69" s="150">
        <f t="shared" si="16"/>
        <v>225</v>
      </c>
      <c r="N69" s="150">
        <f t="shared" si="16"/>
        <v>235</v>
      </c>
      <c r="O69" s="150">
        <f t="shared" si="16"/>
        <v>245</v>
      </c>
      <c r="P69" s="150">
        <f t="shared" si="16"/>
        <v>255</v>
      </c>
      <c r="Q69" s="150">
        <f t="shared" si="16"/>
        <v>265</v>
      </c>
      <c r="R69" s="150">
        <f t="shared" si="16"/>
        <v>275</v>
      </c>
      <c r="S69" s="150">
        <f t="shared" si="16"/>
        <v>285</v>
      </c>
      <c r="T69" s="315">
        <f t="shared" si="16"/>
        <v>295</v>
      </c>
      <c r="U69" s="315">
        <f t="shared" si="15"/>
        <v>310</v>
      </c>
    </row>
    <row r="70" spans="2:39" outlineLevel="2">
      <c r="B70" s="191" t="s">
        <v>259</v>
      </c>
      <c r="C70" s="150"/>
      <c r="D70" s="150"/>
      <c r="E70" s="150"/>
      <c r="F70" s="150">
        <f t="shared" si="14"/>
        <v>330</v>
      </c>
      <c r="G70" s="150">
        <f t="shared" si="14"/>
        <v>345</v>
      </c>
      <c r="H70" s="150">
        <f t="shared" si="14"/>
        <v>360</v>
      </c>
      <c r="I70" s="150">
        <f t="shared" si="14"/>
        <v>370</v>
      </c>
      <c r="J70" s="150">
        <f t="shared" si="14"/>
        <v>410</v>
      </c>
      <c r="K70" s="150">
        <f t="shared" si="14"/>
        <v>430</v>
      </c>
      <c r="L70" s="150">
        <f t="shared" si="14"/>
        <v>450</v>
      </c>
      <c r="M70" s="150">
        <f t="shared" si="14"/>
        <v>465</v>
      </c>
      <c r="N70" s="150">
        <f t="shared" si="14"/>
        <v>485</v>
      </c>
      <c r="O70" s="150">
        <f t="shared" si="14"/>
        <v>505</v>
      </c>
      <c r="P70" s="150">
        <f t="shared" si="14"/>
        <v>525</v>
      </c>
      <c r="Q70" s="150">
        <f t="shared" si="14"/>
        <v>545</v>
      </c>
      <c r="R70" s="150">
        <f t="shared" si="14"/>
        <v>565</v>
      </c>
      <c r="S70" s="150">
        <f t="shared" si="14"/>
        <v>590</v>
      </c>
      <c r="T70" s="315">
        <f t="shared" si="14"/>
        <v>610</v>
      </c>
      <c r="U70" s="315">
        <f t="shared" si="15"/>
        <v>635</v>
      </c>
    </row>
    <row r="71" spans="2:39" outlineLevel="2">
      <c r="B71" s="191" t="s">
        <v>263</v>
      </c>
      <c r="C71" s="150"/>
      <c r="D71" s="150"/>
      <c r="E71" s="150"/>
      <c r="F71" s="150">
        <f t="shared" si="14"/>
        <v>330</v>
      </c>
      <c r="G71" s="150">
        <f t="shared" si="14"/>
        <v>345</v>
      </c>
      <c r="H71" s="150">
        <f t="shared" si="14"/>
        <v>360</v>
      </c>
      <c r="I71" s="150">
        <f t="shared" si="14"/>
        <v>370</v>
      </c>
      <c r="J71" s="150">
        <f t="shared" si="14"/>
        <v>410</v>
      </c>
      <c r="K71" s="150">
        <f t="shared" si="14"/>
        <v>430</v>
      </c>
      <c r="L71" s="150">
        <f t="shared" si="14"/>
        <v>450</v>
      </c>
      <c r="M71" s="150">
        <f t="shared" si="14"/>
        <v>465</v>
      </c>
      <c r="N71" s="150">
        <f t="shared" si="14"/>
        <v>485</v>
      </c>
      <c r="O71" s="150">
        <f t="shared" si="14"/>
        <v>505</v>
      </c>
      <c r="P71" s="150">
        <f t="shared" si="14"/>
        <v>525</v>
      </c>
      <c r="Q71" s="150">
        <f t="shared" si="14"/>
        <v>545</v>
      </c>
      <c r="R71" s="150">
        <f t="shared" si="14"/>
        <v>565</v>
      </c>
      <c r="S71" s="150">
        <f t="shared" si="14"/>
        <v>590</v>
      </c>
      <c r="T71" s="315">
        <f t="shared" si="14"/>
        <v>610</v>
      </c>
      <c r="U71" s="315">
        <f t="shared" si="15"/>
        <v>635</v>
      </c>
    </row>
    <row r="72" spans="2:39" outlineLevel="2">
      <c r="B72" s="191" t="s">
        <v>152</v>
      </c>
      <c r="C72" s="150"/>
      <c r="D72" s="150"/>
      <c r="E72" s="150"/>
      <c r="F72" s="150">
        <f t="shared" si="14"/>
        <v>515</v>
      </c>
      <c r="G72" s="150">
        <f t="shared" si="14"/>
        <v>535</v>
      </c>
      <c r="H72" s="150">
        <f t="shared" si="14"/>
        <v>555</v>
      </c>
      <c r="I72" s="150">
        <f t="shared" si="14"/>
        <v>570</v>
      </c>
      <c r="J72" s="150">
        <f t="shared" si="14"/>
        <v>630</v>
      </c>
      <c r="K72" s="150">
        <f t="shared" si="14"/>
        <v>660</v>
      </c>
      <c r="L72" s="150">
        <f t="shared" si="14"/>
        <v>690</v>
      </c>
      <c r="M72" s="150">
        <f t="shared" si="14"/>
        <v>720</v>
      </c>
      <c r="N72" s="150">
        <f t="shared" si="14"/>
        <v>750</v>
      </c>
      <c r="O72" s="150">
        <f t="shared" si="14"/>
        <v>780</v>
      </c>
      <c r="P72" s="150">
        <f t="shared" si="14"/>
        <v>810</v>
      </c>
      <c r="Q72" s="150">
        <f t="shared" si="14"/>
        <v>840</v>
      </c>
      <c r="R72" s="150">
        <f t="shared" si="14"/>
        <v>875</v>
      </c>
      <c r="S72" s="150">
        <f t="shared" si="14"/>
        <v>910</v>
      </c>
      <c r="T72" s="315">
        <f t="shared" si="14"/>
        <v>945</v>
      </c>
      <c r="U72" s="315">
        <f t="shared" si="15"/>
        <v>985</v>
      </c>
    </row>
    <row r="73" spans="2:39" outlineLevel="2">
      <c r="B73" s="191" t="s">
        <v>153</v>
      </c>
      <c r="C73" s="150"/>
      <c r="D73" s="150"/>
      <c r="E73" s="150"/>
      <c r="F73" s="150">
        <f t="shared" si="14"/>
        <v>645</v>
      </c>
      <c r="G73" s="150">
        <f t="shared" si="14"/>
        <v>670</v>
      </c>
      <c r="H73" s="150">
        <f t="shared" si="14"/>
        <v>695</v>
      </c>
      <c r="I73" s="150">
        <f t="shared" si="14"/>
        <v>720</v>
      </c>
      <c r="J73" s="150">
        <f t="shared" si="14"/>
        <v>790</v>
      </c>
      <c r="K73" s="150">
        <f t="shared" si="14"/>
        <v>830</v>
      </c>
      <c r="L73" s="150">
        <f t="shared" si="14"/>
        <v>870</v>
      </c>
      <c r="M73" s="150">
        <f t="shared" si="14"/>
        <v>905</v>
      </c>
      <c r="N73" s="150">
        <f t="shared" si="14"/>
        <v>940</v>
      </c>
      <c r="O73" s="150">
        <f t="shared" si="14"/>
        <v>975</v>
      </c>
      <c r="P73" s="150">
        <f t="shared" si="14"/>
        <v>1015</v>
      </c>
      <c r="Q73" s="150">
        <f t="shared" si="14"/>
        <v>1055</v>
      </c>
      <c r="R73" s="150">
        <f t="shared" si="14"/>
        <v>1100</v>
      </c>
      <c r="S73" s="150">
        <f t="shared" si="14"/>
        <v>1140</v>
      </c>
      <c r="T73" s="315">
        <f t="shared" si="14"/>
        <v>1185</v>
      </c>
      <c r="U73" s="315">
        <f t="shared" si="15"/>
        <v>1235</v>
      </c>
    </row>
    <row r="74" spans="2:39" outlineLevel="2">
      <c r="B74" s="78"/>
    </row>
    <row r="75" spans="2:39" ht="15" outlineLevel="2">
      <c r="B75" s="75" t="s">
        <v>227</v>
      </c>
      <c r="C75" s="75"/>
      <c r="D75" s="75"/>
      <c r="E75" s="75"/>
      <c r="F75" s="75"/>
      <c r="G75" s="75"/>
      <c r="H75" s="75"/>
      <c r="I75" s="75"/>
      <c r="J75" s="75"/>
      <c r="K75" s="75"/>
      <c r="L75" s="75"/>
      <c r="M75" s="75"/>
      <c r="N75" s="75"/>
      <c r="O75" s="75"/>
      <c r="P75" s="75"/>
      <c r="Q75" s="75"/>
      <c r="R75" s="75"/>
      <c r="S75" s="75"/>
      <c r="T75" s="75"/>
      <c r="U75" s="75"/>
      <c r="V75" s="3"/>
      <c r="W75" s="3"/>
      <c r="X75" s="3"/>
      <c r="Y75" s="3"/>
      <c r="Z75" s="3"/>
      <c r="AA75" s="3"/>
      <c r="AB75" s="3"/>
      <c r="AC75" s="3"/>
      <c r="AD75" s="3"/>
      <c r="AE75" s="3"/>
      <c r="AF75" s="3"/>
      <c r="AG75" s="3"/>
      <c r="AH75" s="3"/>
      <c r="AI75" s="3"/>
      <c r="AJ75" s="3"/>
      <c r="AK75" s="3"/>
      <c r="AL75" s="3"/>
      <c r="AM75" s="3"/>
    </row>
    <row r="76" spans="2:39" outlineLevel="2">
      <c r="B76" s="191" t="s">
        <v>149</v>
      </c>
      <c r="C76" s="150"/>
      <c r="D76" s="150"/>
      <c r="E76" s="150"/>
      <c r="F76" s="150">
        <f t="shared" ref="F76:T81" si="17">MROUND($C18*$F$7*F$31*$C$13+$F18*F$31*$C$13,$C$12)</f>
        <v>155</v>
      </c>
      <c r="G76" s="150">
        <f t="shared" si="17"/>
        <v>160</v>
      </c>
      <c r="H76" s="150">
        <f t="shared" si="17"/>
        <v>165</v>
      </c>
      <c r="I76" s="150">
        <f t="shared" si="17"/>
        <v>170</v>
      </c>
      <c r="J76" s="150">
        <f t="shared" si="17"/>
        <v>190</v>
      </c>
      <c r="K76" s="150">
        <f t="shared" si="17"/>
        <v>200</v>
      </c>
      <c r="L76" s="150">
        <f t="shared" si="17"/>
        <v>205</v>
      </c>
      <c r="M76" s="150">
        <f t="shared" si="17"/>
        <v>215</v>
      </c>
      <c r="N76" s="150">
        <f t="shared" si="17"/>
        <v>225</v>
      </c>
      <c r="O76" s="150">
        <f t="shared" si="17"/>
        <v>230</v>
      </c>
      <c r="P76" s="150">
        <f t="shared" si="17"/>
        <v>240</v>
      </c>
      <c r="Q76" s="150">
        <f t="shared" si="17"/>
        <v>250</v>
      </c>
      <c r="R76" s="150">
        <f t="shared" si="17"/>
        <v>260</v>
      </c>
      <c r="S76" s="150">
        <f t="shared" si="17"/>
        <v>270</v>
      </c>
      <c r="T76" s="315">
        <f t="shared" si="17"/>
        <v>280</v>
      </c>
      <c r="U76" s="315">
        <f t="shared" ref="U76:U81" si="18">MROUND($C18*$F$7*U$31*$C$13+$F18*U$31*$C$13,$C$12)</f>
        <v>295</v>
      </c>
    </row>
    <row r="77" spans="2:39" outlineLevel="2">
      <c r="B77" s="191" t="s">
        <v>150</v>
      </c>
      <c r="C77" s="150"/>
      <c r="D77" s="150"/>
      <c r="E77" s="150"/>
      <c r="F77" s="150">
        <f t="shared" ref="F77:T77" si="19">MROUND($C19*$F$7*F$31*$C$13+$F19*F$31*$C$13,$C$12)</f>
        <v>240</v>
      </c>
      <c r="G77" s="150">
        <f t="shared" si="19"/>
        <v>250</v>
      </c>
      <c r="H77" s="150">
        <f t="shared" si="19"/>
        <v>260</v>
      </c>
      <c r="I77" s="150">
        <f t="shared" si="19"/>
        <v>270</v>
      </c>
      <c r="J77" s="150">
        <f t="shared" si="19"/>
        <v>295</v>
      </c>
      <c r="K77" s="150">
        <f t="shared" si="19"/>
        <v>310</v>
      </c>
      <c r="L77" s="150">
        <f t="shared" si="19"/>
        <v>325</v>
      </c>
      <c r="M77" s="150">
        <f t="shared" si="19"/>
        <v>340</v>
      </c>
      <c r="N77" s="150">
        <f t="shared" si="19"/>
        <v>350</v>
      </c>
      <c r="O77" s="150">
        <f t="shared" si="19"/>
        <v>365</v>
      </c>
      <c r="P77" s="150">
        <f t="shared" si="19"/>
        <v>380</v>
      </c>
      <c r="Q77" s="150">
        <f t="shared" si="19"/>
        <v>395</v>
      </c>
      <c r="R77" s="150">
        <f t="shared" si="19"/>
        <v>410</v>
      </c>
      <c r="S77" s="150">
        <f t="shared" si="19"/>
        <v>430</v>
      </c>
      <c r="T77" s="315">
        <f t="shared" si="19"/>
        <v>445</v>
      </c>
      <c r="U77" s="315">
        <f t="shared" si="18"/>
        <v>460</v>
      </c>
    </row>
    <row r="78" spans="2:39" outlineLevel="2">
      <c r="B78" s="191" t="s">
        <v>259</v>
      </c>
      <c r="C78" s="150"/>
      <c r="D78" s="150"/>
      <c r="E78" s="150"/>
      <c r="F78" s="150">
        <f t="shared" si="17"/>
        <v>500</v>
      </c>
      <c r="G78" s="150">
        <f t="shared" si="17"/>
        <v>520</v>
      </c>
      <c r="H78" s="150">
        <f t="shared" si="17"/>
        <v>540</v>
      </c>
      <c r="I78" s="150">
        <f t="shared" si="17"/>
        <v>555</v>
      </c>
      <c r="J78" s="150">
        <f t="shared" si="17"/>
        <v>610</v>
      </c>
      <c r="K78" s="150">
        <f t="shared" si="17"/>
        <v>645</v>
      </c>
      <c r="L78" s="150">
        <f t="shared" si="17"/>
        <v>670</v>
      </c>
      <c r="M78" s="150">
        <f t="shared" si="17"/>
        <v>700</v>
      </c>
      <c r="N78" s="150">
        <f t="shared" si="17"/>
        <v>725</v>
      </c>
      <c r="O78" s="150">
        <f t="shared" si="17"/>
        <v>755</v>
      </c>
      <c r="P78" s="150">
        <f t="shared" si="17"/>
        <v>785</v>
      </c>
      <c r="Q78" s="150">
        <f t="shared" si="17"/>
        <v>820</v>
      </c>
      <c r="R78" s="150">
        <f t="shared" si="17"/>
        <v>850</v>
      </c>
      <c r="S78" s="150">
        <f t="shared" si="17"/>
        <v>885</v>
      </c>
      <c r="T78" s="315">
        <f t="shared" si="17"/>
        <v>920</v>
      </c>
      <c r="U78" s="315">
        <f t="shared" si="18"/>
        <v>955</v>
      </c>
    </row>
    <row r="79" spans="2:39" outlineLevel="2">
      <c r="B79" s="191" t="s">
        <v>263</v>
      </c>
      <c r="C79" s="150"/>
      <c r="D79" s="150"/>
      <c r="E79" s="150"/>
      <c r="F79" s="150">
        <f t="shared" si="17"/>
        <v>500</v>
      </c>
      <c r="G79" s="150">
        <f t="shared" si="17"/>
        <v>520</v>
      </c>
      <c r="H79" s="150">
        <f t="shared" si="17"/>
        <v>540</v>
      </c>
      <c r="I79" s="150">
        <f t="shared" si="17"/>
        <v>555</v>
      </c>
      <c r="J79" s="150">
        <f t="shared" si="17"/>
        <v>610</v>
      </c>
      <c r="K79" s="150">
        <f t="shared" si="17"/>
        <v>645</v>
      </c>
      <c r="L79" s="150">
        <f t="shared" si="17"/>
        <v>670</v>
      </c>
      <c r="M79" s="150">
        <f t="shared" si="17"/>
        <v>700</v>
      </c>
      <c r="N79" s="150">
        <f t="shared" si="17"/>
        <v>725</v>
      </c>
      <c r="O79" s="150">
        <f t="shared" si="17"/>
        <v>755</v>
      </c>
      <c r="P79" s="150">
        <f t="shared" si="17"/>
        <v>785</v>
      </c>
      <c r="Q79" s="150">
        <f t="shared" si="17"/>
        <v>820</v>
      </c>
      <c r="R79" s="150">
        <f t="shared" si="17"/>
        <v>850</v>
      </c>
      <c r="S79" s="150">
        <f t="shared" si="17"/>
        <v>885</v>
      </c>
      <c r="T79" s="315">
        <f t="shared" si="17"/>
        <v>920</v>
      </c>
      <c r="U79" s="315">
        <f t="shared" si="18"/>
        <v>955</v>
      </c>
    </row>
    <row r="80" spans="2:39" outlineLevel="2">
      <c r="B80" s="191" t="s">
        <v>152</v>
      </c>
      <c r="C80" s="150"/>
      <c r="D80" s="150"/>
      <c r="E80" s="150"/>
      <c r="F80" s="150">
        <f t="shared" si="17"/>
        <v>770</v>
      </c>
      <c r="G80" s="150">
        <f t="shared" si="17"/>
        <v>800</v>
      </c>
      <c r="H80" s="150">
        <f t="shared" si="17"/>
        <v>830</v>
      </c>
      <c r="I80" s="150">
        <f t="shared" si="17"/>
        <v>860</v>
      </c>
      <c r="J80" s="150">
        <f t="shared" si="17"/>
        <v>945</v>
      </c>
      <c r="K80" s="150">
        <f t="shared" si="17"/>
        <v>995</v>
      </c>
      <c r="L80" s="150">
        <f t="shared" si="17"/>
        <v>1040</v>
      </c>
      <c r="M80" s="150">
        <f t="shared" si="17"/>
        <v>1080</v>
      </c>
      <c r="N80" s="150">
        <f t="shared" si="17"/>
        <v>1125</v>
      </c>
      <c r="O80" s="150">
        <f t="shared" si="17"/>
        <v>1170</v>
      </c>
      <c r="P80" s="150">
        <f t="shared" si="17"/>
        <v>1215</v>
      </c>
      <c r="Q80" s="150">
        <f t="shared" si="17"/>
        <v>1265</v>
      </c>
      <c r="R80" s="150">
        <f t="shared" si="17"/>
        <v>1315</v>
      </c>
      <c r="S80" s="150">
        <f t="shared" si="17"/>
        <v>1365</v>
      </c>
      <c r="T80" s="315">
        <f t="shared" si="17"/>
        <v>1420</v>
      </c>
      <c r="U80" s="315">
        <f t="shared" si="18"/>
        <v>1475</v>
      </c>
    </row>
    <row r="81" spans="2:39" outlineLevel="2">
      <c r="B81" s="191" t="s">
        <v>153</v>
      </c>
      <c r="C81" s="150"/>
      <c r="D81" s="150"/>
      <c r="E81" s="150"/>
      <c r="F81" s="150">
        <f t="shared" si="17"/>
        <v>965</v>
      </c>
      <c r="G81" s="150">
        <f t="shared" si="17"/>
        <v>1005</v>
      </c>
      <c r="H81" s="150">
        <f t="shared" si="17"/>
        <v>1045</v>
      </c>
      <c r="I81" s="150">
        <f t="shared" si="17"/>
        <v>1075</v>
      </c>
      <c r="J81" s="150">
        <f t="shared" si="17"/>
        <v>1185</v>
      </c>
      <c r="K81" s="150">
        <f t="shared" si="17"/>
        <v>1245</v>
      </c>
      <c r="L81" s="150">
        <f t="shared" si="17"/>
        <v>1300</v>
      </c>
      <c r="M81" s="150">
        <f t="shared" si="17"/>
        <v>1355</v>
      </c>
      <c r="N81" s="150">
        <f t="shared" si="17"/>
        <v>1410</v>
      </c>
      <c r="O81" s="150">
        <f t="shared" si="17"/>
        <v>1465</v>
      </c>
      <c r="P81" s="150">
        <f t="shared" si="17"/>
        <v>1525</v>
      </c>
      <c r="Q81" s="150">
        <f t="shared" si="17"/>
        <v>1585</v>
      </c>
      <c r="R81" s="150">
        <f t="shared" si="17"/>
        <v>1645</v>
      </c>
      <c r="S81" s="150">
        <f t="shared" si="17"/>
        <v>1710</v>
      </c>
      <c r="T81" s="315">
        <f t="shared" si="17"/>
        <v>1780</v>
      </c>
      <c r="U81" s="315">
        <f t="shared" si="18"/>
        <v>1850</v>
      </c>
    </row>
    <row r="82" spans="2:39" outlineLevel="2"/>
    <row r="83" spans="2:39" ht="15" outlineLevel="2">
      <c r="B83" s="75" t="s">
        <v>164</v>
      </c>
      <c r="C83" s="75"/>
      <c r="D83" s="75"/>
      <c r="E83" s="75"/>
      <c r="F83" s="75"/>
      <c r="G83" s="75"/>
      <c r="H83" s="75"/>
      <c r="I83" s="75"/>
      <c r="J83" s="75"/>
      <c r="K83" s="75"/>
      <c r="L83" s="75"/>
      <c r="M83" s="75"/>
      <c r="N83" s="75"/>
      <c r="O83" s="75"/>
      <c r="P83" s="75"/>
      <c r="Q83" s="75"/>
      <c r="R83" s="75"/>
      <c r="S83" s="75"/>
      <c r="T83" s="75"/>
      <c r="U83" s="75"/>
      <c r="V83" s="3"/>
      <c r="W83" s="3"/>
      <c r="X83" s="3"/>
      <c r="Y83" s="3"/>
      <c r="Z83" s="3"/>
      <c r="AA83" s="3"/>
      <c r="AB83" s="3"/>
      <c r="AC83" s="3"/>
      <c r="AD83" s="3"/>
      <c r="AE83" s="3"/>
      <c r="AF83" s="3"/>
      <c r="AG83" s="3"/>
      <c r="AH83" s="3"/>
      <c r="AI83" s="3"/>
      <c r="AJ83" s="3"/>
      <c r="AK83" s="3"/>
      <c r="AL83" s="3"/>
      <c r="AM83" s="3"/>
    </row>
    <row r="84" spans="2:39" outlineLevel="2">
      <c r="B84" s="191" t="s">
        <v>149</v>
      </c>
      <c r="C84" s="150"/>
      <c r="D84" s="150"/>
      <c r="E84" s="223"/>
      <c r="F84" s="223">
        <f t="shared" ref="F84:T89" si="20">MROUND($C18*$F$7*F$31*$C$14++$F18*F$31*$C$14,$C$12)</f>
        <v>3400</v>
      </c>
      <c r="G84" s="223">
        <f t="shared" si="20"/>
        <v>3540</v>
      </c>
      <c r="H84" s="223">
        <f t="shared" si="20"/>
        <v>3675</v>
      </c>
      <c r="I84" s="223">
        <f t="shared" si="20"/>
        <v>3795</v>
      </c>
      <c r="J84" s="223">
        <f t="shared" si="20"/>
        <v>4180</v>
      </c>
      <c r="K84" s="223">
        <f t="shared" si="20"/>
        <v>4390</v>
      </c>
      <c r="L84" s="223">
        <f t="shared" si="20"/>
        <v>4585</v>
      </c>
      <c r="M84" s="223">
        <f t="shared" si="20"/>
        <v>4770</v>
      </c>
      <c r="N84" s="223">
        <f t="shared" si="20"/>
        <v>4960</v>
      </c>
      <c r="O84" s="223">
        <f t="shared" si="20"/>
        <v>5160</v>
      </c>
      <c r="P84" s="223">
        <f t="shared" si="20"/>
        <v>5365</v>
      </c>
      <c r="Q84" s="223">
        <f t="shared" si="20"/>
        <v>5580</v>
      </c>
      <c r="R84" s="223">
        <f t="shared" si="20"/>
        <v>5800</v>
      </c>
      <c r="S84" s="223">
        <f t="shared" si="20"/>
        <v>6030</v>
      </c>
      <c r="T84" s="316">
        <f t="shared" si="20"/>
        <v>6270</v>
      </c>
      <c r="U84" s="316">
        <f t="shared" ref="U84:U89" si="21">MROUND($C18*$F$7*U$31*$C$14++$F18*U$31*$C$14,$C$12)</f>
        <v>6515</v>
      </c>
      <c r="V84" s="324"/>
      <c r="W84" s="324"/>
      <c r="X84" s="324"/>
      <c r="Y84" s="324"/>
      <c r="Z84" s="324"/>
      <c r="AA84" s="324"/>
      <c r="AB84" s="324"/>
      <c r="AC84" s="324"/>
      <c r="AD84" s="324"/>
      <c r="AE84" s="324"/>
      <c r="AF84" s="324"/>
      <c r="AG84" s="324"/>
      <c r="AH84" s="324"/>
      <c r="AI84" s="324"/>
      <c r="AJ84" s="324"/>
      <c r="AK84" s="324"/>
      <c r="AL84" s="324"/>
    </row>
    <row r="85" spans="2:39" outlineLevel="2">
      <c r="B85" s="191" t="s">
        <v>150</v>
      </c>
      <c r="C85" s="150"/>
      <c r="D85" s="150"/>
      <c r="E85" s="223"/>
      <c r="F85" s="223">
        <f t="shared" ref="F85:T85" si="22">MROUND($C19*$F$7*F$31*$C$14++$F19*F$31*$C$14,$C$12)</f>
        <v>5365</v>
      </c>
      <c r="G85" s="223">
        <f t="shared" si="22"/>
        <v>5585</v>
      </c>
      <c r="H85" s="223">
        <f t="shared" si="22"/>
        <v>5795</v>
      </c>
      <c r="I85" s="223">
        <f t="shared" si="22"/>
        <v>5980</v>
      </c>
      <c r="J85" s="223">
        <f t="shared" si="22"/>
        <v>6590</v>
      </c>
      <c r="K85" s="223">
        <f t="shared" si="22"/>
        <v>6925</v>
      </c>
      <c r="L85" s="223">
        <f t="shared" si="22"/>
        <v>7230</v>
      </c>
      <c r="M85" s="223">
        <f t="shared" si="22"/>
        <v>7525</v>
      </c>
      <c r="N85" s="223">
        <f t="shared" si="22"/>
        <v>7825</v>
      </c>
      <c r="O85" s="223">
        <f t="shared" si="22"/>
        <v>8135</v>
      </c>
      <c r="P85" s="223">
        <f t="shared" si="22"/>
        <v>8460</v>
      </c>
      <c r="Q85" s="223">
        <f t="shared" si="22"/>
        <v>8800</v>
      </c>
      <c r="R85" s="223">
        <f t="shared" si="22"/>
        <v>9150</v>
      </c>
      <c r="S85" s="223">
        <f t="shared" si="22"/>
        <v>9510</v>
      </c>
      <c r="T85" s="316">
        <f t="shared" si="22"/>
        <v>9885</v>
      </c>
      <c r="U85" s="316">
        <f t="shared" si="21"/>
        <v>10275</v>
      </c>
      <c r="V85" s="324"/>
      <c r="W85" s="324"/>
      <c r="X85" s="324"/>
      <c r="Y85" s="324"/>
      <c r="Z85" s="324"/>
      <c r="AA85" s="324"/>
      <c r="AB85" s="324"/>
      <c r="AC85" s="324"/>
      <c r="AD85" s="324"/>
      <c r="AE85" s="324"/>
      <c r="AF85" s="324"/>
      <c r="AG85" s="324"/>
      <c r="AH85" s="324"/>
      <c r="AI85" s="324"/>
      <c r="AJ85" s="324"/>
      <c r="AK85" s="324"/>
      <c r="AL85" s="324"/>
    </row>
    <row r="86" spans="2:39" outlineLevel="2">
      <c r="B86" s="191" t="s">
        <v>259</v>
      </c>
      <c r="C86" s="150"/>
      <c r="D86" s="150"/>
      <c r="E86" s="223"/>
      <c r="F86" s="223">
        <f t="shared" si="20"/>
        <v>11075</v>
      </c>
      <c r="G86" s="223">
        <f t="shared" si="20"/>
        <v>11535</v>
      </c>
      <c r="H86" s="223">
        <f t="shared" si="20"/>
        <v>11965</v>
      </c>
      <c r="I86" s="223">
        <f t="shared" si="20"/>
        <v>12355</v>
      </c>
      <c r="J86" s="223">
        <f t="shared" si="20"/>
        <v>13610</v>
      </c>
      <c r="K86" s="223">
        <f t="shared" si="20"/>
        <v>14295</v>
      </c>
      <c r="L86" s="223">
        <f t="shared" si="20"/>
        <v>14935</v>
      </c>
      <c r="M86" s="223">
        <f t="shared" si="20"/>
        <v>15535</v>
      </c>
      <c r="N86" s="223">
        <f t="shared" si="20"/>
        <v>16155</v>
      </c>
      <c r="O86" s="223">
        <f t="shared" si="20"/>
        <v>16805</v>
      </c>
      <c r="P86" s="223">
        <f t="shared" si="20"/>
        <v>17475</v>
      </c>
      <c r="Q86" s="223">
        <f t="shared" si="20"/>
        <v>18170</v>
      </c>
      <c r="R86" s="223">
        <f t="shared" si="20"/>
        <v>18890</v>
      </c>
      <c r="S86" s="223">
        <f t="shared" si="20"/>
        <v>19640</v>
      </c>
      <c r="T86" s="316">
        <f t="shared" si="20"/>
        <v>20415</v>
      </c>
      <c r="U86" s="316">
        <f t="shared" si="21"/>
        <v>21220</v>
      </c>
      <c r="V86" s="324"/>
      <c r="W86" s="324"/>
      <c r="X86" s="324"/>
      <c r="Y86" s="324"/>
      <c r="Z86" s="324"/>
      <c r="AA86" s="324"/>
      <c r="AB86" s="324"/>
      <c r="AC86" s="324"/>
      <c r="AD86" s="324"/>
      <c r="AE86" s="324"/>
      <c r="AF86" s="324"/>
      <c r="AG86" s="324"/>
      <c r="AH86" s="324"/>
      <c r="AI86" s="324"/>
      <c r="AJ86" s="324"/>
      <c r="AK86" s="324"/>
      <c r="AL86" s="324"/>
    </row>
    <row r="87" spans="2:39" outlineLevel="2">
      <c r="B87" s="191" t="s">
        <v>263</v>
      </c>
      <c r="C87" s="150"/>
      <c r="D87" s="150"/>
      <c r="E87" s="223"/>
      <c r="F87" s="223">
        <f t="shared" si="20"/>
        <v>11075</v>
      </c>
      <c r="G87" s="223">
        <f t="shared" si="20"/>
        <v>11535</v>
      </c>
      <c r="H87" s="223">
        <f t="shared" si="20"/>
        <v>11965</v>
      </c>
      <c r="I87" s="223">
        <f t="shared" si="20"/>
        <v>12355</v>
      </c>
      <c r="J87" s="223">
        <f t="shared" si="20"/>
        <v>13610</v>
      </c>
      <c r="K87" s="223">
        <f t="shared" si="20"/>
        <v>14295</v>
      </c>
      <c r="L87" s="223">
        <f t="shared" si="20"/>
        <v>14935</v>
      </c>
      <c r="M87" s="223">
        <f t="shared" si="20"/>
        <v>15535</v>
      </c>
      <c r="N87" s="223">
        <f t="shared" si="20"/>
        <v>16155</v>
      </c>
      <c r="O87" s="223">
        <f t="shared" si="20"/>
        <v>16805</v>
      </c>
      <c r="P87" s="223">
        <f t="shared" si="20"/>
        <v>17475</v>
      </c>
      <c r="Q87" s="223">
        <f t="shared" si="20"/>
        <v>18170</v>
      </c>
      <c r="R87" s="223">
        <f t="shared" si="20"/>
        <v>18890</v>
      </c>
      <c r="S87" s="223">
        <f t="shared" si="20"/>
        <v>19640</v>
      </c>
      <c r="T87" s="316">
        <f t="shared" si="20"/>
        <v>20415</v>
      </c>
      <c r="U87" s="316">
        <f t="shared" si="21"/>
        <v>21220</v>
      </c>
      <c r="V87" s="324"/>
      <c r="W87" s="324"/>
      <c r="X87" s="324"/>
      <c r="Y87" s="324"/>
      <c r="Z87" s="324"/>
      <c r="AA87" s="324"/>
      <c r="AB87" s="324"/>
      <c r="AC87" s="324"/>
      <c r="AD87" s="324"/>
      <c r="AE87" s="324"/>
      <c r="AF87" s="324"/>
      <c r="AG87" s="324"/>
      <c r="AH87" s="324"/>
      <c r="AI87" s="324"/>
      <c r="AJ87" s="324"/>
      <c r="AK87" s="324"/>
      <c r="AL87" s="324"/>
    </row>
    <row r="88" spans="2:39" outlineLevel="2">
      <c r="B88" s="191" t="s">
        <v>152</v>
      </c>
      <c r="C88" s="150"/>
      <c r="D88" s="150"/>
      <c r="E88" s="223"/>
      <c r="F88" s="223">
        <f t="shared" si="20"/>
        <v>17110</v>
      </c>
      <c r="G88" s="223">
        <f t="shared" si="20"/>
        <v>17815</v>
      </c>
      <c r="H88" s="223">
        <f t="shared" si="20"/>
        <v>18480</v>
      </c>
      <c r="I88" s="223">
        <f t="shared" si="20"/>
        <v>19080</v>
      </c>
      <c r="J88" s="223">
        <f t="shared" si="20"/>
        <v>21020</v>
      </c>
      <c r="K88" s="223">
        <f t="shared" si="20"/>
        <v>22080</v>
      </c>
      <c r="L88" s="223">
        <f t="shared" si="20"/>
        <v>23065</v>
      </c>
      <c r="M88" s="223">
        <f t="shared" si="20"/>
        <v>23995</v>
      </c>
      <c r="N88" s="223">
        <f t="shared" si="20"/>
        <v>24955</v>
      </c>
      <c r="O88" s="223">
        <f t="shared" si="20"/>
        <v>25955</v>
      </c>
      <c r="P88" s="223">
        <f t="shared" si="20"/>
        <v>26990</v>
      </c>
      <c r="Q88" s="223">
        <f t="shared" si="20"/>
        <v>28065</v>
      </c>
      <c r="R88" s="223">
        <f t="shared" si="20"/>
        <v>29180</v>
      </c>
      <c r="S88" s="223">
        <f t="shared" si="20"/>
        <v>30335</v>
      </c>
      <c r="T88" s="316">
        <f t="shared" si="20"/>
        <v>31535</v>
      </c>
      <c r="U88" s="316">
        <f t="shared" si="21"/>
        <v>32780</v>
      </c>
      <c r="V88" s="324"/>
      <c r="W88" s="324"/>
      <c r="X88" s="324"/>
      <c r="Y88" s="324"/>
      <c r="Z88" s="324"/>
      <c r="AA88" s="324"/>
      <c r="AB88" s="324"/>
      <c r="AC88" s="324"/>
      <c r="AD88" s="324"/>
      <c r="AE88" s="324"/>
      <c r="AF88" s="324"/>
      <c r="AG88" s="324"/>
      <c r="AH88" s="324"/>
      <c r="AI88" s="324"/>
      <c r="AJ88" s="324"/>
      <c r="AK88" s="324"/>
      <c r="AL88" s="324"/>
    </row>
    <row r="89" spans="2:39" outlineLevel="2">
      <c r="B89" s="191" t="s">
        <v>153</v>
      </c>
      <c r="C89" s="150"/>
      <c r="D89" s="150"/>
      <c r="E89" s="223"/>
      <c r="F89" s="223">
        <f t="shared" si="20"/>
        <v>21455</v>
      </c>
      <c r="G89" s="223">
        <f t="shared" si="20"/>
        <v>22345</v>
      </c>
      <c r="H89" s="223">
        <f t="shared" si="20"/>
        <v>23175</v>
      </c>
      <c r="I89" s="223">
        <f t="shared" si="20"/>
        <v>23930</v>
      </c>
      <c r="J89" s="223">
        <f t="shared" si="20"/>
        <v>26360</v>
      </c>
      <c r="K89" s="223">
        <f t="shared" si="20"/>
        <v>27690</v>
      </c>
      <c r="L89" s="223">
        <f t="shared" si="20"/>
        <v>28925</v>
      </c>
      <c r="M89" s="223">
        <f t="shared" si="20"/>
        <v>30090</v>
      </c>
      <c r="N89" s="223">
        <f t="shared" si="20"/>
        <v>31300</v>
      </c>
      <c r="O89" s="223">
        <f t="shared" si="20"/>
        <v>32550</v>
      </c>
      <c r="P89" s="223">
        <f t="shared" si="20"/>
        <v>33850</v>
      </c>
      <c r="Q89" s="223">
        <f t="shared" si="20"/>
        <v>35195</v>
      </c>
      <c r="R89" s="223">
        <f t="shared" si="20"/>
        <v>36590</v>
      </c>
      <c r="S89" s="223">
        <f t="shared" si="20"/>
        <v>38040</v>
      </c>
      <c r="T89" s="316">
        <f t="shared" si="20"/>
        <v>39545</v>
      </c>
      <c r="U89" s="316">
        <f t="shared" si="21"/>
        <v>41110</v>
      </c>
      <c r="V89" s="324"/>
      <c r="W89" s="324"/>
      <c r="X89" s="324"/>
      <c r="Y89" s="324"/>
      <c r="Z89" s="324"/>
      <c r="AA89" s="324"/>
      <c r="AB89" s="324"/>
      <c r="AC89" s="324"/>
      <c r="AD89" s="324"/>
      <c r="AE89" s="324"/>
      <c r="AF89" s="324"/>
      <c r="AG89" s="324"/>
      <c r="AH89" s="324"/>
      <c r="AI89" s="324"/>
      <c r="AJ89" s="324"/>
      <c r="AK89" s="324"/>
      <c r="AL89" s="324"/>
    </row>
    <row r="90" spans="2:39" outlineLevel="2"/>
    <row r="91" spans="2:39" ht="15" outlineLevel="2">
      <c r="B91" s="75" t="s">
        <v>165</v>
      </c>
      <c r="C91" s="75"/>
      <c r="D91" s="75"/>
      <c r="E91" s="75"/>
      <c r="F91" s="75"/>
      <c r="G91" s="75"/>
      <c r="H91" s="75"/>
      <c r="I91" s="75"/>
      <c r="J91" s="75"/>
      <c r="K91" s="75"/>
      <c r="L91" s="75"/>
      <c r="M91" s="75"/>
      <c r="N91" s="75"/>
      <c r="O91" s="75"/>
      <c r="P91" s="75"/>
      <c r="Q91" s="75"/>
      <c r="R91" s="75"/>
      <c r="S91" s="75"/>
      <c r="T91" s="75"/>
      <c r="U91" s="75"/>
      <c r="V91" s="3"/>
      <c r="W91" s="3"/>
      <c r="X91" s="3"/>
      <c r="Y91" s="3"/>
      <c r="Z91" s="3"/>
      <c r="AA91" s="3"/>
      <c r="AB91" s="3"/>
      <c r="AC91" s="3"/>
      <c r="AD91" s="3"/>
      <c r="AE91" s="3"/>
      <c r="AF91" s="3"/>
      <c r="AG91" s="3"/>
      <c r="AH91" s="3"/>
      <c r="AI91" s="3"/>
      <c r="AJ91" s="3"/>
      <c r="AK91" s="3"/>
      <c r="AL91" s="3"/>
      <c r="AM91" s="3"/>
    </row>
    <row r="92" spans="2:39" outlineLevel="2">
      <c r="B92" s="191" t="s">
        <v>149</v>
      </c>
      <c r="C92" s="150"/>
      <c r="D92" s="150"/>
      <c r="E92" s="150"/>
      <c r="F92" s="150">
        <f t="shared" ref="F92:T92" si="23">F59</f>
        <v>255</v>
      </c>
      <c r="G92" s="150">
        <f t="shared" si="23"/>
        <v>265</v>
      </c>
      <c r="H92" s="150">
        <f t="shared" si="23"/>
        <v>275</v>
      </c>
      <c r="I92" s="150">
        <f t="shared" si="23"/>
        <v>285</v>
      </c>
      <c r="J92" s="150">
        <f t="shared" si="23"/>
        <v>315</v>
      </c>
      <c r="K92" s="150">
        <f t="shared" si="23"/>
        <v>330</v>
      </c>
      <c r="L92" s="150">
        <f t="shared" si="23"/>
        <v>345</v>
      </c>
      <c r="M92" s="150">
        <f t="shared" si="23"/>
        <v>360</v>
      </c>
      <c r="N92" s="150">
        <f t="shared" si="23"/>
        <v>375</v>
      </c>
      <c r="O92" s="150">
        <f t="shared" si="23"/>
        <v>390</v>
      </c>
      <c r="P92" s="150">
        <f t="shared" si="23"/>
        <v>405</v>
      </c>
      <c r="Q92" s="150">
        <f t="shared" si="23"/>
        <v>420</v>
      </c>
      <c r="R92" s="150">
        <f t="shared" si="23"/>
        <v>435</v>
      </c>
      <c r="S92" s="150">
        <f t="shared" si="23"/>
        <v>455</v>
      </c>
      <c r="T92" s="315">
        <f t="shared" si="23"/>
        <v>470</v>
      </c>
      <c r="U92" s="315">
        <f>U59</f>
        <v>490</v>
      </c>
    </row>
    <row r="93" spans="2:39" outlineLevel="2"/>
    <row r="94" spans="2:39" ht="15" outlineLevel="2">
      <c r="B94" s="75" t="str">
        <f>B277</f>
        <v>Local Concession</v>
      </c>
    </row>
    <row r="95" spans="2:39" outlineLevel="2">
      <c r="B95" s="191" t="s">
        <v>299</v>
      </c>
      <c r="C95" s="150"/>
      <c r="D95" s="150"/>
      <c r="E95" s="150"/>
      <c r="F95" s="150">
        <v>0</v>
      </c>
      <c r="G95" s="169">
        <v>20</v>
      </c>
      <c r="H95" s="169">
        <v>20</v>
      </c>
      <c r="I95" s="169">
        <v>20</v>
      </c>
      <c r="J95" s="169">
        <v>20</v>
      </c>
      <c r="K95" s="169">
        <v>20</v>
      </c>
      <c r="L95" s="169">
        <v>20</v>
      </c>
      <c r="M95" s="169">
        <v>20</v>
      </c>
      <c r="N95" s="169">
        <v>20</v>
      </c>
      <c r="O95" s="169">
        <v>20</v>
      </c>
      <c r="P95" s="169">
        <v>20</v>
      </c>
      <c r="Q95" s="169">
        <v>20</v>
      </c>
      <c r="R95" s="169">
        <v>20</v>
      </c>
      <c r="S95" s="169">
        <v>20</v>
      </c>
      <c r="T95" s="317">
        <v>20</v>
      </c>
      <c r="U95" s="317">
        <v>20</v>
      </c>
      <c r="V95" s="325"/>
      <c r="W95" s="325"/>
      <c r="X95" s="325"/>
      <c r="Y95" s="325"/>
      <c r="Z95" s="325"/>
      <c r="AA95" s="325"/>
      <c r="AB95" s="325"/>
      <c r="AC95" s="325"/>
      <c r="AD95" s="325"/>
      <c r="AE95" s="325"/>
      <c r="AF95" s="325"/>
      <c r="AG95" s="325"/>
      <c r="AH95" s="325"/>
      <c r="AI95" s="325"/>
      <c r="AJ95" s="325"/>
      <c r="AK95" s="325"/>
      <c r="AL95" s="325"/>
    </row>
    <row r="96" spans="2:39" outlineLevel="2"/>
    <row r="97" spans="2:39" ht="15" outlineLevel="2">
      <c r="B97" s="75" t="s">
        <v>300</v>
      </c>
    </row>
    <row r="98" spans="2:39" outlineLevel="2">
      <c r="B98" s="191" t="s">
        <v>150</v>
      </c>
      <c r="C98" s="150"/>
      <c r="D98" s="150"/>
      <c r="E98" s="150"/>
      <c r="F98" s="150">
        <v>0</v>
      </c>
      <c r="G98" s="150">
        <v>0</v>
      </c>
      <c r="H98" s="150">
        <v>0</v>
      </c>
      <c r="I98" s="150">
        <v>0</v>
      </c>
      <c r="J98" s="150">
        <v>0</v>
      </c>
      <c r="K98" s="150">
        <v>0</v>
      </c>
      <c r="L98" s="150">
        <v>0</v>
      </c>
      <c r="M98" s="150">
        <v>0</v>
      </c>
      <c r="N98" s="150">
        <v>0</v>
      </c>
      <c r="O98" s="150">
        <v>0</v>
      </c>
      <c r="P98" s="150">
        <v>0</v>
      </c>
      <c r="Q98" s="150">
        <v>0</v>
      </c>
      <c r="R98" s="150">
        <v>0</v>
      </c>
      <c r="S98" s="150">
        <v>0</v>
      </c>
      <c r="T98" s="315">
        <v>0</v>
      </c>
      <c r="U98" s="315">
        <v>0</v>
      </c>
    </row>
    <row r="99" spans="2:39" outlineLevel="2">
      <c r="B99" s="191" t="s">
        <v>259</v>
      </c>
      <c r="C99" s="150"/>
      <c r="D99" s="150"/>
      <c r="E99" s="150"/>
      <c r="F99" s="150">
        <v>0</v>
      </c>
      <c r="G99" s="150">
        <v>0</v>
      </c>
      <c r="H99" s="150">
        <v>0</v>
      </c>
      <c r="I99" s="150">
        <v>0</v>
      </c>
      <c r="J99" s="150">
        <v>0</v>
      </c>
      <c r="K99" s="150">
        <v>0</v>
      </c>
      <c r="L99" s="150">
        <v>0</v>
      </c>
      <c r="M99" s="150">
        <v>0</v>
      </c>
      <c r="N99" s="150">
        <v>0</v>
      </c>
      <c r="O99" s="150">
        <v>0</v>
      </c>
      <c r="P99" s="150">
        <v>0</v>
      </c>
      <c r="Q99" s="150">
        <v>0</v>
      </c>
      <c r="R99" s="150">
        <v>0</v>
      </c>
      <c r="S99" s="150">
        <v>0</v>
      </c>
      <c r="T99" s="315">
        <v>0</v>
      </c>
      <c r="U99" s="315">
        <v>0</v>
      </c>
    </row>
    <row r="100" spans="2:39" outlineLevel="2">
      <c r="B100" s="191" t="s">
        <v>152</v>
      </c>
      <c r="C100" s="150"/>
      <c r="D100" s="150"/>
      <c r="E100" s="150"/>
      <c r="F100" s="150">
        <v>0</v>
      </c>
      <c r="G100" s="150">
        <v>0</v>
      </c>
      <c r="H100" s="150">
        <v>0</v>
      </c>
      <c r="I100" s="150">
        <v>0</v>
      </c>
      <c r="J100" s="150">
        <v>0</v>
      </c>
      <c r="K100" s="150">
        <v>0</v>
      </c>
      <c r="L100" s="150">
        <v>0</v>
      </c>
      <c r="M100" s="150">
        <v>0</v>
      </c>
      <c r="N100" s="150">
        <v>0</v>
      </c>
      <c r="O100" s="150">
        <v>0</v>
      </c>
      <c r="P100" s="150">
        <v>0</v>
      </c>
      <c r="Q100" s="150">
        <v>0</v>
      </c>
      <c r="R100" s="150">
        <v>0</v>
      </c>
      <c r="S100" s="150">
        <v>0</v>
      </c>
      <c r="T100" s="315">
        <v>0</v>
      </c>
      <c r="U100" s="315">
        <v>0</v>
      </c>
    </row>
    <row r="101" spans="2:39" outlineLevel="2"/>
    <row r="102" spans="2:39" outlineLevel="1"/>
    <row r="104" spans="2:39" ht="15">
      <c r="B104" s="76" t="s">
        <v>168</v>
      </c>
      <c r="C104" s="76"/>
      <c r="D104" s="76"/>
      <c r="E104" s="76"/>
      <c r="F104" s="76"/>
      <c r="G104" s="76"/>
      <c r="H104" s="76"/>
      <c r="I104" s="76"/>
      <c r="J104" s="76"/>
      <c r="K104" s="76"/>
      <c r="L104" s="76"/>
      <c r="M104" s="76"/>
      <c r="N104" s="76"/>
      <c r="O104" s="76"/>
      <c r="P104" s="76"/>
      <c r="Q104" s="76"/>
      <c r="R104" s="76"/>
      <c r="S104" s="76"/>
      <c r="T104" s="76"/>
      <c r="U104" s="76"/>
      <c r="V104" s="322"/>
      <c r="W104" s="322"/>
      <c r="X104" s="322"/>
      <c r="Y104" s="322"/>
      <c r="Z104" s="322"/>
      <c r="AA104" s="322"/>
      <c r="AB104" s="322"/>
      <c r="AC104" s="322"/>
      <c r="AD104" s="322"/>
      <c r="AE104" s="322"/>
      <c r="AF104" s="322"/>
      <c r="AG104" s="322"/>
      <c r="AH104" s="322"/>
      <c r="AI104" s="322"/>
      <c r="AJ104" s="322"/>
      <c r="AK104" s="322"/>
      <c r="AL104" s="322"/>
      <c r="AM104" s="322"/>
    </row>
    <row r="105" spans="2:39" ht="15">
      <c r="B105" s="75" t="s">
        <v>169</v>
      </c>
      <c r="C105" s="75"/>
      <c r="D105" s="75"/>
      <c r="E105" s="75"/>
      <c r="F105" s="75"/>
      <c r="G105" s="75"/>
      <c r="H105" s="75"/>
      <c r="I105" s="75"/>
      <c r="J105" s="75"/>
      <c r="K105" s="75"/>
      <c r="L105" s="75"/>
      <c r="M105" s="75"/>
      <c r="N105" s="75"/>
      <c r="O105" s="75"/>
      <c r="P105" s="75"/>
      <c r="Q105" s="75"/>
      <c r="R105" s="75"/>
      <c r="S105" s="75"/>
      <c r="T105" s="75"/>
      <c r="U105" s="75"/>
      <c r="V105" s="3"/>
      <c r="W105" s="3"/>
      <c r="X105" s="3"/>
      <c r="Y105" s="3"/>
      <c r="Z105" s="3"/>
      <c r="AA105" s="3"/>
      <c r="AB105" s="3"/>
      <c r="AC105" s="3"/>
      <c r="AD105" s="3"/>
      <c r="AE105" s="3"/>
      <c r="AF105" s="3"/>
      <c r="AG105" s="3"/>
      <c r="AH105" s="3"/>
      <c r="AI105" s="3"/>
      <c r="AJ105" s="3"/>
      <c r="AK105" s="3"/>
      <c r="AL105" s="3"/>
      <c r="AM105" s="3"/>
    </row>
    <row r="106" spans="2:39" ht="15">
      <c r="B106" s="77" t="s">
        <v>170</v>
      </c>
      <c r="C106" s="77"/>
      <c r="D106" s="77"/>
      <c r="E106" s="77"/>
      <c r="F106" s="77"/>
      <c r="G106" s="77"/>
      <c r="H106" s="77"/>
      <c r="I106" s="77"/>
      <c r="J106" s="77"/>
      <c r="K106" s="77"/>
      <c r="L106" s="77"/>
      <c r="M106" s="77"/>
      <c r="N106" s="77"/>
      <c r="O106" s="77"/>
      <c r="P106" s="77"/>
      <c r="Q106" s="77"/>
      <c r="R106" s="77"/>
      <c r="S106" s="77"/>
      <c r="T106" s="77"/>
      <c r="U106" s="77"/>
      <c r="V106" s="3"/>
      <c r="W106" s="3"/>
      <c r="X106" s="3"/>
      <c r="Y106" s="3"/>
      <c r="Z106" s="3"/>
      <c r="AA106" s="3"/>
      <c r="AB106" s="3"/>
      <c r="AC106" s="3"/>
      <c r="AD106" s="3"/>
      <c r="AE106" s="3"/>
      <c r="AF106" s="3"/>
      <c r="AG106" s="3"/>
      <c r="AH106" s="3"/>
      <c r="AI106" s="3"/>
      <c r="AJ106" s="3"/>
      <c r="AK106" s="3"/>
      <c r="AL106" s="3"/>
      <c r="AM106" s="3"/>
    </row>
    <row r="108" spans="2:39" ht="15" outlineLevel="1">
      <c r="B108" s="75" t="s">
        <v>262</v>
      </c>
      <c r="C108" s="75"/>
      <c r="D108" s="75"/>
      <c r="E108" s="75"/>
      <c r="F108" s="75"/>
      <c r="G108" s="75"/>
      <c r="H108" s="75"/>
      <c r="I108" s="75"/>
      <c r="J108" s="75"/>
      <c r="K108" s="75"/>
      <c r="L108" s="75"/>
      <c r="M108" s="75"/>
      <c r="N108" s="75"/>
      <c r="O108" s="75"/>
      <c r="P108" s="75"/>
      <c r="Q108" s="75"/>
      <c r="R108" s="75"/>
      <c r="S108" s="75"/>
      <c r="T108" s="75"/>
      <c r="U108" s="75"/>
      <c r="V108" s="3"/>
      <c r="W108" s="3"/>
      <c r="X108" s="3"/>
      <c r="Y108" s="3"/>
      <c r="Z108" s="3"/>
      <c r="AA108" s="3"/>
      <c r="AB108" s="3"/>
      <c r="AC108" s="3"/>
      <c r="AD108" s="3"/>
      <c r="AE108" s="3"/>
      <c r="AF108" s="3"/>
      <c r="AG108" s="3"/>
      <c r="AH108" s="3"/>
      <c r="AI108" s="3"/>
      <c r="AJ108" s="3"/>
      <c r="AK108" s="3"/>
      <c r="AL108" s="3"/>
      <c r="AM108" s="3"/>
    </row>
    <row r="109" spans="2:39" ht="15" outlineLevel="1">
      <c r="B109" s="189" t="s">
        <v>154</v>
      </c>
      <c r="C109" s="190" t="str">
        <f>C5</f>
        <v>TP-1 (Mandal)</v>
      </c>
      <c r="D109" s="190" t="str">
        <f>F5</f>
        <v>TP-2 (Bhatia)</v>
      </c>
      <c r="E109" s="190">
        <f>H5</f>
        <v>0</v>
      </c>
    </row>
    <row r="110" spans="2:39" outlineLevel="1">
      <c r="B110" s="191" t="s">
        <v>149</v>
      </c>
      <c r="C110" s="224">
        <f>Input!C57</f>
        <v>5392</v>
      </c>
      <c r="D110" s="224">
        <f>Input!D57</f>
        <v>7078</v>
      </c>
      <c r="E110" s="224">
        <f>Input!E57</f>
        <v>0</v>
      </c>
      <c r="G110" s="104"/>
    </row>
    <row r="111" spans="2:39" outlineLevel="1">
      <c r="B111" s="191" t="s">
        <v>150</v>
      </c>
      <c r="C111" s="224">
        <f>Input!C58</f>
        <v>333</v>
      </c>
      <c r="D111" s="224">
        <f>Input!D58</f>
        <v>499</v>
      </c>
      <c r="E111" s="224">
        <f>Input!E58</f>
        <v>0</v>
      </c>
      <c r="G111" s="104"/>
    </row>
    <row r="112" spans="2:39" outlineLevel="1">
      <c r="B112" s="191" t="s">
        <v>259</v>
      </c>
      <c r="C112" s="224">
        <f>Input!C59</f>
        <v>0</v>
      </c>
      <c r="D112" s="224">
        <f>Input!D59</f>
        <v>0</v>
      </c>
      <c r="E112" s="224">
        <f>Input!E59</f>
        <v>0</v>
      </c>
      <c r="G112" s="104"/>
    </row>
    <row r="113" spans="2:39" outlineLevel="1">
      <c r="B113" s="191" t="s">
        <v>263</v>
      </c>
      <c r="C113" s="224">
        <f>Input!C60</f>
        <v>1258</v>
      </c>
      <c r="D113" s="224">
        <f>Input!D60</f>
        <v>575</v>
      </c>
      <c r="E113" s="224">
        <f>Input!E60</f>
        <v>0</v>
      </c>
      <c r="G113" s="104"/>
    </row>
    <row r="114" spans="2:39" outlineLevel="1">
      <c r="B114" s="191" t="s">
        <v>152</v>
      </c>
      <c r="C114" s="224">
        <f>Input!C61</f>
        <v>3140</v>
      </c>
      <c r="D114" s="224">
        <f>Input!D61</f>
        <v>2715</v>
      </c>
      <c r="E114" s="224">
        <f>Input!E61</f>
        <v>0</v>
      </c>
      <c r="G114" s="104"/>
    </row>
    <row r="115" spans="2:39" outlineLevel="1">
      <c r="B115" s="191" t="s">
        <v>153</v>
      </c>
      <c r="C115" s="224">
        <f>Input!C62</f>
        <v>0</v>
      </c>
      <c r="D115" s="224">
        <f>Input!D62</f>
        <v>0</v>
      </c>
      <c r="E115" s="224">
        <f>Input!E62</f>
        <v>0</v>
      </c>
      <c r="G115" s="104"/>
    </row>
    <row r="116" spans="2:39" ht="15" outlineLevel="1">
      <c r="B116" s="189" t="s">
        <v>75</v>
      </c>
      <c r="C116" s="193">
        <f>SUM(C110:C115)</f>
        <v>10123</v>
      </c>
      <c r="D116" s="193">
        <f>SUM(D110:D115)</f>
        <v>10867</v>
      </c>
      <c r="E116" s="193">
        <f>SUM(E110:E115)</f>
        <v>0</v>
      </c>
      <c r="G116" s="104"/>
    </row>
    <row r="117" spans="2:39" ht="15" outlineLevel="1">
      <c r="B117" s="96"/>
      <c r="C117" s="97"/>
      <c r="D117" s="97"/>
      <c r="E117" s="97"/>
    </row>
    <row r="118" spans="2:39" ht="15" outlineLevel="1">
      <c r="B118" s="75" t="s">
        <v>162</v>
      </c>
      <c r="C118" s="75"/>
      <c r="D118" s="75"/>
      <c r="E118" s="75"/>
      <c r="F118" s="75"/>
      <c r="G118" s="75"/>
      <c r="H118" s="75"/>
      <c r="I118" s="75"/>
      <c r="J118" s="75"/>
      <c r="K118" s="75"/>
      <c r="L118" s="75"/>
      <c r="M118" s="75"/>
      <c r="N118" s="75"/>
      <c r="O118" s="75"/>
      <c r="P118" s="75"/>
      <c r="Q118" s="75"/>
      <c r="R118" s="75"/>
      <c r="S118" s="75"/>
      <c r="T118" s="75"/>
      <c r="U118" s="75"/>
      <c r="V118" s="3"/>
      <c r="W118" s="3"/>
      <c r="X118" s="3"/>
      <c r="Y118" s="3"/>
      <c r="Z118" s="3"/>
      <c r="AA118" s="3"/>
      <c r="AB118" s="3"/>
      <c r="AC118" s="3"/>
      <c r="AD118" s="3"/>
      <c r="AE118" s="3"/>
      <c r="AF118" s="3"/>
      <c r="AG118" s="3"/>
      <c r="AH118" s="3"/>
      <c r="AI118" s="3"/>
      <c r="AJ118" s="3"/>
      <c r="AK118" s="3"/>
      <c r="AL118" s="3"/>
      <c r="AM118" s="3"/>
    </row>
    <row r="119" spans="2:39" ht="15" outlineLevel="1">
      <c r="B119" s="156"/>
      <c r="C119" s="156"/>
      <c r="D119" s="156"/>
      <c r="E119" s="178" t="str">
        <f>C5</f>
        <v>TP-1 (Mandal)</v>
      </c>
      <c r="F119" s="178" t="s">
        <v>171</v>
      </c>
      <c r="G119" s="178"/>
      <c r="H119" s="178" t="str">
        <f>F5</f>
        <v>TP-2 (Bhatia)</v>
      </c>
      <c r="I119" s="178" t="s">
        <v>171</v>
      </c>
      <c r="J119" s="178"/>
      <c r="K119" s="178">
        <f>H5</f>
        <v>0</v>
      </c>
      <c r="L119" s="178" t="s">
        <v>171</v>
      </c>
    </row>
    <row r="120" spans="2:39" ht="15" outlineLevel="1">
      <c r="B120" s="191" t="s">
        <v>149</v>
      </c>
      <c r="C120" s="150"/>
      <c r="D120" s="225">
        <f>E120+E129+E138+E147+E150+E158+E166</f>
        <v>0.6150000000000001</v>
      </c>
      <c r="E120" s="226">
        <v>0.23</v>
      </c>
      <c r="F120" s="227">
        <v>1</v>
      </c>
      <c r="G120" s="225">
        <f>H120+H129+H138+H147+H150+H158+H166</f>
        <v>0.67499999999999993</v>
      </c>
      <c r="H120" s="228">
        <v>0.28999999999999998</v>
      </c>
      <c r="I120" s="227">
        <v>1</v>
      </c>
      <c r="J120" s="225">
        <f>K120+K129+K138+K147+K150+K158+K166</f>
        <v>0</v>
      </c>
      <c r="K120" s="228">
        <v>0</v>
      </c>
      <c r="L120" s="227">
        <v>1</v>
      </c>
    </row>
    <row r="121" spans="2:39" ht="15" outlineLevel="1">
      <c r="B121" s="191" t="s">
        <v>150</v>
      </c>
      <c r="C121" s="150"/>
      <c r="D121" s="225">
        <f>E121+E130+E139+E151+E159+E167</f>
        <v>0.93026234102156857</v>
      </c>
      <c r="E121" s="226">
        <v>0.30198323216403822</v>
      </c>
      <c r="F121" s="227">
        <v>1</v>
      </c>
      <c r="G121" s="225">
        <f>H121+H130+H139+H151+H159+H167</f>
        <v>0.95389909734243572</v>
      </c>
      <c r="H121" s="228">
        <v>0.23524186262865432</v>
      </c>
      <c r="I121" s="227">
        <v>1</v>
      </c>
      <c r="J121" s="225">
        <f>K121+K130+K139+K151+K159+K167</f>
        <v>0</v>
      </c>
      <c r="K121" s="228">
        <v>0</v>
      </c>
      <c r="L121" s="227">
        <v>1</v>
      </c>
    </row>
    <row r="122" spans="2:39" ht="15" outlineLevel="1">
      <c r="B122" s="191" t="s">
        <v>259</v>
      </c>
      <c r="C122" s="150"/>
      <c r="D122" s="225">
        <f>E122+E131+E140+E152+E160+E168</f>
        <v>0</v>
      </c>
      <c r="E122" s="226">
        <v>0</v>
      </c>
      <c r="F122" s="227">
        <v>1</v>
      </c>
      <c r="G122" s="225">
        <f>H122+H131+H140+H152+H160+H168</f>
        <v>0</v>
      </c>
      <c r="H122" s="228">
        <v>0</v>
      </c>
      <c r="I122" s="227">
        <v>1</v>
      </c>
      <c r="J122" s="225">
        <f>K122+K131+K140+K152+K160+K168</f>
        <v>0</v>
      </c>
      <c r="K122" s="228">
        <v>0</v>
      </c>
      <c r="L122" s="227">
        <v>1</v>
      </c>
    </row>
    <row r="123" spans="2:39" ht="15" outlineLevel="1">
      <c r="B123" s="191" t="s">
        <v>263</v>
      </c>
      <c r="C123" s="150"/>
      <c r="D123" s="225">
        <f>E123+E132+E141+E153+E161+E169</f>
        <v>0.9554287571693687</v>
      </c>
      <c r="E123" s="226">
        <v>0.39008365479761392</v>
      </c>
      <c r="F123" s="227">
        <v>1</v>
      </c>
      <c r="G123" s="225">
        <f>H123+H132+H141+H153+H161+H169</f>
        <v>0.98768954547754839</v>
      </c>
      <c r="H123" s="228">
        <v>0.33265605239345908</v>
      </c>
      <c r="I123" s="227">
        <v>1</v>
      </c>
      <c r="J123" s="225">
        <f>K123+K132+K141+K153+K161+K169</f>
        <v>0</v>
      </c>
      <c r="K123" s="228">
        <v>0</v>
      </c>
      <c r="L123" s="227">
        <v>1</v>
      </c>
    </row>
    <row r="124" spans="2:39" ht="15" outlineLevel="1">
      <c r="B124" s="191" t="s">
        <v>152</v>
      </c>
      <c r="C124" s="150"/>
      <c r="D124" s="225">
        <f>E124+E133+E142+E154+E162+E170</f>
        <v>0.98257604614454885</v>
      </c>
      <c r="E124" s="226">
        <v>0.84038632487157738</v>
      </c>
      <c r="F124" s="227">
        <v>1</v>
      </c>
      <c r="G124" s="225">
        <f>H124+H133+H142+H154+H162+H170</f>
        <v>0.99293814921204493</v>
      </c>
      <c r="H124" s="228">
        <v>0.46566745843558466</v>
      </c>
      <c r="I124" s="227">
        <v>1</v>
      </c>
      <c r="J124" s="225">
        <f>K124+K133+K142+K154+K162+K170</f>
        <v>0</v>
      </c>
      <c r="K124" s="228">
        <v>0</v>
      </c>
      <c r="L124" s="227">
        <v>1</v>
      </c>
    </row>
    <row r="125" spans="2:39" ht="15" outlineLevel="1">
      <c r="B125" s="191" t="s">
        <v>153</v>
      </c>
      <c r="C125" s="150"/>
      <c r="D125" s="225">
        <f>E125+E134+E143+E155+E163+E171</f>
        <v>1</v>
      </c>
      <c r="E125" s="226">
        <v>1</v>
      </c>
      <c r="F125" s="227">
        <v>1</v>
      </c>
      <c r="G125" s="225">
        <f>H125+H134+H143+H155+H163+H171</f>
        <v>1</v>
      </c>
      <c r="H125" s="228">
        <v>1</v>
      </c>
      <c r="I125" s="227">
        <v>1</v>
      </c>
      <c r="J125" s="225">
        <f>K125+K134+K143+K155+K163+K171</f>
        <v>0</v>
      </c>
      <c r="K125" s="228">
        <v>0</v>
      </c>
      <c r="L125" s="227">
        <v>1</v>
      </c>
    </row>
    <row r="126" spans="2:39" outlineLevel="1">
      <c r="F126" s="73"/>
      <c r="G126" s="73"/>
      <c r="H126" s="73"/>
      <c r="J126" s="73"/>
      <c r="K126" s="73"/>
    </row>
    <row r="127" spans="2:39" ht="15" outlineLevel="1">
      <c r="B127" s="75" t="s">
        <v>227</v>
      </c>
      <c r="C127" s="75"/>
      <c r="D127" s="75"/>
      <c r="E127" s="75"/>
      <c r="F127" s="75"/>
      <c r="G127" s="75"/>
      <c r="H127" s="75"/>
      <c r="I127" s="75"/>
      <c r="J127" s="75"/>
      <c r="K127" s="75"/>
      <c r="L127" s="75"/>
      <c r="M127" s="75"/>
      <c r="N127" s="75"/>
      <c r="O127" s="75"/>
      <c r="P127" s="75"/>
      <c r="Q127" s="75"/>
      <c r="R127" s="75"/>
      <c r="S127" s="75"/>
      <c r="T127" s="75"/>
      <c r="U127" s="75"/>
      <c r="V127" s="3"/>
      <c r="W127" s="3"/>
      <c r="X127" s="3"/>
      <c r="Y127" s="3"/>
      <c r="Z127" s="3"/>
      <c r="AA127" s="3"/>
      <c r="AB127" s="3"/>
      <c r="AC127" s="3"/>
      <c r="AD127" s="3"/>
      <c r="AE127" s="3"/>
      <c r="AF127" s="3"/>
      <c r="AG127" s="3"/>
      <c r="AH127" s="3"/>
      <c r="AI127" s="3"/>
      <c r="AJ127" s="3"/>
      <c r="AK127" s="3"/>
      <c r="AL127" s="3"/>
      <c r="AM127" s="3"/>
    </row>
    <row r="128" spans="2:39" ht="15" outlineLevel="1">
      <c r="B128" s="156"/>
      <c r="C128" s="156"/>
      <c r="D128" s="156"/>
      <c r="E128" s="178" t="str">
        <f>E119</f>
        <v>TP-1 (Mandal)</v>
      </c>
      <c r="F128" s="178" t="s">
        <v>171</v>
      </c>
      <c r="G128" s="178"/>
      <c r="H128" s="178" t="str">
        <f>H119</f>
        <v>TP-2 (Bhatia)</v>
      </c>
      <c r="I128" s="178" t="s">
        <v>171</v>
      </c>
      <c r="J128" s="178"/>
      <c r="K128" s="178">
        <f>K119</f>
        <v>0</v>
      </c>
      <c r="L128" s="178" t="s">
        <v>171</v>
      </c>
    </row>
    <row r="129" spans="2:39" ht="15" outlineLevel="1">
      <c r="B129" s="191" t="s">
        <v>149</v>
      </c>
      <c r="C129" s="150"/>
      <c r="D129" s="150"/>
      <c r="E129" s="226">
        <v>0.31</v>
      </c>
      <c r="F129" s="227">
        <v>2</v>
      </c>
      <c r="G129" s="229"/>
      <c r="H129" s="228">
        <v>0.31</v>
      </c>
      <c r="I129" s="227">
        <v>2</v>
      </c>
      <c r="J129" s="229"/>
      <c r="K129" s="228">
        <v>0</v>
      </c>
      <c r="L129" s="227">
        <v>2</v>
      </c>
    </row>
    <row r="130" spans="2:39" ht="15" outlineLevel="1">
      <c r="B130" s="191" t="s">
        <v>150</v>
      </c>
      <c r="C130" s="150"/>
      <c r="D130" s="150"/>
      <c r="E130" s="226">
        <v>0.62750662413537239</v>
      </c>
      <c r="F130" s="227">
        <v>2</v>
      </c>
      <c r="G130" s="229"/>
      <c r="H130" s="228">
        <v>0.71165103262102802</v>
      </c>
      <c r="I130" s="227">
        <v>2</v>
      </c>
      <c r="J130" s="229"/>
      <c r="K130" s="228">
        <v>0</v>
      </c>
      <c r="L130" s="227">
        <v>2</v>
      </c>
    </row>
    <row r="131" spans="2:39" ht="15" outlineLevel="1">
      <c r="B131" s="191" t="s">
        <v>259</v>
      </c>
      <c r="C131" s="150"/>
      <c r="D131" s="150"/>
      <c r="E131" s="226">
        <v>0</v>
      </c>
      <c r="F131" s="227">
        <v>2</v>
      </c>
      <c r="G131" s="229"/>
      <c r="H131" s="228">
        <v>0</v>
      </c>
      <c r="I131" s="227">
        <v>2</v>
      </c>
      <c r="J131" s="229"/>
      <c r="K131" s="228">
        <v>0</v>
      </c>
      <c r="L131" s="227">
        <v>2</v>
      </c>
    </row>
    <row r="132" spans="2:39" ht="15" outlineLevel="1">
      <c r="B132" s="191" t="s">
        <v>263</v>
      </c>
      <c r="C132" s="150"/>
      <c r="D132" s="150"/>
      <c r="E132" s="226">
        <v>0.56534510237175473</v>
      </c>
      <c r="F132" s="227">
        <v>2</v>
      </c>
      <c r="G132" s="229"/>
      <c r="H132" s="228">
        <v>0.6508993786458882</v>
      </c>
      <c r="I132" s="227">
        <v>2</v>
      </c>
      <c r="J132" s="229"/>
      <c r="K132" s="228">
        <v>0</v>
      </c>
      <c r="L132" s="227">
        <v>2</v>
      </c>
    </row>
    <row r="133" spans="2:39" ht="15" outlineLevel="1">
      <c r="B133" s="191" t="s">
        <v>152</v>
      </c>
      <c r="C133" s="150"/>
      <c r="D133" s="150"/>
      <c r="E133" s="226">
        <v>0.14218972127297144</v>
      </c>
      <c r="F133" s="227">
        <v>2</v>
      </c>
      <c r="G133" s="229"/>
      <c r="H133" s="228">
        <v>0.52593604336294053</v>
      </c>
      <c r="I133" s="227">
        <v>2</v>
      </c>
      <c r="J133" s="229"/>
      <c r="K133" s="228">
        <v>0</v>
      </c>
      <c r="L133" s="227">
        <v>2</v>
      </c>
    </row>
    <row r="134" spans="2:39" ht="15" outlineLevel="1">
      <c r="B134" s="191" t="s">
        <v>153</v>
      </c>
      <c r="C134" s="150"/>
      <c r="D134" s="150"/>
      <c r="E134" s="226">
        <v>0</v>
      </c>
      <c r="F134" s="227">
        <v>2</v>
      </c>
      <c r="G134" s="229"/>
      <c r="H134" s="228">
        <v>0</v>
      </c>
      <c r="I134" s="227">
        <v>2</v>
      </c>
      <c r="J134" s="229"/>
      <c r="K134" s="228">
        <v>0</v>
      </c>
      <c r="L134" s="227">
        <v>2</v>
      </c>
    </row>
    <row r="135" spans="2:39" outlineLevel="1">
      <c r="B135" s="78"/>
      <c r="E135" s="105"/>
      <c r="F135" s="106"/>
      <c r="G135" s="73"/>
      <c r="H135" s="73"/>
      <c r="I135" s="106"/>
      <c r="J135" s="73"/>
      <c r="K135" s="73"/>
      <c r="L135" s="106"/>
    </row>
    <row r="136" spans="2:39" ht="15" outlineLevel="1">
      <c r="B136" s="75" t="s">
        <v>164</v>
      </c>
      <c r="C136" s="75"/>
      <c r="D136" s="75"/>
      <c r="E136" s="75"/>
      <c r="F136" s="75"/>
      <c r="G136" s="75"/>
      <c r="H136" s="75"/>
      <c r="I136" s="75"/>
      <c r="J136" s="75"/>
      <c r="K136" s="75"/>
      <c r="L136" s="75"/>
      <c r="M136" s="75"/>
      <c r="N136" s="75"/>
      <c r="O136" s="75"/>
      <c r="P136" s="75"/>
      <c r="Q136" s="75"/>
      <c r="R136" s="75"/>
      <c r="S136" s="75"/>
      <c r="T136" s="75"/>
      <c r="U136" s="75"/>
      <c r="V136" s="3"/>
      <c r="W136" s="3"/>
      <c r="X136" s="3"/>
      <c r="Y136" s="3"/>
      <c r="Z136" s="3"/>
      <c r="AA136" s="3"/>
      <c r="AB136" s="3"/>
      <c r="AC136" s="3"/>
      <c r="AD136" s="3"/>
      <c r="AE136" s="3"/>
      <c r="AF136" s="3"/>
      <c r="AG136" s="3"/>
      <c r="AH136" s="3"/>
      <c r="AI136" s="3"/>
      <c r="AJ136" s="3"/>
      <c r="AK136" s="3"/>
      <c r="AL136" s="3"/>
      <c r="AM136" s="3"/>
    </row>
    <row r="137" spans="2:39" ht="15" outlineLevel="1">
      <c r="B137" s="156"/>
      <c r="C137" s="156"/>
      <c r="D137" s="156"/>
      <c r="E137" s="178" t="str">
        <f>E128</f>
        <v>TP-1 (Mandal)</v>
      </c>
      <c r="F137" s="178" t="s">
        <v>171</v>
      </c>
      <c r="G137" s="178"/>
      <c r="H137" s="178" t="str">
        <f>H128</f>
        <v>TP-2 (Bhatia)</v>
      </c>
      <c r="I137" s="178" t="s">
        <v>171</v>
      </c>
      <c r="J137" s="178"/>
      <c r="K137" s="178">
        <f>K128</f>
        <v>0</v>
      </c>
      <c r="L137" s="178" t="s">
        <v>171</v>
      </c>
    </row>
    <row r="138" spans="2:39" ht="15" outlineLevel="1">
      <c r="B138" s="191" t="s">
        <v>149</v>
      </c>
      <c r="C138" s="150"/>
      <c r="D138" s="150"/>
      <c r="E138" s="226">
        <v>0.06</v>
      </c>
      <c r="F138" s="227">
        <f>50/30</f>
        <v>1.6666666666666667</v>
      </c>
      <c r="G138" s="229"/>
      <c r="H138" s="228">
        <v>0.06</v>
      </c>
      <c r="I138" s="227">
        <f>50/30</f>
        <v>1.6666666666666667</v>
      </c>
      <c r="J138" s="229"/>
      <c r="K138" s="228">
        <v>0</v>
      </c>
      <c r="L138" s="227">
        <v>2</v>
      </c>
    </row>
    <row r="139" spans="2:39" ht="15" outlineLevel="1">
      <c r="B139" s="191" t="s">
        <v>150</v>
      </c>
      <c r="C139" s="150"/>
      <c r="D139" s="150"/>
      <c r="E139" s="226">
        <v>7.7248472215801181E-4</v>
      </c>
      <c r="F139" s="227">
        <v>2</v>
      </c>
      <c r="G139" s="229"/>
      <c r="H139" s="228">
        <v>7.0062020927534312E-3</v>
      </c>
      <c r="I139" s="227">
        <v>2</v>
      </c>
      <c r="J139" s="229"/>
      <c r="K139" s="228">
        <v>0</v>
      </c>
      <c r="L139" s="227">
        <v>2</v>
      </c>
    </row>
    <row r="140" spans="2:39" ht="15" outlineLevel="1">
      <c r="B140" s="191" t="s">
        <v>259</v>
      </c>
      <c r="C140" s="150"/>
      <c r="D140" s="150"/>
      <c r="E140" s="226">
        <v>0</v>
      </c>
      <c r="F140" s="227">
        <v>2</v>
      </c>
      <c r="G140" s="229"/>
      <c r="H140" s="228">
        <v>0</v>
      </c>
      <c r="I140" s="227">
        <v>2</v>
      </c>
      <c r="J140" s="229"/>
      <c r="K140" s="228">
        <v>0</v>
      </c>
      <c r="L140" s="227">
        <v>2</v>
      </c>
    </row>
    <row r="141" spans="2:39" ht="15" outlineLevel="1">
      <c r="B141" s="191" t="s">
        <v>263</v>
      </c>
      <c r="C141" s="150"/>
      <c r="D141" s="150"/>
      <c r="E141" s="226">
        <v>0</v>
      </c>
      <c r="F141" s="227">
        <v>2</v>
      </c>
      <c r="G141" s="229"/>
      <c r="H141" s="228">
        <v>4.1341144382010947E-3</v>
      </c>
      <c r="I141" s="227">
        <v>2</v>
      </c>
      <c r="J141" s="229"/>
      <c r="K141" s="228">
        <v>0</v>
      </c>
      <c r="L141" s="227">
        <v>2</v>
      </c>
    </row>
    <row r="142" spans="2:39" ht="15" outlineLevel="1">
      <c r="B142" s="191" t="s">
        <v>152</v>
      </c>
      <c r="C142" s="150"/>
      <c r="D142" s="150"/>
      <c r="E142" s="226">
        <v>0</v>
      </c>
      <c r="F142" s="227">
        <v>2</v>
      </c>
      <c r="G142" s="229"/>
      <c r="H142" s="228">
        <v>1.3346474135197735E-3</v>
      </c>
      <c r="I142" s="227">
        <v>2</v>
      </c>
      <c r="J142" s="229"/>
      <c r="K142" s="228">
        <v>0</v>
      </c>
      <c r="L142" s="227">
        <v>2</v>
      </c>
    </row>
    <row r="143" spans="2:39" ht="15" outlineLevel="1">
      <c r="B143" s="191" t="s">
        <v>153</v>
      </c>
      <c r="C143" s="150"/>
      <c r="D143" s="150"/>
      <c r="E143" s="226">
        <v>0</v>
      </c>
      <c r="F143" s="227">
        <v>2</v>
      </c>
      <c r="G143" s="229"/>
      <c r="H143" s="228">
        <v>0</v>
      </c>
      <c r="I143" s="227">
        <v>2</v>
      </c>
      <c r="J143" s="229"/>
      <c r="K143" s="228">
        <v>0</v>
      </c>
      <c r="L143" s="227">
        <v>2</v>
      </c>
    </row>
    <row r="144" spans="2:39" outlineLevel="1">
      <c r="B144" s="78"/>
      <c r="E144" s="105"/>
      <c r="F144" s="106"/>
      <c r="G144" s="73"/>
      <c r="H144" s="73"/>
      <c r="I144" s="106"/>
      <c r="J144" s="73"/>
      <c r="K144" s="73"/>
      <c r="L144" s="106"/>
    </row>
    <row r="145" spans="2:39" ht="15" outlineLevel="1">
      <c r="B145" s="75" t="s">
        <v>165</v>
      </c>
      <c r="C145" s="75"/>
      <c r="D145" s="75"/>
      <c r="E145" s="75"/>
      <c r="F145" s="75"/>
      <c r="G145" s="75"/>
      <c r="H145" s="75"/>
      <c r="I145" s="75"/>
      <c r="J145" s="75"/>
      <c r="K145" s="75"/>
      <c r="L145" s="75"/>
      <c r="M145" s="75"/>
      <c r="N145" s="75"/>
      <c r="O145" s="75"/>
      <c r="P145" s="75"/>
      <c r="Q145" s="75"/>
      <c r="R145" s="75"/>
      <c r="S145" s="75"/>
      <c r="T145" s="75"/>
      <c r="U145" s="75"/>
      <c r="V145" s="3"/>
      <c r="W145" s="3"/>
      <c r="X145" s="3"/>
      <c r="Y145" s="3"/>
      <c r="Z145" s="3"/>
      <c r="AA145" s="3"/>
      <c r="AB145" s="3"/>
      <c r="AC145" s="3"/>
      <c r="AD145" s="3"/>
      <c r="AE145" s="3"/>
      <c r="AF145" s="3"/>
      <c r="AG145" s="3"/>
      <c r="AH145" s="3"/>
      <c r="AI145" s="3"/>
      <c r="AJ145" s="3"/>
      <c r="AK145" s="3"/>
      <c r="AL145" s="3"/>
      <c r="AM145" s="3"/>
    </row>
    <row r="146" spans="2:39" ht="15" outlineLevel="1">
      <c r="B146" s="156"/>
      <c r="C146" s="156"/>
      <c r="D146" s="156"/>
      <c r="E146" s="230" t="str">
        <f>E137</f>
        <v>TP-1 (Mandal)</v>
      </c>
      <c r="F146" s="178" t="s">
        <v>171</v>
      </c>
      <c r="G146" s="178"/>
      <c r="H146" s="178" t="str">
        <f>H137</f>
        <v>TP-2 (Bhatia)</v>
      </c>
      <c r="I146" s="178" t="s">
        <v>171</v>
      </c>
      <c r="J146" s="178"/>
      <c r="K146" s="178">
        <f>K137</f>
        <v>0</v>
      </c>
      <c r="L146" s="178" t="s">
        <v>171</v>
      </c>
    </row>
    <row r="147" spans="2:39" ht="15" outlineLevel="1">
      <c r="B147" s="191" t="s">
        <v>149</v>
      </c>
      <c r="C147" s="150"/>
      <c r="D147" s="150"/>
      <c r="E147" s="228">
        <v>1.4999999999999999E-2</v>
      </c>
      <c r="F147" s="227">
        <v>2</v>
      </c>
      <c r="G147" s="229"/>
      <c r="H147" s="228">
        <v>1.4999999999999999E-2</v>
      </c>
      <c r="I147" s="227">
        <v>2</v>
      </c>
      <c r="J147" s="229"/>
      <c r="K147" s="228">
        <v>0</v>
      </c>
      <c r="L147" s="227">
        <v>0.61199999999999999</v>
      </c>
    </row>
    <row r="149" spans="2:39" ht="15">
      <c r="B149" s="3" t="s">
        <v>301</v>
      </c>
    </row>
    <row r="150" spans="2:39">
      <c r="B150" s="191" t="s">
        <v>149</v>
      </c>
      <c r="C150" s="150"/>
      <c r="D150" s="150"/>
      <c r="E150" s="215">
        <v>0</v>
      </c>
      <c r="F150" s="209">
        <v>1</v>
      </c>
      <c r="G150" s="150"/>
      <c r="H150" s="303">
        <v>0</v>
      </c>
      <c r="I150" s="209">
        <v>1</v>
      </c>
      <c r="J150" s="150"/>
      <c r="K150" s="215">
        <v>0</v>
      </c>
      <c r="L150" s="209">
        <v>1</v>
      </c>
    </row>
    <row r="151" spans="2:39">
      <c r="B151" s="191" t="s">
        <v>150</v>
      </c>
      <c r="C151" s="150"/>
      <c r="D151" s="150"/>
      <c r="E151" s="215">
        <v>0</v>
      </c>
      <c r="F151" s="209">
        <v>2</v>
      </c>
      <c r="G151" s="150"/>
      <c r="H151" s="215">
        <v>0</v>
      </c>
      <c r="I151" s="209">
        <v>2</v>
      </c>
      <c r="J151" s="150"/>
      <c r="K151" s="215">
        <v>0</v>
      </c>
      <c r="L151" s="209">
        <v>2</v>
      </c>
    </row>
    <row r="152" spans="2:39">
      <c r="B152" s="191" t="s">
        <v>259</v>
      </c>
      <c r="C152" s="150"/>
      <c r="D152" s="150"/>
      <c r="E152" s="215">
        <v>0</v>
      </c>
      <c r="F152" s="209">
        <v>1</v>
      </c>
      <c r="G152" s="150"/>
      <c r="H152" s="215">
        <v>0</v>
      </c>
      <c r="I152" s="209">
        <v>1</v>
      </c>
      <c r="J152" s="150"/>
      <c r="K152" s="215">
        <v>0</v>
      </c>
      <c r="L152" s="209">
        <v>1</v>
      </c>
    </row>
    <row r="153" spans="2:39">
      <c r="B153" s="191" t="s">
        <v>263</v>
      </c>
      <c r="C153" s="150"/>
      <c r="D153" s="150"/>
      <c r="E153" s="215">
        <v>0</v>
      </c>
      <c r="F153" s="209">
        <v>1</v>
      </c>
      <c r="G153" s="150"/>
      <c r="H153" s="215">
        <v>0</v>
      </c>
      <c r="I153" s="209">
        <v>1</v>
      </c>
      <c r="J153" s="150"/>
      <c r="K153" s="215">
        <v>0</v>
      </c>
      <c r="L153" s="209">
        <v>1</v>
      </c>
    </row>
    <row r="154" spans="2:39">
      <c r="B154" s="191" t="s">
        <v>152</v>
      </c>
      <c r="C154" s="150"/>
      <c r="D154" s="150"/>
      <c r="E154" s="215">
        <v>0</v>
      </c>
      <c r="F154" s="209">
        <v>1</v>
      </c>
      <c r="G154" s="150"/>
      <c r="H154" s="215">
        <v>0</v>
      </c>
      <c r="I154" s="209">
        <v>1</v>
      </c>
      <c r="J154" s="150"/>
      <c r="K154" s="215">
        <v>0</v>
      </c>
      <c r="L154" s="209">
        <v>1</v>
      </c>
    </row>
    <row r="155" spans="2:39">
      <c r="B155" s="191" t="s">
        <v>153</v>
      </c>
      <c r="C155" s="150"/>
      <c r="D155" s="150"/>
      <c r="E155" s="215">
        <v>0</v>
      </c>
      <c r="F155" s="209">
        <v>1</v>
      </c>
      <c r="G155" s="150"/>
      <c r="H155" s="215">
        <v>0</v>
      </c>
      <c r="I155" s="209">
        <v>1</v>
      </c>
      <c r="J155" s="150"/>
      <c r="K155" s="215">
        <v>0</v>
      </c>
      <c r="L155" s="209">
        <v>1</v>
      </c>
    </row>
    <row r="156" spans="2:39">
      <c r="F156" s="72"/>
      <c r="I156" s="72"/>
    </row>
    <row r="157" spans="2:39" ht="15">
      <c r="B157" s="3" t="s">
        <v>300</v>
      </c>
      <c r="F157" s="72"/>
      <c r="I157" s="72"/>
    </row>
    <row r="158" spans="2:39">
      <c r="B158" s="191" t="s">
        <v>149</v>
      </c>
      <c r="C158" s="150"/>
      <c r="D158" s="150"/>
      <c r="E158" s="215">
        <v>0</v>
      </c>
      <c r="F158" s="209">
        <v>2</v>
      </c>
      <c r="G158" s="150"/>
      <c r="H158" s="215">
        <v>0</v>
      </c>
      <c r="I158" s="209">
        <v>2</v>
      </c>
      <c r="J158" s="150"/>
      <c r="K158" s="215">
        <v>0</v>
      </c>
      <c r="L158" s="209">
        <v>2</v>
      </c>
    </row>
    <row r="159" spans="2:39">
      <c r="B159" s="191" t="s">
        <v>150</v>
      </c>
      <c r="C159" s="150"/>
      <c r="D159" s="150"/>
      <c r="E159" s="215">
        <v>0</v>
      </c>
      <c r="F159" s="209">
        <v>2</v>
      </c>
      <c r="G159" s="150"/>
      <c r="H159" s="215">
        <v>0</v>
      </c>
      <c r="I159" s="209">
        <v>2</v>
      </c>
      <c r="J159" s="150"/>
      <c r="K159" s="215">
        <v>0</v>
      </c>
      <c r="L159" s="209">
        <v>2</v>
      </c>
    </row>
    <row r="160" spans="2:39">
      <c r="B160" s="191" t="s">
        <v>259</v>
      </c>
      <c r="C160" s="150"/>
      <c r="D160" s="150"/>
      <c r="E160" s="215">
        <v>0</v>
      </c>
      <c r="F160" s="209">
        <v>2</v>
      </c>
      <c r="G160" s="150"/>
      <c r="H160" s="215">
        <v>0</v>
      </c>
      <c r="I160" s="209">
        <v>2</v>
      </c>
      <c r="J160" s="150"/>
      <c r="K160" s="215">
        <v>0</v>
      </c>
      <c r="L160" s="209">
        <v>2</v>
      </c>
    </row>
    <row r="161" spans="2:39">
      <c r="B161" s="191" t="s">
        <v>263</v>
      </c>
      <c r="C161" s="150"/>
      <c r="D161" s="150"/>
      <c r="E161" s="215">
        <v>0</v>
      </c>
      <c r="F161" s="209">
        <v>2</v>
      </c>
      <c r="G161" s="150"/>
      <c r="H161" s="215">
        <v>0</v>
      </c>
      <c r="I161" s="209">
        <v>2</v>
      </c>
      <c r="J161" s="150"/>
      <c r="K161" s="215">
        <v>0</v>
      </c>
      <c r="L161" s="209">
        <v>2</v>
      </c>
    </row>
    <row r="162" spans="2:39">
      <c r="B162" s="191" t="s">
        <v>152</v>
      </c>
      <c r="C162" s="150"/>
      <c r="D162" s="150"/>
      <c r="E162" s="215">
        <v>0</v>
      </c>
      <c r="F162" s="209">
        <v>2</v>
      </c>
      <c r="G162" s="150"/>
      <c r="H162" s="215">
        <v>0</v>
      </c>
      <c r="I162" s="209">
        <v>2</v>
      </c>
      <c r="J162" s="150"/>
      <c r="K162" s="215">
        <v>0</v>
      </c>
      <c r="L162" s="209">
        <v>2</v>
      </c>
    </row>
    <row r="163" spans="2:39">
      <c r="B163" s="191" t="s">
        <v>153</v>
      </c>
      <c r="C163" s="150"/>
      <c r="D163" s="150"/>
      <c r="E163" s="215">
        <v>0</v>
      </c>
      <c r="F163" s="209">
        <v>2</v>
      </c>
      <c r="G163" s="150"/>
      <c r="H163" s="215">
        <v>0</v>
      </c>
      <c r="I163" s="209">
        <v>2</v>
      </c>
      <c r="J163" s="150"/>
      <c r="K163" s="215">
        <v>0</v>
      </c>
      <c r="L163" s="209">
        <v>2</v>
      </c>
    </row>
    <row r="164" spans="2:39">
      <c r="F164" s="72"/>
      <c r="I164" s="72"/>
      <c r="L164" s="72"/>
    </row>
    <row r="165" spans="2:39" ht="15">
      <c r="B165" s="3" t="s">
        <v>300</v>
      </c>
      <c r="F165" s="72"/>
      <c r="I165" s="72"/>
      <c r="L165" s="72"/>
    </row>
    <row r="166" spans="2:39">
      <c r="B166" s="191" t="s">
        <v>149</v>
      </c>
      <c r="C166" s="150"/>
      <c r="D166" s="150"/>
      <c r="E166" s="215">
        <v>0</v>
      </c>
      <c r="F166" s="209">
        <v>2</v>
      </c>
      <c r="G166" s="150"/>
      <c r="H166" s="215">
        <v>0</v>
      </c>
      <c r="I166" s="209">
        <v>2</v>
      </c>
      <c r="J166" s="150"/>
      <c r="K166" s="215">
        <v>0</v>
      </c>
      <c r="L166" s="209">
        <v>2</v>
      </c>
    </row>
    <row r="167" spans="2:39">
      <c r="B167" s="191" t="s">
        <v>150</v>
      </c>
      <c r="C167" s="150"/>
      <c r="D167" s="150"/>
      <c r="E167" s="215">
        <v>0</v>
      </c>
      <c r="F167" s="209">
        <v>2</v>
      </c>
      <c r="G167" s="150"/>
      <c r="H167" s="215">
        <v>0</v>
      </c>
      <c r="I167" s="209">
        <v>2</v>
      </c>
      <c r="J167" s="150"/>
      <c r="K167" s="215">
        <v>0</v>
      </c>
      <c r="L167" s="209">
        <v>2</v>
      </c>
    </row>
    <row r="168" spans="2:39">
      <c r="B168" s="191" t="s">
        <v>259</v>
      </c>
      <c r="C168" s="150"/>
      <c r="D168" s="150"/>
      <c r="E168" s="215">
        <v>0</v>
      </c>
      <c r="F168" s="209">
        <v>2</v>
      </c>
      <c r="G168" s="150"/>
      <c r="H168" s="215">
        <v>0</v>
      </c>
      <c r="I168" s="209">
        <v>2</v>
      </c>
      <c r="J168" s="150"/>
      <c r="K168" s="215">
        <v>0</v>
      </c>
      <c r="L168" s="209">
        <v>2</v>
      </c>
    </row>
    <row r="169" spans="2:39">
      <c r="B169" s="191" t="s">
        <v>263</v>
      </c>
      <c r="C169" s="150"/>
      <c r="D169" s="150"/>
      <c r="E169" s="215">
        <v>0</v>
      </c>
      <c r="F169" s="209">
        <v>2</v>
      </c>
      <c r="G169" s="150"/>
      <c r="H169" s="215">
        <v>0</v>
      </c>
      <c r="I169" s="209">
        <v>2</v>
      </c>
      <c r="J169" s="150"/>
      <c r="K169" s="215">
        <v>0</v>
      </c>
      <c r="L169" s="209">
        <v>2</v>
      </c>
    </row>
    <row r="170" spans="2:39">
      <c r="B170" s="191" t="s">
        <v>152</v>
      </c>
      <c r="C170" s="150"/>
      <c r="D170" s="150"/>
      <c r="E170" s="215">
        <v>0</v>
      </c>
      <c r="F170" s="209">
        <v>2</v>
      </c>
      <c r="G170" s="150"/>
      <c r="H170" s="215">
        <v>0</v>
      </c>
      <c r="I170" s="209">
        <v>2</v>
      </c>
      <c r="J170" s="150"/>
      <c r="K170" s="215">
        <v>0</v>
      </c>
      <c r="L170" s="209">
        <v>2</v>
      </c>
    </row>
    <row r="171" spans="2:39">
      <c r="B171" s="191" t="s">
        <v>153</v>
      </c>
      <c r="C171" s="150"/>
      <c r="D171" s="150"/>
      <c r="E171" s="215">
        <v>0</v>
      </c>
      <c r="F171" s="209">
        <v>2</v>
      </c>
      <c r="G171" s="150"/>
      <c r="H171" s="215">
        <v>0</v>
      </c>
      <c r="I171" s="209">
        <v>2</v>
      </c>
      <c r="J171" s="150"/>
      <c r="K171" s="215">
        <v>0</v>
      </c>
      <c r="L171" s="209">
        <v>2</v>
      </c>
    </row>
    <row r="174" spans="2:39" ht="15">
      <c r="B174" s="77" t="s">
        <v>172</v>
      </c>
      <c r="C174" s="77"/>
      <c r="D174" s="77"/>
      <c r="E174" s="77"/>
      <c r="F174" s="77"/>
      <c r="G174" s="77"/>
      <c r="H174" s="77"/>
      <c r="I174" s="77"/>
      <c r="J174" s="77"/>
      <c r="K174" s="77"/>
      <c r="L174" s="77"/>
      <c r="M174" s="77"/>
      <c r="N174" s="77"/>
      <c r="O174" s="77"/>
      <c r="P174" s="77"/>
      <c r="Q174" s="77"/>
      <c r="R174" s="77"/>
      <c r="S174" s="77"/>
      <c r="T174" s="77"/>
      <c r="U174" s="77"/>
      <c r="V174" s="3"/>
      <c r="W174" s="3"/>
      <c r="X174" s="3"/>
      <c r="Y174" s="3"/>
      <c r="Z174" s="3"/>
      <c r="AA174" s="3"/>
      <c r="AB174" s="3"/>
      <c r="AC174" s="3"/>
      <c r="AD174" s="3"/>
      <c r="AE174" s="3"/>
      <c r="AF174" s="3"/>
      <c r="AG174" s="3"/>
      <c r="AH174" s="3"/>
      <c r="AI174" s="3"/>
      <c r="AJ174" s="3"/>
      <c r="AK174" s="3"/>
      <c r="AL174" s="3"/>
      <c r="AM174" s="3"/>
    </row>
    <row r="175" spans="2:39" outlineLevel="1">
      <c r="B175" s="78"/>
    </row>
    <row r="176" spans="2:39" ht="15" outlineLevel="1">
      <c r="B176" s="75" t="s">
        <v>173</v>
      </c>
      <c r="C176" s="75"/>
      <c r="D176" s="75"/>
      <c r="E176" s="75"/>
      <c r="F176" s="75"/>
      <c r="G176" s="75"/>
      <c r="H176" s="75"/>
      <c r="I176" s="75"/>
      <c r="J176" s="75"/>
      <c r="K176" s="75"/>
      <c r="L176" s="75"/>
      <c r="M176" s="75"/>
      <c r="N176" s="75"/>
      <c r="O176" s="75"/>
      <c r="P176" s="75"/>
      <c r="Q176" s="75"/>
      <c r="R176" s="75"/>
      <c r="S176" s="75"/>
      <c r="T176" s="75"/>
      <c r="U176" s="75"/>
      <c r="V176" s="3"/>
      <c r="W176" s="3"/>
      <c r="X176" s="3"/>
      <c r="Y176" s="3"/>
      <c r="Z176" s="3"/>
      <c r="AA176" s="3"/>
      <c r="AB176" s="3"/>
      <c r="AC176" s="3"/>
      <c r="AD176" s="3"/>
      <c r="AE176" s="3"/>
      <c r="AF176" s="3"/>
      <c r="AG176" s="3"/>
      <c r="AH176" s="3"/>
      <c r="AI176" s="3"/>
      <c r="AJ176" s="3"/>
      <c r="AK176" s="3"/>
      <c r="AL176" s="3"/>
      <c r="AM176" s="3"/>
    </row>
    <row r="177" spans="2:39" outlineLevel="1">
      <c r="B177" s="191" t="s">
        <v>149</v>
      </c>
      <c r="C177" s="150"/>
      <c r="D177" s="150"/>
      <c r="E177" s="150"/>
      <c r="F177" s="222">
        <f>Input!F67</f>
        <v>0</v>
      </c>
      <c r="G177" s="222">
        <f>Input!G67</f>
        <v>0</v>
      </c>
      <c r="H177" s="222">
        <f>Input!H67</f>
        <v>0</v>
      </c>
      <c r="I177" s="222">
        <f>Input!I67</f>
        <v>0</v>
      </c>
      <c r="J177" s="222">
        <f>Input!J67</f>
        <v>0.02</v>
      </c>
      <c r="K177" s="222">
        <f>Input!K67</f>
        <v>0.02</v>
      </c>
      <c r="L177" s="222">
        <f>Input!L67</f>
        <v>0.02</v>
      </c>
      <c r="M177" s="222">
        <f>Input!M67</f>
        <v>0.02</v>
      </c>
      <c r="N177" s="222">
        <f>Input!N67</f>
        <v>0.02</v>
      </c>
      <c r="O177" s="222">
        <f>Input!O67</f>
        <v>0.02</v>
      </c>
      <c r="P177" s="222">
        <f>Input!P67</f>
        <v>0.02</v>
      </c>
      <c r="Q177" s="222">
        <f>Input!Q67</f>
        <v>0.02</v>
      </c>
      <c r="R177" s="222">
        <f>Input!R67</f>
        <v>0.02</v>
      </c>
      <c r="S177" s="222">
        <f>Input!S67</f>
        <v>0.02</v>
      </c>
      <c r="T177" s="314">
        <f>Input!T67</f>
        <v>0.02</v>
      </c>
      <c r="U177" s="314">
        <f>Input!U67</f>
        <v>0.02</v>
      </c>
      <c r="V177" s="85"/>
      <c r="W177" s="85"/>
      <c r="X177" s="85"/>
      <c r="Y177" s="85"/>
      <c r="Z177" s="85"/>
      <c r="AA177" s="85"/>
      <c r="AB177" s="85"/>
      <c r="AC177" s="85"/>
      <c r="AD177" s="85"/>
      <c r="AE177" s="85"/>
      <c r="AF177" s="85"/>
      <c r="AG177" s="85"/>
      <c r="AH177" s="85"/>
      <c r="AI177" s="85"/>
      <c r="AJ177" s="85"/>
      <c r="AK177" s="85"/>
      <c r="AL177" s="85"/>
      <c r="AM177" s="85"/>
    </row>
    <row r="178" spans="2:39" outlineLevel="1">
      <c r="B178" s="191" t="s">
        <v>150</v>
      </c>
      <c r="C178" s="150"/>
      <c r="D178" s="150"/>
      <c r="E178" s="150"/>
      <c r="F178" s="222">
        <f>Input!F68</f>
        <v>0</v>
      </c>
      <c r="G178" s="222">
        <f>Input!G68</f>
        <v>0</v>
      </c>
      <c r="H178" s="222">
        <f>Input!H68</f>
        <v>0</v>
      </c>
      <c r="I178" s="222">
        <f>Input!I68</f>
        <v>0</v>
      </c>
      <c r="J178" s="222">
        <f>Input!J68</f>
        <v>0.02</v>
      </c>
      <c r="K178" s="222">
        <f>Input!K68</f>
        <v>0.02</v>
      </c>
      <c r="L178" s="222">
        <f>Input!L68</f>
        <v>0.02</v>
      </c>
      <c r="M178" s="222">
        <f>Input!M68</f>
        <v>0.02</v>
      </c>
      <c r="N178" s="222">
        <f>Input!N68</f>
        <v>0.02</v>
      </c>
      <c r="O178" s="222">
        <f>Input!O68</f>
        <v>0.02</v>
      </c>
      <c r="P178" s="222">
        <f>Input!P68</f>
        <v>0.02</v>
      </c>
      <c r="Q178" s="222">
        <f>Input!Q68</f>
        <v>0.02</v>
      </c>
      <c r="R178" s="222">
        <f>Input!R68</f>
        <v>0.02</v>
      </c>
      <c r="S178" s="222">
        <f>Input!S68</f>
        <v>0.02</v>
      </c>
      <c r="T178" s="314">
        <f>Input!T68</f>
        <v>0.02</v>
      </c>
      <c r="U178" s="314">
        <f>Input!U68</f>
        <v>0.02</v>
      </c>
      <c r="V178" s="85"/>
      <c r="W178" s="85"/>
      <c r="X178" s="85"/>
      <c r="Y178" s="85"/>
      <c r="Z178" s="85"/>
      <c r="AA178" s="85"/>
      <c r="AB178" s="85"/>
      <c r="AC178" s="85"/>
      <c r="AD178" s="85"/>
      <c r="AE178" s="85"/>
      <c r="AF178" s="85"/>
      <c r="AG178" s="85"/>
      <c r="AH178" s="85"/>
      <c r="AI178" s="85"/>
      <c r="AJ178" s="85"/>
      <c r="AK178" s="85"/>
      <c r="AL178" s="85"/>
      <c r="AM178" s="85"/>
    </row>
    <row r="179" spans="2:39" outlineLevel="1">
      <c r="B179" s="191" t="s">
        <v>259</v>
      </c>
      <c r="C179" s="150"/>
      <c r="D179" s="150"/>
      <c r="E179" s="150"/>
      <c r="F179" s="222">
        <f>Input!F69</f>
        <v>0</v>
      </c>
      <c r="G179" s="222">
        <f>Input!G69</f>
        <v>0</v>
      </c>
      <c r="H179" s="222">
        <f>Input!H69</f>
        <v>0</v>
      </c>
      <c r="I179" s="222">
        <f>Input!I69</f>
        <v>0</v>
      </c>
      <c r="J179" s="222">
        <f>Input!J69</f>
        <v>0.02</v>
      </c>
      <c r="K179" s="222">
        <f>Input!K69</f>
        <v>0.02</v>
      </c>
      <c r="L179" s="222">
        <f>Input!L69</f>
        <v>0.02</v>
      </c>
      <c r="M179" s="222">
        <f>Input!M69</f>
        <v>0.02</v>
      </c>
      <c r="N179" s="222">
        <f>Input!N69</f>
        <v>0.02</v>
      </c>
      <c r="O179" s="222">
        <f>Input!O69</f>
        <v>0.02</v>
      </c>
      <c r="P179" s="222">
        <f>Input!P69</f>
        <v>0.02</v>
      </c>
      <c r="Q179" s="222">
        <f>Input!Q69</f>
        <v>0.02</v>
      </c>
      <c r="R179" s="222">
        <f>Input!R69</f>
        <v>0.02</v>
      </c>
      <c r="S179" s="222">
        <f>Input!S69</f>
        <v>0.02</v>
      </c>
      <c r="T179" s="314">
        <f>Input!T69</f>
        <v>0.02</v>
      </c>
      <c r="U179" s="314">
        <f>Input!U69</f>
        <v>0.02</v>
      </c>
      <c r="V179" s="85"/>
      <c r="W179" s="85"/>
      <c r="X179" s="85"/>
      <c r="Y179" s="85"/>
      <c r="Z179" s="85"/>
      <c r="AA179" s="85"/>
      <c r="AB179" s="85"/>
      <c r="AC179" s="85"/>
      <c r="AD179" s="85"/>
      <c r="AE179" s="85"/>
      <c r="AF179" s="85"/>
      <c r="AG179" s="85"/>
      <c r="AH179" s="85"/>
      <c r="AI179" s="85"/>
      <c r="AJ179" s="85"/>
      <c r="AK179" s="85"/>
      <c r="AL179" s="85"/>
      <c r="AM179" s="85"/>
    </row>
    <row r="180" spans="2:39" outlineLevel="1">
      <c r="B180" s="191" t="s">
        <v>263</v>
      </c>
      <c r="C180" s="150"/>
      <c r="D180" s="150"/>
      <c r="E180" s="150"/>
      <c r="F180" s="222">
        <f>Input!F70</f>
        <v>0</v>
      </c>
      <c r="G180" s="222">
        <f>Input!G70</f>
        <v>0</v>
      </c>
      <c r="H180" s="222">
        <f>Input!H70</f>
        <v>0</v>
      </c>
      <c r="I180" s="222">
        <f>Input!I70</f>
        <v>0</v>
      </c>
      <c r="J180" s="222">
        <f>Input!J70</f>
        <v>0.02</v>
      </c>
      <c r="K180" s="222">
        <f>Input!K70</f>
        <v>0.02</v>
      </c>
      <c r="L180" s="222">
        <f>Input!L70</f>
        <v>0.02</v>
      </c>
      <c r="M180" s="222">
        <f>Input!M70</f>
        <v>0.02</v>
      </c>
      <c r="N180" s="222">
        <f>Input!N70</f>
        <v>0.02</v>
      </c>
      <c r="O180" s="222">
        <f>Input!O70</f>
        <v>0.02</v>
      </c>
      <c r="P180" s="222">
        <f>Input!P70</f>
        <v>0.02</v>
      </c>
      <c r="Q180" s="222">
        <f>Input!Q70</f>
        <v>0.02</v>
      </c>
      <c r="R180" s="222">
        <f>Input!R70</f>
        <v>0.02</v>
      </c>
      <c r="S180" s="222">
        <f>Input!S70</f>
        <v>0.02</v>
      </c>
      <c r="T180" s="314">
        <f>Input!T70</f>
        <v>0.02</v>
      </c>
      <c r="U180" s="314">
        <f>Input!U70</f>
        <v>0.02</v>
      </c>
      <c r="V180" s="85"/>
      <c r="W180" s="85"/>
      <c r="X180" s="85"/>
      <c r="Y180" s="85"/>
      <c r="Z180" s="85"/>
      <c r="AA180" s="85"/>
      <c r="AB180" s="85"/>
      <c r="AC180" s="85"/>
      <c r="AD180" s="85"/>
      <c r="AE180" s="85"/>
      <c r="AF180" s="85"/>
      <c r="AG180" s="85"/>
      <c r="AH180" s="85"/>
      <c r="AI180" s="85"/>
      <c r="AJ180" s="85"/>
      <c r="AK180" s="85"/>
      <c r="AL180" s="85"/>
      <c r="AM180" s="85"/>
    </row>
    <row r="181" spans="2:39" outlineLevel="1">
      <c r="B181" s="191" t="s">
        <v>152</v>
      </c>
      <c r="C181" s="150"/>
      <c r="D181" s="150"/>
      <c r="E181" s="150"/>
      <c r="F181" s="222">
        <f>Input!F71</f>
        <v>0</v>
      </c>
      <c r="G181" s="222">
        <f>Input!G71</f>
        <v>0</v>
      </c>
      <c r="H181" s="222">
        <f>Input!H71</f>
        <v>0</v>
      </c>
      <c r="I181" s="222">
        <f>Input!I71</f>
        <v>0</v>
      </c>
      <c r="J181" s="222">
        <f>Input!J71</f>
        <v>0.01</v>
      </c>
      <c r="K181" s="222">
        <f>Input!K71</f>
        <v>0.01</v>
      </c>
      <c r="L181" s="222">
        <f>Input!L71</f>
        <v>0.01</v>
      </c>
      <c r="M181" s="222">
        <f>Input!M71</f>
        <v>0.01</v>
      </c>
      <c r="N181" s="222">
        <f>Input!N71</f>
        <v>0.01</v>
      </c>
      <c r="O181" s="222">
        <f>Input!O71</f>
        <v>0.01</v>
      </c>
      <c r="P181" s="222">
        <f>Input!P71</f>
        <v>0.01</v>
      </c>
      <c r="Q181" s="222">
        <f>Input!Q71</f>
        <v>0.01</v>
      </c>
      <c r="R181" s="222">
        <f>Input!R71</f>
        <v>0.01</v>
      </c>
      <c r="S181" s="222">
        <f>Input!S71</f>
        <v>0.01</v>
      </c>
      <c r="T181" s="314">
        <f>Input!T71</f>
        <v>0.01</v>
      </c>
      <c r="U181" s="314">
        <f>Input!U71</f>
        <v>0.01</v>
      </c>
      <c r="V181" s="85"/>
      <c r="W181" s="85"/>
      <c r="X181" s="85"/>
      <c r="Y181" s="85"/>
      <c r="Z181" s="85"/>
      <c r="AA181" s="85"/>
      <c r="AB181" s="85"/>
      <c r="AC181" s="85"/>
      <c r="AD181" s="85"/>
      <c r="AE181" s="85"/>
      <c r="AF181" s="85"/>
      <c r="AG181" s="85"/>
      <c r="AH181" s="85"/>
      <c r="AI181" s="85"/>
      <c r="AJ181" s="85"/>
      <c r="AK181" s="85"/>
      <c r="AL181" s="85"/>
      <c r="AM181" s="85"/>
    </row>
    <row r="182" spans="2:39" outlineLevel="1">
      <c r="B182" s="191" t="s">
        <v>153</v>
      </c>
      <c r="C182" s="150"/>
      <c r="D182" s="150"/>
      <c r="E182" s="150"/>
      <c r="F182" s="222">
        <f>Input!F72</f>
        <v>0</v>
      </c>
      <c r="G182" s="222">
        <f>Input!G72</f>
        <v>0</v>
      </c>
      <c r="H182" s="222">
        <f>Input!H72</f>
        <v>0</v>
      </c>
      <c r="I182" s="222">
        <f>Input!I72</f>
        <v>0</v>
      </c>
      <c r="J182" s="222">
        <f>Input!J72</f>
        <v>0.01</v>
      </c>
      <c r="K182" s="222">
        <f>Input!K72</f>
        <v>0.01</v>
      </c>
      <c r="L182" s="222">
        <f>Input!L72</f>
        <v>0.01</v>
      </c>
      <c r="M182" s="222">
        <f>Input!M72</f>
        <v>0.01</v>
      </c>
      <c r="N182" s="222">
        <f>Input!N72</f>
        <v>0.01</v>
      </c>
      <c r="O182" s="222">
        <f>Input!O72</f>
        <v>0.01</v>
      </c>
      <c r="P182" s="222">
        <f>Input!P72</f>
        <v>0.01</v>
      </c>
      <c r="Q182" s="222">
        <f>Input!Q72</f>
        <v>0.01</v>
      </c>
      <c r="R182" s="222">
        <f>Input!R72</f>
        <v>0.01</v>
      </c>
      <c r="S182" s="222">
        <f>Input!S72</f>
        <v>0.01</v>
      </c>
      <c r="T182" s="314">
        <f>Input!T72</f>
        <v>0.01</v>
      </c>
      <c r="U182" s="314">
        <f>Input!U72</f>
        <v>0.01</v>
      </c>
      <c r="V182" s="85"/>
      <c r="W182" s="85"/>
      <c r="X182" s="85"/>
      <c r="Y182" s="85"/>
      <c r="Z182" s="85"/>
      <c r="AA182" s="85"/>
      <c r="AB182" s="85"/>
      <c r="AC182" s="85"/>
      <c r="AD182" s="85"/>
      <c r="AE182" s="85"/>
      <c r="AF182" s="85"/>
      <c r="AG182" s="85"/>
      <c r="AH182" s="85"/>
      <c r="AI182" s="85"/>
      <c r="AJ182" s="85"/>
      <c r="AK182" s="85"/>
      <c r="AL182" s="85"/>
      <c r="AM182" s="85"/>
    </row>
    <row r="183" spans="2:39" outlineLevel="1">
      <c r="B183" s="78"/>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row>
    <row r="184" spans="2:39" ht="15" outlineLevel="1">
      <c r="B184" s="75" t="s">
        <v>174</v>
      </c>
      <c r="C184" s="75"/>
      <c r="D184" s="75"/>
      <c r="E184" s="75"/>
      <c r="F184" s="107"/>
      <c r="G184" s="107"/>
      <c r="H184" s="107"/>
      <c r="I184" s="107"/>
      <c r="J184" s="107"/>
      <c r="K184" s="107"/>
      <c r="L184" s="107"/>
      <c r="M184" s="107"/>
      <c r="N184" s="107"/>
      <c r="O184" s="107"/>
      <c r="P184" s="107"/>
      <c r="Q184" s="107"/>
      <c r="R184" s="107"/>
      <c r="S184" s="107"/>
      <c r="T184" s="107"/>
      <c r="U184" s="107"/>
      <c r="V184" s="326"/>
      <c r="W184" s="326"/>
      <c r="X184" s="326"/>
      <c r="Y184" s="326"/>
      <c r="Z184" s="326"/>
      <c r="AA184" s="326"/>
      <c r="AB184" s="326"/>
      <c r="AC184" s="326"/>
      <c r="AD184" s="326"/>
      <c r="AE184" s="326"/>
      <c r="AF184" s="326"/>
      <c r="AG184" s="326"/>
      <c r="AH184" s="326"/>
      <c r="AI184" s="326"/>
      <c r="AJ184" s="326"/>
      <c r="AK184" s="326"/>
      <c r="AL184" s="326"/>
      <c r="AM184" s="326"/>
    </row>
    <row r="185" spans="2:39" outlineLevel="1">
      <c r="B185" s="191" t="s">
        <v>149</v>
      </c>
      <c r="C185" s="150"/>
      <c r="D185" s="150"/>
      <c r="E185" s="150"/>
      <c r="F185" s="222">
        <f>Input!F75</f>
        <v>0</v>
      </c>
      <c r="G185" s="222">
        <f>Input!G75</f>
        <v>0</v>
      </c>
      <c r="H185" s="222">
        <f>Input!H75</f>
        <v>0</v>
      </c>
      <c r="I185" s="222">
        <f>Input!I75</f>
        <v>0</v>
      </c>
      <c r="J185" s="222">
        <f>Input!J75</f>
        <v>0.02</v>
      </c>
      <c r="K185" s="222">
        <f>Input!K75</f>
        <v>0.02</v>
      </c>
      <c r="L185" s="222">
        <f>Input!L75</f>
        <v>0.02</v>
      </c>
      <c r="M185" s="222">
        <f>Input!M75</f>
        <v>0.02</v>
      </c>
      <c r="N185" s="222">
        <f>Input!N75</f>
        <v>0.02</v>
      </c>
      <c r="O185" s="222">
        <f>Input!O75</f>
        <v>0.02</v>
      </c>
      <c r="P185" s="222">
        <f>Input!P75</f>
        <v>0.02</v>
      </c>
      <c r="Q185" s="222">
        <f>Input!Q75</f>
        <v>0.02</v>
      </c>
      <c r="R185" s="222">
        <f>Input!R75</f>
        <v>0.02</v>
      </c>
      <c r="S185" s="222">
        <f>Input!S75</f>
        <v>0.02</v>
      </c>
      <c r="T185" s="314">
        <f>Input!T75</f>
        <v>0.02</v>
      </c>
      <c r="U185" s="314">
        <f>Input!U75</f>
        <v>0.02</v>
      </c>
      <c r="V185" s="85"/>
      <c r="W185" s="85"/>
      <c r="X185" s="85"/>
      <c r="Y185" s="85"/>
      <c r="Z185" s="85"/>
      <c r="AA185" s="85"/>
      <c r="AB185" s="85"/>
      <c r="AC185" s="85"/>
      <c r="AD185" s="85"/>
      <c r="AE185" s="85"/>
      <c r="AF185" s="85"/>
      <c r="AG185" s="85"/>
      <c r="AH185" s="85"/>
      <c r="AI185" s="85"/>
      <c r="AJ185" s="85"/>
      <c r="AK185" s="85"/>
      <c r="AL185" s="85"/>
      <c r="AM185" s="85"/>
    </row>
    <row r="186" spans="2:39" outlineLevel="1">
      <c r="B186" s="191" t="s">
        <v>150</v>
      </c>
      <c r="C186" s="150"/>
      <c r="D186" s="150"/>
      <c r="E186" s="150"/>
      <c r="F186" s="222">
        <f>Input!F76</f>
        <v>0</v>
      </c>
      <c r="G186" s="222">
        <f>Input!G76</f>
        <v>0</v>
      </c>
      <c r="H186" s="222">
        <f>Input!H76</f>
        <v>0</v>
      </c>
      <c r="I186" s="222">
        <f>Input!I76</f>
        <v>0</v>
      </c>
      <c r="J186" s="222">
        <f>Input!J76</f>
        <v>0.02</v>
      </c>
      <c r="K186" s="222">
        <f>Input!K76</f>
        <v>0.02</v>
      </c>
      <c r="L186" s="222">
        <f>Input!L76</f>
        <v>0.02</v>
      </c>
      <c r="M186" s="222">
        <f>Input!M76</f>
        <v>0.02</v>
      </c>
      <c r="N186" s="222">
        <f>Input!N76</f>
        <v>0.02</v>
      </c>
      <c r="O186" s="222">
        <f>Input!O76</f>
        <v>0.02</v>
      </c>
      <c r="P186" s="222">
        <f>Input!P76</f>
        <v>0.02</v>
      </c>
      <c r="Q186" s="222">
        <f>Input!Q76</f>
        <v>0.02</v>
      </c>
      <c r="R186" s="222">
        <f>Input!R76</f>
        <v>0.02</v>
      </c>
      <c r="S186" s="222">
        <f>Input!S76</f>
        <v>0.02</v>
      </c>
      <c r="T186" s="314">
        <f>Input!T76</f>
        <v>0.02</v>
      </c>
      <c r="U186" s="314">
        <f>Input!U76</f>
        <v>0.02</v>
      </c>
      <c r="V186" s="85"/>
      <c r="W186" s="85"/>
      <c r="X186" s="85"/>
      <c r="Y186" s="85"/>
      <c r="Z186" s="85"/>
      <c r="AA186" s="85"/>
      <c r="AB186" s="85"/>
      <c r="AC186" s="85"/>
      <c r="AD186" s="85"/>
      <c r="AE186" s="85"/>
      <c r="AF186" s="85"/>
      <c r="AG186" s="85"/>
      <c r="AH186" s="85"/>
      <c r="AI186" s="85"/>
      <c r="AJ186" s="85"/>
      <c r="AK186" s="85"/>
      <c r="AL186" s="85"/>
      <c r="AM186" s="85"/>
    </row>
    <row r="187" spans="2:39" outlineLevel="1">
      <c r="B187" s="191" t="s">
        <v>259</v>
      </c>
      <c r="C187" s="150"/>
      <c r="D187" s="150"/>
      <c r="E187" s="150"/>
      <c r="F187" s="222">
        <f>Input!F77</f>
        <v>0</v>
      </c>
      <c r="G187" s="222">
        <f>Input!G77</f>
        <v>0</v>
      </c>
      <c r="H187" s="222">
        <f>Input!H77</f>
        <v>0</v>
      </c>
      <c r="I187" s="222">
        <f>Input!I77</f>
        <v>0</v>
      </c>
      <c r="J187" s="222">
        <f>Input!J77</f>
        <v>0.02</v>
      </c>
      <c r="K187" s="222">
        <f>Input!K77</f>
        <v>0.02</v>
      </c>
      <c r="L187" s="222">
        <f>Input!L77</f>
        <v>0.02</v>
      </c>
      <c r="M187" s="222">
        <f>Input!M77</f>
        <v>0.02</v>
      </c>
      <c r="N187" s="222">
        <f>Input!N77</f>
        <v>0.02</v>
      </c>
      <c r="O187" s="222">
        <f>Input!O77</f>
        <v>0.02</v>
      </c>
      <c r="P187" s="222">
        <f>Input!P77</f>
        <v>0.02</v>
      </c>
      <c r="Q187" s="222">
        <f>Input!Q77</f>
        <v>0.02</v>
      </c>
      <c r="R187" s="222">
        <f>Input!R77</f>
        <v>0.02</v>
      </c>
      <c r="S187" s="222">
        <f>Input!S77</f>
        <v>0.02</v>
      </c>
      <c r="T187" s="314">
        <f>Input!T77</f>
        <v>0.02</v>
      </c>
      <c r="U187" s="314">
        <f>Input!U77</f>
        <v>0.02</v>
      </c>
      <c r="V187" s="85"/>
      <c r="W187" s="85"/>
      <c r="X187" s="85"/>
      <c r="Y187" s="85"/>
      <c r="Z187" s="85"/>
      <c r="AA187" s="85"/>
      <c r="AB187" s="85"/>
      <c r="AC187" s="85"/>
      <c r="AD187" s="85"/>
      <c r="AE187" s="85"/>
      <c r="AF187" s="85"/>
      <c r="AG187" s="85"/>
      <c r="AH187" s="85"/>
      <c r="AI187" s="85"/>
      <c r="AJ187" s="85"/>
      <c r="AK187" s="85"/>
      <c r="AL187" s="85"/>
      <c r="AM187" s="85"/>
    </row>
    <row r="188" spans="2:39" outlineLevel="1">
      <c r="B188" s="191" t="s">
        <v>263</v>
      </c>
      <c r="C188" s="150"/>
      <c r="D188" s="150"/>
      <c r="E188" s="150"/>
      <c r="F188" s="222">
        <f>Input!F78</f>
        <v>0</v>
      </c>
      <c r="G188" s="222">
        <f>Input!G78</f>
        <v>0</v>
      </c>
      <c r="H188" s="222">
        <f>Input!H78</f>
        <v>0</v>
      </c>
      <c r="I188" s="222">
        <f>Input!I78</f>
        <v>0</v>
      </c>
      <c r="J188" s="222">
        <f>Input!J78</f>
        <v>0.02</v>
      </c>
      <c r="K188" s="222">
        <f>Input!K78</f>
        <v>0.02</v>
      </c>
      <c r="L188" s="222">
        <f>Input!L78</f>
        <v>0.02</v>
      </c>
      <c r="M188" s="222">
        <f>Input!M78</f>
        <v>0.02</v>
      </c>
      <c r="N188" s="222">
        <f>Input!N78</f>
        <v>0.02</v>
      </c>
      <c r="O188" s="222">
        <f>Input!O78</f>
        <v>0.02</v>
      </c>
      <c r="P188" s="222">
        <f>Input!P78</f>
        <v>0.02</v>
      </c>
      <c r="Q188" s="222">
        <f>Input!Q78</f>
        <v>0.02</v>
      </c>
      <c r="R188" s="222">
        <f>Input!R78</f>
        <v>0.02</v>
      </c>
      <c r="S188" s="222">
        <f>Input!S78</f>
        <v>0.02</v>
      </c>
      <c r="T188" s="314">
        <f>Input!T78</f>
        <v>0.02</v>
      </c>
      <c r="U188" s="314">
        <f>Input!U78</f>
        <v>0.02</v>
      </c>
      <c r="V188" s="85"/>
      <c r="W188" s="85"/>
      <c r="X188" s="85"/>
      <c r="Y188" s="85"/>
      <c r="Z188" s="85"/>
      <c r="AA188" s="85"/>
      <c r="AB188" s="85"/>
      <c r="AC188" s="85"/>
      <c r="AD188" s="85"/>
      <c r="AE188" s="85"/>
      <c r="AF188" s="85"/>
      <c r="AG188" s="85"/>
      <c r="AH188" s="85"/>
      <c r="AI188" s="85"/>
      <c r="AJ188" s="85"/>
      <c r="AK188" s="85"/>
      <c r="AL188" s="85"/>
      <c r="AM188" s="85"/>
    </row>
    <row r="189" spans="2:39" outlineLevel="1">
      <c r="B189" s="191" t="s">
        <v>152</v>
      </c>
      <c r="C189" s="150"/>
      <c r="D189" s="195"/>
      <c r="E189" s="150"/>
      <c r="F189" s="222">
        <f>Input!F79</f>
        <v>0</v>
      </c>
      <c r="G189" s="222">
        <f>Input!G79</f>
        <v>0</v>
      </c>
      <c r="H189" s="222">
        <f>Input!H79</f>
        <v>0</v>
      </c>
      <c r="I189" s="222">
        <f>Input!I79</f>
        <v>0</v>
      </c>
      <c r="J189" s="222">
        <f>Input!J79</f>
        <v>0.01</v>
      </c>
      <c r="K189" s="222">
        <f>Input!K79</f>
        <v>0.01</v>
      </c>
      <c r="L189" s="222">
        <f>Input!L79</f>
        <v>0.01</v>
      </c>
      <c r="M189" s="222">
        <f>Input!M79</f>
        <v>0.01</v>
      </c>
      <c r="N189" s="222">
        <f>Input!N79</f>
        <v>0.01</v>
      </c>
      <c r="O189" s="222">
        <f>Input!O79</f>
        <v>0.01</v>
      </c>
      <c r="P189" s="222">
        <f>Input!P79</f>
        <v>0.01</v>
      </c>
      <c r="Q189" s="222">
        <f>Input!Q79</f>
        <v>0.01</v>
      </c>
      <c r="R189" s="222">
        <f>Input!R79</f>
        <v>0.01</v>
      </c>
      <c r="S189" s="222">
        <f>Input!S79</f>
        <v>0.01</v>
      </c>
      <c r="T189" s="314">
        <f>Input!T79</f>
        <v>0.01</v>
      </c>
      <c r="U189" s="314">
        <f>Input!U79</f>
        <v>0.01</v>
      </c>
      <c r="V189" s="85"/>
      <c r="W189" s="85"/>
      <c r="X189" s="85"/>
      <c r="Y189" s="85"/>
      <c r="Z189" s="85"/>
      <c r="AA189" s="85"/>
      <c r="AB189" s="85"/>
      <c r="AC189" s="85"/>
      <c r="AD189" s="85"/>
      <c r="AE189" s="85"/>
      <c r="AF189" s="85"/>
      <c r="AG189" s="85"/>
      <c r="AH189" s="85"/>
      <c r="AI189" s="85"/>
      <c r="AJ189" s="85"/>
      <c r="AK189" s="85"/>
      <c r="AL189" s="85"/>
      <c r="AM189" s="85"/>
    </row>
    <row r="190" spans="2:39" outlineLevel="1">
      <c r="B190" s="191" t="s">
        <v>153</v>
      </c>
      <c r="C190" s="150"/>
      <c r="D190" s="195"/>
      <c r="E190" s="150"/>
      <c r="F190" s="222">
        <f>Input!F80</f>
        <v>0</v>
      </c>
      <c r="G190" s="222">
        <f>Input!G80</f>
        <v>0</v>
      </c>
      <c r="H190" s="222">
        <f>Input!H80</f>
        <v>0</v>
      </c>
      <c r="I190" s="222">
        <f>Input!I80</f>
        <v>0</v>
      </c>
      <c r="J190" s="222">
        <f>Input!J80</f>
        <v>0.01</v>
      </c>
      <c r="K190" s="222">
        <f>Input!K80</f>
        <v>0.01</v>
      </c>
      <c r="L190" s="222">
        <f>Input!L80</f>
        <v>0.01</v>
      </c>
      <c r="M190" s="222">
        <f>Input!M80</f>
        <v>0.01</v>
      </c>
      <c r="N190" s="222">
        <f>Input!N80</f>
        <v>0.01</v>
      </c>
      <c r="O190" s="222">
        <f>Input!O80</f>
        <v>0.01</v>
      </c>
      <c r="P190" s="222">
        <f>Input!P80</f>
        <v>0.01</v>
      </c>
      <c r="Q190" s="222">
        <f>Input!Q80</f>
        <v>0.01</v>
      </c>
      <c r="R190" s="222">
        <f>Input!R80</f>
        <v>0.01</v>
      </c>
      <c r="S190" s="222">
        <f>Input!S80</f>
        <v>0.01</v>
      </c>
      <c r="T190" s="314">
        <f>Input!T80</f>
        <v>0.01</v>
      </c>
      <c r="U190" s="314">
        <f>Input!U80</f>
        <v>0.01</v>
      </c>
      <c r="V190" s="85"/>
      <c r="W190" s="85"/>
      <c r="X190" s="85"/>
      <c r="Y190" s="85"/>
      <c r="Z190" s="85"/>
      <c r="AA190" s="85"/>
      <c r="AB190" s="85"/>
      <c r="AC190" s="85"/>
      <c r="AD190" s="85"/>
      <c r="AE190" s="85"/>
      <c r="AF190" s="85"/>
      <c r="AG190" s="85"/>
      <c r="AH190" s="85"/>
      <c r="AI190" s="85"/>
      <c r="AJ190" s="85"/>
      <c r="AK190" s="85"/>
      <c r="AL190" s="85"/>
      <c r="AM190" s="85"/>
    </row>
    <row r="191" spans="2:39" outlineLevel="1">
      <c r="B191" s="78"/>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row>
    <row r="192" spans="2:39" ht="15">
      <c r="B192" s="75" t="s">
        <v>175</v>
      </c>
      <c r="C192" s="75"/>
      <c r="D192" s="75"/>
      <c r="E192" s="75"/>
      <c r="F192" s="75"/>
      <c r="G192" s="75"/>
      <c r="H192" s="75"/>
      <c r="I192" s="75"/>
      <c r="J192" s="75"/>
      <c r="K192" s="75"/>
      <c r="L192" s="75"/>
      <c r="M192" s="75"/>
      <c r="N192" s="75"/>
      <c r="O192" s="75"/>
      <c r="P192" s="75"/>
      <c r="Q192" s="75"/>
      <c r="R192" s="75"/>
      <c r="S192" s="75"/>
      <c r="T192" s="75"/>
      <c r="U192" s="75"/>
      <c r="V192" s="3"/>
      <c r="W192" s="3"/>
      <c r="X192" s="3"/>
      <c r="Y192" s="3"/>
      <c r="Z192" s="3"/>
      <c r="AA192" s="3"/>
      <c r="AB192" s="3"/>
      <c r="AC192" s="3"/>
      <c r="AD192" s="3"/>
      <c r="AE192" s="3"/>
      <c r="AF192" s="3"/>
      <c r="AG192" s="3"/>
      <c r="AH192" s="3"/>
      <c r="AI192" s="3"/>
      <c r="AJ192" s="3"/>
      <c r="AK192" s="3"/>
      <c r="AL192" s="3"/>
      <c r="AM192" s="3"/>
    </row>
    <row r="193" spans="2:39" ht="15">
      <c r="B193" s="77" t="s">
        <v>176</v>
      </c>
      <c r="C193" s="77"/>
      <c r="D193" s="77"/>
      <c r="E193" s="77"/>
      <c r="F193" s="77"/>
      <c r="G193" s="77"/>
      <c r="H193" s="77"/>
      <c r="I193" s="77"/>
      <c r="J193" s="77"/>
      <c r="K193" s="77"/>
      <c r="L193" s="77"/>
      <c r="M193" s="77"/>
      <c r="N193" s="77"/>
      <c r="O193" s="77"/>
      <c r="P193" s="77"/>
      <c r="Q193" s="77"/>
      <c r="R193" s="77"/>
      <c r="S193" s="77"/>
      <c r="T193" s="77"/>
      <c r="U193" s="77"/>
      <c r="V193" s="3"/>
      <c r="W193" s="3"/>
      <c r="X193" s="3"/>
      <c r="Y193" s="3"/>
      <c r="Z193" s="3"/>
      <c r="AA193" s="3"/>
      <c r="AB193" s="3"/>
      <c r="AC193" s="3"/>
      <c r="AD193" s="3"/>
      <c r="AE193" s="3"/>
      <c r="AF193" s="3"/>
      <c r="AG193" s="3"/>
      <c r="AH193" s="3"/>
      <c r="AI193" s="3"/>
      <c r="AJ193" s="3"/>
      <c r="AK193" s="3"/>
      <c r="AL193" s="3"/>
      <c r="AM193" s="3"/>
    </row>
    <row r="194" spans="2:39" ht="15" outlineLevel="1">
      <c r="B194" s="75" t="s">
        <v>177</v>
      </c>
      <c r="C194" s="75"/>
      <c r="D194" s="75"/>
      <c r="E194" s="75"/>
      <c r="F194" s="75"/>
      <c r="G194" s="75"/>
      <c r="H194" s="75"/>
      <c r="I194" s="75"/>
      <c r="J194" s="75"/>
      <c r="K194" s="75"/>
      <c r="L194" s="75"/>
      <c r="M194" s="75"/>
      <c r="N194" s="75"/>
      <c r="O194" s="75"/>
      <c r="P194" s="75"/>
      <c r="Q194" s="75"/>
      <c r="R194" s="75"/>
      <c r="S194" s="75"/>
      <c r="T194" s="75"/>
      <c r="U194" s="75"/>
      <c r="V194" s="3"/>
      <c r="W194" s="3"/>
      <c r="X194" s="3"/>
      <c r="Y194" s="3"/>
      <c r="Z194" s="3"/>
      <c r="AA194" s="3"/>
      <c r="AB194" s="3"/>
      <c r="AC194" s="3"/>
      <c r="AD194" s="3"/>
      <c r="AE194" s="3"/>
      <c r="AF194" s="3"/>
      <c r="AG194" s="3"/>
      <c r="AH194" s="3"/>
      <c r="AI194" s="3"/>
      <c r="AJ194" s="3"/>
      <c r="AK194" s="3"/>
      <c r="AL194" s="3"/>
      <c r="AM194" s="3"/>
    </row>
    <row r="195" spans="2:39" outlineLevel="1">
      <c r="B195" s="191" t="s">
        <v>149</v>
      </c>
      <c r="C195" s="150"/>
      <c r="D195" s="150"/>
      <c r="E195" s="231"/>
      <c r="F195" s="231"/>
      <c r="G195" s="231"/>
      <c r="H195" s="231"/>
      <c r="I195" s="231">
        <f t="shared" ref="I195:I200" si="24">C110</f>
        <v>5392</v>
      </c>
      <c r="J195" s="231">
        <f t="shared" ref="J195:U195" si="25">I195*(1+J177)</f>
        <v>5499.84</v>
      </c>
      <c r="K195" s="231">
        <f t="shared" si="25"/>
        <v>5609.8368</v>
      </c>
      <c r="L195" s="231">
        <f t="shared" si="25"/>
        <v>5722.0335359999999</v>
      </c>
      <c r="M195" s="231">
        <f t="shared" si="25"/>
        <v>5836.4742067200004</v>
      </c>
      <c r="N195" s="231">
        <f t="shared" si="25"/>
        <v>5953.2036908544005</v>
      </c>
      <c r="O195" s="231">
        <f t="shared" si="25"/>
        <v>6072.2677646714883</v>
      </c>
      <c r="P195" s="231">
        <f t="shared" si="25"/>
        <v>6193.7131199649184</v>
      </c>
      <c r="Q195" s="231">
        <f t="shared" si="25"/>
        <v>6317.5873823642169</v>
      </c>
      <c r="R195" s="231">
        <f t="shared" si="25"/>
        <v>6443.9391300115012</v>
      </c>
      <c r="S195" s="231">
        <f t="shared" si="25"/>
        <v>6572.8179126117311</v>
      </c>
      <c r="T195" s="318">
        <f t="shared" si="25"/>
        <v>6704.2742708639662</v>
      </c>
      <c r="U195" s="318">
        <f t="shared" si="25"/>
        <v>6838.3597562812456</v>
      </c>
      <c r="V195" s="104"/>
      <c r="W195" s="104"/>
      <c r="X195" s="104"/>
      <c r="Y195" s="104"/>
      <c r="Z195" s="104"/>
      <c r="AA195" s="104"/>
      <c r="AB195" s="104"/>
      <c r="AC195" s="104"/>
      <c r="AD195" s="104"/>
      <c r="AE195" s="104"/>
      <c r="AF195" s="104"/>
      <c r="AG195" s="104"/>
      <c r="AH195" s="104"/>
      <c r="AI195" s="104"/>
      <c r="AJ195" s="104"/>
      <c r="AK195" s="104"/>
      <c r="AL195" s="104"/>
    </row>
    <row r="196" spans="2:39" outlineLevel="1">
      <c r="B196" s="191" t="s">
        <v>150</v>
      </c>
      <c r="C196" s="150"/>
      <c r="D196" s="150"/>
      <c r="E196" s="231"/>
      <c r="F196" s="231"/>
      <c r="G196" s="231"/>
      <c r="H196" s="231"/>
      <c r="I196" s="231">
        <f t="shared" si="24"/>
        <v>333</v>
      </c>
      <c r="J196" s="231">
        <f t="shared" ref="J196:U196" si="26">I196*(1+J178)</f>
        <v>339.66</v>
      </c>
      <c r="K196" s="231">
        <f t="shared" si="26"/>
        <v>346.45320000000004</v>
      </c>
      <c r="L196" s="231">
        <f t="shared" si="26"/>
        <v>353.38226400000002</v>
      </c>
      <c r="M196" s="231">
        <f t="shared" si="26"/>
        <v>360.44990928000004</v>
      </c>
      <c r="N196" s="231">
        <f t="shared" si="26"/>
        <v>367.65890746560007</v>
      </c>
      <c r="O196" s="231">
        <f t="shared" si="26"/>
        <v>375.01208561491205</v>
      </c>
      <c r="P196" s="231">
        <f t="shared" si="26"/>
        <v>382.5123273272103</v>
      </c>
      <c r="Q196" s="231">
        <f t="shared" si="26"/>
        <v>390.16257387375452</v>
      </c>
      <c r="R196" s="231">
        <f t="shared" si="26"/>
        <v>397.96582535122963</v>
      </c>
      <c r="S196" s="231">
        <f t="shared" si="26"/>
        <v>405.92514185825422</v>
      </c>
      <c r="T196" s="318">
        <f t="shared" si="26"/>
        <v>414.04364469541929</v>
      </c>
      <c r="U196" s="318">
        <f t="shared" si="26"/>
        <v>422.32451758932768</v>
      </c>
      <c r="V196" s="104"/>
      <c r="W196" s="104"/>
      <c r="X196" s="104"/>
      <c r="Y196" s="104"/>
      <c r="Z196" s="104"/>
      <c r="AA196" s="104"/>
      <c r="AB196" s="104"/>
      <c r="AC196" s="104"/>
      <c r="AD196" s="104"/>
      <c r="AE196" s="104"/>
      <c r="AF196" s="104"/>
      <c r="AG196" s="104"/>
      <c r="AH196" s="104"/>
      <c r="AI196" s="104"/>
      <c r="AJ196" s="104"/>
      <c r="AK196" s="104"/>
      <c r="AL196" s="104"/>
    </row>
    <row r="197" spans="2:39" outlineLevel="1">
      <c r="B197" s="191" t="s">
        <v>259</v>
      </c>
      <c r="C197" s="150"/>
      <c r="D197" s="150"/>
      <c r="E197" s="231"/>
      <c r="F197" s="231"/>
      <c r="G197" s="231"/>
      <c r="H197" s="231"/>
      <c r="I197" s="231">
        <f t="shared" si="24"/>
        <v>0</v>
      </c>
      <c r="J197" s="231">
        <f t="shared" ref="J197:U197" si="27">I197*(1+J179)</f>
        <v>0</v>
      </c>
      <c r="K197" s="231">
        <f t="shared" si="27"/>
        <v>0</v>
      </c>
      <c r="L197" s="231">
        <f t="shared" si="27"/>
        <v>0</v>
      </c>
      <c r="M197" s="231">
        <f t="shared" si="27"/>
        <v>0</v>
      </c>
      <c r="N197" s="231">
        <f t="shared" si="27"/>
        <v>0</v>
      </c>
      <c r="O197" s="231">
        <f t="shared" si="27"/>
        <v>0</v>
      </c>
      <c r="P197" s="231">
        <f t="shared" si="27"/>
        <v>0</v>
      </c>
      <c r="Q197" s="231">
        <f t="shared" si="27"/>
        <v>0</v>
      </c>
      <c r="R197" s="231">
        <f t="shared" si="27"/>
        <v>0</v>
      </c>
      <c r="S197" s="231">
        <f t="shared" si="27"/>
        <v>0</v>
      </c>
      <c r="T197" s="318">
        <f t="shared" si="27"/>
        <v>0</v>
      </c>
      <c r="U197" s="318">
        <f t="shared" si="27"/>
        <v>0</v>
      </c>
      <c r="V197" s="104"/>
      <c r="W197" s="104"/>
      <c r="X197" s="104"/>
      <c r="Y197" s="104"/>
      <c r="Z197" s="104"/>
      <c r="AA197" s="104"/>
      <c r="AB197" s="104"/>
      <c r="AC197" s="104"/>
      <c r="AD197" s="104"/>
      <c r="AE197" s="104"/>
      <c r="AF197" s="104"/>
      <c r="AG197" s="104"/>
      <c r="AH197" s="104"/>
      <c r="AI197" s="104"/>
      <c r="AJ197" s="104"/>
      <c r="AK197" s="104"/>
      <c r="AL197" s="104"/>
    </row>
    <row r="198" spans="2:39" outlineLevel="1">
      <c r="B198" s="191" t="s">
        <v>263</v>
      </c>
      <c r="C198" s="150"/>
      <c r="D198" s="150"/>
      <c r="E198" s="231"/>
      <c r="F198" s="231"/>
      <c r="G198" s="231"/>
      <c r="H198" s="231"/>
      <c r="I198" s="231">
        <f t="shared" si="24"/>
        <v>1258</v>
      </c>
      <c r="J198" s="231">
        <f t="shared" ref="J198:U198" si="28">I198*(1+J180)</f>
        <v>1283.1600000000001</v>
      </c>
      <c r="K198" s="231">
        <f t="shared" si="28"/>
        <v>1308.8232</v>
      </c>
      <c r="L198" s="231">
        <f t="shared" si="28"/>
        <v>1334.9996640000002</v>
      </c>
      <c r="M198" s="231">
        <f t="shared" si="28"/>
        <v>1361.6996572800001</v>
      </c>
      <c r="N198" s="231">
        <f t="shared" si="28"/>
        <v>1388.9336504256</v>
      </c>
      <c r="O198" s="231">
        <f t="shared" si="28"/>
        <v>1416.712323434112</v>
      </c>
      <c r="P198" s="231">
        <f t="shared" si="28"/>
        <v>1445.0465699027943</v>
      </c>
      <c r="Q198" s="231">
        <f t="shared" si="28"/>
        <v>1473.9475013008503</v>
      </c>
      <c r="R198" s="231">
        <f t="shared" si="28"/>
        <v>1503.4264513268672</v>
      </c>
      <c r="S198" s="231">
        <f t="shared" si="28"/>
        <v>1533.4949803534046</v>
      </c>
      <c r="T198" s="318">
        <f t="shared" si="28"/>
        <v>1564.1648799604727</v>
      </c>
      <c r="U198" s="318">
        <f t="shared" si="28"/>
        <v>1595.4481775596821</v>
      </c>
      <c r="V198" s="104"/>
      <c r="W198" s="104"/>
      <c r="X198" s="104"/>
      <c r="Y198" s="104"/>
      <c r="Z198" s="104"/>
      <c r="AA198" s="104"/>
      <c r="AB198" s="104"/>
      <c r="AC198" s="104"/>
      <c r="AD198" s="104"/>
      <c r="AE198" s="104"/>
      <c r="AF198" s="104"/>
      <c r="AG198" s="104"/>
      <c r="AH198" s="104"/>
      <c r="AI198" s="104"/>
      <c r="AJ198" s="104"/>
      <c r="AK198" s="104"/>
      <c r="AL198" s="104"/>
    </row>
    <row r="199" spans="2:39" outlineLevel="1">
      <c r="B199" s="191" t="s">
        <v>152</v>
      </c>
      <c r="C199" s="150"/>
      <c r="D199" s="150"/>
      <c r="E199" s="231"/>
      <c r="F199" s="231"/>
      <c r="G199" s="231"/>
      <c r="H199" s="231"/>
      <c r="I199" s="231">
        <f t="shared" si="24"/>
        <v>3140</v>
      </c>
      <c r="J199" s="231">
        <f t="shared" ref="J199:U199" si="29">I199*(1+J181)</f>
        <v>3171.4</v>
      </c>
      <c r="K199" s="231">
        <f t="shared" si="29"/>
        <v>3203.114</v>
      </c>
      <c r="L199" s="231">
        <f t="shared" si="29"/>
        <v>3235.1451400000001</v>
      </c>
      <c r="M199" s="231">
        <f t="shared" si="29"/>
        <v>3267.4965913999999</v>
      </c>
      <c r="N199" s="231">
        <f t="shared" si="29"/>
        <v>3300.171557314</v>
      </c>
      <c r="O199" s="231">
        <f t="shared" si="29"/>
        <v>3333.1732728871402</v>
      </c>
      <c r="P199" s="231">
        <f t="shared" si="29"/>
        <v>3366.5050056160117</v>
      </c>
      <c r="Q199" s="231">
        <f t="shared" si="29"/>
        <v>3400.1700556721717</v>
      </c>
      <c r="R199" s="231">
        <f t="shared" si="29"/>
        <v>3434.1717562288936</v>
      </c>
      <c r="S199" s="231">
        <f t="shared" si="29"/>
        <v>3468.5134737911826</v>
      </c>
      <c r="T199" s="318">
        <f t="shared" si="29"/>
        <v>3503.1986085290946</v>
      </c>
      <c r="U199" s="318">
        <f t="shared" si="29"/>
        <v>3538.2305946143856</v>
      </c>
      <c r="V199" s="104"/>
      <c r="W199" s="104"/>
      <c r="X199" s="104"/>
      <c r="Y199" s="104"/>
      <c r="Z199" s="104"/>
      <c r="AA199" s="104"/>
      <c r="AB199" s="104"/>
      <c r="AC199" s="104"/>
      <c r="AD199" s="104"/>
      <c r="AE199" s="104"/>
      <c r="AF199" s="104"/>
      <c r="AG199" s="104"/>
      <c r="AH199" s="104"/>
      <c r="AI199" s="104"/>
      <c r="AJ199" s="104"/>
      <c r="AK199" s="104"/>
      <c r="AL199" s="104"/>
    </row>
    <row r="200" spans="2:39" outlineLevel="1">
      <c r="B200" s="191" t="s">
        <v>153</v>
      </c>
      <c r="C200" s="150"/>
      <c r="D200" s="150"/>
      <c r="E200" s="231"/>
      <c r="F200" s="231"/>
      <c r="G200" s="231"/>
      <c r="H200" s="231"/>
      <c r="I200" s="231">
        <f t="shared" si="24"/>
        <v>0</v>
      </c>
      <c r="J200" s="231">
        <f t="shared" ref="J200:U200" si="30">I200*(1+J182)</f>
        <v>0</v>
      </c>
      <c r="K200" s="231">
        <f t="shared" si="30"/>
        <v>0</v>
      </c>
      <c r="L200" s="231">
        <f t="shared" si="30"/>
        <v>0</v>
      </c>
      <c r="M200" s="231">
        <f t="shared" si="30"/>
        <v>0</v>
      </c>
      <c r="N200" s="231">
        <f t="shared" si="30"/>
        <v>0</v>
      </c>
      <c r="O200" s="231">
        <f t="shared" si="30"/>
        <v>0</v>
      </c>
      <c r="P200" s="231">
        <f t="shared" si="30"/>
        <v>0</v>
      </c>
      <c r="Q200" s="231">
        <f t="shared" si="30"/>
        <v>0</v>
      </c>
      <c r="R200" s="231">
        <f t="shared" si="30"/>
        <v>0</v>
      </c>
      <c r="S200" s="231">
        <f t="shared" si="30"/>
        <v>0</v>
      </c>
      <c r="T200" s="318">
        <f t="shared" si="30"/>
        <v>0</v>
      </c>
      <c r="U200" s="318">
        <f t="shared" si="30"/>
        <v>0</v>
      </c>
      <c r="V200" s="104"/>
      <c r="W200" s="104"/>
      <c r="X200" s="104"/>
      <c r="Y200" s="104"/>
      <c r="Z200" s="104"/>
      <c r="AA200" s="104"/>
      <c r="AB200" s="104"/>
      <c r="AC200" s="104"/>
      <c r="AD200" s="104"/>
      <c r="AE200" s="104"/>
      <c r="AF200" s="104"/>
      <c r="AG200" s="104"/>
      <c r="AH200" s="104"/>
      <c r="AI200" s="104"/>
      <c r="AJ200" s="104"/>
      <c r="AK200" s="104"/>
      <c r="AL200" s="104"/>
    </row>
    <row r="201" spans="2:39" ht="15" outlineLevel="1">
      <c r="B201" s="211" t="s">
        <v>75</v>
      </c>
      <c r="C201" s="156"/>
      <c r="D201" s="156"/>
      <c r="E201" s="232"/>
      <c r="F201" s="232"/>
      <c r="G201" s="232"/>
      <c r="H201" s="232"/>
      <c r="I201" s="232">
        <f t="shared" ref="I201:T201" si="31">SUM(I195:I200)</f>
        <v>10123</v>
      </c>
      <c r="J201" s="232">
        <f t="shared" si="31"/>
        <v>10294.06</v>
      </c>
      <c r="K201" s="232">
        <f t="shared" si="31"/>
        <v>10468.227199999999</v>
      </c>
      <c r="L201" s="232">
        <f t="shared" si="31"/>
        <v>10645.560604</v>
      </c>
      <c r="M201" s="232">
        <f t="shared" si="31"/>
        <v>10826.12036468</v>
      </c>
      <c r="N201" s="232">
        <f t="shared" si="31"/>
        <v>11009.967806059602</v>
      </c>
      <c r="O201" s="232">
        <f t="shared" si="31"/>
        <v>11197.165446607654</v>
      </c>
      <c r="P201" s="232">
        <f t="shared" si="31"/>
        <v>11387.777022810935</v>
      </c>
      <c r="Q201" s="232">
        <f t="shared" si="31"/>
        <v>11581.867513210993</v>
      </c>
      <c r="R201" s="232">
        <f t="shared" si="31"/>
        <v>11779.503162918492</v>
      </c>
      <c r="S201" s="232">
        <f t="shared" si="31"/>
        <v>11980.751508614572</v>
      </c>
      <c r="T201" s="319">
        <f t="shared" si="31"/>
        <v>12185.681404048952</v>
      </c>
      <c r="U201" s="319">
        <f>SUM(U195:U200)</f>
        <v>12394.363046044642</v>
      </c>
      <c r="V201" s="327"/>
      <c r="W201" s="327"/>
      <c r="X201" s="327"/>
      <c r="Y201" s="327"/>
      <c r="Z201" s="327"/>
      <c r="AA201" s="327"/>
      <c r="AB201" s="327"/>
      <c r="AC201" s="327"/>
      <c r="AD201" s="327"/>
      <c r="AE201" s="327"/>
      <c r="AF201" s="327"/>
      <c r="AG201" s="327"/>
      <c r="AH201" s="327"/>
      <c r="AI201" s="327"/>
      <c r="AJ201" s="327"/>
      <c r="AK201" s="327"/>
      <c r="AL201" s="327"/>
    </row>
    <row r="202" spans="2:39" outlineLevel="1">
      <c r="B202" s="84"/>
    </row>
    <row r="203" spans="2:39" ht="15" outlineLevel="1">
      <c r="B203" s="75" t="s">
        <v>178</v>
      </c>
      <c r="C203" s="75"/>
      <c r="D203" s="75"/>
      <c r="E203" s="75"/>
      <c r="F203" s="75"/>
      <c r="G203" s="75"/>
      <c r="H203" s="75"/>
      <c r="I203" s="75"/>
      <c r="J203" s="75"/>
      <c r="K203" s="75"/>
      <c r="L203" s="75"/>
      <c r="M203" s="75"/>
      <c r="N203" s="75"/>
      <c r="O203" s="75"/>
      <c r="P203" s="75"/>
      <c r="Q203" s="75"/>
      <c r="R203" s="75"/>
      <c r="S203" s="75"/>
      <c r="T203" s="75"/>
      <c r="U203" s="75"/>
      <c r="V203" s="3"/>
      <c r="W203" s="3"/>
      <c r="X203" s="3"/>
      <c r="Y203" s="3"/>
      <c r="Z203" s="3"/>
      <c r="AA203" s="3"/>
      <c r="AB203" s="3"/>
      <c r="AC203" s="3"/>
      <c r="AD203" s="3"/>
      <c r="AE203" s="3"/>
      <c r="AF203" s="3"/>
      <c r="AG203" s="3"/>
      <c r="AH203" s="3"/>
      <c r="AI203" s="3"/>
      <c r="AJ203" s="3"/>
      <c r="AK203" s="3"/>
      <c r="AL203" s="3"/>
      <c r="AM203" s="3"/>
    </row>
    <row r="204" spans="2:39" outlineLevel="1">
      <c r="B204" s="191" t="s">
        <v>149</v>
      </c>
      <c r="C204" s="150"/>
      <c r="D204" s="150"/>
      <c r="E204" s="231"/>
      <c r="F204" s="231"/>
      <c r="G204" s="231"/>
      <c r="H204" s="231"/>
      <c r="I204" s="231">
        <f t="shared" ref="I204:I209" si="32">D110</f>
        <v>7078</v>
      </c>
      <c r="J204" s="231">
        <f t="shared" ref="J204:U204" si="33">I204*(1+J185)</f>
        <v>7219.56</v>
      </c>
      <c r="K204" s="231">
        <f t="shared" si="33"/>
        <v>7363.9512000000004</v>
      </c>
      <c r="L204" s="231">
        <f t="shared" si="33"/>
        <v>7511.2302240000008</v>
      </c>
      <c r="M204" s="231">
        <f t="shared" si="33"/>
        <v>7661.4548284800012</v>
      </c>
      <c r="N204" s="231">
        <f t="shared" si="33"/>
        <v>7814.6839250496014</v>
      </c>
      <c r="O204" s="231">
        <f t="shared" si="33"/>
        <v>7970.9776035505938</v>
      </c>
      <c r="P204" s="231">
        <f t="shared" si="33"/>
        <v>8130.3971556216056</v>
      </c>
      <c r="Q204" s="231">
        <f t="shared" si="33"/>
        <v>8293.0050987340383</v>
      </c>
      <c r="R204" s="231">
        <f t="shared" si="33"/>
        <v>8458.8652007087185</v>
      </c>
      <c r="S204" s="231">
        <f t="shared" si="33"/>
        <v>8628.0425047228928</v>
      </c>
      <c r="T204" s="318">
        <f t="shared" si="33"/>
        <v>8800.6033548173509</v>
      </c>
      <c r="U204" s="318">
        <f t="shared" si="33"/>
        <v>8976.6154219136988</v>
      </c>
      <c r="V204" s="104"/>
      <c r="W204" s="104"/>
      <c r="X204" s="104"/>
      <c r="Y204" s="104"/>
      <c r="Z204" s="104"/>
      <c r="AA204" s="104"/>
      <c r="AB204" s="104"/>
      <c r="AC204" s="104"/>
      <c r="AD204" s="104"/>
      <c r="AE204" s="104"/>
      <c r="AF204" s="104"/>
      <c r="AG204" s="104"/>
      <c r="AH204" s="104"/>
      <c r="AI204" s="104"/>
      <c r="AJ204" s="104"/>
      <c r="AK204" s="104"/>
      <c r="AL204" s="104"/>
    </row>
    <row r="205" spans="2:39" outlineLevel="1">
      <c r="B205" s="191" t="s">
        <v>150</v>
      </c>
      <c r="C205" s="150"/>
      <c r="D205" s="150"/>
      <c r="E205" s="231"/>
      <c r="F205" s="231"/>
      <c r="G205" s="231"/>
      <c r="H205" s="231"/>
      <c r="I205" s="231">
        <f t="shared" si="32"/>
        <v>499</v>
      </c>
      <c r="J205" s="231">
        <f t="shared" ref="J205:U205" si="34">I205*(1+J186)</f>
        <v>508.98</v>
      </c>
      <c r="K205" s="231">
        <f t="shared" si="34"/>
        <v>519.15960000000007</v>
      </c>
      <c r="L205" s="231">
        <f t="shared" si="34"/>
        <v>529.54279200000008</v>
      </c>
      <c r="M205" s="231">
        <f t="shared" si="34"/>
        <v>540.13364784000009</v>
      </c>
      <c r="N205" s="231">
        <f t="shared" si="34"/>
        <v>550.93632079680015</v>
      </c>
      <c r="O205" s="231">
        <f t="shared" si="34"/>
        <v>561.95504721273619</v>
      </c>
      <c r="P205" s="231">
        <f t="shared" si="34"/>
        <v>573.19414815699088</v>
      </c>
      <c r="Q205" s="231">
        <f t="shared" si="34"/>
        <v>584.65803112013066</v>
      </c>
      <c r="R205" s="231">
        <f t="shared" si="34"/>
        <v>596.35119174253327</v>
      </c>
      <c r="S205" s="231">
        <f t="shared" si="34"/>
        <v>608.278215577384</v>
      </c>
      <c r="T205" s="318">
        <f t="shared" si="34"/>
        <v>620.44377988893166</v>
      </c>
      <c r="U205" s="318">
        <f t="shared" si="34"/>
        <v>632.85265548671032</v>
      </c>
      <c r="V205" s="104"/>
      <c r="W205" s="104"/>
      <c r="X205" s="104"/>
      <c r="Y205" s="104"/>
      <c r="Z205" s="104"/>
      <c r="AA205" s="104"/>
      <c r="AB205" s="104"/>
      <c r="AC205" s="104"/>
      <c r="AD205" s="104"/>
      <c r="AE205" s="104"/>
      <c r="AF205" s="104"/>
      <c r="AG205" s="104"/>
      <c r="AH205" s="104"/>
      <c r="AI205" s="104"/>
      <c r="AJ205" s="104"/>
      <c r="AK205" s="104"/>
      <c r="AL205" s="104"/>
    </row>
    <row r="206" spans="2:39" outlineLevel="1">
      <c r="B206" s="191" t="s">
        <v>259</v>
      </c>
      <c r="C206" s="150"/>
      <c r="D206" s="150"/>
      <c r="E206" s="231"/>
      <c r="F206" s="231"/>
      <c r="G206" s="231"/>
      <c r="H206" s="231"/>
      <c r="I206" s="231">
        <f t="shared" si="32"/>
        <v>0</v>
      </c>
      <c r="J206" s="231">
        <f t="shared" ref="J206:U206" si="35">I206*(1+J187)</f>
        <v>0</v>
      </c>
      <c r="K206" s="231">
        <f t="shared" si="35"/>
        <v>0</v>
      </c>
      <c r="L206" s="231">
        <f t="shared" si="35"/>
        <v>0</v>
      </c>
      <c r="M206" s="231">
        <f t="shared" si="35"/>
        <v>0</v>
      </c>
      <c r="N206" s="231">
        <f t="shared" si="35"/>
        <v>0</v>
      </c>
      <c r="O206" s="231">
        <f t="shared" si="35"/>
        <v>0</v>
      </c>
      <c r="P206" s="231">
        <f t="shared" si="35"/>
        <v>0</v>
      </c>
      <c r="Q206" s="231">
        <f t="shared" si="35"/>
        <v>0</v>
      </c>
      <c r="R206" s="231">
        <f t="shared" si="35"/>
        <v>0</v>
      </c>
      <c r="S206" s="231">
        <f t="shared" si="35"/>
        <v>0</v>
      </c>
      <c r="T206" s="318">
        <f t="shared" si="35"/>
        <v>0</v>
      </c>
      <c r="U206" s="318">
        <f t="shared" si="35"/>
        <v>0</v>
      </c>
      <c r="V206" s="104"/>
      <c r="W206" s="104"/>
      <c r="X206" s="104"/>
      <c r="Y206" s="104"/>
      <c r="Z206" s="104"/>
      <c r="AA206" s="104"/>
      <c r="AB206" s="104"/>
      <c r="AC206" s="104"/>
      <c r="AD206" s="104"/>
      <c r="AE206" s="104"/>
      <c r="AF206" s="104"/>
      <c r="AG206" s="104"/>
      <c r="AH206" s="104"/>
      <c r="AI206" s="104"/>
      <c r="AJ206" s="104"/>
      <c r="AK206" s="104"/>
      <c r="AL206" s="104"/>
    </row>
    <row r="207" spans="2:39" outlineLevel="1">
      <c r="B207" s="191" t="s">
        <v>263</v>
      </c>
      <c r="C207" s="150"/>
      <c r="D207" s="150"/>
      <c r="E207" s="231"/>
      <c r="F207" s="231"/>
      <c r="G207" s="231"/>
      <c r="H207" s="231"/>
      <c r="I207" s="231">
        <f t="shared" si="32"/>
        <v>575</v>
      </c>
      <c r="J207" s="231">
        <f t="shared" ref="J207:U207" si="36">I207*(1+J188)</f>
        <v>586.5</v>
      </c>
      <c r="K207" s="231">
        <f t="shared" si="36"/>
        <v>598.23</v>
      </c>
      <c r="L207" s="231">
        <f t="shared" si="36"/>
        <v>610.19460000000004</v>
      </c>
      <c r="M207" s="231">
        <f t="shared" si="36"/>
        <v>622.39849200000003</v>
      </c>
      <c r="N207" s="231">
        <f t="shared" si="36"/>
        <v>634.84646184000007</v>
      </c>
      <c r="O207" s="231">
        <f t="shared" si="36"/>
        <v>647.54339107680005</v>
      </c>
      <c r="P207" s="231">
        <f t="shared" si="36"/>
        <v>660.49425889833606</v>
      </c>
      <c r="Q207" s="231">
        <f t="shared" si="36"/>
        <v>673.70414407630278</v>
      </c>
      <c r="R207" s="231">
        <f t="shared" si="36"/>
        <v>687.17822695782888</v>
      </c>
      <c r="S207" s="231">
        <f t="shared" si="36"/>
        <v>700.92179149698552</v>
      </c>
      <c r="T207" s="318">
        <f t="shared" si="36"/>
        <v>714.9402273269252</v>
      </c>
      <c r="U207" s="318">
        <f t="shared" si="36"/>
        <v>729.23903187346366</v>
      </c>
      <c r="V207" s="104"/>
      <c r="W207" s="104"/>
      <c r="X207" s="104"/>
      <c r="Y207" s="104"/>
      <c r="Z207" s="104"/>
      <c r="AA207" s="104"/>
      <c r="AB207" s="104"/>
      <c r="AC207" s="104"/>
      <c r="AD207" s="104"/>
      <c r="AE207" s="104"/>
      <c r="AF207" s="104"/>
      <c r="AG207" s="104"/>
      <c r="AH207" s="104"/>
      <c r="AI207" s="104"/>
      <c r="AJ207" s="104"/>
      <c r="AK207" s="104"/>
      <c r="AL207" s="104"/>
    </row>
    <row r="208" spans="2:39" outlineLevel="1">
      <c r="B208" s="191" t="s">
        <v>152</v>
      </c>
      <c r="C208" s="150"/>
      <c r="D208" s="150"/>
      <c r="E208" s="231"/>
      <c r="F208" s="231"/>
      <c r="G208" s="231"/>
      <c r="H208" s="231"/>
      <c r="I208" s="231">
        <f t="shared" si="32"/>
        <v>2715</v>
      </c>
      <c r="J208" s="231">
        <f t="shared" ref="J208:U208" si="37">I208*(1+J189)</f>
        <v>2742.15</v>
      </c>
      <c r="K208" s="231">
        <f t="shared" si="37"/>
        <v>2769.5715</v>
      </c>
      <c r="L208" s="231">
        <f t="shared" si="37"/>
        <v>2797.2672149999999</v>
      </c>
      <c r="M208" s="231">
        <f t="shared" si="37"/>
        <v>2825.23988715</v>
      </c>
      <c r="N208" s="231">
        <f t="shared" si="37"/>
        <v>2853.4922860215001</v>
      </c>
      <c r="O208" s="231">
        <f t="shared" si="37"/>
        <v>2882.0272088817151</v>
      </c>
      <c r="P208" s="231">
        <f t="shared" si="37"/>
        <v>2910.8474809705322</v>
      </c>
      <c r="Q208" s="231">
        <f t="shared" si="37"/>
        <v>2939.9559557802377</v>
      </c>
      <c r="R208" s="231">
        <f t="shared" si="37"/>
        <v>2969.3555153380403</v>
      </c>
      <c r="S208" s="231">
        <f t="shared" si="37"/>
        <v>2999.0490704914205</v>
      </c>
      <c r="T208" s="318">
        <f t="shared" si="37"/>
        <v>3029.0395611963345</v>
      </c>
      <c r="U208" s="318">
        <f t="shared" si="37"/>
        <v>3059.329956808298</v>
      </c>
      <c r="V208" s="104"/>
      <c r="W208" s="104"/>
      <c r="X208" s="104"/>
      <c r="Y208" s="104"/>
      <c r="Z208" s="104"/>
      <c r="AA208" s="104"/>
      <c r="AB208" s="104"/>
      <c r="AC208" s="104"/>
      <c r="AD208" s="104"/>
      <c r="AE208" s="104"/>
      <c r="AF208" s="104"/>
      <c r="AG208" s="104"/>
      <c r="AH208" s="104"/>
      <c r="AI208" s="104"/>
      <c r="AJ208" s="104"/>
      <c r="AK208" s="104"/>
      <c r="AL208" s="104"/>
    </row>
    <row r="209" spans="2:39" outlineLevel="1">
      <c r="B209" s="191" t="s">
        <v>153</v>
      </c>
      <c r="C209" s="150"/>
      <c r="D209" s="150"/>
      <c r="E209" s="231"/>
      <c r="F209" s="231"/>
      <c r="G209" s="231"/>
      <c r="H209" s="231"/>
      <c r="I209" s="231">
        <f t="shared" si="32"/>
        <v>0</v>
      </c>
      <c r="J209" s="231">
        <f t="shared" ref="J209:U209" si="38">I209*(1+J190)</f>
        <v>0</v>
      </c>
      <c r="K209" s="231">
        <f t="shared" si="38"/>
        <v>0</v>
      </c>
      <c r="L209" s="231">
        <f t="shared" si="38"/>
        <v>0</v>
      </c>
      <c r="M209" s="231">
        <f t="shared" si="38"/>
        <v>0</v>
      </c>
      <c r="N209" s="231">
        <f t="shared" si="38"/>
        <v>0</v>
      </c>
      <c r="O209" s="231">
        <f t="shared" si="38"/>
        <v>0</v>
      </c>
      <c r="P209" s="231">
        <f t="shared" si="38"/>
        <v>0</v>
      </c>
      <c r="Q209" s="231">
        <f t="shared" si="38"/>
        <v>0</v>
      </c>
      <c r="R209" s="231">
        <f t="shared" si="38"/>
        <v>0</v>
      </c>
      <c r="S209" s="231">
        <f t="shared" si="38"/>
        <v>0</v>
      </c>
      <c r="T209" s="318">
        <f t="shared" si="38"/>
        <v>0</v>
      </c>
      <c r="U209" s="318">
        <f t="shared" si="38"/>
        <v>0</v>
      </c>
      <c r="V209" s="104"/>
      <c r="W209" s="104"/>
      <c r="X209" s="104"/>
      <c r="Y209" s="104"/>
      <c r="Z209" s="104"/>
      <c r="AA209" s="104"/>
      <c r="AB209" s="104"/>
      <c r="AC209" s="104"/>
      <c r="AD209" s="104"/>
      <c r="AE209" s="104"/>
      <c r="AF209" s="104"/>
      <c r="AG209" s="104"/>
      <c r="AH209" s="104"/>
      <c r="AI209" s="104"/>
      <c r="AJ209" s="104"/>
      <c r="AK209" s="104"/>
      <c r="AL209" s="104"/>
    </row>
    <row r="210" spans="2:39" ht="15" outlineLevel="1">
      <c r="B210" s="211" t="str">
        <f>B201</f>
        <v>Total</v>
      </c>
      <c r="C210" s="156"/>
      <c r="D210" s="156"/>
      <c r="E210" s="232"/>
      <c r="F210" s="232"/>
      <c r="G210" s="232"/>
      <c r="H210" s="232"/>
      <c r="I210" s="232">
        <f t="shared" ref="I210:T210" si="39">SUM(I204:I209)</f>
        <v>10867</v>
      </c>
      <c r="J210" s="232">
        <f t="shared" si="39"/>
        <v>11057.19</v>
      </c>
      <c r="K210" s="232">
        <f t="shared" si="39"/>
        <v>11250.9123</v>
      </c>
      <c r="L210" s="232">
        <f t="shared" si="39"/>
        <v>11448.234831000002</v>
      </c>
      <c r="M210" s="232">
        <f t="shared" si="39"/>
        <v>11649.226855470002</v>
      </c>
      <c r="N210" s="232">
        <f t="shared" si="39"/>
        <v>11853.9589937079</v>
      </c>
      <c r="O210" s="232">
        <f t="shared" si="39"/>
        <v>12062.503250721846</v>
      </c>
      <c r="P210" s="232">
        <f t="shared" si="39"/>
        <v>12274.933043647463</v>
      </c>
      <c r="Q210" s="232">
        <f t="shared" si="39"/>
        <v>12491.32322971071</v>
      </c>
      <c r="R210" s="232">
        <f t="shared" si="39"/>
        <v>12711.750134747121</v>
      </c>
      <c r="S210" s="232">
        <f t="shared" si="39"/>
        <v>12936.291582288683</v>
      </c>
      <c r="T210" s="319">
        <f t="shared" si="39"/>
        <v>13165.026923229541</v>
      </c>
      <c r="U210" s="319">
        <f>SUM(U204:U209)</f>
        <v>13398.03706608217</v>
      </c>
      <c r="V210" s="327"/>
      <c r="W210" s="327"/>
      <c r="X210" s="327"/>
      <c r="Y210" s="327"/>
      <c r="Z210" s="327"/>
      <c r="AA210" s="327"/>
      <c r="AB210" s="327"/>
      <c r="AC210" s="327"/>
      <c r="AD210" s="327"/>
      <c r="AE210" s="327"/>
      <c r="AF210" s="327"/>
      <c r="AG210" s="327"/>
      <c r="AH210" s="327"/>
      <c r="AI210" s="327"/>
      <c r="AJ210" s="327"/>
      <c r="AK210" s="327"/>
      <c r="AL210" s="327"/>
    </row>
    <row r="211" spans="2:39">
      <c r="B211" s="84"/>
    </row>
    <row r="212" spans="2:39" ht="15">
      <c r="B212" s="3" t="s">
        <v>179</v>
      </c>
      <c r="C212" s="3"/>
    </row>
    <row r="213" spans="2:39" ht="15" outlineLevel="1">
      <c r="B213" s="77" t="s">
        <v>180</v>
      </c>
      <c r="C213" s="77"/>
      <c r="D213" s="77"/>
      <c r="E213" s="77"/>
      <c r="F213" s="77"/>
      <c r="G213" s="77"/>
      <c r="H213" s="77"/>
      <c r="I213" s="77"/>
      <c r="J213" s="77"/>
      <c r="K213" s="77"/>
      <c r="L213" s="77"/>
      <c r="M213" s="77"/>
      <c r="N213" s="77"/>
      <c r="O213" s="77"/>
      <c r="P213" s="77"/>
      <c r="Q213" s="77"/>
      <c r="R213" s="77"/>
      <c r="S213" s="77"/>
      <c r="T213" s="77"/>
      <c r="U213" s="77"/>
      <c r="V213" s="3"/>
      <c r="W213" s="3"/>
      <c r="X213" s="3"/>
      <c r="Y213" s="3"/>
      <c r="Z213" s="3"/>
      <c r="AA213" s="3"/>
      <c r="AB213" s="3"/>
      <c r="AC213" s="3"/>
      <c r="AD213" s="3"/>
      <c r="AE213" s="3"/>
      <c r="AF213" s="3"/>
      <c r="AG213" s="3"/>
      <c r="AH213" s="3"/>
      <c r="AI213" s="3"/>
      <c r="AJ213" s="3"/>
      <c r="AK213" s="3"/>
      <c r="AL213" s="3"/>
      <c r="AM213" s="3"/>
    </row>
    <row r="214" spans="2:39" ht="15" outlineLevel="2">
      <c r="B214" s="75" t="s">
        <v>162</v>
      </c>
      <c r="C214" s="75"/>
      <c r="D214" s="75"/>
      <c r="E214" s="75"/>
      <c r="F214" s="75"/>
      <c r="G214" s="75"/>
      <c r="H214" s="75"/>
      <c r="I214" s="75"/>
      <c r="J214" s="75"/>
      <c r="K214" s="75"/>
      <c r="L214" s="75"/>
      <c r="M214" s="75"/>
      <c r="N214" s="75"/>
      <c r="O214" s="75"/>
      <c r="P214" s="75"/>
      <c r="Q214" s="75"/>
      <c r="R214" s="75"/>
      <c r="S214" s="75"/>
      <c r="T214" s="75"/>
      <c r="U214" s="75"/>
      <c r="V214" s="3"/>
      <c r="W214" s="3"/>
      <c r="X214" s="3"/>
      <c r="Y214" s="3"/>
      <c r="Z214" s="3"/>
      <c r="AA214" s="3"/>
      <c r="AB214" s="3"/>
      <c r="AC214" s="3"/>
      <c r="AD214" s="3"/>
      <c r="AE214" s="3"/>
      <c r="AF214" s="3"/>
      <c r="AG214" s="3"/>
      <c r="AH214" s="3"/>
      <c r="AI214" s="3"/>
      <c r="AJ214" s="3"/>
      <c r="AK214" s="3"/>
      <c r="AL214" s="3"/>
      <c r="AM214" s="3"/>
    </row>
    <row r="215" spans="2:39" outlineLevel="2">
      <c r="B215" s="191" t="s">
        <v>149</v>
      </c>
      <c r="C215" s="150"/>
      <c r="D215" s="150"/>
      <c r="E215" s="150"/>
      <c r="F215" s="150"/>
      <c r="G215" s="150"/>
      <c r="H215" s="150"/>
      <c r="I215" s="150">
        <f t="shared" ref="I215:T215" si="40">ROUND(I195*$E120/$F120,0)</f>
        <v>1240</v>
      </c>
      <c r="J215" s="150">
        <f t="shared" si="40"/>
        <v>1265</v>
      </c>
      <c r="K215" s="150">
        <f t="shared" si="40"/>
        <v>1290</v>
      </c>
      <c r="L215" s="150">
        <f t="shared" si="40"/>
        <v>1316</v>
      </c>
      <c r="M215" s="150">
        <f t="shared" si="40"/>
        <v>1342</v>
      </c>
      <c r="N215" s="150">
        <f t="shared" si="40"/>
        <v>1369</v>
      </c>
      <c r="O215" s="150">
        <f t="shared" si="40"/>
        <v>1397</v>
      </c>
      <c r="P215" s="150">
        <f t="shared" si="40"/>
        <v>1425</v>
      </c>
      <c r="Q215" s="150">
        <f t="shared" si="40"/>
        <v>1453</v>
      </c>
      <c r="R215" s="150">
        <f t="shared" si="40"/>
        <v>1482</v>
      </c>
      <c r="S215" s="150">
        <f t="shared" si="40"/>
        <v>1512</v>
      </c>
      <c r="T215" s="315">
        <f t="shared" si="40"/>
        <v>1542</v>
      </c>
      <c r="U215" s="315">
        <f t="shared" ref="U215:U220" si="41">ROUND(U195*$E120/$F120,0)</f>
        <v>1573</v>
      </c>
    </row>
    <row r="216" spans="2:39" outlineLevel="2">
      <c r="B216" s="191" t="s">
        <v>150</v>
      </c>
      <c r="C216" s="150"/>
      <c r="D216" s="150"/>
      <c r="E216" s="150"/>
      <c r="F216" s="150"/>
      <c r="G216" s="150"/>
      <c r="H216" s="150"/>
      <c r="I216" s="150">
        <f t="shared" ref="I216:T216" si="42">ROUND(I196*$E121/$F121,0)</f>
        <v>101</v>
      </c>
      <c r="J216" s="150">
        <f t="shared" si="42"/>
        <v>103</v>
      </c>
      <c r="K216" s="150">
        <f t="shared" si="42"/>
        <v>105</v>
      </c>
      <c r="L216" s="150">
        <f t="shared" si="42"/>
        <v>107</v>
      </c>
      <c r="M216" s="150">
        <f t="shared" si="42"/>
        <v>109</v>
      </c>
      <c r="N216" s="150">
        <f t="shared" si="42"/>
        <v>111</v>
      </c>
      <c r="O216" s="150">
        <f t="shared" si="42"/>
        <v>113</v>
      </c>
      <c r="P216" s="150">
        <f t="shared" si="42"/>
        <v>116</v>
      </c>
      <c r="Q216" s="150">
        <f t="shared" si="42"/>
        <v>118</v>
      </c>
      <c r="R216" s="150">
        <f t="shared" si="42"/>
        <v>120</v>
      </c>
      <c r="S216" s="150">
        <f t="shared" si="42"/>
        <v>123</v>
      </c>
      <c r="T216" s="315">
        <f t="shared" si="42"/>
        <v>125</v>
      </c>
      <c r="U216" s="315">
        <f t="shared" si="41"/>
        <v>128</v>
      </c>
    </row>
    <row r="217" spans="2:39" outlineLevel="2">
      <c r="B217" s="191" t="s">
        <v>259</v>
      </c>
      <c r="C217" s="150"/>
      <c r="D217" s="150"/>
      <c r="E217" s="150"/>
      <c r="F217" s="150"/>
      <c r="G217" s="150"/>
      <c r="H217" s="150"/>
      <c r="I217" s="150">
        <f t="shared" ref="I217:T217" si="43">ROUND(I197*$E122/$F122,0)</f>
        <v>0</v>
      </c>
      <c r="J217" s="150">
        <f t="shared" si="43"/>
        <v>0</v>
      </c>
      <c r="K217" s="150">
        <f t="shared" si="43"/>
        <v>0</v>
      </c>
      <c r="L217" s="150">
        <f t="shared" si="43"/>
        <v>0</v>
      </c>
      <c r="M217" s="150">
        <f t="shared" si="43"/>
        <v>0</v>
      </c>
      <c r="N217" s="150">
        <f t="shared" si="43"/>
        <v>0</v>
      </c>
      <c r="O217" s="150">
        <f t="shared" si="43"/>
        <v>0</v>
      </c>
      <c r="P217" s="150">
        <f t="shared" si="43"/>
        <v>0</v>
      </c>
      <c r="Q217" s="150">
        <f t="shared" si="43"/>
        <v>0</v>
      </c>
      <c r="R217" s="150">
        <f t="shared" si="43"/>
        <v>0</v>
      </c>
      <c r="S217" s="150">
        <f t="shared" si="43"/>
        <v>0</v>
      </c>
      <c r="T217" s="315">
        <f t="shared" si="43"/>
        <v>0</v>
      </c>
      <c r="U217" s="315">
        <f t="shared" si="41"/>
        <v>0</v>
      </c>
    </row>
    <row r="218" spans="2:39" outlineLevel="2">
      <c r="B218" s="191" t="s">
        <v>263</v>
      </c>
      <c r="C218" s="150"/>
      <c r="D218" s="150"/>
      <c r="E218" s="150"/>
      <c r="F218" s="150"/>
      <c r="G218" s="150"/>
      <c r="H218" s="150"/>
      <c r="I218" s="150">
        <f t="shared" ref="I218:T218" si="44">ROUND(I198*$E123/$F123,0)</f>
        <v>491</v>
      </c>
      <c r="J218" s="150">
        <f t="shared" si="44"/>
        <v>501</v>
      </c>
      <c r="K218" s="150">
        <f t="shared" si="44"/>
        <v>511</v>
      </c>
      <c r="L218" s="150">
        <f t="shared" si="44"/>
        <v>521</v>
      </c>
      <c r="M218" s="150">
        <f t="shared" si="44"/>
        <v>531</v>
      </c>
      <c r="N218" s="150">
        <f t="shared" si="44"/>
        <v>542</v>
      </c>
      <c r="O218" s="150">
        <f t="shared" si="44"/>
        <v>553</v>
      </c>
      <c r="P218" s="150">
        <f t="shared" si="44"/>
        <v>564</v>
      </c>
      <c r="Q218" s="150">
        <f t="shared" si="44"/>
        <v>575</v>
      </c>
      <c r="R218" s="150">
        <f t="shared" si="44"/>
        <v>586</v>
      </c>
      <c r="S218" s="150">
        <f t="shared" si="44"/>
        <v>598</v>
      </c>
      <c r="T218" s="315">
        <f t="shared" si="44"/>
        <v>610</v>
      </c>
      <c r="U218" s="315">
        <f t="shared" si="41"/>
        <v>622</v>
      </c>
    </row>
    <row r="219" spans="2:39" outlineLevel="2">
      <c r="B219" s="191" t="s">
        <v>152</v>
      </c>
      <c r="C219" s="150"/>
      <c r="D219" s="150"/>
      <c r="E219" s="150"/>
      <c r="F219" s="150"/>
      <c r="G219" s="150"/>
      <c r="H219" s="150"/>
      <c r="I219" s="150">
        <f t="shared" ref="I219:T219" si="45">ROUND(I199*$E124/$F124,0)</f>
        <v>2639</v>
      </c>
      <c r="J219" s="150">
        <f t="shared" si="45"/>
        <v>2665</v>
      </c>
      <c r="K219" s="150">
        <f t="shared" si="45"/>
        <v>2692</v>
      </c>
      <c r="L219" s="150">
        <f t="shared" si="45"/>
        <v>2719</v>
      </c>
      <c r="M219" s="150">
        <f t="shared" si="45"/>
        <v>2746</v>
      </c>
      <c r="N219" s="150">
        <f t="shared" si="45"/>
        <v>2773</v>
      </c>
      <c r="O219" s="150">
        <f t="shared" si="45"/>
        <v>2801</v>
      </c>
      <c r="P219" s="150">
        <f t="shared" si="45"/>
        <v>2829</v>
      </c>
      <c r="Q219" s="150">
        <f t="shared" si="45"/>
        <v>2857</v>
      </c>
      <c r="R219" s="150">
        <f t="shared" si="45"/>
        <v>2886</v>
      </c>
      <c r="S219" s="150">
        <f t="shared" si="45"/>
        <v>2915</v>
      </c>
      <c r="T219" s="315">
        <f t="shared" si="45"/>
        <v>2944</v>
      </c>
      <c r="U219" s="315">
        <f t="shared" si="41"/>
        <v>2973</v>
      </c>
    </row>
    <row r="220" spans="2:39" outlineLevel="2">
      <c r="B220" s="191" t="s">
        <v>153</v>
      </c>
      <c r="C220" s="150"/>
      <c r="D220" s="150"/>
      <c r="E220" s="150"/>
      <c r="F220" s="150"/>
      <c r="G220" s="150"/>
      <c r="H220" s="150"/>
      <c r="I220" s="150">
        <f t="shared" ref="I220:T220" si="46">ROUND(I200*$E125/$F125,0)</f>
        <v>0</v>
      </c>
      <c r="J220" s="150">
        <f t="shared" si="46"/>
        <v>0</v>
      </c>
      <c r="K220" s="150">
        <f t="shared" si="46"/>
        <v>0</v>
      </c>
      <c r="L220" s="150">
        <f t="shared" si="46"/>
        <v>0</v>
      </c>
      <c r="M220" s="150">
        <f t="shared" si="46"/>
        <v>0</v>
      </c>
      <c r="N220" s="150">
        <f t="shared" si="46"/>
        <v>0</v>
      </c>
      <c r="O220" s="150">
        <f t="shared" si="46"/>
        <v>0</v>
      </c>
      <c r="P220" s="150">
        <f t="shared" si="46"/>
        <v>0</v>
      </c>
      <c r="Q220" s="150">
        <f t="shared" si="46"/>
        <v>0</v>
      </c>
      <c r="R220" s="150">
        <f t="shared" si="46"/>
        <v>0</v>
      </c>
      <c r="S220" s="150">
        <f t="shared" si="46"/>
        <v>0</v>
      </c>
      <c r="T220" s="315">
        <f t="shared" si="46"/>
        <v>0</v>
      </c>
      <c r="U220" s="315">
        <f t="shared" si="41"/>
        <v>0</v>
      </c>
    </row>
    <row r="221" spans="2:39" outlineLevel="2">
      <c r="B221" s="78"/>
    </row>
    <row r="222" spans="2:39" ht="15" outlineLevel="2">
      <c r="B222" s="75" t="s">
        <v>227</v>
      </c>
      <c r="C222" s="75"/>
      <c r="D222" s="75"/>
      <c r="E222" s="75"/>
      <c r="F222" s="75"/>
      <c r="G222" s="75"/>
      <c r="H222" s="75"/>
      <c r="I222" s="75"/>
      <c r="J222" s="75"/>
      <c r="K222" s="75"/>
      <c r="L222" s="75"/>
      <c r="M222" s="75"/>
      <c r="N222" s="75"/>
      <c r="O222" s="75"/>
      <c r="P222" s="75"/>
      <c r="Q222" s="75"/>
      <c r="R222" s="75"/>
      <c r="S222" s="75"/>
      <c r="T222" s="75"/>
      <c r="U222" s="75"/>
      <c r="V222" s="3"/>
      <c r="W222" s="3"/>
      <c r="X222" s="3"/>
      <c r="Y222" s="3"/>
      <c r="Z222" s="3"/>
      <c r="AA222" s="3"/>
      <c r="AB222" s="3"/>
      <c r="AC222" s="3"/>
      <c r="AD222" s="3"/>
      <c r="AE222" s="3"/>
      <c r="AF222" s="3"/>
      <c r="AG222" s="3"/>
      <c r="AH222" s="3"/>
      <c r="AI222" s="3"/>
      <c r="AJ222" s="3"/>
      <c r="AK222" s="3"/>
      <c r="AL222" s="3"/>
      <c r="AM222" s="3"/>
    </row>
    <row r="223" spans="2:39" outlineLevel="2">
      <c r="B223" s="191" t="s">
        <v>149</v>
      </c>
      <c r="C223" s="150"/>
      <c r="D223" s="150"/>
      <c r="E223" s="150"/>
      <c r="F223" s="150"/>
      <c r="G223" s="150"/>
      <c r="H223" s="150"/>
      <c r="I223" s="150">
        <f t="shared" ref="I223:T223" si="47">ROUND(I195*$E129/$F129,0)</f>
        <v>836</v>
      </c>
      <c r="J223" s="150">
        <f t="shared" si="47"/>
        <v>852</v>
      </c>
      <c r="K223" s="150">
        <f t="shared" si="47"/>
        <v>870</v>
      </c>
      <c r="L223" s="150">
        <f t="shared" si="47"/>
        <v>887</v>
      </c>
      <c r="M223" s="150">
        <f t="shared" si="47"/>
        <v>905</v>
      </c>
      <c r="N223" s="150">
        <f t="shared" si="47"/>
        <v>923</v>
      </c>
      <c r="O223" s="150">
        <f t="shared" si="47"/>
        <v>941</v>
      </c>
      <c r="P223" s="150">
        <f t="shared" si="47"/>
        <v>960</v>
      </c>
      <c r="Q223" s="150">
        <f t="shared" si="47"/>
        <v>979</v>
      </c>
      <c r="R223" s="150">
        <f t="shared" si="47"/>
        <v>999</v>
      </c>
      <c r="S223" s="150">
        <f t="shared" si="47"/>
        <v>1019</v>
      </c>
      <c r="T223" s="315">
        <f t="shared" si="47"/>
        <v>1039</v>
      </c>
      <c r="U223" s="315">
        <f t="shared" ref="U223:U228" si="48">ROUND(U195*$E129/$F129,0)</f>
        <v>1060</v>
      </c>
    </row>
    <row r="224" spans="2:39" outlineLevel="2">
      <c r="B224" s="191" t="s">
        <v>150</v>
      </c>
      <c r="C224" s="150"/>
      <c r="D224" s="150"/>
      <c r="E224" s="150"/>
      <c r="F224" s="150"/>
      <c r="G224" s="150"/>
      <c r="H224" s="150"/>
      <c r="I224" s="150">
        <f t="shared" ref="I224:T224" si="49">ROUND(I196*$E130/$F130,0)</f>
        <v>104</v>
      </c>
      <c r="J224" s="150">
        <f t="shared" si="49"/>
        <v>107</v>
      </c>
      <c r="K224" s="150">
        <f t="shared" si="49"/>
        <v>109</v>
      </c>
      <c r="L224" s="150">
        <f t="shared" si="49"/>
        <v>111</v>
      </c>
      <c r="M224" s="150">
        <f t="shared" si="49"/>
        <v>113</v>
      </c>
      <c r="N224" s="150">
        <f t="shared" si="49"/>
        <v>115</v>
      </c>
      <c r="O224" s="150">
        <f t="shared" si="49"/>
        <v>118</v>
      </c>
      <c r="P224" s="150">
        <f t="shared" si="49"/>
        <v>120</v>
      </c>
      <c r="Q224" s="150">
        <f t="shared" si="49"/>
        <v>122</v>
      </c>
      <c r="R224" s="150">
        <f t="shared" si="49"/>
        <v>125</v>
      </c>
      <c r="S224" s="150">
        <f t="shared" si="49"/>
        <v>127</v>
      </c>
      <c r="T224" s="315">
        <f t="shared" si="49"/>
        <v>130</v>
      </c>
      <c r="U224" s="315">
        <f t="shared" si="48"/>
        <v>133</v>
      </c>
    </row>
    <row r="225" spans="2:39" outlineLevel="2">
      <c r="B225" s="191" t="s">
        <v>259</v>
      </c>
      <c r="C225" s="150"/>
      <c r="D225" s="150"/>
      <c r="E225" s="150"/>
      <c r="F225" s="150"/>
      <c r="G225" s="150"/>
      <c r="H225" s="150"/>
      <c r="I225" s="150">
        <f t="shared" ref="I225:T225" si="50">ROUND(I197*$E131/$F131,0)</f>
        <v>0</v>
      </c>
      <c r="J225" s="150">
        <f t="shared" si="50"/>
        <v>0</v>
      </c>
      <c r="K225" s="150">
        <f t="shared" si="50"/>
        <v>0</v>
      </c>
      <c r="L225" s="150">
        <f t="shared" si="50"/>
        <v>0</v>
      </c>
      <c r="M225" s="150">
        <f t="shared" si="50"/>
        <v>0</v>
      </c>
      <c r="N225" s="150">
        <f t="shared" si="50"/>
        <v>0</v>
      </c>
      <c r="O225" s="150">
        <f t="shared" si="50"/>
        <v>0</v>
      </c>
      <c r="P225" s="150">
        <f t="shared" si="50"/>
        <v>0</v>
      </c>
      <c r="Q225" s="150">
        <f t="shared" si="50"/>
        <v>0</v>
      </c>
      <c r="R225" s="150">
        <f t="shared" si="50"/>
        <v>0</v>
      </c>
      <c r="S225" s="150">
        <f t="shared" si="50"/>
        <v>0</v>
      </c>
      <c r="T225" s="315">
        <f t="shared" si="50"/>
        <v>0</v>
      </c>
      <c r="U225" s="315">
        <f t="shared" si="48"/>
        <v>0</v>
      </c>
    </row>
    <row r="226" spans="2:39" outlineLevel="2">
      <c r="B226" s="191" t="s">
        <v>263</v>
      </c>
      <c r="C226" s="150"/>
      <c r="D226" s="150"/>
      <c r="E226" s="150"/>
      <c r="F226" s="150"/>
      <c r="G226" s="150"/>
      <c r="H226" s="150"/>
      <c r="I226" s="150">
        <f t="shared" ref="I226:T226" si="51">ROUND(I198*$E132/$F132,0)</f>
        <v>356</v>
      </c>
      <c r="J226" s="150">
        <f t="shared" si="51"/>
        <v>363</v>
      </c>
      <c r="K226" s="150">
        <f t="shared" si="51"/>
        <v>370</v>
      </c>
      <c r="L226" s="150">
        <f t="shared" si="51"/>
        <v>377</v>
      </c>
      <c r="M226" s="150">
        <f t="shared" si="51"/>
        <v>385</v>
      </c>
      <c r="N226" s="150">
        <f t="shared" si="51"/>
        <v>393</v>
      </c>
      <c r="O226" s="150">
        <f t="shared" si="51"/>
        <v>400</v>
      </c>
      <c r="P226" s="150">
        <f t="shared" si="51"/>
        <v>408</v>
      </c>
      <c r="Q226" s="150">
        <f t="shared" si="51"/>
        <v>417</v>
      </c>
      <c r="R226" s="150">
        <f t="shared" si="51"/>
        <v>425</v>
      </c>
      <c r="S226" s="150">
        <f t="shared" si="51"/>
        <v>433</v>
      </c>
      <c r="T226" s="315">
        <f t="shared" si="51"/>
        <v>442</v>
      </c>
      <c r="U226" s="315">
        <f t="shared" si="48"/>
        <v>451</v>
      </c>
    </row>
    <row r="227" spans="2:39" outlineLevel="2">
      <c r="B227" s="191" t="s">
        <v>152</v>
      </c>
      <c r="C227" s="150"/>
      <c r="D227" s="150"/>
      <c r="E227" s="150"/>
      <c r="F227" s="150"/>
      <c r="G227" s="150"/>
      <c r="H227" s="150"/>
      <c r="I227" s="150">
        <f t="shared" ref="I227:T227" si="52">ROUND(I199*$E133/$F133,0)</f>
        <v>223</v>
      </c>
      <c r="J227" s="150">
        <f t="shared" si="52"/>
        <v>225</v>
      </c>
      <c r="K227" s="150">
        <f t="shared" si="52"/>
        <v>228</v>
      </c>
      <c r="L227" s="150">
        <f t="shared" si="52"/>
        <v>230</v>
      </c>
      <c r="M227" s="150">
        <f t="shared" si="52"/>
        <v>232</v>
      </c>
      <c r="N227" s="150">
        <f t="shared" si="52"/>
        <v>235</v>
      </c>
      <c r="O227" s="150">
        <f t="shared" si="52"/>
        <v>237</v>
      </c>
      <c r="P227" s="150">
        <f t="shared" si="52"/>
        <v>239</v>
      </c>
      <c r="Q227" s="150">
        <f t="shared" si="52"/>
        <v>242</v>
      </c>
      <c r="R227" s="150">
        <f t="shared" si="52"/>
        <v>244</v>
      </c>
      <c r="S227" s="150">
        <f t="shared" si="52"/>
        <v>247</v>
      </c>
      <c r="T227" s="315">
        <f t="shared" si="52"/>
        <v>249</v>
      </c>
      <c r="U227" s="315">
        <f t="shared" si="48"/>
        <v>252</v>
      </c>
    </row>
    <row r="228" spans="2:39" outlineLevel="2">
      <c r="B228" s="191" t="s">
        <v>153</v>
      </c>
      <c r="C228" s="150"/>
      <c r="D228" s="150"/>
      <c r="E228" s="150"/>
      <c r="F228" s="150"/>
      <c r="G228" s="150"/>
      <c r="H228" s="150"/>
      <c r="I228" s="150">
        <f t="shared" ref="I228:T228" si="53">ROUND(I200*$E134/$F134,0)</f>
        <v>0</v>
      </c>
      <c r="J228" s="150">
        <f t="shared" si="53"/>
        <v>0</v>
      </c>
      <c r="K228" s="150">
        <f t="shared" si="53"/>
        <v>0</v>
      </c>
      <c r="L228" s="150">
        <f t="shared" si="53"/>
        <v>0</v>
      </c>
      <c r="M228" s="150">
        <f t="shared" si="53"/>
        <v>0</v>
      </c>
      <c r="N228" s="150">
        <f t="shared" si="53"/>
        <v>0</v>
      </c>
      <c r="O228" s="150">
        <f t="shared" si="53"/>
        <v>0</v>
      </c>
      <c r="P228" s="150">
        <f t="shared" si="53"/>
        <v>0</v>
      </c>
      <c r="Q228" s="150">
        <f t="shared" si="53"/>
        <v>0</v>
      </c>
      <c r="R228" s="150">
        <f t="shared" si="53"/>
        <v>0</v>
      </c>
      <c r="S228" s="150">
        <f t="shared" si="53"/>
        <v>0</v>
      </c>
      <c r="T228" s="315">
        <f t="shared" si="53"/>
        <v>0</v>
      </c>
      <c r="U228" s="315">
        <f t="shared" si="48"/>
        <v>0</v>
      </c>
    </row>
    <row r="229" spans="2:39" outlineLevel="2">
      <c r="B229" s="78"/>
    </row>
    <row r="230" spans="2:39" ht="15" outlineLevel="2">
      <c r="B230" s="75" t="s">
        <v>164</v>
      </c>
      <c r="C230" s="75"/>
      <c r="D230" s="75"/>
      <c r="E230" s="75"/>
      <c r="F230" s="75"/>
      <c r="G230" s="75"/>
      <c r="H230" s="75"/>
      <c r="I230" s="75"/>
      <c r="J230" s="75"/>
      <c r="K230" s="75"/>
      <c r="L230" s="75"/>
      <c r="M230" s="75"/>
      <c r="N230" s="75"/>
      <c r="O230" s="75"/>
      <c r="P230" s="75"/>
      <c r="Q230" s="75"/>
      <c r="R230" s="75"/>
      <c r="S230" s="75"/>
      <c r="T230" s="75"/>
      <c r="U230" s="75"/>
      <c r="V230" s="3"/>
      <c r="W230" s="3"/>
      <c r="X230" s="3"/>
      <c r="Y230" s="3"/>
      <c r="Z230" s="3"/>
      <c r="AA230" s="3"/>
      <c r="AB230" s="3"/>
      <c r="AC230" s="3"/>
      <c r="AD230" s="3"/>
      <c r="AE230" s="3"/>
      <c r="AF230" s="3"/>
      <c r="AG230" s="3"/>
      <c r="AH230" s="3"/>
      <c r="AI230" s="3"/>
      <c r="AJ230" s="3"/>
      <c r="AK230" s="3"/>
      <c r="AL230" s="3"/>
      <c r="AM230" s="3"/>
    </row>
    <row r="231" spans="2:39" outlineLevel="2">
      <c r="B231" s="191" t="s">
        <v>149</v>
      </c>
      <c r="C231" s="150"/>
      <c r="D231" s="150"/>
      <c r="E231" s="150"/>
      <c r="F231" s="150"/>
      <c r="G231" s="150"/>
      <c r="H231" s="150"/>
      <c r="I231" s="150">
        <f t="shared" ref="I231:T231" si="54">ROUND(I195*$E138/$F138,0)</f>
        <v>194</v>
      </c>
      <c r="J231" s="150">
        <f t="shared" si="54"/>
        <v>198</v>
      </c>
      <c r="K231" s="150">
        <f t="shared" si="54"/>
        <v>202</v>
      </c>
      <c r="L231" s="150">
        <f t="shared" si="54"/>
        <v>206</v>
      </c>
      <c r="M231" s="150">
        <f t="shared" si="54"/>
        <v>210</v>
      </c>
      <c r="N231" s="150">
        <f t="shared" si="54"/>
        <v>214</v>
      </c>
      <c r="O231" s="150">
        <f t="shared" si="54"/>
        <v>219</v>
      </c>
      <c r="P231" s="150">
        <f t="shared" si="54"/>
        <v>223</v>
      </c>
      <c r="Q231" s="150">
        <f t="shared" si="54"/>
        <v>227</v>
      </c>
      <c r="R231" s="150">
        <f t="shared" si="54"/>
        <v>232</v>
      </c>
      <c r="S231" s="150">
        <f t="shared" si="54"/>
        <v>237</v>
      </c>
      <c r="T231" s="315">
        <f t="shared" si="54"/>
        <v>241</v>
      </c>
      <c r="U231" s="315">
        <f t="shared" ref="U231:U236" si="55">ROUND(U195*$E138/$F138,0)</f>
        <v>246</v>
      </c>
    </row>
    <row r="232" spans="2:39" outlineLevel="2">
      <c r="B232" s="191" t="s">
        <v>150</v>
      </c>
      <c r="C232" s="150"/>
      <c r="D232" s="150"/>
      <c r="E232" s="150"/>
      <c r="F232" s="150"/>
      <c r="G232" s="150"/>
      <c r="H232" s="150"/>
      <c r="I232" s="150">
        <f t="shared" ref="I232:T232" si="56">ROUND(I196*$E139/$F139,0)</f>
        <v>0</v>
      </c>
      <c r="J232" s="150">
        <f t="shared" si="56"/>
        <v>0</v>
      </c>
      <c r="K232" s="150">
        <f t="shared" si="56"/>
        <v>0</v>
      </c>
      <c r="L232" s="150">
        <f t="shared" si="56"/>
        <v>0</v>
      </c>
      <c r="M232" s="150">
        <f t="shared" si="56"/>
        <v>0</v>
      </c>
      <c r="N232" s="150">
        <f t="shared" si="56"/>
        <v>0</v>
      </c>
      <c r="O232" s="150">
        <f t="shared" si="56"/>
        <v>0</v>
      </c>
      <c r="P232" s="150">
        <f t="shared" si="56"/>
        <v>0</v>
      </c>
      <c r="Q232" s="150">
        <f t="shared" si="56"/>
        <v>0</v>
      </c>
      <c r="R232" s="150">
        <f t="shared" si="56"/>
        <v>0</v>
      </c>
      <c r="S232" s="150">
        <f t="shared" si="56"/>
        <v>0</v>
      </c>
      <c r="T232" s="315">
        <f t="shared" si="56"/>
        <v>0</v>
      </c>
      <c r="U232" s="315">
        <f t="shared" si="55"/>
        <v>0</v>
      </c>
    </row>
    <row r="233" spans="2:39" outlineLevel="2">
      <c r="B233" s="191" t="s">
        <v>259</v>
      </c>
      <c r="C233" s="150"/>
      <c r="D233" s="150"/>
      <c r="E233" s="150"/>
      <c r="F233" s="150"/>
      <c r="G233" s="150"/>
      <c r="H233" s="150"/>
      <c r="I233" s="150">
        <f t="shared" ref="I233:T233" si="57">ROUND(I197*$E140/$F140,0)</f>
        <v>0</v>
      </c>
      <c r="J233" s="150">
        <f t="shared" si="57"/>
        <v>0</v>
      </c>
      <c r="K233" s="150">
        <f t="shared" si="57"/>
        <v>0</v>
      </c>
      <c r="L233" s="150">
        <f t="shared" si="57"/>
        <v>0</v>
      </c>
      <c r="M233" s="150">
        <f t="shared" si="57"/>
        <v>0</v>
      </c>
      <c r="N233" s="150">
        <f t="shared" si="57"/>
        <v>0</v>
      </c>
      <c r="O233" s="150">
        <f t="shared" si="57"/>
        <v>0</v>
      </c>
      <c r="P233" s="150">
        <f t="shared" si="57"/>
        <v>0</v>
      </c>
      <c r="Q233" s="150">
        <f t="shared" si="57"/>
        <v>0</v>
      </c>
      <c r="R233" s="150">
        <f t="shared" si="57"/>
        <v>0</v>
      </c>
      <c r="S233" s="150">
        <f t="shared" si="57"/>
        <v>0</v>
      </c>
      <c r="T233" s="315">
        <f t="shared" si="57"/>
        <v>0</v>
      </c>
      <c r="U233" s="315">
        <f t="shared" si="55"/>
        <v>0</v>
      </c>
    </row>
    <row r="234" spans="2:39" outlineLevel="2">
      <c r="B234" s="191" t="s">
        <v>263</v>
      </c>
      <c r="C234" s="150"/>
      <c r="D234" s="150"/>
      <c r="E234" s="150"/>
      <c r="F234" s="150"/>
      <c r="G234" s="150"/>
      <c r="H234" s="150"/>
      <c r="I234" s="150">
        <f t="shared" ref="I234:T234" si="58">ROUND(I198*$E141/$F141,0)</f>
        <v>0</v>
      </c>
      <c r="J234" s="150">
        <f t="shared" si="58"/>
        <v>0</v>
      </c>
      <c r="K234" s="150">
        <f t="shared" si="58"/>
        <v>0</v>
      </c>
      <c r="L234" s="150">
        <f t="shared" si="58"/>
        <v>0</v>
      </c>
      <c r="M234" s="150">
        <f t="shared" si="58"/>
        <v>0</v>
      </c>
      <c r="N234" s="150">
        <f t="shared" si="58"/>
        <v>0</v>
      </c>
      <c r="O234" s="150">
        <f t="shared" si="58"/>
        <v>0</v>
      </c>
      <c r="P234" s="150">
        <f t="shared" si="58"/>
        <v>0</v>
      </c>
      <c r="Q234" s="150">
        <f t="shared" si="58"/>
        <v>0</v>
      </c>
      <c r="R234" s="150">
        <f t="shared" si="58"/>
        <v>0</v>
      </c>
      <c r="S234" s="150">
        <f t="shared" si="58"/>
        <v>0</v>
      </c>
      <c r="T234" s="315">
        <f t="shared" si="58"/>
        <v>0</v>
      </c>
      <c r="U234" s="315">
        <f t="shared" si="55"/>
        <v>0</v>
      </c>
    </row>
    <row r="235" spans="2:39" outlineLevel="2">
      <c r="B235" s="191" t="s">
        <v>152</v>
      </c>
      <c r="C235" s="150"/>
      <c r="D235" s="150"/>
      <c r="E235" s="150"/>
      <c r="F235" s="150"/>
      <c r="G235" s="150"/>
      <c r="H235" s="150"/>
      <c r="I235" s="150">
        <f t="shared" ref="I235:T235" si="59">ROUND(I199*$E142/$F142,0)</f>
        <v>0</v>
      </c>
      <c r="J235" s="150">
        <f t="shared" si="59"/>
        <v>0</v>
      </c>
      <c r="K235" s="150">
        <f t="shared" si="59"/>
        <v>0</v>
      </c>
      <c r="L235" s="150">
        <f t="shared" si="59"/>
        <v>0</v>
      </c>
      <c r="M235" s="150">
        <f t="shared" si="59"/>
        <v>0</v>
      </c>
      <c r="N235" s="150">
        <f t="shared" si="59"/>
        <v>0</v>
      </c>
      <c r="O235" s="150">
        <f t="shared" si="59"/>
        <v>0</v>
      </c>
      <c r="P235" s="150">
        <f t="shared" si="59"/>
        <v>0</v>
      </c>
      <c r="Q235" s="150">
        <f t="shared" si="59"/>
        <v>0</v>
      </c>
      <c r="R235" s="150">
        <f t="shared" si="59"/>
        <v>0</v>
      </c>
      <c r="S235" s="150">
        <f t="shared" si="59"/>
        <v>0</v>
      </c>
      <c r="T235" s="315">
        <f t="shared" si="59"/>
        <v>0</v>
      </c>
      <c r="U235" s="315">
        <f t="shared" si="55"/>
        <v>0</v>
      </c>
    </row>
    <row r="236" spans="2:39" outlineLevel="2">
      <c r="B236" s="191" t="s">
        <v>153</v>
      </c>
      <c r="C236" s="150"/>
      <c r="D236" s="150"/>
      <c r="E236" s="150"/>
      <c r="F236" s="150"/>
      <c r="G236" s="150"/>
      <c r="H236" s="150"/>
      <c r="I236" s="150">
        <f t="shared" ref="I236:T236" si="60">ROUND(I200*$E143/$F143,0)</f>
        <v>0</v>
      </c>
      <c r="J236" s="150">
        <f t="shared" si="60"/>
        <v>0</v>
      </c>
      <c r="K236" s="150">
        <f t="shared" si="60"/>
        <v>0</v>
      </c>
      <c r="L236" s="150">
        <f t="shared" si="60"/>
        <v>0</v>
      </c>
      <c r="M236" s="150">
        <f t="shared" si="60"/>
        <v>0</v>
      </c>
      <c r="N236" s="150">
        <f t="shared" si="60"/>
        <v>0</v>
      </c>
      <c r="O236" s="150">
        <f t="shared" si="60"/>
        <v>0</v>
      </c>
      <c r="P236" s="150">
        <f t="shared" si="60"/>
        <v>0</v>
      </c>
      <c r="Q236" s="150">
        <f t="shared" si="60"/>
        <v>0</v>
      </c>
      <c r="R236" s="150">
        <f t="shared" si="60"/>
        <v>0</v>
      </c>
      <c r="S236" s="150">
        <f t="shared" si="60"/>
        <v>0</v>
      </c>
      <c r="T236" s="315">
        <f t="shared" si="60"/>
        <v>0</v>
      </c>
      <c r="U236" s="315">
        <f t="shared" si="55"/>
        <v>0</v>
      </c>
    </row>
    <row r="237" spans="2:39" outlineLevel="2">
      <c r="B237" s="78"/>
    </row>
    <row r="238" spans="2:39" ht="15" outlineLevel="2">
      <c r="B238" s="75" t="s">
        <v>181</v>
      </c>
      <c r="C238" s="75"/>
      <c r="D238" s="75"/>
      <c r="E238" s="75"/>
      <c r="F238" s="75"/>
      <c r="G238" s="75"/>
      <c r="H238" s="75"/>
      <c r="I238" s="75"/>
      <c r="J238" s="75"/>
      <c r="K238" s="75"/>
      <c r="L238" s="75"/>
      <c r="M238" s="75"/>
      <c r="N238" s="75"/>
      <c r="O238" s="75"/>
      <c r="P238" s="75"/>
      <c r="Q238" s="75"/>
      <c r="R238" s="75"/>
      <c r="S238" s="75"/>
      <c r="T238" s="75"/>
      <c r="U238" s="75"/>
      <c r="V238" s="3"/>
      <c r="W238" s="3"/>
      <c r="X238" s="3"/>
      <c r="Y238" s="3"/>
      <c r="Z238" s="3"/>
      <c r="AA238" s="3"/>
      <c r="AB238" s="3"/>
      <c r="AC238" s="3"/>
      <c r="AD238" s="3"/>
      <c r="AE238" s="3"/>
      <c r="AF238" s="3"/>
      <c r="AG238" s="3"/>
      <c r="AH238" s="3"/>
      <c r="AI238" s="3"/>
      <c r="AJ238" s="3"/>
      <c r="AK238" s="3"/>
      <c r="AL238" s="3"/>
      <c r="AM238" s="3"/>
    </row>
    <row r="239" spans="2:39" outlineLevel="2">
      <c r="B239" s="191" t="s">
        <v>149</v>
      </c>
      <c r="C239" s="150"/>
      <c r="D239" s="150"/>
      <c r="E239" s="150"/>
      <c r="F239" s="150"/>
      <c r="G239" s="150"/>
      <c r="H239" s="150"/>
      <c r="I239" s="150">
        <f t="shared" ref="I239:T239" si="61">ROUND(I195*$E147/$F147,0)</f>
        <v>40</v>
      </c>
      <c r="J239" s="150">
        <f t="shared" si="61"/>
        <v>41</v>
      </c>
      <c r="K239" s="150">
        <f t="shared" si="61"/>
        <v>42</v>
      </c>
      <c r="L239" s="150">
        <f t="shared" si="61"/>
        <v>43</v>
      </c>
      <c r="M239" s="150">
        <f t="shared" si="61"/>
        <v>44</v>
      </c>
      <c r="N239" s="150">
        <f t="shared" si="61"/>
        <v>45</v>
      </c>
      <c r="O239" s="150">
        <f t="shared" si="61"/>
        <v>46</v>
      </c>
      <c r="P239" s="150">
        <f t="shared" si="61"/>
        <v>46</v>
      </c>
      <c r="Q239" s="150">
        <f t="shared" si="61"/>
        <v>47</v>
      </c>
      <c r="R239" s="150">
        <f t="shared" si="61"/>
        <v>48</v>
      </c>
      <c r="S239" s="150">
        <f t="shared" si="61"/>
        <v>49</v>
      </c>
      <c r="T239" s="315">
        <f t="shared" si="61"/>
        <v>50</v>
      </c>
      <c r="U239" s="315">
        <f>ROUND(U195*$E147/$F147,0)</f>
        <v>51</v>
      </c>
    </row>
    <row r="240" spans="2:39" outlineLevel="2">
      <c r="B240" s="78"/>
      <c r="F240" s="72"/>
      <c r="I240" s="72"/>
    </row>
    <row r="241" spans="2:39" ht="15" outlineLevel="2">
      <c r="B241" s="75" t="s">
        <v>300</v>
      </c>
      <c r="C241" s="75"/>
      <c r="D241" s="75"/>
      <c r="E241" s="75"/>
      <c r="F241" s="75"/>
      <c r="G241" s="75"/>
      <c r="H241" s="75"/>
      <c r="I241" s="75"/>
      <c r="J241" s="75"/>
      <c r="K241" s="75"/>
      <c r="L241" s="75"/>
      <c r="M241" s="75"/>
      <c r="N241" s="75"/>
      <c r="O241" s="75"/>
      <c r="P241" s="75"/>
      <c r="Q241" s="75"/>
      <c r="R241" s="75"/>
      <c r="S241" s="75"/>
      <c r="T241" s="75"/>
      <c r="U241" s="75"/>
      <c r="V241" s="3"/>
      <c r="W241" s="3"/>
      <c r="X241" s="3"/>
      <c r="Y241" s="3"/>
      <c r="Z241" s="3"/>
      <c r="AA241" s="3"/>
      <c r="AB241" s="3"/>
      <c r="AC241" s="3"/>
      <c r="AD241" s="3"/>
      <c r="AE241" s="3"/>
      <c r="AF241" s="3"/>
      <c r="AG241" s="3"/>
      <c r="AH241" s="3"/>
      <c r="AI241" s="3"/>
      <c r="AJ241" s="3"/>
      <c r="AK241" s="3"/>
      <c r="AL241" s="3"/>
      <c r="AM241" s="3"/>
    </row>
    <row r="242" spans="2:39" outlineLevel="2">
      <c r="B242" s="191" t="s">
        <v>149</v>
      </c>
      <c r="C242" s="150"/>
      <c r="D242" s="150"/>
      <c r="E242" s="150"/>
      <c r="F242" s="150"/>
      <c r="G242" s="150"/>
      <c r="H242" s="150"/>
      <c r="I242" s="150">
        <f t="shared" ref="I242:T242" si="62">ROUND(I195*$E166/$F166,0)</f>
        <v>0</v>
      </c>
      <c r="J242" s="150">
        <f t="shared" si="62"/>
        <v>0</v>
      </c>
      <c r="K242" s="150">
        <f t="shared" si="62"/>
        <v>0</v>
      </c>
      <c r="L242" s="150">
        <f t="shared" si="62"/>
        <v>0</v>
      </c>
      <c r="M242" s="150">
        <f t="shared" si="62"/>
        <v>0</v>
      </c>
      <c r="N242" s="150">
        <f t="shared" si="62"/>
        <v>0</v>
      </c>
      <c r="O242" s="150">
        <f t="shared" si="62"/>
        <v>0</v>
      </c>
      <c r="P242" s="150">
        <f t="shared" si="62"/>
        <v>0</v>
      </c>
      <c r="Q242" s="150">
        <f t="shared" si="62"/>
        <v>0</v>
      </c>
      <c r="R242" s="150">
        <f t="shared" si="62"/>
        <v>0</v>
      </c>
      <c r="S242" s="150">
        <f t="shared" si="62"/>
        <v>0</v>
      </c>
      <c r="T242" s="315">
        <f t="shared" si="62"/>
        <v>0</v>
      </c>
      <c r="U242" s="315">
        <f t="shared" ref="U242:U247" si="63">ROUND(U195*$E166/$F166,0)</f>
        <v>0</v>
      </c>
    </row>
    <row r="243" spans="2:39" outlineLevel="2">
      <c r="B243" s="191" t="s">
        <v>150</v>
      </c>
      <c r="C243" s="150"/>
      <c r="D243" s="150"/>
      <c r="E243" s="150"/>
      <c r="F243" s="150"/>
      <c r="G243" s="150"/>
      <c r="H243" s="150"/>
      <c r="I243" s="150">
        <f t="shared" ref="I243:T243" si="64">ROUND(I196*$E167/$F167,0)</f>
        <v>0</v>
      </c>
      <c r="J243" s="150">
        <f t="shared" si="64"/>
        <v>0</v>
      </c>
      <c r="K243" s="150">
        <f t="shared" si="64"/>
        <v>0</v>
      </c>
      <c r="L243" s="150">
        <f t="shared" si="64"/>
        <v>0</v>
      </c>
      <c r="M243" s="150">
        <f t="shared" si="64"/>
        <v>0</v>
      </c>
      <c r="N243" s="150">
        <f t="shared" si="64"/>
        <v>0</v>
      </c>
      <c r="O243" s="150">
        <f t="shared" si="64"/>
        <v>0</v>
      </c>
      <c r="P243" s="150">
        <f t="shared" si="64"/>
        <v>0</v>
      </c>
      <c r="Q243" s="150">
        <f t="shared" si="64"/>
        <v>0</v>
      </c>
      <c r="R243" s="150">
        <f t="shared" si="64"/>
        <v>0</v>
      </c>
      <c r="S243" s="150">
        <f t="shared" si="64"/>
        <v>0</v>
      </c>
      <c r="T243" s="315">
        <f t="shared" si="64"/>
        <v>0</v>
      </c>
      <c r="U243" s="315">
        <f t="shared" si="63"/>
        <v>0</v>
      </c>
    </row>
    <row r="244" spans="2:39" outlineLevel="2">
      <c r="B244" s="191" t="s">
        <v>259</v>
      </c>
      <c r="C244" s="150"/>
      <c r="D244" s="150"/>
      <c r="E244" s="150"/>
      <c r="F244" s="150"/>
      <c r="G244" s="150"/>
      <c r="H244" s="150"/>
      <c r="I244" s="150">
        <f t="shared" ref="I244:T244" si="65">ROUND(I197*$E168/$F168,0)</f>
        <v>0</v>
      </c>
      <c r="J244" s="150">
        <f t="shared" si="65"/>
        <v>0</v>
      </c>
      <c r="K244" s="150">
        <f t="shared" si="65"/>
        <v>0</v>
      </c>
      <c r="L244" s="150">
        <f t="shared" si="65"/>
        <v>0</v>
      </c>
      <c r="M244" s="150">
        <f t="shared" si="65"/>
        <v>0</v>
      </c>
      <c r="N244" s="150">
        <f t="shared" si="65"/>
        <v>0</v>
      </c>
      <c r="O244" s="150">
        <f t="shared" si="65"/>
        <v>0</v>
      </c>
      <c r="P244" s="150">
        <f t="shared" si="65"/>
        <v>0</v>
      </c>
      <c r="Q244" s="150">
        <f t="shared" si="65"/>
        <v>0</v>
      </c>
      <c r="R244" s="150">
        <f t="shared" si="65"/>
        <v>0</v>
      </c>
      <c r="S244" s="150">
        <f t="shared" si="65"/>
        <v>0</v>
      </c>
      <c r="T244" s="315">
        <f t="shared" si="65"/>
        <v>0</v>
      </c>
      <c r="U244" s="315">
        <f t="shared" si="63"/>
        <v>0</v>
      </c>
    </row>
    <row r="245" spans="2:39" outlineLevel="2">
      <c r="B245" s="191" t="s">
        <v>263</v>
      </c>
      <c r="C245" s="150"/>
      <c r="D245" s="150"/>
      <c r="E245" s="150"/>
      <c r="F245" s="150"/>
      <c r="G245" s="150"/>
      <c r="H245" s="150"/>
      <c r="I245" s="150">
        <f t="shared" ref="I245:T245" si="66">ROUND(I198*$E169/$F169,0)</f>
        <v>0</v>
      </c>
      <c r="J245" s="150">
        <f t="shared" si="66"/>
        <v>0</v>
      </c>
      <c r="K245" s="150">
        <f t="shared" si="66"/>
        <v>0</v>
      </c>
      <c r="L245" s="150">
        <f t="shared" si="66"/>
        <v>0</v>
      </c>
      <c r="M245" s="150">
        <f t="shared" si="66"/>
        <v>0</v>
      </c>
      <c r="N245" s="150">
        <f t="shared" si="66"/>
        <v>0</v>
      </c>
      <c r="O245" s="150">
        <f t="shared" si="66"/>
        <v>0</v>
      </c>
      <c r="P245" s="150">
        <f t="shared" si="66"/>
        <v>0</v>
      </c>
      <c r="Q245" s="150">
        <f t="shared" si="66"/>
        <v>0</v>
      </c>
      <c r="R245" s="150">
        <f t="shared" si="66"/>
        <v>0</v>
      </c>
      <c r="S245" s="150">
        <f t="shared" si="66"/>
        <v>0</v>
      </c>
      <c r="T245" s="315">
        <f t="shared" si="66"/>
        <v>0</v>
      </c>
      <c r="U245" s="315">
        <f t="shared" si="63"/>
        <v>0</v>
      </c>
    </row>
    <row r="246" spans="2:39" outlineLevel="2">
      <c r="B246" s="191" t="s">
        <v>152</v>
      </c>
      <c r="C246" s="150"/>
      <c r="D246" s="150"/>
      <c r="E246" s="150"/>
      <c r="F246" s="150"/>
      <c r="G246" s="150"/>
      <c r="H246" s="150"/>
      <c r="I246" s="150">
        <f t="shared" ref="I246:T246" si="67">ROUND(I199*$E170/$F170,0)</f>
        <v>0</v>
      </c>
      <c r="J246" s="150">
        <f t="shared" si="67"/>
        <v>0</v>
      </c>
      <c r="K246" s="150">
        <f t="shared" si="67"/>
        <v>0</v>
      </c>
      <c r="L246" s="150">
        <f t="shared" si="67"/>
        <v>0</v>
      </c>
      <c r="M246" s="150">
        <f t="shared" si="67"/>
        <v>0</v>
      </c>
      <c r="N246" s="150">
        <f t="shared" si="67"/>
        <v>0</v>
      </c>
      <c r="O246" s="150">
        <f t="shared" si="67"/>
        <v>0</v>
      </c>
      <c r="P246" s="150">
        <f t="shared" si="67"/>
        <v>0</v>
      </c>
      <c r="Q246" s="150">
        <f t="shared" si="67"/>
        <v>0</v>
      </c>
      <c r="R246" s="150">
        <f t="shared" si="67"/>
        <v>0</v>
      </c>
      <c r="S246" s="150">
        <f t="shared" si="67"/>
        <v>0</v>
      </c>
      <c r="T246" s="315">
        <f t="shared" si="67"/>
        <v>0</v>
      </c>
      <c r="U246" s="315">
        <f t="shared" si="63"/>
        <v>0</v>
      </c>
    </row>
    <row r="247" spans="2:39" outlineLevel="2">
      <c r="B247" s="191" t="s">
        <v>153</v>
      </c>
      <c r="C247" s="150"/>
      <c r="D247" s="150"/>
      <c r="E247" s="150"/>
      <c r="F247" s="150"/>
      <c r="G247" s="150"/>
      <c r="H247" s="150"/>
      <c r="I247" s="150">
        <f t="shared" ref="I247:T247" si="68">ROUND(I200*$E171/$F171,0)</f>
        <v>0</v>
      </c>
      <c r="J247" s="150">
        <f t="shared" si="68"/>
        <v>0</v>
      </c>
      <c r="K247" s="150">
        <f t="shared" si="68"/>
        <v>0</v>
      </c>
      <c r="L247" s="150">
        <f t="shared" si="68"/>
        <v>0</v>
      </c>
      <c r="M247" s="150">
        <f t="shared" si="68"/>
        <v>0</v>
      </c>
      <c r="N247" s="150">
        <f t="shared" si="68"/>
        <v>0</v>
      </c>
      <c r="O247" s="150">
        <f t="shared" si="68"/>
        <v>0</v>
      </c>
      <c r="P247" s="150">
        <f t="shared" si="68"/>
        <v>0</v>
      </c>
      <c r="Q247" s="150">
        <f t="shared" si="68"/>
        <v>0</v>
      </c>
      <c r="R247" s="150">
        <f t="shared" si="68"/>
        <v>0</v>
      </c>
      <c r="S247" s="150">
        <f t="shared" si="68"/>
        <v>0</v>
      </c>
      <c r="T247" s="315">
        <f t="shared" si="68"/>
        <v>0</v>
      </c>
      <c r="U247" s="315">
        <f t="shared" si="63"/>
        <v>0</v>
      </c>
    </row>
    <row r="248" spans="2:39" outlineLevel="1">
      <c r="B248" s="78"/>
      <c r="F248" s="72"/>
      <c r="I248" s="72"/>
    </row>
    <row r="249" spans="2:39" ht="15" outlineLevel="1">
      <c r="B249" s="77" t="s">
        <v>182</v>
      </c>
      <c r="C249" s="77"/>
      <c r="D249" s="77"/>
      <c r="E249" s="77"/>
      <c r="F249" s="77"/>
      <c r="G249" s="77"/>
      <c r="H249" s="77"/>
      <c r="I249" s="77"/>
      <c r="J249" s="77"/>
      <c r="K249" s="77"/>
      <c r="L249" s="77"/>
      <c r="M249" s="77"/>
      <c r="N249" s="77"/>
      <c r="O249" s="77"/>
      <c r="P249" s="77"/>
      <c r="Q249" s="77"/>
      <c r="R249" s="77"/>
      <c r="S249" s="77"/>
      <c r="T249" s="77"/>
      <c r="U249" s="77"/>
      <c r="V249" s="3"/>
      <c r="W249" s="3"/>
      <c r="X249" s="3"/>
      <c r="Y249" s="3"/>
      <c r="Z249" s="3"/>
      <c r="AA249" s="3"/>
      <c r="AB249" s="3"/>
      <c r="AC249" s="3"/>
      <c r="AD249" s="3"/>
      <c r="AE249" s="3"/>
      <c r="AF249" s="3"/>
      <c r="AG249" s="3"/>
      <c r="AH249" s="3"/>
      <c r="AI249" s="3"/>
      <c r="AJ249" s="3"/>
      <c r="AK249" s="3"/>
      <c r="AL249" s="3"/>
      <c r="AM249" s="3"/>
    </row>
    <row r="250" spans="2:39" ht="15" outlineLevel="2">
      <c r="B250" s="75" t="s">
        <v>162</v>
      </c>
      <c r="C250" s="75"/>
      <c r="D250" s="75"/>
      <c r="E250" s="75"/>
      <c r="F250" s="75"/>
      <c r="G250" s="75"/>
      <c r="H250" s="75"/>
      <c r="I250" s="75"/>
      <c r="J250" s="75"/>
      <c r="K250" s="75"/>
      <c r="L250" s="75"/>
      <c r="M250" s="75"/>
      <c r="N250" s="75"/>
      <c r="O250" s="75"/>
      <c r="P250" s="75"/>
      <c r="Q250" s="75"/>
      <c r="R250" s="75"/>
      <c r="S250" s="75"/>
      <c r="T250" s="75"/>
      <c r="U250" s="75"/>
      <c r="V250" s="3"/>
      <c r="W250" s="3"/>
      <c r="X250" s="3"/>
      <c r="Y250" s="3"/>
      <c r="Z250" s="3"/>
      <c r="AA250" s="3"/>
      <c r="AB250" s="3"/>
      <c r="AC250" s="3"/>
      <c r="AD250" s="3"/>
      <c r="AE250" s="3"/>
      <c r="AF250" s="3"/>
      <c r="AG250" s="3"/>
      <c r="AH250" s="3"/>
      <c r="AI250" s="3"/>
      <c r="AJ250" s="3"/>
      <c r="AK250" s="3"/>
      <c r="AL250" s="3"/>
      <c r="AM250" s="3"/>
    </row>
    <row r="251" spans="2:39" outlineLevel="2">
      <c r="B251" s="191" t="s">
        <v>149</v>
      </c>
      <c r="C251" s="150"/>
      <c r="D251" s="150"/>
      <c r="E251" s="150"/>
      <c r="F251" s="150"/>
      <c r="G251" s="150"/>
      <c r="H251" s="150"/>
      <c r="I251" s="150">
        <f t="shared" ref="I251:T251" si="69">ROUND(I204*$H120/$I120,0)</f>
        <v>2053</v>
      </c>
      <c r="J251" s="150">
        <f t="shared" si="69"/>
        <v>2094</v>
      </c>
      <c r="K251" s="150">
        <f t="shared" si="69"/>
        <v>2136</v>
      </c>
      <c r="L251" s="150">
        <f t="shared" si="69"/>
        <v>2178</v>
      </c>
      <c r="M251" s="150">
        <f t="shared" si="69"/>
        <v>2222</v>
      </c>
      <c r="N251" s="150">
        <f t="shared" si="69"/>
        <v>2266</v>
      </c>
      <c r="O251" s="150">
        <f t="shared" si="69"/>
        <v>2312</v>
      </c>
      <c r="P251" s="150">
        <f t="shared" si="69"/>
        <v>2358</v>
      </c>
      <c r="Q251" s="150">
        <f t="shared" si="69"/>
        <v>2405</v>
      </c>
      <c r="R251" s="150">
        <f t="shared" si="69"/>
        <v>2453</v>
      </c>
      <c r="S251" s="150">
        <f t="shared" si="69"/>
        <v>2502</v>
      </c>
      <c r="T251" s="315">
        <f t="shared" si="69"/>
        <v>2552</v>
      </c>
      <c r="U251" s="315">
        <f t="shared" ref="U251:U256" si="70">ROUND(U204*$H120/$I120,0)</f>
        <v>2603</v>
      </c>
    </row>
    <row r="252" spans="2:39" outlineLevel="2">
      <c r="B252" s="191" t="s">
        <v>150</v>
      </c>
      <c r="C252" s="150"/>
      <c r="D252" s="150"/>
      <c r="E252" s="150"/>
      <c r="F252" s="150"/>
      <c r="G252" s="150"/>
      <c r="H252" s="150"/>
      <c r="I252" s="150">
        <f t="shared" ref="I252:T252" si="71">ROUND(I205*$H121/$I121,0)</f>
        <v>117</v>
      </c>
      <c r="J252" s="150">
        <f t="shared" si="71"/>
        <v>120</v>
      </c>
      <c r="K252" s="150">
        <f t="shared" si="71"/>
        <v>122</v>
      </c>
      <c r="L252" s="150">
        <f t="shared" si="71"/>
        <v>125</v>
      </c>
      <c r="M252" s="150">
        <f t="shared" si="71"/>
        <v>127</v>
      </c>
      <c r="N252" s="150">
        <f t="shared" si="71"/>
        <v>130</v>
      </c>
      <c r="O252" s="150">
        <f t="shared" si="71"/>
        <v>132</v>
      </c>
      <c r="P252" s="150">
        <f t="shared" si="71"/>
        <v>135</v>
      </c>
      <c r="Q252" s="150">
        <f t="shared" si="71"/>
        <v>138</v>
      </c>
      <c r="R252" s="150">
        <f t="shared" si="71"/>
        <v>140</v>
      </c>
      <c r="S252" s="150">
        <f t="shared" si="71"/>
        <v>143</v>
      </c>
      <c r="T252" s="315">
        <f t="shared" si="71"/>
        <v>146</v>
      </c>
      <c r="U252" s="315">
        <f t="shared" si="70"/>
        <v>149</v>
      </c>
    </row>
    <row r="253" spans="2:39" outlineLevel="2">
      <c r="B253" s="191" t="s">
        <v>259</v>
      </c>
      <c r="C253" s="150"/>
      <c r="D253" s="150"/>
      <c r="E253" s="150"/>
      <c r="F253" s="150"/>
      <c r="G253" s="150"/>
      <c r="H253" s="150"/>
      <c r="I253" s="150">
        <f t="shared" ref="I253:T253" si="72">ROUND(I206*$H122/$I122,0)</f>
        <v>0</v>
      </c>
      <c r="J253" s="150">
        <f t="shared" si="72"/>
        <v>0</v>
      </c>
      <c r="K253" s="150">
        <f t="shared" si="72"/>
        <v>0</v>
      </c>
      <c r="L253" s="150">
        <f t="shared" si="72"/>
        <v>0</v>
      </c>
      <c r="M253" s="150">
        <f t="shared" si="72"/>
        <v>0</v>
      </c>
      <c r="N253" s="150">
        <f t="shared" si="72"/>
        <v>0</v>
      </c>
      <c r="O253" s="150">
        <f t="shared" si="72"/>
        <v>0</v>
      </c>
      <c r="P253" s="150">
        <f t="shared" si="72"/>
        <v>0</v>
      </c>
      <c r="Q253" s="150">
        <f t="shared" si="72"/>
        <v>0</v>
      </c>
      <c r="R253" s="150">
        <f t="shared" si="72"/>
        <v>0</v>
      </c>
      <c r="S253" s="150">
        <f t="shared" si="72"/>
        <v>0</v>
      </c>
      <c r="T253" s="315">
        <f t="shared" si="72"/>
        <v>0</v>
      </c>
      <c r="U253" s="315">
        <f t="shared" si="70"/>
        <v>0</v>
      </c>
    </row>
    <row r="254" spans="2:39" outlineLevel="2">
      <c r="B254" s="191" t="s">
        <v>263</v>
      </c>
      <c r="C254" s="150"/>
      <c r="D254" s="150"/>
      <c r="E254" s="150"/>
      <c r="F254" s="150"/>
      <c r="G254" s="150"/>
      <c r="H254" s="150"/>
      <c r="I254" s="150">
        <f t="shared" ref="I254:T254" si="73">ROUND(I207*$H123/$I123,0)</f>
        <v>191</v>
      </c>
      <c r="J254" s="150">
        <f t="shared" si="73"/>
        <v>195</v>
      </c>
      <c r="K254" s="150">
        <f t="shared" si="73"/>
        <v>199</v>
      </c>
      <c r="L254" s="150">
        <f t="shared" si="73"/>
        <v>203</v>
      </c>
      <c r="M254" s="150">
        <f t="shared" si="73"/>
        <v>207</v>
      </c>
      <c r="N254" s="150">
        <f t="shared" si="73"/>
        <v>211</v>
      </c>
      <c r="O254" s="150">
        <f t="shared" si="73"/>
        <v>215</v>
      </c>
      <c r="P254" s="150">
        <f t="shared" si="73"/>
        <v>220</v>
      </c>
      <c r="Q254" s="150">
        <f t="shared" si="73"/>
        <v>224</v>
      </c>
      <c r="R254" s="150">
        <f t="shared" si="73"/>
        <v>229</v>
      </c>
      <c r="S254" s="150">
        <f t="shared" si="73"/>
        <v>233</v>
      </c>
      <c r="T254" s="315">
        <f t="shared" si="73"/>
        <v>238</v>
      </c>
      <c r="U254" s="315">
        <f t="shared" si="70"/>
        <v>243</v>
      </c>
    </row>
    <row r="255" spans="2:39" outlineLevel="2">
      <c r="B255" s="191" t="s">
        <v>152</v>
      </c>
      <c r="C255" s="150"/>
      <c r="D255" s="150"/>
      <c r="E255" s="150"/>
      <c r="F255" s="150"/>
      <c r="G255" s="150"/>
      <c r="H255" s="150"/>
      <c r="I255" s="150">
        <f t="shared" ref="I255:T255" si="74">ROUND(I208*$H124/$I124,0)</f>
        <v>1264</v>
      </c>
      <c r="J255" s="150">
        <f t="shared" si="74"/>
        <v>1277</v>
      </c>
      <c r="K255" s="150">
        <f t="shared" si="74"/>
        <v>1290</v>
      </c>
      <c r="L255" s="150">
        <f t="shared" si="74"/>
        <v>1303</v>
      </c>
      <c r="M255" s="150">
        <f t="shared" si="74"/>
        <v>1316</v>
      </c>
      <c r="N255" s="150">
        <f t="shared" si="74"/>
        <v>1329</v>
      </c>
      <c r="O255" s="150">
        <f t="shared" si="74"/>
        <v>1342</v>
      </c>
      <c r="P255" s="150">
        <f t="shared" si="74"/>
        <v>1355</v>
      </c>
      <c r="Q255" s="150">
        <f t="shared" si="74"/>
        <v>1369</v>
      </c>
      <c r="R255" s="150">
        <f t="shared" si="74"/>
        <v>1383</v>
      </c>
      <c r="S255" s="150">
        <f t="shared" si="74"/>
        <v>1397</v>
      </c>
      <c r="T255" s="315">
        <f t="shared" si="74"/>
        <v>1411</v>
      </c>
      <c r="U255" s="315">
        <f t="shared" si="70"/>
        <v>1425</v>
      </c>
    </row>
    <row r="256" spans="2:39" outlineLevel="2">
      <c r="B256" s="191" t="s">
        <v>153</v>
      </c>
      <c r="C256" s="150"/>
      <c r="D256" s="150"/>
      <c r="E256" s="150"/>
      <c r="F256" s="150"/>
      <c r="G256" s="150"/>
      <c r="H256" s="150"/>
      <c r="I256" s="150">
        <f t="shared" ref="I256:T256" si="75">ROUND(I209*$H125/$I125,0)</f>
        <v>0</v>
      </c>
      <c r="J256" s="150">
        <f t="shared" si="75"/>
        <v>0</v>
      </c>
      <c r="K256" s="150">
        <f t="shared" si="75"/>
        <v>0</v>
      </c>
      <c r="L256" s="150">
        <f t="shared" si="75"/>
        <v>0</v>
      </c>
      <c r="M256" s="150">
        <f t="shared" si="75"/>
        <v>0</v>
      </c>
      <c r="N256" s="150">
        <f t="shared" si="75"/>
        <v>0</v>
      </c>
      <c r="O256" s="150">
        <f t="shared" si="75"/>
        <v>0</v>
      </c>
      <c r="P256" s="150">
        <f t="shared" si="75"/>
        <v>0</v>
      </c>
      <c r="Q256" s="150">
        <f t="shared" si="75"/>
        <v>0</v>
      </c>
      <c r="R256" s="150">
        <f t="shared" si="75"/>
        <v>0</v>
      </c>
      <c r="S256" s="150">
        <f t="shared" si="75"/>
        <v>0</v>
      </c>
      <c r="T256" s="315">
        <f t="shared" si="75"/>
        <v>0</v>
      </c>
      <c r="U256" s="315">
        <f t="shared" si="70"/>
        <v>0</v>
      </c>
    </row>
    <row r="257" spans="2:39" outlineLevel="2">
      <c r="B257" s="78"/>
    </row>
    <row r="258" spans="2:39" ht="15" outlineLevel="2">
      <c r="B258" s="75" t="s">
        <v>227</v>
      </c>
      <c r="C258" s="75"/>
      <c r="D258" s="75"/>
      <c r="E258" s="75"/>
      <c r="F258" s="75"/>
      <c r="G258" s="75"/>
      <c r="H258" s="75"/>
      <c r="I258" s="75"/>
      <c r="J258" s="75"/>
      <c r="K258" s="75"/>
      <c r="L258" s="75"/>
      <c r="M258" s="75"/>
      <c r="N258" s="75"/>
      <c r="O258" s="75"/>
      <c r="P258" s="75"/>
      <c r="Q258" s="75"/>
      <c r="R258" s="75"/>
      <c r="S258" s="75"/>
      <c r="T258" s="75"/>
      <c r="U258" s="75"/>
      <c r="V258" s="3"/>
      <c r="W258" s="3"/>
      <c r="X258" s="3"/>
      <c r="Y258" s="3"/>
      <c r="Z258" s="3"/>
      <c r="AA258" s="3"/>
      <c r="AB258" s="3"/>
      <c r="AC258" s="3"/>
      <c r="AD258" s="3"/>
      <c r="AE258" s="3"/>
      <c r="AF258" s="3"/>
      <c r="AG258" s="3"/>
      <c r="AH258" s="3"/>
      <c r="AI258" s="3"/>
      <c r="AJ258" s="3"/>
      <c r="AK258" s="3"/>
      <c r="AL258" s="3"/>
      <c r="AM258" s="3"/>
    </row>
    <row r="259" spans="2:39" outlineLevel="2">
      <c r="B259" s="191" t="s">
        <v>149</v>
      </c>
      <c r="C259" s="150"/>
      <c r="D259" s="150"/>
      <c r="E259" s="150"/>
      <c r="F259" s="150"/>
      <c r="G259" s="150"/>
      <c r="H259" s="150"/>
      <c r="I259" s="150">
        <f t="shared" ref="I259:T259" si="76">ROUND(I204*$H129/$I129,0)</f>
        <v>1097</v>
      </c>
      <c r="J259" s="150">
        <f t="shared" si="76"/>
        <v>1119</v>
      </c>
      <c r="K259" s="150">
        <f t="shared" si="76"/>
        <v>1141</v>
      </c>
      <c r="L259" s="150">
        <f t="shared" si="76"/>
        <v>1164</v>
      </c>
      <c r="M259" s="150">
        <f t="shared" si="76"/>
        <v>1188</v>
      </c>
      <c r="N259" s="150">
        <f t="shared" si="76"/>
        <v>1211</v>
      </c>
      <c r="O259" s="150">
        <f t="shared" si="76"/>
        <v>1236</v>
      </c>
      <c r="P259" s="150">
        <f t="shared" si="76"/>
        <v>1260</v>
      </c>
      <c r="Q259" s="150">
        <f t="shared" si="76"/>
        <v>1285</v>
      </c>
      <c r="R259" s="150">
        <f t="shared" si="76"/>
        <v>1311</v>
      </c>
      <c r="S259" s="150">
        <f t="shared" si="76"/>
        <v>1337</v>
      </c>
      <c r="T259" s="315">
        <f t="shared" si="76"/>
        <v>1364</v>
      </c>
      <c r="U259" s="315">
        <f t="shared" ref="U259:U264" si="77">ROUND(U204*$H129/$I129,0)</f>
        <v>1391</v>
      </c>
    </row>
    <row r="260" spans="2:39" outlineLevel="2">
      <c r="B260" s="191" t="s">
        <v>150</v>
      </c>
      <c r="C260" s="150"/>
      <c r="D260" s="150"/>
      <c r="E260" s="150"/>
      <c r="F260" s="150"/>
      <c r="G260" s="150"/>
      <c r="H260" s="150"/>
      <c r="I260" s="150">
        <f t="shared" ref="I260:T260" si="78">ROUND(I205*$H130/$I130,0)</f>
        <v>178</v>
      </c>
      <c r="J260" s="150">
        <f t="shared" si="78"/>
        <v>181</v>
      </c>
      <c r="K260" s="150">
        <f t="shared" si="78"/>
        <v>185</v>
      </c>
      <c r="L260" s="150">
        <f t="shared" si="78"/>
        <v>188</v>
      </c>
      <c r="M260" s="150">
        <f t="shared" si="78"/>
        <v>192</v>
      </c>
      <c r="N260" s="150">
        <f t="shared" si="78"/>
        <v>196</v>
      </c>
      <c r="O260" s="150">
        <f t="shared" si="78"/>
        <v>200</v>
      </c>
      <c r="P260" s="150">
        <f t="shared" si="78"/>
        <v>204</v>
      </c>
      <c r="Q260" s="150">
        <f t="shared" si="78"/>
        <v>208</v>
      </c>
      <c r="R260" s="150">
        <f t="shared" si="78"/>
        <v>212</v>
      </c>
      <c r="S260" s="150">
        <f t="shared" si="78"/>
        <v>216</v>
      </c>
      <c r="T260" s="315">
        <f t="shared" si="78"/>
        <v>221</v>
      </c>
      <c r="U260" s="315">
        <f t="shared" si="77"/>
        <v>225</v>
      </c>
    </row>
    <row r="261" spans="2:39" outlineLevel="2">
      <c r="B261" s="191" t="s">
        <v>259</v>
      </c>
      <c r="C261" s="150"/>
      <c r="D261" s="150"/>
      <c r="E261" s="150"/>
      <c r="F261" s="150"/>
      <c r="G261" s="150"/>
      <c r="H261" s="150"/>
      <c r="I261" s="150">
        <f t="shared" ref="I261:T261" si="79">ROUND(I206*$H131/$I131,0)</f>
        <v>0</v>
      </c>
      <c r="J261" s="150">
        <f t="shared" si="79"/>
        <v>0</v>
      </c>
      <c r="K261" s="150">
        <f t="shared" si="79"/>
        <v>0</v>
      </c>
      <c r="L261" s="150">
        <f t="shared" si="79"/>
        <v>0</v>
      </c>
      <c r="M261" s="150">
        <f t="shared" si="79"/>
        <v>0</v>
      </c>
      <c r="N261" s="150">
        <f t="shared" si="79"/>
        <v>0</v>
      </c>
      <c r="O261" s="150">
        <f t="shared" si="79"/>
        <v>0</v>
      </c>
      <c r="P261" s="150">
        <f t="shared" si="79"/>
        <v>0</v>
      </c>
      <c r="Q261" s="150">
        <f t="shared" si="79"/>
        <v>0</v>
      </c>
      <c r="R261" s="150">
        <f t="shared" si="79"/>
        <v>0</v>
      </c>
      <c r="S261" s="150">
        <f t="shared" si="79"/>
        <v>0</v>
      </c>
      <c r="T261" s="315">
        <f t="shared" si="79"/>
        <v>0</v>
      </c>
      <c r="U261" s="315">
        <f t="shared" si="77"/>
        <v>0</v>
      </c>
    </row>
    <row r="262" spans="2:39" outlineLevel="2">
      <c r="B262" s="191" t="s">
        <v>263</v>
      </c>
      <c r="C262" s="150"/>
      <c r="D262" s="150"/>
      <c r="E262" s="150"/>
      <c r="F262" s="150"/>
      <c r="G262" s="150"/>
      <c r="H262" s="150"/>
      <c r="I262" s="150">
        <f t="shared" ref="I262:T262" si="80">ROUND(I207*$H132/$I132,0)</f>
        <v>187</v>
      </c>
      <c r="J262" s="150">
        <f t="shared" si="80"/>
        <v>191</v>
      </c>
      <c r="K262" s="150">
        <f t="shared" si="80"/>
        <v>195</v>
      </c>
      <c r="L262" s="150">
        <f t="shared" si="80"/>
        <v>199</v>
      </c>
      <c r="M262" s="150">
        <f t="shared" si="80"/>
        <v>203</v>
      </c>
      <c r="N262" s="150">
        <f t="shared" si="80"/>
        <v>207</v>
      </c>
      <c r="O262" s="150">
        <f t="shared" si="80"/>
        <v>211</v>
      </c>
      <c r="P262" s="150">
        <f t="shared" si="80"/>
        <v>215</v>
      </c>
      <c r="Q262" s="150">
        <f t="shared" si="80"/>
        <v>219</v>
      </c>
      <c r="R262" s="150">
        <f t="shared" si="80"/>
        <v>224</v>
      </c>
      <c r="S262" s="150">
        <f t="shared" si="80"/>
        <v>228</v>
      </c>
      <c r="T262" s="315">
        <f t="shared" si="80"/>
        <v>233</v>
      </c>
      <c r="U262" s="315">
        <f t="shared" si="77"/>
        <v>237</v>
      </c>
    </row>
    <row r="263" spans="2:39" outlineLevel="2">
      <c r="B263" s="191" t="s">
        <v>152</v>
      </c>
      <c r="C263" s="150"/>
      <c r="D263" s="150"/>
      <c r="E263" s="150"/>
      <c r="F263" s="150"/>
      <c r="G263" s="150"/>
      <c r="H263" s="150"/>
      <c r="I263" s="150">
        <f t="shared" ref="I263:T263" si="81">ROUND(I208*$H133/$I133,0)</f>
        <v>714</v>
      </c>
      <c r="J263" s="150">
        <f t="shared" si="81"/>
        <v>721</v>
      </c>
      <c r="K263" s="150">
        <f t="shared" si="81"/>
        <v>728</v>
      </c>
      <c r="L263" s="150">
        <f t="shared" si="81"/>
        <v>736</v>
      </c>
      <c r="M263" s="150">
        <f t="shared" si="81"/>
        <v>743</v>
      </c>
      <c r="N263" s="150">
        <f t="shared" si="81"/>
        <v>750</v>
      </c>
      <c r="O263" s="150">
        <f t="shared" si="81"/>
        <v>758</v>
      </c>
      <c r="P263" s="150">
        <f t="shared" si="81"/>
        <v>765</v>
      </c>
      <c r="Q263" s="150">
        <f t="shared" si="81"/>
        <v>773</v>
      </c>
      <c r="R263" s="150">
        <f t="shared" si="81"/>
        <v>781</v>
      </c>
      <c r="S263" s="150">
        <f t="shared" si="81"/>
        <v>789</v>
      </c>
      <c r="T263" s="315">
        <f t="shared" si="81"/>
        <v>797</v>
      </c>
      <c r="U263" s="315">
        <f t="shared" si="77"/>
        <v>805</v>
      </c>
    </row>
    <row r="264" spans="2:39" outlineLevel="2">
      <c r="B264" s="191" t="s">
        <v>153</v>
      </c>
      <c r="C264" s="150"/>
      <c r="D264" s="150"/>
      <c r="E264" s="150"/>
      <c r="F264" s="150"/>
      <c r="G264" s="150"/>
      <c r="H264" s="150"/>
      <c r="I264" s="150">
        <f t="shared" ref="I264:T264" si="82">ROUND(I209*$H134/$I134,0)</f>
        <v>0</v>
      </c>
      <c r="J264" s="150">
        <f t="shared" si="82"/>
        <v>0</v>
      </c>
      <c r="K264" s="150">
        <f t="shared" si="82"/>
        <v>0</v>
      </c>
      <c r="L264" s="150">
        <f t="shared" si="82"/>
        <v>0</v>
      </c>
      <c r="M264" s="150">
        <f t="shared" si="82"/>
        <v>0</v>
      </c>
      <c r="N264" s="150">
        <f t="shared" si="82"/>
        <v>0</v>
      </c>
      <c r="O264" s="150">
        <f t="shared" si="82"/>
        <v>0</v>
      </c>
      <c r="P264" s="150">
        <f t="shared" si="82"/>
        <v>0</v>
      </c>
      <c r="Q264" s="150">
        <f t="shared" si="82"/>
        <v>0</v>
      </c>
      <c r="R264" s="150">
        <f t="shared" si="82"/>
        <v>0</v>
      </c>
      <c r="S264" s="150">
        <f t="shared" si="82"/>
        <v>0</v>
      </c>
      <c r="T264" s="315">
        <f t="shared" si="82"/>
        <v>0</v>
      </c>
      <c r="U264" s="315">
        <f t="shared" si="77"/>
        <v>0</v>
      </c>
    </row>
    <row r="265" spans="2:39" outlineLevel="2">
      <c r="B265" s="78"/>
    </row>
    <row r="266" spans="2:39" ht="15" outlineLevel="2">
      <c r="B266" s="75" t="s">
        <v>164</v>
      </c>
      <c r="C266" s="75"/>
      <c r="D266" s="75"/>
      <c r="E266" s="75"/>
      <c r="F266" s="75"/>
      <c r="G266" s="75"/>
      <c r="H266" s="75"/>
      <c r="I266" s="75"/>
      <c r="J266" s="75"/>
      <c r="K266" s="75"/>
      <c r="L266" s="75"/>
      <c r="M266" s="75"/>
      <c r="N266" s="75"/>
      <c r="O266" s="75"/>
      <c r="P266" s="75"/>
      <c r="Q266" s="75"/>
      <c r="R266" s="75"/>
      <c r="S266" s="75"/>
      <c r="T266" s="75"/>
      <c r="U266" s="75"/>
      <c r="V266" s="3"/>
      <c r="W266" s="3"/>
      <c r="X266" s="3"/>
      <c r="Y266" s="3"/>
      <c r="Z266" s="3"/>
      <c r="AA266" s="3"/>
      <c r="AB266" s="3"/>
      <c r="AC266" s="3"/>
      <c r="AD266" s="3"/>
      <c r="AE266" s="3"/>
      <c r="AF266" s="3"/>
      <c r="AG266" s="3"/>
      <c r="AH266" s="3"/>
      <c r="AI266" s="3"/>
      <c r="AJ266" s="3"/>
      <c r="AK266" s="3"/>
      <c r="AL266" s="3"/>
      <c r="AM266" s="3"/>
    </row>
    <row r="267" spans="2:39" outlineLevel="2">
      <c r="B267" s="191" t="s">
        <v>149</v>
      </c>
      <c r="C267" s="150"/>
      <c r="D267" s="150"/>
      <c r="E267" s="150"/>
      <c r="F267" s="150"/>
      <c r="G267" s="150"/>
      <c r="H267" s="150"/>
      <c r="I267" s="150">
        <f t="shared" ref="I267:T267" si="83">ROUND(I204*$H138/$I138,0)</f>
        <v>255</v>
      </c>
      <c r="J267" s="150">
        <f t="shared" si="83"/>
        <v>260</v>
      </c>
      <c r="K267" s="150">
        <f t="shared" si="83"/>
        <v>265</v>
      </c>
      <c r="L267" s="150">
        <f t="shared" si="83"/>
        <v>270</v>
      </c>
      <c r="M267" s="150">
        <f t="shared" si="83"/>
        <v>276</v>
      </c>
      <c r="N267" s="150">
        <f t="shared" si="83"/>
        <v>281</v>
      </c>
      <c r="O267" s="150">
        <f t="shared" si="83"/>
        <v>287</v>
      </c>
      <c r="P267" s="150">
        <f t="shared" si="83"/>
        <v>293</v>
      </c>
      <c r="Q267" s="150">
        <f t="shared" si="83"/>
        <v>299</v>
      </c>
      <c r="R267" s="150">
        <f t="shared" si="83"/>
        <v>305</v>
      </c>
      <c r="S267" s="150">
        <f t="shared" si="83"/>
        <v>311</v>
      </c>
      <c r="T267" s="315">
        <f t="shared" si="83"/>
        <v>317</v>
      </c>
      <c r="U267" s="315">
        <f t="shared" ref="U267:U272" si="84">ROUND(U204*$H138/$I138,0)</f>
        <v>323</v>
      </c>
    </row>
    <row r="268" spans="2:39" outlineLevel="2">
      <c r="B268" s="191" t="s">
        <v>150</v>
      </c>
      <c r="C268" s="150"/>
      <c r="D268" s="150"/>
      <c r="E268" s="150"/>
      <c r="F268" s="150"/>
      <c r="G268" s="150"/>
      <c r="H268" s="150"/>
      <c r="I268" s="150">
        <f t="shared" ref="I268:T268" si="85">ROUND(I205*$H139/$I139,0)</f>
        <v>2</v>
      </c>
      <c r="J268" s="150">
        <f t="shared" si="85"/>
        <v>2</v>
      </c>
      <c r="K268" s="150">
        <f t="shared" si="85"/>
        <v>2</v>
      </c>
      <c r="L268" s="150">
        <f t="shared" si="85"/>
        <v>2</v>
      </c>
      <c r="M268" s="150">
        <f t="shared" si="85"/>
        <v>2</v>
      </c>
      <c r="N268" s="150">
        <f t="shared" si="85"/>
        <v>2</v>
      </c>
      <c r="O268" s="150">
        <f t="shared" si="85"/>
        <v>2</v>
      </c>
      <c r="P268" s="150">
        <f t="shared" si="85"/>
        <v>2</v>
      </c>
      <c r="Q268" s="150">
        <f t="shared" si="85"/>
        <v>2</v>
      </c>
      <c r="R268" s="150">
        <f t="shared" si="85"/>
        <v>2</v>
      </c>
      <c r="S268" s="150">
        <f t="shared" si="85"/>
        <v>2</v>
      </c>
      <c r="T268" s="315">
        <f t="shared" si="85"/>
        <v>2</v>
      </c>
      <c r="U268" s="315">
        <f t="shared" si="84"/>
        <v>2</v>
      </c>
    </row>
    <row r="269" spans="2:39" outlineLevel="2">
      <c r="B269" s="191" t="s">
        <v>259</v>
      </c>
      <c r="C269" s="150"/>
      <c r="D269" s="150"/>
      <c r="E269" s="150"/>
      <c r="F269" s="150"/>
      <c r="G269" s="150"/>
      <c r="H269" s="150"/>
      <c r="I269" s="150">
        <f t="shared" ref="I269:T269" si="86">ROUND(I206*$H140/$I140,0)</f>
        <v>0</v>
      </c>
      <c r="J269" s="150">
        <f t="shared" si="86"/>
        <v>0</v>
      </c>
      <c r="K269" s="150">
        <f t="shared" si="86"/>
        <v>0</v>
      </c>
      <c r="L269" s="150">
        <f t="shared" si="86"/>
        <v>0</v>
      </c>
      <c r="M269" s="150">
        <f t="shared" si="86"/>
        <v>0</v>
      </c>
      <c r="N269" s="150">
        <f t="shared" si="86"/>
        <v>0</v>
      </c>
      <c r="O269" s="150">
        <f t="shared" si="86"/>
        <v>0</v>
      </c>
      <c r="P269" s="150">
        <f t="shared" si="86"/>
        <v>0</v>
      </c>
      <c r="Q269" s="150">
        <f t="shared" si="86"/>
        <v>0</v>
      </c>
      <c r="R269" s="150">
        <f t="shared" si="86"/>
        <v>0</v>
      </c>
      <c r="S269" s="150">
        <f t="shared" si="86"/>
        <v>0</v>
      </c>
      <c r="T269" s="315">
        <f t="shared" si="86"/>
        <v>0</v>
      </c>
      <c r="U269" s="315">
        <f t="shared" si="84"/>
        <v>0</v>
      </c>
    </row>
    <row r="270" spans="2:39" outlineLevel="2">
      <c r="B270" s="191" t="s">
        <v>263</v>
      </c>
      <c r="C270" s="150"/>
      <c r="D270" s="150"/>
      <c r="E270" s="150"/>
      <c r="F270" s="150"/>
      <c r="G270" s="150"/>
      <c r="H270" s="150"/>
      <c r="I270" s="150">
        <f t="shared" ref="I270:T270" si="87">ROUND(I207*$H141/$I141,0)</f>
        <v>1</v>
      </c>
      <c r="J270" s="150">
        <f t="shared" si="87"/>
        <v>1</v>
      </c>
      <c r="K270" s="150">
        <f t="shared" si="87"/>
        <v>1</v>
      </c>
      <c r="L270" s="150">
        <f t="shared" si="87"/>
        <v>1</v>
      </c>
      <c r="M270" s="150">
        <f t="shared" si="87"/>
        <v>1</v>
      </c>
      <c r="N270" s="150">
        <f t="shared" si="87"/>
        <v>1</v>
      </c>
      <c r="O270" s="150">
        <f t="shared" si="87"/>
        <v>1</v>
      </c>
      <c r="P270" s="150">
        <f t="shared" si="87"/>
        <v>1</v>
      </c>
      <c r="Q270" s="150">
        <f t="shared" si="87"/>
        <v>1</v>
      </c>
      <c r="R270" s="150">
        <f t="shared" si="87"/>
        <v>1</v>
      </c>
      <c r="S270" s="150">
        <f t="shared" si="87"/>
        <v>1</v>
      </c>
      <c r="T270" s="315">
        <f t="shared" si="87"/>
        <v>1</v>
      </c>
      <c r="U270" s="315">
        <f t="shared" si="84"/>
        <v>2</v>
      </c>
    </row>
    <row r="271" spans="2:39" outlineLevel="2">
      <c r="B271" s="191" t="s">
        <v>152</v>
      </c>
      <c r="C271" s="150"/>
      <c r="D271" s="150"/>
      <c r="E271" s="150"/>
      <c r="F271" s="150"/>
      <c r="G271" s="150"/>
      <c r="H271" s="150"/>
      <c r="I271" s="150">
        <f t="shared" ref="I271:T271" si="88">ROUND(I208*$H142/$I142,0)</f>
        <v>2</v>
      </c>
      <c r="J271" s="150">
        <f t="shared" si="88"/>
        <v>2</v>
      </c>
      <c r="K271" s="150">
        <f t="shared" si="88"/>
        <v>2</v>
      </c>
      <c r="L271" s="150">
        <f t="shared" si="88"/>
        <v>2</v>
      </c>
      <c r="M271" s="150">
        <f t="shared" si="88"/>
        <v>2</v>
      </c>
      <c r="N271" s="150">
        <f t="shared" si="88"/>
        <v>2</v>
      </c>
      <c r="O271" s="150">
        <f t="shared" si="88"/>
        <v>2</v>
      </c>
      <c r="P271" s="150">
        <f t="shared" si="88"/>
        <v>2</v>
      </c>
      <c r="Q271" s="150">
        <f t="shared" si="88"/>
        <v>2</v>
      </c>
      <c r="R271" s="150">
        <f t="shared" si="88"/>
        <v>2</v>
      </c>
      <c r="S271" s="150">
        <f t="shared" si="88"/>
        <v>2</v>
      </c>
      <c r="T271" s="315">
        <f t="shared" si="88"/>
        <v>2</v>
      </c>
      <c r="U271" s="315">
        <f t="shared" si="84"/>
        <v>2</v>
      </c>
    </row>
    <row r="272" spans="2:39" outlineLevel="2">
      <c r="B272" s="191" t="s">
        <v>153</v>
      </c>
      <c r="C272" s="150"/>
      <c r="D272" s="150"/>
      <c r="E272" s="150"/>
      <c r="F272" s="150"/>
      <c r="G272" s="150"/>
      <c r="H272" s="150"/>
      <c r="I272" s="150">
        <f t="shared" ref="I272:T272" si="89">ROUND(I209*$H143/$I143,0)</f>
        <v>0</v>
      </c>
      <c r="J272" s="150">
        <f t="shared" si="89"/>
        <v>0</v>
      </c>
      <c r="K272" s="150">
        <f t="shared" si="89"/>
        <v>0</v>
      </c>
      <c r="L272" s="150">
        <f t="shared" si="89"/>
        <v>0</v>
      </c>
      <c r="M272" s="150">
        <f t="shared" si="89"/>
        <v>0</v>
      </c>
      <c r="N272" s="150">
        <f t="shared" si="89"/>
        <v>0</v>
      </c>
      <c r="O272" s="150">
        <f t="shared" si="89"/>
        <v>0</v>
      </c>
      <c r="P272" s="150">
        <f t="shared" si="89"/>
        <v>0</v>
      </c>
      <c r="Q272" s="150">
        <f t="shared" si="89"/>
        <v>0</v>
      </c>
      <c r="R272" s="150">
        <f t="shared" si="89"/>
        <v>0</v>
      </c>
      <c r="S272" s="150">
        <f t="shared" si="89"/>
        <v>0</v>
      </c>
      <c r="T272" s="315">
        <f t="shared" si="89"/>
        <v>0</v>
      </c>
      <c r="U272" s="315">
        <f t="shared" si="84"/>
        <v>0</v>
      </c>
    </row>
    <row r="273" spans="2:39" outlineLevel="2">
      <c r="B273" s="78"/>
    </row>
    <row r="274" spans="2:39" ht="15" outlineLevel="2">
      <c r="B274" s="75" t="s">
        <v>181</v>
      </c>
      <c r="C274" s="75"/>
      <c r="D274" s="75"/>
      <c r="E274" s="75"/>
      <c r="F274" s="75"/>
      <c r="G274" s="75"/>
      <c r="H274" s="75"/>
      <c r="I274" s="75"/>
      <c r="J274" s="75"/>
      <c r="K274" s="75"/>
      <c r="L274" s="75"/>
      <c r="M274" s="75"/>
      <c r="N274" s="75"/>
      <c r="O274" s="75"/>
      <c r="P274" s="75"/>
      <c r="Q274" s="75"/>
      <c r="R274" s="75"/>
      <c r="S274" s="75"/>
      <c r="T274" s="75"/>
      <c r="U274" s="75"/>
      <c r="V274" s="3"/>
      <c r="W274" s="3"/>
      <c r="X274" s="3"/>
      <c r="Y274" s="3"/>
      <c r="Z274" s="3"/>
      <c r="AA274" s="3"/>
      <c r="AB274" s="3"/>
      <c r="AC274" s="3"/>
      <c r="AD274" s="3"/>
      <c r="AE274" s="3"/>
      <c r="AF274" s="3"/>
      <c r="AG274" s="3"/>
      <c r="AH274" s="3"/>
      <c r="AI274" s="3"/>
      <c r="AJ274" s="3"/>
      <c r="AK274" s="3"/>
      <c r="AL274" s="3"/>
      <c r="AM274" s="3"/>
    </row>
    <row r="275" spans="2:39" outlineLevel="2">
      <c r="B275" s="191" t="s">
        <v>149</v>
      </c>
      <c r="C275" s="150"/>
      <c r="D275" s="150"/>
      <c r="E275" s="150"/>
      <c r="F275" s="150"/>
      <c r="G275" s="150"/>
      <c r="H275" s="150"/>
      <c r="I275" s="150">
        <f t="shared" ref="I275:T275" si="90">ROUND(I204*$H147/$I147,0)</f>
        <v>53</v>
      </c>
      <c r="J275" s="150">
        <f t="shared" si="90"/>
        <v>54</v>
      </c>
      <c r="K275" s="150">
        <f t="shared" si="90"/>
        <v>55</v>
      </c>
      <c r="L275" s="150">
        <f t="shared" si="90"/>
        <v>56</v>
      </c>
      <c r="M275" s="150">
        <f t="shared" si="90"/>
        <v>57</v>
      </c>
      <c r="N275" s="150">
        <f t="shared" si="90"/>
        <v>59</v>
      </c>
      <c r="O275" s="150">
        <f t="shared" si="90"/>
        <v>60</v>
      </c>
      <c r="P275" s="150">
        <f t="shared" si="90"/>
        <v>61</v>
      </c>
      <c r="Q275" s="150">
        <f t="shared" si="90"/>
        <v>62</v>
      </c>
      <c r="R275" s="150">
        <f t="shared" si="90"/>
        <v>63</v>
      </c>
      <c r="S275" s="150">
        <f t="shared" si="90"/>
        <v>65</v>
      </c>
      <c r="T275" s="315">
        <f t="shared" si="90"/>
        <v>66</v>
      </c>
      <c r="U275" s="315">
        <f>ROUND(U204*$H147/$I147,0)</f>
        <v>67</v>
      </c>
    </row>
    <row r="276" spans="2:39" outlineLevel="2">
      <c r="B276" s="78"/>
    </row>
    <row r="277" spans="2:39" ht="15" outlineLevel="2">
      <c r="B277" s="75" t="s">
        <v>297</v>
      </c>
      <c r="C277" s="75"/>
      <c r="D277" s="75"/>
      <c r="E277" s="75"/>
      <c r="F277" s="75"/>
      <c r="G277" s="75"/>
      <c r="H277" s="75"/>
      <c r="I277" s="75"/>
      <c r="J277" s="75"/>
      <c r="K277" s="75"/>
      <c r="L277" s="75"/>
      <c r="M277" s="75"/>
      <c r="N277" s="75"/>
      <c r="O277" s="75"/>
      <c r="P277" s="75"/>
      <c r="Q277" s="75"/>
      <c r="R277" s="75"/>
      <c r="S277" s="75"/>
      <c r="T277" s="75"/>
      <c r="U277" s="75"/>
      <c r="V277" s="3"/>
      <c r="W277" s="3"/>
      <c r="X277" s="3"/>
      <c r="Y277" s="3"/>
      <c r="Z277" s="3"/>
      <c r="AA277" s="3"/>
      <c r="AB277" s="3"/>
      <c r="AC277" s="3"/>
      <c r="AD277" s="3"/>
      <c r="AE277" s="3"/>
      <c r="AF277" s="3"/>
      <c r="AG277" s="3"/>
      <c r="AH277" s="3"/>
      <c r="AI277" s="3"/>
      <c r="AJ277" s="3"/>
      <c r="AK277" s="3"/>
      <c r="AL277" s="3"/>
      <c r="AM277" s="3"/>
    </row>
    <row r="278" spans="2:39" outlineLevel="2">
      <c r="B278" s="191" t="s">
        <v>149</v>
      </c>
      <c r="C278" s="150"/>
      <c r="D278" s="150"/>
      <c r="E278" s="150"/>
      <c r="F278" s="150"/>
      <c r="G278" s="150"/>
      <c r="H278" s="150"/>
      <c r="I278" s="150">
        <f t="shared" ref="I278:T278" si="91">ROUND(I204*$H150/$I150,0)</f>
        <v>0</v>
      </c>
      <c r="J278" s="150">
        <f t="shared" si="91"/>
        <v>0</v>
      </c>
      <c r="K278" s="150">
        <f t="shared" si="91"/>
        <v>0</v>
      </c>
      <c r="L278" s="150">
        <f t="shared" si="91"/>
        <v>0</v>
      </c>
      <c r="M278" s="150">
        <f t="shared" si="91"/>
        <v>0</v>
      </c>
      <c r="N278" s="150">
        <f t="shared" si="91"/>
        <v>0</v>
      </c>
      <c r="O278" s="150">
        <f t="shared" si="91"/>
        <v>0</v>
      </c>
      <c r="P278" s="150">
        <f t="shared" si="91"/>
        <v>0</v>
      </c>
      <c r="Q278" s="150">
        <f t="shared" si="91"/>
        <v>0</v>
      </c>
      <c r="R278" s="150">
        <f t="shared" si="91"/>
        <v>0</v>
      </c>
      <c r="S278" s="150">
        <f t="shared" si="91"/>
        <v>0</v>
      </c>
      <c r="T278" s="315">
        <f t="shared" si="91"/>
        <v>0</v>
      </c>
      <c r="U278" s="315">
        <f>ROUND(U204*$H150/$I150,0)</f>
        <v>0</v>
      </c>
    </row>
    <row r="279" spans="2:39" outlineLevel="2">
      <c r="B279" s="78"/>
    </row>
    <row r="280" spans="2:39" ht="15" outlineLevel="2">
      <c r="B280" s="75" t="s">
        <v>266</v>
      </c>
      <c r="C280" s="75"/>
      <c r="D280" s="75"/>
      <c r="E280" s="75"/>
      <c r="F280" s="75"/>
      <c r="G280" s="75"/>
      <c r="H280" s="75"/>
      <c r="I280" s="75"/>
      <c r="J280" s="75"/>
      <c r="K280" s="75"/>
      <c r="L280" s="75"/>
      <c r="M280" s="75"/>
      <c r="N280" s="75"/>
      <c r="O280" s="75"/>
      <c r="P280" s="75"/>
      <c r="Q280" s="75"/>
      <c r="R280" s="75"/>
      <c r="S280" s="75"/>
      <c r="T280" s="75"/>
      <c r="U280" s="75"/>
      <c r="V280" s="3"/>
      <c r="W280" s="3"/>
      <c r="X280" s="3"/>
      <c r="Y280" s="3"/>
      <c r="Z280" s="3"/>
      <c r="AA280" s="3"/>
      <c r="AB280" s="3"/>
      <c r="AC280" s="3"/>
      <c r="AD280" s="3"/>
      <c r="AE280" s="3"/>
      <c r="AF280" s="3"/>
      <c r="AG280" s="3"/>
      <c r="AH280" s="3"/>
      <c r="AI280" s="3"/>
      <c r="AJ280" s="3"/>
      <c r="AK280" s="3"/>
      <c r="AL280" s="3"/>
      <c r="AM280" s="3"/>
    </row>
    <row r="281" spans="2:39" outlineLevel="2">
      <c r="B281" s="191" t="s">
        <v>150</v>
      </c>
      <c r="C281" s="150"/>
      <c r="D281" s="150"/>
      <c r="E281" s="150"/>
      <c r="F281" s="150"/>
      <c r="G281" s="150"/>
      <c r="H281" s="150"/>
      <c r="I281" s="150">
        <f t="shared" ref="I281:T281" si="92">ROUND(I205*$H159/$I159,0)</f>
        <v>0</v>
      </c>
      <c r="J281" s="150">
        <f t="shared" si="92"/>
        <v>0</v>
      </c>
      <c r="K281" s="150">
        <f t="shared" si="92"/>
        <v>0</v>
      </c>
      <c r="L281" s="150">
        <f t="shared" si="92"/>
        <v>0</v>
      </c>
      <c r="M281" s="150">
        <f t="shared" si="92"/>
        <v>0</v>
      </c>
      <c r="N281" s="150">
        <f t="shared" si="92"/>
        <v>0</v>
      </c>
      <c r="O281" s="150">
        <f t="shared" si="92"/>
        <v>0</v>
      </c>
      <c r="P281" s="150">
        <f t="shared" si="92"/>
        <v>0</v>
      </c>
      <c r="Q281" s="150">
        <f t="shared" si="92"/>
        <v>0</v>
      </c>
      <c r="R281" s="150">
        <f t="shared" si="92"/>
        <v>0</v>
      </c>
      <c r="S281" s="150">
        <f t="shared" si="92"/>
        <v>0</v>
      </c>
      <c r="T281" s="315">
        <f t="shared" si="92"/>
        <v>0</v>
      </c>
      <c r="U281" s="315">
        <f>ROUND(U205*$H159/$I159,0)</f>
        <v>0</v>
      </c>
    </row>
    <row r="282" spans="2:39" outlineLevel="2">
      <c r="B282" s="191" t="s">
        <v>259</v>
      </c>
      <c r="C282" s="150"/>
      <c r="D282" s="150"/>
      <c r="E282" s="150"/>
      <c r="F282" s="150"/>
      <c r="G282" s="150"/>
      <c r="H282" s="150"/>
      <c r="I282" s="150">
        <f t="shared" ref="I282:T282" si="93">ROUND(I206*$H160/$I160,0)</f>
        <v>0</v>
      </c>
      <c r="J282" s="150">
        <f t="shared" si="93"/>
        <v>0</v>
      </c>
      <c r="K282" s="150">
        <f t="shared" si="93"/>
        <v>0</v>
      </c>
      <c r="L282" s="150">
        <f t="shared" si="93"/>
        <v>0</v>
      </c>
      <c r="M282" s="150">
        <f t="shared" si="93"/>
        <v>0</v>
      </c>
      <c r="N282" s="150">
        <f t="shared" si="93"/>
        <v>0</v>
      </c>
      <c r="O282" s="150">
        <f t="shared" si="93"/>
        <v>0</v>
      </c>
      <c r="P282" s="150">
        <f t="shared" si="93"/>
        <v>0</v>
      </c>
      <c r="Q282" s="150">
        <f t="shared" si="93"/>
        <v>0</v>
      </c>
      <c r="R282" s="150">
        <f t="shared" si="93"/>
        <v>0</v>
      </c>
      <c r="S282" s="150">
        <f t="shared" si="93"/>
        <v>0</v>
      </c>
      <c r="T282" s="315">
        <f t="shared" si="93"/>
        <v>0</v>
      </c>
      <c r="U282" s="315">
        <f>ROUND(U206*$H160/$I160,0)</f>
        <v>0</v>
      </c>
    </row>
    <row r="283" spans="2:39" outlineLevel="2">
      <c r="B283" s="191" t="s">
        <v>152</v>
      </c>
      <c r="C283" s="150"/>
      <c r="D283" s="150"/>
      <c r="E283" s="150"/>
      <c r="F283" s="150"/>
      <c r="G283" s="150"/>
      <c r="H283" s="150"/>
      <c r="I283" s="150">
        <f t="shared" ref="I283:T283" si="94">ROUND(I208*$H162/$I162,0)</f>
        <v>0</v>
      </c>
      <c r="J283" s="150">
        <f t="shared" si="94"/>
        <v>0</v>
      </c>
      <c r="K283" s="150">
        <f t="shared" si="94"/>
        <v>0</v>
      </c>
      <c r="L283" s="150">
        <f t="shared" si="94"/>
        <v>0</v>
      </c>
      <c r="M283" s="150">
        <f t="shared" si="94"/>
        <v>0</v>
      </c>
      <c r="N283" s="150">
        <f t="shared" si="94"/>
        <v>0</v>
      </c>
      <c r="O283" s="150">
        <f t="shared" si="94"/>
        <v>0</v>
      </c>
      <c r="P283" s="150">
        <f t="shared" si="94"/>
        <v>0</v>
      </c>
      <c r="Q283" s="150">
        <f t="shared" si="94"/>
        <v>0</v>
      </c>
      <c r="R283" s="150">
        <f t="shared" si="94"/>
        <v>0</v>
      </c>
      <c r="S283" s="150">
        <f t="shared" si="94"/>
        <v>0</v>
      </c>
      <c r="T283" s="315">
        <f t="shared" si="94"/>
        <v>0</v>
      </c>
      <c r="U283" s="315">
        <f>ROUND(U208*$H162/$I162,0)</f>
        <v>0</v>
      </c>
    </row>
    <row r="284" spans="2:39" outlineLevel="2">
      <c r="B284" s="78"/>
    </row>
    <row r="285" spans="2:39" outlineLevel="1">
      <c r="B285" s="78"/>
    </row>
    <row r="286" spans="2:39" ht="14.25" thickBot="1">
      <c r="B286" s="78"/>
    </row>
    <row r="287" spans="2:39" ht="15">
      <c r="B287" s="108" t="s">
        <v>183</v>
      </c>
      <c r="C287" s="109"/>
      <c r="D287" s="109"/>
      <c r="E287" s="109"/>
      <c r="F287" s="109"/>
      <c r="G287" s="109"/>
      <c r="H287" s="109"/>
      <c r="I287" s="109"/>
      <c r="J287" s="109"/>
      <c r="K287" s="109"/>
      <c r="L287" s="109"/>
      <c r="M287" s="109"/>
      <c r="N287" s="109"/>
      <c r="O287" s="109"/>
      <c r="P287" s="109"/>
      <c r="Q287" s="109"/>
      <c r="R287" s="109"/>
      <c r="S287" s="109"/>
      <c r="T287" s="109"/>
      <c r="U287" s="109"/>
      <c r="V287" s="322"/>
      <c r="W287" s="322"/>
      <c r="X287" s="322"/>
      <c r="Y287" s="322"/>
      <c r="Z287" s="322"/>
      <c r="AA287" s="322"/>
      <c r="AB287" s="322"/>
      <c r="AC287" s="322"/>
      <c r="AD287" s="322"/>
      <c r="AE287" s="322"/>
      <c r="AF287" s="322"/>
      <c r="AG287" s="322"/>
      <c r="AH287" s="322"/>
      <c r="AI287" s="322"/>
      <c r="AJ287" s="322"/>
      <c r="AK287" s="322"/>
      <c r="AL287" s="322"/>
      <c r="AM287" s="322"/>
    </row>
    <row r="288" spans="2:39" ht="15" outlineLevel="1">
      <c r="B288" s="110"/>
      <c r="C288" s="3"/>
      <c r="AM288" s="3"/>
    </row>
    <row r="289" spans="2:39" ht="15" outlineLevel="1">
      <c r="B289" s="111" t="s">
        <v>185</v>
      </c>
      <c r="C289" s="77"/>
      <c r="D289" s="77"/>
      <c r="E289" s="77"/>
      <c r="F289" s="77"/>
      <c r="G289" s="77"/>
      <c r="H289" s="77"/>
      <c r="I289" s="77"/>
      <c r="J289" s="77"/>
      <c r="K289" s="77"/>
      <c r="L289" s="77"/>
      <c r="M289" s="77"/>
      <c r="N289" s="77"/>
      <c r="O289" s="77"/>
      <c r="P289" s="77"/>
      <c r="Q289" s="77"/>
      <c r="R289" s="77"/>
      <c r="S289" s="77"/>
      <c r="T289" s="77"/>
      <c r="U289" s="77"/>
      <c r="V289" s="3"/>
      <c r="W289" s="3"/>
      <c r="X289" s="3"/>
      <c r="Y289" s="3"/>
      <c r="Z289" s="3"/>
      <c r="AA289" s="3"/>
      <c r="AB289" s="3"/>
      <c r="AC289" s="3"/>
      <c r="AD289" s="3"/>
      <c r="AE289" s="3"/>
      <c r="AF289" s="3"/>
      <c r="AG289" s="3"/>
      <c r="AH289" s="3"/>
      <c r="AI289" s="3"/>
      <c r="AJ289" s="3"/>
      <c r="AK289" s="3"/>
      <c r="AL289" s="3"/>
      <c r="AM289" s="3"/>
    </row>
    <row r="290" spans="2:39" outlineLevel="1">
      <c r="B290" s="234" t="s">
        <v>162</v>
      </c>
      <c r="C290" s="150"/>
      <c r="D290" s="150"/>
      <c r="E290" s="150"/>
      <c r="F290" s="209"/>
      <c r="G290" s="209"/>
      <c r="H290" s="209"/>
      <c r="I290" s="209">
        <f t="shared" ref="I290:T290" si="95">(I$2*SUMPRODUCT(I215:I220,I35:I40))/10^7</f>
        <v>84.115345000000005</v>
      </c>
      <c r="J290" s="209">
        <f t="shared" si="95"/>
        <v>93.526139999999998</v>
      </c>
      <c r="K290" s="209">
        <f t="shared" si="95"/>
        <v>99.842969999999994</v>
      </c>
      <c r="L290" s="209">
        <f t="shared" si="95"/>
        <v>104.982395</v>
      </c>
      <c r="M290" s="209">
        <f t="shared" si="95"/>
        <v>110.73771499999999</v>
      </c>
      <c r="N290" s="209">
        <f t="shared" si="95"/>
        <v>116.281335</v>
      </c>
      <c r="O290" s="209">
        <f t="shared" si="95"/>
        <v>123.187731</v>
      </c>
      <c r="P290" s="209">
        <f t="shared" si="95"/>
        <v>128.7597725</v>
      </c>
      <c r="Q290" s="209">
        <f t="shared" si="95"/>
        <v>135.56848249999999</v>
      </c>
      <c r="R290" s="209">
        <f t="shared" si="95"/>
        <v>143.16103000000001</v>
      </c>
      <c r="S290" s="209">
        <f t="shared" si="95"/>
        <v>150.460587</v>
      </c>
      <c r="T290" s="313">
        <f t="shared" si="95"/>
        <v>157.97510249999999</v>
      </c>
      <c r="U290" s="313">
        <f>(U$2*SUMPRODUCT(U215:U220,U35:U40))/10^7</f>
        <v>7.7347535000000001</v>
      </c>
      <c r="V290" s="72"/>
      <c r="W290" s="72"/>
      <c r="X290" s="72"/>
      <c r="Y290" s="72"/>
      <c r="Z290" s="72"/>
      <c r="AA290" s="72"/>
      <c r="AB290" s="72"/>
      <c r="AC290" s="72"/>
      <c r="AD290" s="72"/>
      <c r="AE290" s="72"/>
      <c r="AF290" s="72"/>
      <c r="AG290" s="72"/>
      <c r="AH290" s="72"/>
      <c r="AI290" s="72"/>
      <c r="AJ290" s="72"/>
      <c r="AK290" s="72"/>
      <c r="AL290" s="72"/>
      <c r="AM290" s="233"/>
    </row>
    <row r="291" spans="2:39" outlineLevel="1">
      <c r="B291" s="234" t="s">
        <v>163</v>
      </c>
      <c r="C291" s="150"/>
      <c r="D291" s="150"/>
      <c r="E291" s="150"/>
      <c r="F291" s="209"/>
      <c r="G291" s="209"/>
      <c r="H291" s="209"/>
      <c r="I291" s="209">
        <f t="shared" ref="I291:T291" si="96">(I$2*SUMPRODUCT(I223:I228,I43:I48))/10^7</f>
        <v>25.662420000000001</v>
      </c>
      <c r="J291" s="209">
        <f t="shared" si="96"/>
        <v>28.672574999999998</v>
      </c>
      <c r="K291" s="209">
        <f t="shared" si="96"/>
        <v>30.860937</v>
      </c>
      <c r="L291" s="209">
        <f t="shared" si="96"/>
        <v>32.587017500000002</v>
      </c>
      <c r="M291" s="209">
        <f t="shared" si="96"/>
        <v>34.458190000000002</v>
      </c>
      <c r="N291" s="209">
        <f t="shared" si="96"/>
        <v>36.445614999999997</v>
      </c>
      <c r="O291" s="209">
        <f t="shared" si="96"/>
        <v>38.709440999999998</v>
      </c>
      <c r="P291" s="209">
        <f t="shared" si="96"/>
        <v>40.762287499999999</v>
      </c>
      <c r="Q291" s="209">
        <f t="shared" si="96"/>
        <v>42.965609999999998</v>
      </c>
      <c r="R291" s="209">
        <f t="shared" si="96"/>
        <v>45.580835</v>
      </c>
      <c r="S291" s="209">
        <f t="shared" si="96"/>
        <v>48.353175</v>
      </c>
      <c r="T291" s="313">
        <f t="shared" si="96"/>
        <v>50.812927500000001</v>
      </c>
      <c r="U291" s="313">
        <f>(U$2*SUMPRODUCT(U223:U228,U43:U48))/10^7</f>
        <v>2.5060549999999999</v>
      </c>
      <c r="V291" s="72"/>
      <c r="W291" s="72"/>
      <c r="X291" s="72"/>
      <c r="Y291" s="72"/>
      <c r="Z291" s="72"/>
      <c r="AA291" s="72"/>
      <c r="AB291" s="72"/>
      <c r="AC291" s="72"/>
      <c r="AD291" s="72"/>
      <c r="AE291" s="72"/>
      <c r="AF291" s="72"/>
      <c r="AG291" s="72"/>
      <c r="AH291" s="72"/>
      <c r="AI291" s="72"/>
      <c r="AJ291" s="72"/>
      <c r="AK291" s="72"/>
      <c r="AL291" s="72"/>
      <c r="AM291" s="233"/>
    </row>
    <row r="292" spans="2:39" outlineLevel="1">
      <c r="B292" s="234" t="s">
        <v>186</v>
      </c>
      <c r="C292" s="150"/>
      <c r="D292" s="150"/>
      <c r="E292" s="150"/>
      <c r="F292" s="209"/>
      <c r="G292" s="209"/>
      <c r="H292" s="209"/>
      <c r="I292" s="209">
        <f t="shared" ref="I292:T292" si="97">(I$3*SUMPRODUCT(I231:I236,I51:I56))/10^7</f>
        <v>1.1337360000000001</v>
      </c>
      <c r="J292" s="209">
        <f t="shared" si="97"/>
        <v>1.274724</v>
      </c>
      <c r="K292" s="209">
        <f t="shared" si="97"/>
        <v>1.3659239999999999</v>
      </c>
      <c r="L292" s="209">
        <f t="shared" si="97"/>
        <v>1.454772</v>
      </c>
      <c r="M292" s="209">
        <f t="shared" si="97"/>
        <v>1.5435000000000001</v>
      </c>
      <c r="N292" s="209">
        <f t="shared" si="97"/>
        <v>1.6358159999999999</v>
      </c>
      <c r="O292" s="209">
        <f t="shared" si="97"/>
        <v>1.74105</v>
      </c>
      <c r="P292" s="209">
        <f t="shared" si="97"/>
        <v>1.843764</v>
      </c>
      <c r="Q292" s="209">
        <f t="shared" si="97"/>
        <v>1.951746</v>
      </c>
      <c r="R292" s="209">
        <f t="shared" si="97"/>
        <v>2.0726879999999999</v>
      </c>
      <c r="S292" s="209">
        <f t="shared" si="97"/>
        <v>2.2012559999999999</v>
      </c>
      <c r="T292" s="313">
        <f t="shared" si="97"/>
        <v>2.3280599999999998</v>
      </c>
      <c r="U292" s="313">
        <f>(U$3*SUMPRODUCT(U231:U236,U51:U56))/10^7</f>
        <v>0.20577899999999999</v>
      </c>
      <c r="V292" s="72"/>
      <c r="W292" s="72"/>
      <c r="X292" s="72"/>
      <c r="Y292" s="72"/>
      <c r="Z292" s="72"/>
      <c r="AA292" s="72"/>
      <c r="AB292" s="72"/>
      <c r="AC292" s="72"/>
      <c r="AD292" s="72"/>
      <c r="AE292" s="72"/>
      <c r="AF292" s="72"/>
      <c r="AG292" s="72"/>
      <c r="AH292" s="72"/>
      <c r="AI292" s="72"/>
      <c r="AJ292" s="72"/>
      <c r="AK292" s="72"/>
      <c r="AL292" s="72"/>
      <c r="AM292" s="233"/>
    </row>
    <row r="293" spans="2:39" outlineLevel="1">
      <c r="B293" s="234" t="s">
        <v>181</v>
      </c>
      <c r="C293" s="150"/>
      <c r="D293" s="150"/>
      <c r="E293" s="150"/>
      <c r="F293" s="209"/>
      <c r="G293" s="209"/>
      <c r="H293" s="209"/>
      <c r="I293" s="209">
        <f t="shared" ref="I293:T293" si="98">(I$3*SUMPRODUCT(I239,I59))/10^7</f>
        <v>1.3679999999999999E-2</v>
      </c>
      <c r="J293" s="209">
        <f t="shared" si="98"/>
        <v>1.5498E-2</v>
      </c>
      <c r="K293" s="209">
        <f t="shared" si="98"/>
        <v>1.6632000000000001E-2</v>
      </c>
      <c r="L293" s="209">
        <f t="shared" si="98"/>
        <v>1.7801999999999998E-2</v>
      </c>
      <c r="M293" s="209">
        <f t="shared" si="98"/>
        <v>1.9008000000000001E-2</v>
      </c>
      <c r="N293" s="209">
        <f t="shared" si="98"/>
        <v>2.0250000000000001E-2</v>
      </c>
      <c r="O293" s="209">
        <f t="shared" si="98"/>
        <v>2.1527999999999999E-2</v>
      </c>
      <c r="P293" s="209">
        <f t="shared" si="98"/>
        <v>2.2356000000000001E-2</v>
      </c>
      <c r="Q293" s="209">
        <f t="shared" si="98"/>
        <v>2.3688000000000001E-2</v>
      </c>
      <c r="R293" s="209">
        <f t="shared" si="98"/>
        <v>2.5055999999999998E-2</v>
      </c>
      <c r="S293" s="209">
        <f t="shared" si="98"/>
        <v>2.6754E-2</v>
      </c>
      <c r="T293" s="313">
        <f t="shared" si="98"/>
        <v>2.8199999999999999E-2</v>
      </c>
      <c r="U293" s="313">
        <f>(U$3*SUMPRODUCT(U239,U59))/10^7</f>
        <v>2.4989999999999999E-3</v>
      </c>
      <c r="V293" s="72"/>
      <c r="W293" s="72"/>
      <c r="X293" s="72"/>
      <c r="Y293" s="72"/>
      <c r="Z293" s="72"/>
      <c r="AA293" s="72"/>
      <c r="AB293" s="72"/>
      <c r="AC293" s="72"/>
      <c r="AD293" s="72"/>
      <c r="AE293" s="72"/>
      <c r="AF293" s="72"/>
      <c r="AG293" s="72"/>
      <c r="AH293" s="72"/>
      <c r="AI293" s="72"/>
      <c r="AJ293" s="72"/>
      <c r="AK293" s="72"/>
      <c r="AL293" s="72"/>
      <c r="AM293" s="233"/>
    </row>
    <row r="294" spans="2:39" outlineLevel="1">
      <c r="B294" s="234" t="s">
        <v>264</v>
      </c>
      <c r="C294" s="150"/>
      <c r="D294" s="150"/>
      <c r="E294" s="150"/>
      <c r="F294" s="209"/>
      <c r="G294" s="209"/>
      <c r="H294" s="209"/>
      <c r="I294" s="209">
        <f t="shared" ref="I294:T294" si="99">(I$2*SUMPRODUCT(I244:I246,I62:I64))/10^7</f>
        <v>0</v>
      </c>
      <c r="J294" s="209">
        <f t="shared" si="99"/>
        <v>0</v>
      </c>
      <c r="K294" s="209">
        <f t="shared" si="99"/>
        <v>0</v>
      </c>
      <c r="L294" s="209">
        <f t="shared" si="99"/>
        <v>0</v>
      </c>
      <c r="M294" s="209">
        <f t="shared" si="99"/>
        <v>0</v>
      </c>
      <c r="N294" s="209">
        <f t="shared" si="99"/>
        <v>0</v>
      </c>
      <c r="O294" s="209">
        <f t="shared" si="99"/>
        <v>0</v>
      </c>
      <c r="P294" s="209">
        <f t="shared" si="99"/>
        <v>0</v>
      </c>
      <c r="Q294" s="209">
        <f t="shared" si="99"/>
        <v>0</v>
      </c>
      <c r="R294" s="209">
        <f t="shared" si="99"/>
        <v>0</v>
      </c>
      <c r="S294" s="209">
        <f t="shared" si="99"/>
        <v>0</v>
      </c>
      <c r="T294" s="313">
        <f t="shared" si="99"/>
        <v>0</v>
      </c>
      <c r="U294" s="313">
        <f>(U$2*SUMPRODUCT(U244:U246,U62:U64))/10^7</f>
        <v>0</v>
      </c>
      <c r="V294" s="72"/>
      <c r="W294" s="72"/>
      <c r="X294" s="72"/>
      <c r="Y294" s="72"/>
      <c r="Z294" s="72"/>
      <c r="AA294" s="72"/>
      <c r="AB294" s="72"/>
      <c r="AC294" s="72"/>
      <c r="AD294" s="72"/>
      <c r="AE294" s="72"/>
      <c r="AF294" s="72"/>
      <c r="AG294" s="72"/>
      <c r="AH294" s="72"/>
      <c r="AI294" s="72"/>
      <c r="AJ294" s="72"/>
      <c r="AK294" s="72"/>
      <c r="AL294" s="72"/>
      <c r="AM294" s="233"/>
    </row>
    <row r="295" spans="2:39" ht="15" outlineLevel="1">
      <c r="B295" s="156" t="s">
        <v>187</v>
      </c>
      <c r="C295" s="156"/>
      <c r="D295" s="150"/>
      <c r="E295" s="150"/>
      <c r="F295" s="210"/>
      <c r="G295" s="210"/>
      <c r="H295" s="210"/>
      <c r="I295" s="210">
        <f t="shared" ref="I295:T295" si="100">SUM(I290:I294)</f>
        <v>110.92518099999999</v>
      </c>
      <c r="J295" s="210">
        <f t="shared" si="100"/>
        <v>123.48893699999999</v>
      </c>
      <c r="K295" s="210">
        <f t="shared" si="100"/>
        <v>132.08646299999998</v>
      </c>
      <c r="L295" s="210">
        <f t="shared" si="100"/>
        <v>139.04198649999998</v>
      </c>
      <c r="M295" s="210">
        <f t="shared" si="100"/>
        <v>146.75841299999999</v>
      </c>
      <c r="N295" s="210">
        <f t="shared" si="100"/>
        <v>154.383016</v>
      </c>
      <c r="O295" s="210">
        <f t="shared" si="100"/>
        <v>163.65975</v>
      </c>
      <c r="P295" s="210">
        <f t="shared" si="100"/>
        <v>171.38818000000001</v>
      </c>
      <c r="Q295" s="210">
        <f t="shared" si="100"/>
        <v>180.50952649999999</v>
      </c>
      <c r="R295" s="210">
        <f t="shared" si="100"/>
        <v>190.83960900000002</v>
      </c>
      <c r="S295" s="210">
        <f t="shared" si="100"/>
        <v>201.04177200000001</v>
      </c>
      <c r="T295" s="320">
        <f t="shared" si="100"/>
        <v>211.14428999999998</v>
      </c>
      <c r="U295" s="320">
        <f>SUM(U290:U294)</f>
        <v>10.4490865</v>
      </c>
      <c r="V295" s="65"/>
      <c r="W295" s="65"/>
      <c r="X295" s="65"/>
      <c r="Y295" s="65"/>
      <c r="Z295" s="65"/>
      <c r="AA295" s="65"/>
      <c r="AB295" s="65"/>
      <c r="AC295" s="65"/>
      <c r="AD295" s="65"/>
      <c r="AE295" s="65"/>
      <c r="AF295" s="65"/>
      <c r="AG295" s="65"/>
      <c r="AH295" s="65"/>
      <c r="AI295" s="65"/>
      <c r="AJ295" s="65"/>
      <c r="AK295" s="65"/>
      <c r="AL295" s="65"/>
      <c r="AM295" s="3"/>
    </row>
    <row r="296" spans="2:39" outlineLevel="1">
      <c r="B296" s="112"/>
      <c r="AM296" s="233"/>
    </row>
    <row r="297" spans="2:39" ht="15" outlineLevel="1">
      <c r="B297" s="111" t="s">
        <v>188</v>
      </c>
      <c r="C297" s="77"/>
      <c r="D297" s="77"/>
      <c r="E297" s="77"/>
      <c r="F297" s="77"/>
      <c r="G297" s="77"/>
      <c r="H297" s="77"/>
      <c r="I297" s="77"/>
      <c r="J297" s="77"/>
      <c r="K297" s="77"/>
      <c r="L297" s="77"/>
      <c r="M297" s="77"/>
      <c r="N297" s="77"/>
      <c r="O297" s="77"/>
      <c r="P297" s="77"/>
      <c r="Q297" s="77"/>
      <c r="R297" s="77"/>
      <c r="S297" s="77"/>
      <c r="T297" s="77"/>
      <c r="U297" s="77"/>
      <c r="V297" s="3"/>
      <c r="W297" s="3"/>
      <c r="X297" s="3"/>
      <c r="Y297" s="3"/>
      <c r="Z297" s="3"/>
      <c r="AA297" s="3"/>
      <c r="AB297" s="3"/>
      <c r="AC297" s="3"/>
      <c r="AD297" s="3"/>
      <c r="AE297" s="3"/>
      <c r="AF297" s="3"/>
      <c r="AG297" s="3"/>
      <c r="AH297" s="3"/>
      <c r="AI297" s="3"/>
      <c r="AJ297" s="3"/>
      <c r="AK297" s="3"/>
      <c r="AL297" s="3"/>
      <c r="AM297" s="3"/>
    </row>
    <row r="298" spans="2:39" outlineLevel="1">
      <c r="B298" s="234" t="s">
        <v>162</v>
      </c>
      <c r="C298" s="150"/>
      <c r="D298" s="150"/>
      <c r="E298" s="150"/>
      <c r="F298" s="209"/>
      <c r="G298" s="209"/>
      <c r="H298" s="209"/>
      <c r="I298" s="209">
        <f t="shared" ref="I298:T298" si="101">(I$2*SUMPRODUCT(I251:I256,I68:I73))/10^7</f>
        <v>38.263132499999998</v>
      </c>
      <c r="J298" s="209">
        <f t="shared" si="101"/>
        <v>42.712665000000001</v>
      </c>
      <c r="K298" s="209">
        <f t="shared" si="101"/>
        <v>45.393881999999998</v>
      </c>
      <c r="L298" s="209">
        <f t="shared" si="101"/>
        <v>48.260847499999997</v>
      </c>
      <c r="M298" s="209">
        <f t="shared" si="101"/>
        <v>50.900709999999997</v>
      </c>
      <c r="N298" s="209">
        <f t="shared" si="101"/>
        <v>53.6380275</v>
      </c>
      <c r="O298" s="209">
        <f t="shared" si="101"/>
        <v>56.584881000000003</v>
      </c>
      <c r="P298" s="209">
        <f t="shared" si="101"/>
        <v>59.303557499999997</v>
      </c>
      <c r="Q298" s="209">
        <f t="shared" si="101"/>
        <v>62.248377499999997</v>
      </c>
      <c r="R298" s="209">
        <f t="shared" si="101"/>
        <v>65.965902499999999</v>
      </c>
      <c r="S298" s="209">
        <f t="shared" si="101"/>
        <v>69.534693000000004</v>
      </c>
      <c r="T298" s="313">
        <f t="shared" si="101"/>
        <v>73.238162500000001</v>
      </c>
      <c r="U298" s="313">
        <f>(U$2*SUMPRODUCT(U251:U256,U68:U73))/10^7</f>
        <v>3.5898984999999999</v>
      </c>
      <c r="V298" s="72"/>
      <c r="W298" s="72"/>
      <c r="X298" s="72"/>
      <c r="Y298" s="72"/>
      <c r="Z298" s="72"/>
      <c r="AA298" s="72"/>
      <c r="AB298" s="72"/>
      <c r="AC298" s="72"/>
      <c r="AD298" s="72"/>
      <c r="AE298" s="72"/>
      <c r="AF298" s="72"/>
      <c r="AG298" s="72"/>
      <c r="AH298" s="72"/>
      <c r="AI298" s="72"/>
      <c r="AJ298" s="72"/>
      <c r="AK298" s="72"/>
      <c r="AL298" s="72"/>
      <c r="AM298" s="233"/>
    </row>
    <row r="299" spans="2:39" outlineLevel="1">
      <c r="B299" s="234" t="s">
        <v>163</v>
      </c>
      <c r="C299" s="150"/>
      <c r="D299" s="150"/>
      <c r="E299" s="150"/>
      <c r="F299" s="209"/>
      <c r="G299" s="209"/>
      <c r="H299" s="209"/>
      <c r="I299" s="209">
        <f t="shared" ref="I299:T299" si="102">(I$2*SUMPRODUCT(I259:I264,I76:I81))/10^7</f>
        <v>34.761687500000001</v>
      </c>
      <c r="J299" s="209">
        <f t="shared" si="102"/>
        <v>38.830889999999997</v>
      </c>
      <c r="K299" s="209">
        <f t="shared" si="102"/>
        <v>41.566071000000001</v>
      </c>
      <c r="L299" s="209">
        <f t="shared" si="102"/>
        <v>43.744884999999996</v>
      </c>
      <c r="M299" s="209">
        <f t="shared" si="102"/>
        <v>46.181260000000002</v>
      </c>
      <c r="N299" s="209">
        <f t="shared" si="102"/>
        <v>48.723849999999999</v>
      </c>
      <c r="O299" s="209">
        <f t="shared" si="102"/>
        <v>51.366087</v>
      </c>
      <c r="P299" s="209">
        <f t="shared" si="102"/>
        <v>53.953204999999997</v>
      </c>
      <c r="Q299" s="209">
        <f t="shared" si="102"/>
        <v>56.970477500000001</v>
      </c>
      <c r="R299" s="209">
        <f t="shared" si="102"/>
        <v>60.049617499999997</v>
      </c>
      <c r="S299" s="209">
        <f t="shared" si="102"/>
        <v>63.414440999999997</v>
      </c>
      <c r="T299" s="313">
        <f t="shared" si="102"/>
        <v>66.662322500000002</v>
      </c>
      <c r="U299" s="313">
        <f>(U$2*SUMPRODUCT(U259:U264,U76:U81))/10^7</f>
        <v>3.2768435</v>
      </c>
      <c r="V299" s="72"/>
      <c r="W299" s="72"/>
      <c r="X299" s="72"/>
      <c r="Y299" s="72"/>
      <c r="Z299" s="72"/>
      <c r="AA299" s="72"/>
      <c r="AB299" s="72"/>
      <c r="AC299" s="72"/>
      <c r="AD299" s="72"/>
      <c r="AE299" s="72"/>
      <c r="AF299" s="72"/>
      <c r="AG299" s="72"/>
      <c r="AH299" s="72"/>
      <c r="AI299" s="72"/>
      <c r="AJ299" s="72"/>
      <c r="AK299" s="72"/>
      <c r="AL299" s="72"/>
      <c r="AM299" s="233"/>
    </row>
    <row r="300" spans="2:39" outlineLevel="1">
      <c r="B300" s="234" t="s">
        <v>186</v>
      </c>
      <c r="C300" s="150"/>
      <c r="D300" s="150"/>
      <c r="E300" s="150"/>
      <c r="F300" s="209"/>
      <c r="G300" s="209"/>
      <c r="H300" s="209"/>
      <c r="I300" s="209">
        <f t="shared" ref="I300:T300" si="103">(I$3*SUMPRODUCT(I267:I272,I84:I89))/10^7</f>
        <v>1.23624</v>
      </c>
      <c r="J300" s="209">
        <f t="shared" si="103"/>
        <v>1.3867560000000001</v>
      </c>
      <c r="K300" s="209">
        <f t="shared" si="103"/>
        <v>1.4827859999999999</v>
      </c>
      <c r="L300" s="209">
        <f t="shared" si="103"/>
        <v>1.5761700000000001</v>
      </c>
      <c r="M300" s="209">
        <f t="shared" si="103"/>
        <v>1.6741140000000001</v>
      </c>
      <c r="N300" s="209">
        <f t="shared" si="103"/>
        <v>1.77057</v>
      </c>
      <c r="O300" s="209">
        <f t="shared" si="103"/>
        <v>1.879086</v>
      </c>
      <c r="P300" s="209">
        <f t="shared" si="103"/>
        <v>1.9923839999999999</v>
      </c>
      <c r="Q300" s="209">
        <f t="shared" si="103"/>
        <v>2.112384</v>
      </c>
      <c r="R300" s="209">
        <f t="shared" si="103"/>
        <v>2.23746</v>
      </c>
      <c r="S300" s="209">
        <f t="shared" si="103"/>
        <v>2.3695919999999999</v>
      </c>
      <c r="T300" s="313">
        <f t="shared" si="103"/>
        <v>2.5090140000000001</v>
      </c>
      <c r="U300" s="313">
        <f>(U$3*SUMPRODUCT(U267:U272,U84:U89))/10^7</f>
        <v>0.2232895</v>
      </c>
      <c r="V300" s="72"/>
      <c r="W300" s="72"/>
      <c r="X300" s="72"/>
      <c r="Y300" s="72"/>
      <c r="Z300" s="72"/>
      <c r="AA300" s="72"/>
      <c r="AB300" s="72"/>
      <c r="AC300" s="72"/>
      <c r="AD300" s="72"/>
      <c r="AE300" s="72"/>
      <c r="AF300" s="72"/>
      <c r="AG300" s="72"/>
      <c r="AH300" s="72"/>
      <c r="AI300" s="72"/>
      <c r="AJ300" s="72"/>
      <c r="AK300" s="72"/>
      <c r="AL300" s="72"/>
      <c r="AM300" s="233"/>
    </row>
    <row r="301" spans="2:39" outlineLevel="1">
      <c r="B301" s="234" t="s">
        <v>181</v>
      </c>
      <c r="C301" s="150"/>
      <c r="D301" s="150"/>
      <c r="E301" s="150"/>
      <c r="F301" s="209"/>
      <c r="G301" s="209"/>
      <c r="H301" s="209"/>
      <c r="I301" s="209">
        <f t="shared" ref="I301:T301" si="104">(I$3*SUMPRODUCT(I275,I92))/10^7</f>
        <v>1.8126E-2</v>
      </c>
      <c r="J301" s="209">
        <f t="shared" si="104"/>
        <v>2.0412E-2</v>
      </c>
      <c r="K301" s="209">
        <f t="shared" si="104"/>
        <v>2.1780000000000001E-2</v>
      </c>
      <c r="L301" s="209">
        <f t="shared" si="104"/>
        <v>2.3184E-2</v>
      </c>
      <c r="M301" s="209">
        <f t="shared" si="104"/>
        <v>2.4624E-2</v>
      </c>
      <c r="N301" s="209">
        <f t="shared" si="104"/>
        <v>2.6550000000000001E-2</v>
      </c>
      <c r="O301" s="209">
        <f t="shared" si="104"/>
        <v>2.8080000000000001E-2</v>
      </c>
      <c r="P301" s="209">
        <f t="shared" si="104"/>
        <v>2.9645999999999999E-2</v>
      </c>
      <c r="Q301" s="209">
        <f t="shared" si="104"/>
        <v>3.1248000000000001E-2</v>
      </c>
      <c r="R301" s="209">
        <f t="shared" si="104"/>
        <v>3.2885999999999999E-2</v>
      </c>
      <c r="S301" s="209">
        <f t="shared" si="104"/>
        <v>3.5490000000000001E-2</v>
      </c>
      <c r="T301" s="313">
        <f t="shared" si="104"/>
        <v>3.7224E-2</v>
      </c>
      <c r="U301" s="313">
        <f>(U$3*SUMPRODUCT(U275,U92))/10^7</f>
        <v>3.2829999999999999E-3</v>
      </c>
      <c r="V301" s="72"/>
      <c r="W301" s="72"/>
      <c r="X301" s="72"/>
      <c r="Y301" s="72"/>
      <c r="Z301" s="72"/>
      <c r="AA301" s="72"/>
      <c r="AB301" s="72"/>
      <c r="AC301" s="72"/>
      <c r="AD301" s="72"/>
      <c r="AE301" s="72"/>
      <c r="AF301" s="72"/>
      <c r="AG301" s="72"/>
      <c r="AH301" s="72"/>
      <c r="AI301" s="72"/>
      <c r="AJ301" s="72"/>
      <c r="AK301" s="72"/>
      <c r="AL301" s="72"/>
      <c r="AM301" s="233"/>
    </row>
    <row r="302" spans="2:39" outlineLevel="1">
      <c r="B302" s="234" t="s">
        <v>265</v>
      </c>
      <c r="C302" s="150"/>
      <c r="D302" s="150"/>
      <c r="E302" s="150"/>
      <c r="F302" s="209"/>
      <c r="G302" s="209"/>
      <c r="H302" s="209"/>
      <c r="I302" s="209">
        <f t="shared" ref="I302:T302" si="105">(I$2*SUMPRODUCT(I278,I95))/10^7</f>
        <v>0</v>
      </c>
      <c r="J302" s="209">
        <f t="shared" si="105"/>
        <v>0</v>
      </c>
      <c r="K302" s="209">
        <f t="shared" si="105"/>
        <v>0</v>
      </c>
      <c r="L302" s="209">
        <f t="shared" si="105"/>
        <v>0</v>
      </c>
      <c r="M302" s="209">
        <f t="shared" si="105"/>
        <v>0</v>
      </c>
      <c r="N302" s="209">
        <f t="shared" si="105"/>
        <v>0</v>
      </c>
      <c r="O302" s="209">
        <f t="shared" si="105"/>
        <v>0</v>
      </c>
      <c r="P302" s="209">
        <f t="shared" si="105"/>
        <v>0</v>
      </c>
      <c r="Q302" s="209">
        <f t="shared" si="105"/>
        <v>0</v>
      </c>
      <c r="R302" s="209">
        <f t="shared" si="105"/>
        <v>0</v>
      </c>
      <c r="S302" s="209">
        <f t="shared" si="105"/>
        <v>0</v>
      </c>
      <c r="T302" s="313">
        <f t="shared" si="105"/>
        <v>0</v>
      </c>
      <c r="U302" s="313">
        <f>(U$2*SUMPRODUCT(U278,U95))/10^7</f>
        <v>0</v>
      </c>
      <c r="V302" s="72"/>
      <c r="W302" s="72"/>
      <c r="X302" s="72"/>
      <c r="Y302" s="72"/>
      <c r="Z302" s="72"/>
      <c r="AA302" s="72"/>
      <c r="AB302" s="72"/>
      <c r="AC302" s="72"/>
      <c r="AD302" s="72"/>
      <c r="AE302" s="72"/>
      <c r="AF302" s="72"/>
      <c r="AG302" s="72"/>
      <c r="AH302" s="72"/>
      <c r="AI302" s="72"/>
      <c r="AJ302" s="72"/>
      <c r="AK302" s="72"/>
      <c r="AL302" s="72"/>
      <c r="AM302" s="233"/>
    </row>
    <row r="303" spans="2:39" outlineLevel="1">
      <c r="B303" s="234" t="s">
        <v>266</v>
      </c>
      <c r="C303" s="150"/>
      <c r="D303" s="150"/>
      <c r="E303" s="150"/>
      <c r="F303" s="209"/>
      <c r="G303" s="209"/>
      <c r="H303" s="209"/>
      <c r="I303" s="209">
        <f t="shared" ref="I303:T303" si="106">(I$2*SUMPRODUCT(I281:I283,I98:I100))/10^7</f>
        <v>0</v>
      </c>
      <c r="J303" s="209">
        <f t="shared" si="106"/>
        <v>0</v>
      </c>
      <c r="K303" s="209">
        <f t="shared" si="106"/>
        <v>0</v>
      </c>
      <c r="L303" s="209">
        <f t="shared" si="106"/>
        <v>0</v>
      </c>
      <c r="M303" s="209">
        <f t="shared" si="106"/>
        <v>0</v>
      </c>
      <c r="N303" s="209">
        <f t="shared" si="106"/>
        <v>0</v>
      </c>
      <c r="O303" s="209">
        <f t="shared" si="106"/>
        <v>0</v>
      </c>
      <c r="P303" s="209">
        <f t="shared" si="106"/>
        <v>0</v>
      </c>
      <c r="Q303" s="209">
        <f t="shared" si="106"/>
        <v>0</v>
      </c>
      <c r="R303" s="209">
        <f t="shared" si="106"/>
        <v>0</v>
      </c>
      <c r="S303" s="209">
        <f t="shared" si="106"/>
        <v>0</v>
      </c>
      <c r="T303" s="313">
        <f t="shared" si="106"/>
        <v>0</v>
      </c>
      <c r="U303" s="313">
        <f>(U$2*SUMPRODUCT(U281:U283,U98:U100))/10^7</f>
        <v>0</v>
      </c>
      <c r="V303" s="72"/>
      <c r="W303" s="72"/>
      <c r="X303" s="72"/>
      <c r="Y303" s="72"/>
      <c r="Z303" s="72"/>
      <c r="AA303" s="72"/>
      <c r="AB303" s="72"/>
      <c r="AC303" s="72"/>
      <c r="AD303" s="72"/>
      <c r="AE303" s="72"/>
      <c r="AF303" s="72"/>
      <c r="AG303" s="72"/>
      <c r="AH303" s="72"/>
      <c r="AI303" s="72"/>
      <c r="AJ303" s="72"/>
      <c r="AK303" s="72"/>
      <c r="AL303" s="72"/>
      <c r="AM303" s="233"/>
    </row>
    <row r="304" spans="2:39" ht="15" outlineLevel="1">
      <c r="B304" s="156" t="s">
        <v>189</v>
      </c>
      <c r="C304" s="156"/>
      <c r="D304" s="150"/>
      <c r="E304" s="150"/>
      <c r="F304" s="210"/>
      <c r="G304" s="210"/>
      <c r="H304" s="210"/>
      <c r="I304" s="210">
        <f t="shared" ref="I304:T304" si="107">SUM(I298:I303)</f>
        <v>74.279185999999996</v>
      </c>
      <c r="J304" s="210">
        <f t="shared" si="107"/>
        <v>82.950722999999996</v>
      </c>
      <c r="K304" s="210">
        <f t="shared" si="107"/>
        <v>88.46451900000001</v>
      </c>
      <c r="L304" s="210">
        <f t="shared" si="107"/>
        <v>93.605086499999999</v>
      </c>
      <c r="M304" s="210">
        <f t="shared" si="107"/>
        <v>98.780708000000004</v>
      </c>
      <c r="N304" s="210">
        <f t="shared" si="107"/>
        <v>104.1589975</v>
      </c>
      <c r="O304" s="210">
        <f t="shared" si="107"/>
        <v>109.85813400000001</v>
      </c>
      <c r="P304" s="210">
        <f t="shared" si="107"/>
        <v>115.27879249999999</v>
      </c>
      <c r="Q304" s="210">
        <f t="shared" si="107"/>
        <v>121.362487</v>
      </c>
      <c r="R304" s="210">
        <f t="shared" si="107"/>
        <v>128.285866</v>
      </c>
      <c r="S304" s="210">
        <f t="shared" si="107"/>
        <v>135.35421600000004</v>
      </c>
      <c r="T304" s="320">
        <f t="shared" si="107"/>
        <v>142.44672300000002</v>
      </c>
      <c r="U304" s="320">
        <f>SUM(U298:U303)</f>
        <v>7.0933145</v>
      </c>
      <c r="V304" s="65"/>
      <c r="W304" s="65"/>
      <c r="X304" s="65"/>
      <c r="Y304" s="65"/>
      <c r="Z304" s="65"/>
      <c r="AA304" s="65"/>
      <c r="AB304" s="65"/>
      <c r="AC304" s="65"/>
      <c r="AD304" s="65"/>
      <c r="AE304" s="65"/>
      <c r="AF304" s="65"/>
      <c r="AG304" s="65"/>
      <c r="AH304" s="65"/>
      <c r="AI304" s="65"/>
      <c r="AJ304" s="65"/>
      <c r="AK304" s="65"/>
      <c r="AL304" s="65"/>
      <c r="AM304" s="3"/>
    </row>
    <row r="305" spans="2:39" ht="15" outlineLevel="1">
      <c r="B305" s="110"/>
      <c r="C305" s="3"/>
      <c r="AM305" s="3"/>
    </row>
    <row r="306" spans="2:39" ht="15.75" thickBot="1">
      <c r="B306" s="113" t="s">
        <v>190</v>
      </c>
      <c r="C306" s="11"/>
      <c r="D306" s="11"/>
      <c r="E306" s="11"/>
      <c r="F306" s="114"/>
      <c r="G306" s="114"/>
      <c r="H306" s="114"/>
      <c r="I306" s="114">
        <f t="shared" ref="I306:T306" si="108">I295+I304</f>
        <v>185.20436699999999</v>
      </c>
      <c r="J306" s="114">
        <f t="shared" si="108"/>
        <v>206.43966</v>
      </c>
      <c r="K306" s="114">
        <f t="shared" si="108"/>
        <v>220.55098199999998</v>
      </c>
      <c r="L306" s="114">
        <f t="shared" si="108"/>
        <v>232.64707299999998</v>
      </c>
      <c r="M306" s="114">
        <f t="shared" si="108"/>
        <v>245.53912099999999</v>
      </c>
      <c r="N306" s="114">
        <f t="shared" si="108"/>
        <v>258.5420135</v>
      </c>
      <c r="O306" s="114">
        <f t="shared" si="108"/>
        <v>273.51788399999998</v>
      </c>
      <c r="P306" s="114">
        <f t="shared" si="108"/>
        <v>286.66697249999999</v>
      </c>
      <c r="Q306" s="114">
        <f t="shared" si="108"/>
        <v>301.87201349999998</v>
      </c>
      <c r="R306" s="114">
        <f t="shared" si="108"/>
        <v>319.12547500000005</v>
      </c>
      <c r="S306" s="114">
        <f t="shared" si="108"/>
        <v>336.39598800000005</v>
      </c>
      <c r="T306" s="114">
        <f t="shared" si="108"/>
        <v>353.59101299999998</v>
      </c>
      <c r="U306" s="114">
        <f>U295+U304</f>
        <v>17.542400999999998</v>
      </c>
      <c r="V306" s="65"/>
      <c r="W306" s="65"/>
      <c r="X306" s="65"/>
      <c r="Y306" s="65"/>
      <c r="Z306" s="65"/>
      <c r="AA306" s="65"/>
      <c r="AB306" s="65"/>
      <c r="AC306" s="65"/>
      <c r="AD306" s="65"/>
      <c r="AE306" s="65"/>
      <c r="AF306" s="65"/>
      <c r="AG306" s="65"/>
      <c r="AH306" s="65"/>
      <c r="AI306" s="65"/>
      <c r="AJ306" s="65"/>
      <c r="AK306" s="65"/>
      <c r="AL306" s="65"/>
      <c r="AM306" s="3"/>
    </row>
    <row r="307" spans="2:39" ht="15.75" thickTop="1">
      <c r="B307" s="3"/>
      <c r="C307" s="3"/>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row>
    <row r="308" spans="2:39" ht="15.75" thickBot="1">
      <c r="B308" s="160" t="s">
        <v>267</v>
      </c>
      <c r="C308" s="141"/>
      <c r="D308" s="141"/>
      <c r="E308" s="141"/>
      <c r="F308" s="141"/>
      <c r="G308" s="208"/>
      <c r="H308" s="208"/>
      <c r="I308" s="208">
        <f t="shared" ref="I308:T308" si="109">I306</f>
        <v>185.20436699999999</v>
      </c>
      <c r="J308" s="208">
        <f t="shared" si="109"/>
        <v>206.43966</v>
      </c>
      <c r="K308" s="208">
        <f t="shared" si="109"/>
        <v>220.55098199999998</v>
      </c>
      <c r="L308" s="208">
        <f t="shared" si="109"/>
        <v>232.64707299999998</v>
      </c>
      <c r="M308" s="208">
        <f t="shared" si="109"/>
        <v>245.53912099999999</v>
      </c>
      <c r="N308" s="208">
        <f t="shared" si="109"/>
        <v>258.5420135</v>
      </c>
      <c r="O308" s="208">
        <f t="shared" si="109"/>
        <v>273.51788399999998</v>
      </c>
      <c r="P308" s="208">
        <f t="shared" si="109"/>
        <v>286.66697249999999</v>
      </c>
      <c r="Q308" s="208">
        <f t="shared" si="109"/>
        <v>301.87201349999998</v>
      </c>
      <c r="R308" s="208">
        <f t="shared" si="109"/>
        <v>319.12547500000005</v>
      </c>
      <c r="S308" s="208">
        <f t="shared" si="109"/>
        <v>336.39598800000005</v>
      </c>
      <c r="T308" s="208">
        <f t="shared" si="109"/>
        <v>353.59101299999998</v>
      </c>
      <c r="U308" s="208">
        <f>U306</f>
        <v>17.542400999999998</v>
      </c>
      <c r="V308" s="65"/>
      <c r="W308" s="65"/>
      <c r="X308" s="65"/>
      <c r="Y308" s="65"/>
      <c r="Z308" s="65"/>
      <c r="AA308" s="65"/>
      <c r="AB308" s="65"/>
      <c r="AC308" s="65"/>
      <c r="AD308" s="65"/>
      <c r="AE308" s="65"/>
      <c r="AF308" s="65"/>
      <c r="AG308" s="65"/>
      <c r="AH308" s="65"/>
      <c r="AI308" s="65"/>
      <c r="AJ308" s="65"/>
      <c r="AK308" s="65"/>
      <c r="AL308" s="65"/>
    </row>
    <row r="309" spans="2:39">
      <c r="G309" s="72"/>
      <c r="H309" s="72"/>
    </row>
    <row r="310" spans="2:39" hidden="1"/>
    <row r="311" spans="2:39" ht="15" hidden="1">
      <c r="B311" s="108" t="s">
        <v>191</v>
      </c>
      <c r="C311" s="109"/>
      <c r="D311" s="109"/>
      <c r="E311" s="109"/>
      <c r="F311" s="109"/>
      <c r="G311" s="109"/>
      <c r="H311" s="109"/>
      <c r="I311" s="109"/>
      <c r="J311" s="109"/>
      <c r="K311" s="109"/>
      <c r="L311" s="109"/>
      <c r="M311" s="109"/>
      <c r="N311" s="109"/>
      <c r="O311" s="109"/>
      <c r="P311" s="109"/>
      <c r="Q311" s="109"/>
      <c r="R311" s="109"/>
      <c r="S311" s="109"/>
      <c r="T311" s="109"/>
      <c r="U311" s="109"/>
      <c r="V311" s="322"/>
      <c r="W311" s="322"/>
      <c r="X311" s="322"/>
      <c r="Y311" s="322"/>
      <c r="Z311" s="322"/>
      <c r="AA311" s="322"/>
      <c r="AB311" s="322"/>
      <c r="AC311" s="322"/>
      <c r="AD311" s="322"/>
      <c r="AE311" s="322"/>
      <c r="AF311" s="322"/>
      <c r="AG311" s="322"/>
      <c r="AH311" s="322"/>
      <c r="AI311" s="322"/>
      <c r="AJ311" s="322"/>
      <c r="AK311" s="322"/>
      <c r="AL311" s="322"/>
    </row>
    <row r="312" spans="2:39" hidden="1" outlineLevel="1">
      <c r="B312" s="115"/>
    </row>
    <row r="313" spans="2:39" ht="15" hidden="1" outlineLevel="1">
      <c r="B313" s="111" t="s">
        <v>192</v>
      </c>
      <c r="C313" s="116">
        <f>C$7</f>
        <v>52.469999999999992</v>
      </c>
    </row>
    <row r="314" spans="2:39" hidden="1" outlineLevel="1">
      <c r="B314" s="191" t="s">
        <v>149</v>
      </c>
      <c r="C314" s="235">
        <v>1</v>
      </c>
      <c r="D314" s="150"/>
      <c r="E314" s="150"/>
      <c r="F314" s="150"/>
      <c r="G314" s="150"/>
      <c r="H314" s="150"/>
      <c r="I314" s="150">
        <f t="shared" ref="I314:T314" si="110">ROUND($C314*I195,0)</f>
        <v>5392</v>
      </c>
      <c r="J314" s="150">
        <f t="shared" si="110"/>
        <v>5500</v>
      </c>
      <c r="K314" s="150">
        <f t="shared" si="110"/>
        <v>5610</v>
      </c>
      <c r="L314" s="150">
        <f t="shared" si="110"/>
        <v>5722</v>
      </c>
      <c r="M314" s="150">
        <f t="shared" si="110"/>
        <v>5836</v>
      </c>
      <c r="N314" s="150">
        <f t="shared" si="110"/>
        <v>5953</v>
      </c>
      <c r="O314" s="150">
        <f t="shared" si="110"/>
        <v>6072</v>
      </c>
      <c r="P314" s="150">
        <f t="shared" si="110"/>
        <v>6194</v>
      </c>
      <c r="Q314" s="150">
        <f t="shared" si="110"/>
        <v>6318</v>
      </c>
      <c r="R314" s="150">
        <f t="shared" si="110"/>
        <v>6444</v>
      </c>
      <c r="S314" s="150">
        <f t="shared" si="110"/>
        <v>6573</v>
      </c>
      <c r="T314" s="315">
        <f t="shared" si="110"/>
        <v>6704</v>
      </c>
      <c r="U314" s="315">
        <f>ROUND($C314*U195,0)</f>
        <v>6838</v>
      </c>
    </row>
    <row r="315" spans="2:39" hidden="1" outlineLevel="1">
      <c r="B315" s="191" t="s">
        <v>150</v>
      </c>
      <c r="C315" s="235">
        <v>1.5</v>
      </c>
      <c r="D315" s="150"/>
      <c r="E315" s="150"/>
      <c r="F315" s="150"/>
      <c r="G315" s="150"/>
      <c r="H315" s="150"/>
      <c r="I315" s="150">
        <f t="shared" ref="I315:T315" si="111">ROUND($C315*I196,0)</f>
        <v>500</v>
      </c>
      <c r="J315" s="150">
        <f t="shared" si="111"/>
        <v>509</v>
      </c>
      <c r="K315" s="150">
        <f t="shared" si="111"/>
        <v>520</v>
      </c>
      <c r="L315" s="150">
        <f t="shared" si="111"/>
        <v>530</v>
      </c>
      <c r="M315" s="150">
        <f t="shared" si="111"/>
        <v>541</v>
      </c>
      <c r="N315" s="150">
        <f t="shared" si="111"/>
        <v>551</v>
      </c>
      <c r="O315" s="150">
        <f t="shared" si="111"/>
        <v>563</v>
      </c>
      <c r="P315" s="150">
        <f t="shared" si="111"/>
        <v>574</v>
      </c>
      <c r="Q315" s="150">
        <f t="shared" si="111"/>
        <v>585</v>
      </c>
      <c r="R315" s="150">
        <f t="shared" si="111"/>
        <v>597</v>
      </c>
      <c r="S315" s="150">
        <f t="shared" si="111"/>
        <v>609</v>
      </c>
      <c r="T315" s="315">
        <f t="shared" si="111"/>
        <v>621</v>
      </c>
      <c r="U315" s="315">
        <f>ROUND($C315*U196,0)</f>
        <v>633</v>
      </c>
    </row>
    <row r="316" spans="2:39" hidden="1" outlineLevel="1">
      <c r="B316" s="191" t="s">
        <v>151</v>
      </c>
      <c r="C316" s="235">
        <v>3</v>
      </c>
      <c r="D316" s="150"/>
      <c r="E316" s="150"/>
      <c r="F316" s="150"/>
      <c r="G316" s="150"/>
      <c r="H316" s="150"/>
      <c r="I316" s="150">
        <f t="shared" ref="I316:T316" si="112">ROUND($C316*I198,0)</f>
        <v>3774</v>
      </c>
      <c r="J316" s="150">
        <f t="shared" si="112"/>
        <v>3849</v>
      </c>
      <c r="K316" s="150">
        <f t="shared" si="112"/>
        <v>3926</v>
      </c>
      <c r="L316" s="150">
        <f t="shared" si="112"/>
        <v>4005</v>
      </c>
      <c r="M316" s="150">
        <f t="shared" si="112"/>
        <v>4085</v>
      </c>
      <c r="N316" s="150">
        <f t="shared" si="112"/>
        <v>4167</v>
      </c>
      <c r="O316" s="150">
        <f t="shared" si="112"/>
        <v>4250</v>
      </c>
      <c r="P316" s="150">
        <f t="shared" si="112"/>
        <v>4335</v>
      </c>
      <c r="Q316" s="150">
        <f t="shared" si="112"/>
        <v>4422</v>
      </c>
      <c r="R316" s="150">
        <f t="shared" si="112"/>
        <v>4510</v>
      </c>
      <c r="S316" s="150">
        <f t="shared" si="112"/>
        <v>4600</v>
      </c>
      <c r="T316" s="315">
        <f t="shared" si="112"/>
        <v>4692</v>
      </c>
      <c r="U316" s="315">
        <f>ROUND($C316*U198,0)</f>
        <v>4786</v>
      </c>
    </row>
    <row r="317" spans="2:39" hidden="1" outlineLevel="1">
      <c r="B317" s="191" t="s">
        <v>152</v>
      </c>
      <c r="C317" s="235">
        <v>4.5</v>
      </c>
      <c r="D317" s="150"/>
      <c r="E317" s="150"/>
      <c r="F317" s="150"/>
      <c r="G317" s="150"/>
      <c r="H317" s="150"/>
      <c r="I317" s="150">
        <f t="shared" ref="I317:T317" si="113">ROUND($C317*I199,0)</f>
        <v>14130</v>
      </c>
      <c r="J317" s="150">
        <f t="shared" si="113"/>
        <v>14271</v>
      </c>
      <c r="K317" s="150">
        <f t="shared" si="113"/>
        <v>14414</v>
      </c>
      <c r="L317" s="150">
        <f t="shared" si="113"/>
        <v>14558</v>
      </c>
      <c r="M317" s="150">
        <f t="shared" si="113"/>
        <v>14704</v>
      </c>
      <c r="N317" s="150">
        <f t="shared" si="113"/>
        <v>14851</v>
      </c>
      <c r="O317" s="150">
        <f t="shared" si="113"/>
        <v>14999</v>
      </c>
      <c r="P317" s="150">
        <f t="shared" si="113"/>
        <v>15149</v>
      </c>
      <c r="Q317" s="150">
        <f t="shared" si="113"/>
        <v>15301</v>
      </c>
      <c r="R317" s="150">
        <f t="shared" si="113"/>
        <v>15454</v>
      </c>
      <c r="S317" s="150">
        <f t="shared" si="113"/>
        <v>15608</v>
      </c>
      <c r="T317" s="315">
        <f t="shared" si="113"/>
        <v>15764</v>
      </c>
      <c r="U317" s="315">
        <f>ROUND($C317*U199,0)</f>
        <v>15922</v>
      </c>
    </row>
    <row r="318" spans="2:39" hidden="1" outlineLevel="1">
      <c r="B318" s="191" t="s">
        <v>153</v>
      </c>
      <c r="C318" s="235">
        <v>4.5</v>
      </c>
      <c r="D318" s="150"/>
      <c r="E318" s="150"/>
      <c r="F318" s="150"/>
      <c r="G318" s="150"/>
      <c r="H318" s="150"/>
      <c r="I318" s="150">
        <f t="shared" ref="I318:T318" si="114">ROUND($C318*I200,0)</f>
        <v>0</v>
      </c>
      <c r="J318" s="150">
        <f t="shared" si="114"/>
        <v>0</v>
      </c>
      <c r="K318" s="150">
        <f t="shared" si="114"/>
        <v>0</v>
      </c>
      <c r="L318" s="150">
        <f t="shared" si="114"/>
        <v>0</v>
      </c>
      <c r="M318" s="150">
        <f t="shared" si="114"/>
        <v>0</v>
      </c>
      <c r="N318" s="150">
        <f t="shared" si="114"/>
        <v>0</v>
      </c>
      <c r="O318" s="150">
        <f t="shared" si="114"/>
        <v>0</v>
      </c>
      <c r="P318" s="150">
        <f t="shared" si="114"/>
        <v>0</v>
      </c>
      <c r="Q318" s="150">
        <f t="shared" si="114"/>
        <v>0</v>
      </c>
      <c r="R318" s="150">
        <f t="shared" si="114"/>
        <v>0</v>
      </c>
      <c r="S318" s="150">
        <f t="shared" si="114"/>
        <v>0</v>
      </c>
      <c r="T318" s="315">
        <f t="shared" si="114"/>
        <v>0</v>
      </c>
      <c r="U318" s="315">
        <f>ROUND($C318*U200,0)</f>
        <v>0</v>
      </c>
    </row>
    <row r="319" spans="2:39" ht="15" hidden="1" outlineLevel="1">
      <c r="B319" s="236" t="s">
        <v>193</v>
      </c>
      <c r="C319" s="178"/>
      <c r="D319" s="150"/>
      <c r="E319" s="150"/>
      <c r="F319" s="156"/>
      <c r="G319" s="156"/>
      <c r="H319" s="156"/>
      <c r="I319" s="156">
        <f t="shared" ref="I319:T319" si="115">SUM(I314:I318)</f>
        <v>23796</v>
      </c>
      <c r="J319" s="156">
        <f t="shared" si="115"/>
        <v>24129</v>
      </c>
      <c r="K319" s="156">
        <f t="shared" si="115"/>
        <v>24470</v>
      </c>
      <c r="L319" s="156">
        <f t="shared" si="115"/>
        <v>24815</v>
      </c>
      <c r="M319" s="156">
        <f t="shared" si="115"/>
        <v>25166</v>
      </c>
      <c r="N319" s="156">
        <f t="shared" si="115"/>
        <v>25522</v>
      </c>
      <c r="O319" s="156">
        <f t="shared" si="115"/>
        <v>25884</v>
      </c>
      <c r="P319" s="156">
        <f t="shared" si="115"/>
        <v>26252</v>
      </c>
      <c r="Q319" s="156">
        <f t="shared" si="115"/>
        <v>26626</v>
      </c>
      <c r="R319" s="156">
        <f t="shared" si="115"/>
        <v>27005</v>
      </c>
      <c r="S319" s="156">
        <f t="shared" si="115"/>
        <v>27390</v>
      </c>
      <c r="T319" s="321">
        <f t="shared" si="115"/>
        <v>27781</v>
      </c>
      <c r="U319" s="321">
        <f>SUM(U314:U318)</f>
        <v>28179</v>
      </c>
      <c r="V319" s="3"/>
      <c r="W319" s="3"/>
      <c r="X319" s="3"/>
      <c r="Y319" s="3"/>
      <c r="Z319" s="3"/>
      <c r="AA319" s="3"/>
      <c r="AB319" s="3"/>
      <c r="AC319" s="3"/>
      <c r="AD319" s="3"/>
      <c r="AE319" s="3"/>
      <c r="AF319" s="3"/>
      <c r="AG319" s="3"/>
      <c r="AH319" s="3"/>
      <c r="AI319" s="3"/>
      <c r="AJ319" s="3"/>
      <c r="AK319" s="3"/>
      <c r="AL319" s="3"/>
    </row>
    <row r="320" spans="2:39" hidden="1" outlineLevel="1">
      <c r="B320" s="117"/>
      <c r="C320" s="73"/>
    </row>
    <row r="321" spans="2:38" ht="15" hidden="1" outlineLevel="1">
      <c r="B321" s="111" t="s">
        <v>194</v>
      </c>
      <c r="C321" s="116">
        <f>F$7</f>
        <v>61.34</v>
      </c>
    </row>
    <row r="322" spans="2:38" hidden="1" outlineLevel="1">
      <c r="B322" s="191" t="s">
        <v>149</v>
      </c>
      <c r="C322" s="235">
        <f>C314</f>
        <v>1</v>
      </c>
      <c r="D322" s="150"/>
      <c r="E322" s="150"/>
      <c r="F322" s="150"/>
      <c r="G322" s="150"/>
      <c r="H322" s="150"/>
      <c r="I322" s="150">
        <f t="shared" ref="I322:T322" si="116">ROUND($C322*I204,0)</f>
        <v>7078</v>
      </c>
      <c r="J322" s="150">
        <f t="shared" si="116"/>
        <v>7220</v>
      </c>
      <c r="K322" s="150">
        <f t="shared" si="116"/>
        <v>7364</v>
      </c>
      <c r="L322" s="150">
        <f t="shared" si="116"/>
        <v>7511</v>
      </c>
      <c r="M322" s="150">
        <f t="shared" si="116"/>
        <v>7661</v>
      </c>
      <c r="N322" s="150">
        <f t="shared" si="116"/>
        <v>7815</v>
      </c>
      <c r="O322" s="150">
        <f t="shared" si="116"/>
        <v>7971</v>
      </c>
      <c r="P322" s="150">
        <f t="shared" si="116"/>
        <v>8130</v>
      </c>
      <c r="Q322" s="150">
        <f t="shared" si="116"/>
        <v>8293</v>
      </c>
      <c r="R322" s="150">
        <f t="shared" si="116"/>
        <v>8459</v>
      </c>
      <c r="S322" s="150">
        <f t="shared" si="116"/>
        <v>8628</v>
      </c>
      <c r="T322" s="315">
        <f t="shared" si="116"/>
        <v>8801</v>
      </c>
      <c r="U322" s="315">
        <f>ROUND($C322*U204,0)</f>
        <v>8977</v>
      </c>
    </row>
    <row r="323" spans="2:38" hidden="1" outlineLevel="1">
      <c r="B323" s="191" t="s">
        <v>150</v>
      </c>
      <c r="C323" s="235">
        <f>C315</f>
        <v>1.5</v>
      </c>
      <c r="D323" s="150"/>
      <c r="E323" s="150"/>
      <c r="F323" s="150"/>
      <c r="G323" s="150"/>
      <c r="H323" s="150"/>
      <c r="I323" s="150">
        <f t="shared" ref="I323:T323" si="117">ROUND($C323*I205,0)</f>
        <v>749</v>
      </c>
      <c r="J323" s="150">
        <f t="shared" si="117"/>
        <v>763</v>
      </c>
      <c r="K323" s="150">
        <f t="shared" si="117"/>
        <v>779</v>
      </c>
      <c r="L323" s="150">
        <f t="shared" si="117"/>
        <v>794</v>
      </c>
      <c r="M323" s="150">
        <f t="shared" si="117"/>
        <v>810</v>
      </c>
      <c r="N323" s="150">
        <f t="shared" si="117"/>
        <v>826</v>
      </c>
      <c r="O323" s="150">
        <f t="shared" si="117"/>
        <v>843</v>
      </c>
      <c r="P323" s="150">
        <f t="shared" si="117"/>
        <v>860</v>
      </c>
      <c r="Q323" s="150">
        <f t="shared" si="117"/>
        <v>877</v>
      </c>
      <c r="R323" s="150">
        <f t="shared" si="117"/>
        <v>895</v>
      </c>
      <c r="S323" s="150">
        <f t="shared" si="117"/>
        <v>912</v>
      </c>
      <c r="T323" s="315">
        <f t="shared" si="117"/>
        <v>931</v>
      </c>
      <c r="U323" s="315">
        <f>ROUND($C323*U205,0)</f>
        <v>949</v>
      </c>
    </row>
    <row r="324" spans="2:38" hidden="1" outlineLevel="1">
      <c r="B324" s="191" t="s">
        <v>151</v>
      </c>
      <c r="C324" s="235">
        <f>C316</f>
        <v>3</v>
      </c>
      <c r="D324" s="150"/>
      <c r="E324" s="150"/>
      <c r="F324" s="150"/>
      <c r="G324" s="150"/>
      <c r="H324" s="150"/>
      <c r="I324" s="150">
        <f t="shared" ref="I324:T324" si="118">ROUND($C324*I207,0)</f>
        <v>1725</v>
      </c>
      <c r="J324" s="150">
        <f t="shared" si="118"/>
        <v>1760</v>
      </c>
      <c r="K324" s="150">
        <f t="shared" si="118"/>
        <v>1795</v>
      </c>
      <c r="L324" s="150">
        <f t="shared" si="118"/>
        <v>1831</v>
      </c>
      <c r="M324" s="150">
        <f t="shared" si="118"/>
        <v>1867</v>
      </c>
      <c r="N324" s="150">
        <f t="shared" si="118"/>
        <v>1905</v>
      </c>
      <c r="O324" s="150">
        <f t="shared" si="118"/>
        <v>1943</v>
      </c>
      <c r="P324" s="150">
        <f t="shared" si="118"/>
        <v>1981</v>
      </c>
      <c r="Q324" s="150">
        <f t="shared" si="118"/>
        <v>2021</v>
      </c>
      <c r="R324" s="150">
        <f t="shared" si="118"/>
        <v>2062</v>
      </c>
      <c r="S324" s="150">
        <f t="shared" si="118"/>
        <v>2103</v>
      </c>
      <c r="T324" s="315">
        <f t="shared" si="118"/>
        <v>2145</v>
      </c>
      <c r="U324" s="315">
        <f>ROUND($C324*U207,0)</f>
        <v>2188</v>
      </c>
    </row>
    <row r="325" spans="2:38" hidden="1" outlineLevel="1">
      <c r="B325" s="191" t="s">
        <v>152</v>
      </c>
      <c r="C325" s="235">
        <v>4.5</v>
      </c>
      <c r="D325" s="150"/>
      <c r="E325" s="150"/>
      <c r="F325" s="150"/>
      <c r="G325" s="150"/>
      <c r="H325" s="150"/>
      <c r="I325" s="150">
        <f t="shared" ref="I325:T325" si="119">ROUND($C325*I208,0)</f>
        <v>12218</v>
      </c>
      <c r="J325" s="150">
        <f t="shared" si="119"/>
        <v>12340</v>
      </c>
      <c r="K325" s="150">
        <f t="shared" si="119"/>
        <v>12463</v>
      </c>
      <c r="L325" s="150">
        <f t="shared" si="119"/>
        <v>12588</v>
      </c>
      <c r="M325" s="150">
        <f t="shared" si="119"/>
        <v>12714</v>
      </c>
      <c r="N325" s="150">
        <f t="shared" si="119"/>
        <v>12841</v>
      </c>
      <c r="O325" s="150">
        <f t="shared" si="119"/>
        <v>12969</v>
      </c>
      <c r="P325" s="150">
        <f t="shared" si="119"/>
        <v>13099</v>
      </c>
      <c r="Q325" s="150">
        <f t="shared" si="119"/>
        <v>13230</v>
      </c>
      <c r="R325" s="150">
        <f t="shared" si="119"/>
        <v>13362</v>
      </c>
      <c r="S325" s="150">
        <f t="shared" si="119"/>
        <v>13496</v>
      </c>
      <c r="T325" s="315">
        <f t="shared" si="119"/>
        <v>13631</v>
      </c>
      <c r="U325" s="315">
        <f>ROUND($C325*U208,0)</f>
        <v>13767</v>
      </c>
    </row>
    <row r="326" spans="2:38" hidden="1" outlineLevel="1">
      <c r="B326" s="191" t="s">
        <v>153</v>
      </c>
      <c r="C326" s="235">
        <f>C318</f>
        <v>4.5</v>
      </c>
      <c r="D326" s="150"/>
      <c r="E326" s="150"/>
      <c r="F326" s="150"/>
      <c r="G326" s="150"/>
      <c r="H326" s="150"/>
      <c r="I326" s="150">
        <f t="shared" ref="I326:T326" si="120">ROUND($C326*I209,0)</f>
        <v>0</v>
      </c>
      <c r="J326" s="150">
        <f t="shared" si="120"/>
        <v>0</v>
      </c>
      <c r="K326" s="150">
        <f t="shared" si="120"/>
        <v>0</v>
      </c>
      <c r="L326" s="150">
        <f t="shared" si="120"/>
        <v>0</v>
      </c>
      <c r="M326" s="150">
        <f t="shared" si="120"/>
        <v>0</v>
      </c>
      <c r="N326" s="150">
        <f t="shared" si="120"/>
        <v>0</v>
      </c>
      <c r="O326" s="150">
        <f t="shared" si="120"/>
        <v>0</v>
      </c>
      <c r="P326" s="150">
        <f t="shared" si="120"/>
        <v>0</v>
      </c>
      <c r="Q326" s="150">
        <f t="shared" si="120"/>
        <v>0</v>
      </c>
      <c r="R326" s="150">
        <f t="shared" si="120"/>
        <v>0</v>
      </c>
      <c r="S326" s="150">
        <f t="shared" si="120"/>
        <v>0</v>
      </c>
      <c r="T326" s="315">
        <f t="shared" si="120"/>
        <v>0</v>
      </c>
      <c r="U326" s="315">
        <f>ROUND($C326*U209,0)</f>
        <v>0</v>
      </c>
    </row>
    <row r="327" spans="2:38" ht="15" hidden="1" outlineLevel="1">
      <c r="B327" s="236" t="str">
        <f>B319</f>
        <v>Total PCUs</v>
      </c>
      <c r="C327" s="178"/>
      <c r="D327" s="150"/>
      <c r="E327" s="150"/>
      <c r="F327" s="156"/>
      <c r="G327" s="156"/>
      <c r="H327" s="156"/>
      <c r="I327" s="156">
        <f t="shared" ref="I327:T327" si="121">SUM(I322:I326)</f>
        <v>21770</v>
      </c>
      <c r="J327" s="156">
        <f t="shared" si="121"/>
        <v>22083</v>
      </c>
      <c r="K327" s="156">
        <f t="shared" si="121"/>
        <v>22401</v>
      </c>
      <c r="L327" s="156">
        <f t="shared" si="121"/>
        <v>22724</v>
      </c>
      <c r="M327" s="156">
        <f t="shared" si="121"/>
        <v>23052</v>
      </c>
      <c r="N327" s="156">
        <f t="shared" si="121"/>
        <v>23387</v>
      </c>
      <c r="O327" s="156">
        <f t="shared" si="121"/>
        <v>23726</v>
      </c>
      <c r="P327" s="156">
        <f t="shared" si="121"/>
        <v>24070</v>
      </c>
      <c r="Q327" s="156">
        <f t="shared" si="121"/>
        <v>24421</v>
      </c>
      <c r="R327" s="156">
        <f t="shared" si="121"/>
        <v>24778</v>
      </c>
      <c r="S327" s="156">
        <f t="shared" si="121"/>
        <v>25139</v>
      </c>
      <c r="T327" s="321">
        <f t="shared" si="121"/>
        <v>25508</v>
      </c>
      <c r="U327" s="321">
        <f>SUM(U322:U326)</f>
        <v>25881</v>
      </c>
      <c r="V327" s="3"/>
      <c r="W327" s="3"/>
      <c r="X327" s="3"/>
      <c r="Y327" s="3"/>
      <c r="Z327" s="3"/>
      <c r="AA327" s="3"/>
      <c r="AB327" s="3"/>
      <c r="AC327" s="3"/>
      <c r="AD327" s="3"/>
      <c r="AE327" s="3"/>
      <c r="AF327" s="3"/>
      <c r="AG327" s="3"/>
      <c r="AH327" s="3"/>
      <c r="AI327" s="3"/>
      <c r="AJ327" s="3"/>
      <c r="AK327" s="3"/>
      <c r="AL327" s="3"/>
    </row>
    <row r="328" spans="2:38" hidden="1" outlineLevel="1">
      <c r="B328" s="115"/>
    </row>
    <row r="329" spans="2:38" ht="15" hidden="1" outlineLevel="1">
      <c r="B329" s="111" t="s">
        <v>197</v>
      </c>
      <c r="C329" s="116">
        <f>H$7</f>
        <v>0</v>
      </c>
    </row>
    <row r="330" spans="2:38" hidden="1" outlineLevel="1">
      <c r="B330" s="191" t="s">
        <v>149</v>
      </c>
      <c r="C330" s="235">
        <f>C322</f>
        <v>1</v>
      </c>
      <c r="D330" s="150"/>
      <c r="E330" s="150"/>
      <c r="F330" s="150"/>
      <c r="G330" s="150"/>
      <c r="H330" s="150"/>
      <c r="I330" s="150" t="e">
        <f>ROUND($C330*#REF!,0)</f>
        <v>#REF!</v>
      </c>
      <c r="J330" s="150" t="e">
        <f>ROUND($C330*#REF!,0)</f>
        <v>#REF!</v>
      </c>
      <c r="K330" s="150" t="e">
        <f>ROUND($C330*#REF!,0)</f>
        <v>#REF!</v>
      </c>
      <c r="L330" s="150" t="e">
        <f>ROUND($C330*#REF!,0)</f>
        <v>#REF!</v>
      </c>
      <c r="M330" s="150" t="e">
        <f>ROUND($C330*#REF!,0)</f>
        <v>#REF!</v>
      </c>
      <c r="N330" s="150" t="e">
        <f>ROUND($C330*#REF!,0)</f>
        <v>#REF!</v>
      </c>
      <c r="O330" s="150" t="e">
        <f>ROUND($C330*#REF!,0)</f>
        <v>#REF!</v>
      </c>
      <c r="P330" s="150" t="e">
        <f>ROUND($C330*#REF!,0)</f>
        <v>#REF!</v>
      </c>
      <c r="Q330" s="150" t="e">
        <f>ROUND($C330*#REF!,0)</f>
        <v>#REF!</v>
      </c>
      <c r="R330" s="150" t="e">
        <f>ROUND($C330*#REF!,0)</f>
        <v>#REF!</v>
      </c>
      <c r="S330" s="150" t="e">
        <f>ROUND($C330*#REF!,0)</f>
        <v>#REF!</v>
      </c>
      <c r="T330" s="315" t="e">
        <f>ROUND($C330*#REF!,0)</f>
        <v>#REF!</v>
      </c>
      <c r="U330" s="315" t="e">
        <f>ROUND($C330*#REF!,0)</f>
        <v>#REF!</v>
      </c>
    </row>
    <row r="331" spans="2:38" hidden="1" outlineLevel="1">
      <c r="B331" s="191" t="s">
        <v>150</v>
      </c>
      <c r="C331" s="235">
        <f>C323</f>
        <v>1.5</v>
      </c>
      <c r="D331" s="150"/>
      <c r="E331" s="150"/>
      <c r="F331" s="150"/>
      <c r="G331" s="150"/>
      <c r="H331" s="150"/>
      <c r="I331" s="150" t="e">
        <f>ROUND($C331*#REF!,0)</f>
        <v>#REF!</v>
      </c>
      <c r="J331" s="150" t="e">
        <f>ROUND($C331*#REF!,0)</f>
        <v>#REF!</v>
      </c>
      <c r="K331" s="150" t="e">
        <f>ROUND($C331*#REF!,0)</f>
        <v>#REF!</v>
      </c>
      <c r="L331" s="150" t="e">
        <f>ROUND($C331*#REF!,0)</f>
        <v>#REF!</v>
      </c>
      <c r="M331" s="150" t="e">
        <f>ROUND($C331*#REF!,0)</f>
        <v>#REF!</v>
      </c>
      <c r="N331" s="150" t="e">
        <f>ROUND($C331*#REF!,0)</f>
        <v>#REF!</v>
      </c>
      <c r="O331" s="150" t="e">
        <f>ROUND($C331*#REF!,0)</f>
        <v>#REF!</v>
      </c>
      <c r="P331" s="150" t="e">
        <f>ROUND($C331*#REF!,0)</f>
        <v>#REF!</v>
      </c>
      <c r="Q331" s="150" t="e">
        <f>ROUND($C331*#REF!,0)</f>
        <v>#REF!</v>
      </c>
      <c r="R331" s="150" t="e">
        <f>ROUND($C331*#REF!,0)</f>
        <v>#REF!</v>
      </c>
      <c r="S331" s="150" t="e">
        <f>ROUND($C331*#REF!,0)</f>
        <v>#REF!</v>
      </c>
      <c r="T331" s="315" t="e">
        <f>ROUND($C331*#REF!,0)</f>
        <v>#REF!</v>
      </c>
      <c r="U331" s="315" t="e">
        <f>ROUND($C331*#REF!,0)</f>
        <v>#REF!</v>
      </c>
    </row>
    <row r="332" spans="2:38" hidden="1" outlineLevel="1">
      <c r="B332" s="191" t="s">
        <v>151</v>
      </c>
      <c r="C332" s="235">
        <f>C324</f>
        <v>3</v>
      </c>
      <c r="D332" s="150"/>
      <c r="E332" s="150"/>
      <c r="F332" s="150"/>
      <c r="G332" s="150"/>
      <c r="H332" s="150"/>
      <c r="I332" s="150" t="e">
        <f>ROUND($C332*#REF!,0)</f>
        <v>#REF!</v>
      </c>
      <c r="J332" s="150" t="e">
        <f>ROUND($C332*#REF!,0)</f>
        <v>#REF!</v>
      </c>
      <c r="K332" s="150" t="e">
        <f>ROUND($C332*#REF!,0)</f>
        <v>#REF!</v>
      </c>
      <c r="L332" s="150" t="e">
        <f>ROUND($C332*#REF!,0)</f>
        <v>#REF!</v>
      </c>
      <c r="M332" s="150" t="e">
        <f>ROUND($C332*#REF!,0)</f>
        <v>#REF!</v>
      </c>
      <c r="N332" s="150" t="e">
        <f>ROUND($C332*#REF!,0)</f>
        <v>#REF!</v>
      </c>
      <c r="O332" s="150" t="e">
        <f>ROUND($C332*#REF!,0)</f>
        <v>#REF!</v>
      </c>
      <c r="P332" s="150" t="e">
        <f>ROUND($C332*#REF!,0)</f>
        <v>#REF!</v>
      </c>
      <c r="Q332" s="150" t="e">
        <f>ROUND($C332*#REF!,0)</f>
        <v>#REF!</v>
      </c>
      <c r="R332" s="150" t="e">
        <f>ROUND($C332*#REF!,0)</f>
        <v>#REF!</v>
      </c>
      <c r="S332" s="150" t="e">
        <f>ROUND($C332*#REF!,0)</f>
        <v>#REF!</v>
      </c>
      <c r="T332" s="315" t="e">
        <f>ROUND($C332*#REF!,0)</f>
        <v>#REF!</v>
      </c>
      <c r="U332" s="315" t="e">
        <f>ROUND($C332*#REF!,0)</f>
        <v>#REF!</v>
      </c>
    </row>
    <row r="333" spans="2:38" hidden="1" outlineLevel="1">
      <c r="B333" s="191" t="s">
        <v>152</v>
      </c>
      <c r="C333" s="235">
        <v>4.5</v>
      </c>
      <c r="D333" s="150"/>
      <c r="E333" s="150"/>
      <c r="F333" s="150"/>
      <c r="G333" s="150"/>
      <c r="H333" s="150"/>
      <c r="I333" s="150" t="e">
        <f>ROUND($C333*#REF!,0)</f>
        <v>#REF!</v>
      </c>
      <c r="J333" s="150" t="e">
        <f>ROUND($C333*#REF!,0)</f>
        <v>#REF!</v>
      </c>
      <c r="K333" s="150" t="e">
        <f>ROUND($C333*#REF!,0)</f>
        <v>#REF!</v>
      </c>
      <c r="L333" s="150" t="e">
        <f>ROUND($C333*#REF!,0)</f>
        <v>#REF!</v>
      </c>
      <c r="M333" s="150" t="e">
        <f>ROUND($C333*#REF!,0)</f>
        <v>#REF!</v>
      </c>
      <c r="N333" s="150" t="e">
        <f>ROUND($C333*#REF!,0)</f>
        <v>#REF!</v>
      </c>
      <c r="O333" s="150" t="e">
        <f>ROUND($C333*#REF!,0)</f>
        <v>#REF!</v>
      </c>
      <c r="P333" s="150" t="e">
        <f>ROUND($C333*#REF!,0)</f>
        <v>#REF!</v>
      </c>
      <c r="Q333" s="150" t="e">
        <f>ROUND($C333*#REF!,0)</f>
        <v>#REF!</v>
      </c>
      <c r="R333" s="150" t="e">
        <f>ROUND($C333*#REF!,0)</f>
        <v>#REF!</v>
      </c>
      <c r="S333" s="150" t="e">
        <f>ROUND($C333*#REF!,0)</f>
        <v>#REF!</v>
      </c>
      <c r="T333" s="315" t="e">
        <f>ROUND($C333*#REF!,0)</f>
        <v>#REF!</v>
      </c>
      <c r="U333" s="315" t="e">
        <f>ROUND($C333*#REF!,0)</f>
        <v>#REF!</v>
      </c>
    </row>
    <row r="334" spans="2:38" hidden="1" outlineLevel="1">
      <c r="B334" s="191" t="s">
        <v>153</v>
      </c>
      <c r="C334" s="235">
        <f>C326</f>
        <v>4.5</v>
      </c>
      <c r="D334" s="150"/>
      <c r="E334" s="150"/>
      <c r="F334" s="150"/>
      <c r="G334" s="150"/>
      <c r="H334" s="150"/>
      <c r="I334" s="150" t="e">
        <f>ROUND($C334*#REF!,0)</f>
        <v>#REF!</v>
      </c>
      <c r="J334" s="150" t="e">
        <f>ROUND($C334*#REF!,0)</f>
        <v>#REF!</v>
      </c>
      <c r="K334" s="150" t="e">
        <f>ROUND($C334*#REF!,0)</f>
        <v>#REF!</v>
      </c>
      <c r="L334" s="150" t="e">
        <f>ROUND($C334*#REF!,0)</f>
        <v>#REF!</v>
      </c>
      <c r="M334" s="150" t="e">
        <f>ROUND($C334*#REF!,0)</f>
        <v>#REF!</v>
      </c>
      <c r="N334" s="150" t="e">
        <f>ROUND($C334*#REF!,0)</f>
        <v>#REF!</v>
      </c>
      <c r="O334" s="150" t="e">
        <f>ROUND($C334*#REF!,0)</f>
        <v>#REF!</v>
      </c>
      <c r="P334" s="150" t="e">
        <f>ROUND($C334*#REF!,0)</f>
        <v>#REF!</v>
      </c>
      <c r="Q334" s="150" t="e">
        <f>ROUND($C334*#REF!,0)</f>
        <v>#REF!</v>
      </c>
      <c r="R334" s="150" t="e">
        <f>ROUND($C334*#REF!,0)</f>
        <v>#REF!</v>
      </c>
      <c r="S334" s="150" t="e">
        <f>ROUND($C334*#REF!,0)</f>
        <v>#REF!</v>
      </c>
      <c r="T334" s="315" t="e">
        <f>ROUND($C334*#REF!,0)</f>
        <v>#REF!</v>
      </c>
      <c r="U334" s="315" t="e">
        <f>ROUND($C334*#REF!,0)</f>
        <v>#REF!</v>
      </c>
    </row>
    <row r="335" spans="2:38" ht="15" hidden="1" outlineLevel="1">
      <c r="B335" s="236" t="str">
        <f>B327</f>
        <v>Total PCUs</v>
      </c>
      <c r="C335" s="178"/>
      <c r="D335" s="150"/>
      <c r="E335" s="150"/>
      <c r="F335" s="156"/>
      <c r="G335" s="156"/>
      <c r="H335" s="156"/>
      <c r="I335" s="156" t="e">
        <f t="shared" ref="I335:T335" si="122">SUM(I330:I334)</f>
        <v>#REF!</v>
      </c>
      <c r="J335" s="156" t="e">
        <f t="shared" si="122"/>
        <v>#REF!</v>
      </c>
      <c r="K335" s="156" t="e">
        <f t="shared" si="122"/>
        <v>#REF!</v>
      </c>
      <c r="L335" s="156" t="e">
        <f t="shared" si="122"/>
        <v>#REF!</v>
      </c>
      <c r="M335" s="156" t="e">
        <f t="shared" si="122"/>
        <v>#REF!</v>
      </c>
      <c r="N335" s="156" t="e">
        <f t="shared" si="122"/>
        <v>#REF!</v>
      </c>
      <c r="O335" s="156" t="e">
        <f t="shared" si="122"/>
        <v>#REF!</v>
      </c>
      <c r="P335" s="156" t="e">
        <f t="shared" si="122"/>
        <v>#REF!</v>
      </c>
      <c r="Q335" s="156" t="e">
        <f t="shared" si="122"/>
        <v>#REF!</v>
      </c>
      <c r="R335" s="156" t="e">
        <f t="shared" si="122"/>
        <v>#REF!</v>
      </c>
      <c r="S335" s="156" t="e">
        <f t="shared" si="122"/>
        <v>#REF!</v>
      </c>
      <c r="T335" s="321" t="e">
        <f t="shared" si="122"/>
        <v>#REF!</v>
      </c>
      <c r="U335" s="321" t="e">
        <f>SUM(U330:U334)</f>
        <v>#REF!</v>
      </c>
      <c r="V335" s="3"/>
      <c r="W335" s="3"/>
      <c r="X335" s="3"/>
      <c r="Y335" s="3"/>
      <c r="Z335" s="3"/>
      <c r="AA335" s="3"/>
      <c r="AB335" s="3"/>
      <c r="AC335" s="3"/>
      <c r="AD335" s="3"/>
      <c r="AE335" s="3"/>
      <c r="AF335" s="3"/>
      <c r="AG335" s="3"/>
      <c r="AH335" s="3"/>
      <c r="AI335" s="3"/>
      <c r="AJ335" s="3"/>
      <c r="AK335" s="3"/>
      <c r="AL335" s="3"/>
    </row>
    <row r="336" spans="2:38" hidden="1" outlineLevel="1">
      <c r="B336" s="115"/>
    </row>
    <row r="337" spans="2:38" ht="15.75" hidden="1" collapsed="1" thickBot="1">
      <c r="B337" s="118" t="s">
        <v>195</v>
      </c>
      <c r="C337" s="119"/>
      <c r="D337" s="119"/>
      <c r="E337" s="119"/>
      <c r="F337" s="120"/>
      <c r="G337" s="120"/>
      <c r="H337" s="120"/>
      <c r="I337" s="120" t="e">
        <f t="shared" ref="I337:T337" si="123">ROUND(($C$313*I319+$C$321*I327+$C$329*I335)/$I$7,0)</f>
        <v>#REF!</v>
      </c>
      <c r="J337" s="120" t="e">
        <f t="shared" si="123"/>
        <v>#REF!</v>
      </c>
      <c r="K337" s="120" t="e">
        <f t="shared" si="123"/>
        <v>#REF!</v>
      </c>
      <c r="L337" s="120" t="e">
        <f t="shared" si="123"/>
        <v>#REF!</v>
      </c>
      <c r="M337" s="120" t="e">
        <f t="shared" si="123"/>
        <v>#REF!</v>
      </c>
      <c r="N337" s="120" t="e">
        <f t="shared" si="123"/>
        <v>#REF!</v>
      </c>
      <c r="O337" s="120" t="e">
        <f t="shared" si="123"/>
        <v>#REF!</v>
      </c>
      <c r="P337" s="120" t="e">
        <f t="shared" si="123"/>
        <v>#REF!</v>
      </c>
      <c r="Q337" s="120" t="e">
        <f t="shared" si="123"/>
        <v>#REF!</v>
      </c>
      <c r="R337" s="120" t="e">
        <f t="shared" si="123"/>
        <v>#REF!</v>
      </c>
      <c r="S337" s="120" t="e">
        <f t="shared" si="123"/>
        <v>#REF!</v>
      </c>
      <c r="T337" s="120" t="e">
        <f t="shared" si="123"/>
        <v>#REF!</v>
      </c>
      <c r="U337" s="120" t="e">
        <f>ROUND(($C$313*U319+$C$321*U327+$C$329*U335)/$I$7,0)</f>
        <v>#REF!</v>
      </c>
      <c r="V337" s="328"/>
      <c r="W337" s="328"/>
      <c r="X337" s="328"/>
      <c r="Y337" s="328"/>
      <c r="Z337" s="328"/>
      <c r="AA337" s="328"/>
      <c r="AB337" s="328"/>
      <c r="AC337" s="328"/>
      <c r="AD337" s="328"/>
      <c r="AE337" s="328"/>
      <c r="AF337" s="328"/>
      <c r="AG337" s="328"/>
      <c r="AH337" s="328"/>
      <c r="AI337" s="328"/>
      <c r="AJ337" s="328"/>
      <c r="AK337" s="328"/>
      <c r="AL337" s="328"/>
    </row>
    <row r="338" spans="2:38" hidden="1">
      <c r="C338" s="121"/>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row>
    <row r="339" spans="2:38">
      <c r="H339" s="72"/>
    </row>
    <row r="340" spans="2:38">
      <c r="I340" s="84">
        <f>30/50</f>
        <v>0.6</v>
      </c>
    </row>
    <row r="342" spans="2:38">
      <c r="F342" s="83"/>
    </row>
  </sheetData>
  <conditionalFormatting sqref="F338:AL338">
    <cfRule type="cellIs" dxfId="6" priority="1" operator="equal">
      <formula>"Error"</formula>
    </cfRule>
    <cfRule type="cellIs" dxfId="5" priority="2" operator="equal">
      <formula>"Ok"</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3"/>
  <sheetViews>
    <sheetView showGridLines="0" workbookViewId="0">
      <pane xSplit="4" ySplit="3" topLeftCell="AJ4" activePane="bottomRight" state="frozen"/>
      <selection activeCell="F37" sqref="F37"/>
      <selection pane="topRight" activeCell="F37" sqref="F37"/>
      <selection pane="bottomLeft" activeCell="F37" sqref="F37"/>
      <selection pane="bottomRight" activeCell="S12" sqref="S12"/>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4" t="s">
        <v>200</v>
      </c>
      <c r="C1" s="7"/>
      <c r="D1" s="7">
        <f>EOMONTH(DATE(2018,3,31),0)</f>
        <v>43190</v>
      </c>
      <c r="E1" s="7">
        <f>EOMONTH(D1,3)</f>
        <v>43281</v>
      </c>
      <c r="F1" s="7">
        <f t="shared" ref="F1:BA1" si="0">EOMONTH(E1,3)</f>
        <v>43373</v>
      </c>
      <c r="G1" s="7">
        <f t="shared" si="0"/>
        <v>43465</v>
      </c>
      <c r="H1" s="7">
        <f t="shared" si="0"/>
        <v>43555</v>
      </c>
      <c r="I1" s="7">
        <f t="shared" si="0"/>
        <v>43646</v>
      </c>
      <c r="J1" s="7">
        <f t="shared" si="0"/>
        <v>43738</v>
      </c>
      <c r="K1" s="7">
        <f t="shared" si="0"/>
        <v>43830</v>
      </c>
      <c r="L1" s="7">
        <f t="shared" si="0"/>
        <v>43921</v>
      </c>
      <c r="M1" s="7">
        <f t="shared" si="0"/>
        <v>44012</v>
      </c>
      <c r="N1" s="7">
        <f t="shared" si="0"/>
        <v>44104</v>
      </c>
      <c r="O1" s="7">
        <f t="shared" si="0"/>
        <v>44196</v>
      </c>
      <c r="P1" s="7">
        <f t="shared" si="0"/>
        <v>44286</v>
      </c>
      <c r="Q1" s="7">
        <f t="shared" si="0"/>
        <v>44377</v>
      </c>
      <c r="R1" s="7">
        <f t="shared" si="0"/>
        <v>44469</v>
      </c>
      <c r="S1" s="7">
        <f t="shared" si="0"/>
        <v>44561</v>
      </c>
      <c r="T1" s="7">
        <f t="shared" si="0"/>
        <v>44651</v>
      </c>
      <c r="U1" s="7">
        <f t="shared" si="0"/>
        <v>44742</v>
      </c>
      <c r="V1" s="7">
        <f t="shared" si="0"/>
        <v>44834</v>
      </c>
      <c r="W1" s="7">
        <f t="shared" si="0"/>
        <v>44926</v>
      </c>
      <c r="X1" s="7">
        <f t="shared" si="0"/>
        <v>45016</v>
      </c>
      <c r="Y1" s="7">
        <f t="shared" si="0"/>
        <v>45107</v>
      </c>
      <c r="Z1" s="7">
        <f t="shared" si="0"/>
        <v>45199</v>
      </c>
      <c r="AA1" s="7">
        <f t="shared" si="0"/>
        <v>45291</v>
      </c>
      <c r="AB1" s="7">
        <f t="shared" si="0"/>
        <v>45382</v>
      </c>
      <c r="AC1" s="7">
        <f t="shared" si="0"/>
        <v>45473</v>
      </c>
      <c r="AD1" s="7">
        <f t="shared" si="0"/>
        <v>45565</v>
      </c>
      <c r="AE1" s="7">
        <f t="shared" si="0"/>
        <v>45657</v>
      </c>
      <c r="AF1" s="7">
        <f t="shared" si="0"/>
        <v>45747</v>
      </c>
      <c r="AG1" s="7">
        <f t="shared" si="0"/>
        <v>45838</v>
      </c>
      <c r="AH1" s="7">
        <f t="shared" si="0"/>
        <v>45930</v>
      </c>
      <c r="AI1" s="7">
        <f t="shared" si="0"/>
        <v>46022</v>
      </c>
      <c r="AJ1" s="7">
        <f t="shared" si="0"/>
        <v>46112</v>
      </c>
      <c r="AK1" s="7">
        <f t="shared" si="0"/>
        <v>46203</v>
      </c>
      <c r="AL1" s="7">
        <f t="shared" si="0"/>
        <v>46295</v>
      </c>
      <c r="AM1" s="7">
        <f t="shared" si="0"/>
        <v>46387</v>
      </c>
      <c r="AN1" s="7">
        <f t="shared" si="0"/>
        <v>46477</v>
      </c>
      <c r="AO1" s="7">
        <f t="shared" si="0"/>
        <v>46568</v>
      </c>
      <c r="AP1" s="7">
        <f t="shared" si="0"/>
        <v>46660</v>
      </c>
      <c r="AQ1" s="7">
        <f t="shared" si="0"/>
        <v>46752</v>
      </c>
      <c r="AR1" s="7">
        <f t="shared" si="0"/>
        <v>46843</v>
      </c>
      <c r="AS1" s="7">
        <f t="shared" si="0"/>
        <v>46934</v>
      </c>
      <c r="AT1" s="7">
        <f t="shared" si="0"/>
        <v>47026</v>
      </c>
      <c r="AU1" s="7">
        <f t="shared" si="0"/>
        <v>47118</v>
      </c>
      <c r="AV1" s="7">
        <f t="shared" si="0"/>
        <v>47208</v>
      </c>
      <c r="AW1" s="7">
        <f t="shared" si="0"/>
        <v>47299</v>
      </c>
      <c r="AX1" s="7">
        <f t="shared" si="0"/>
        <v>47391</v>
      </c>
      <c r="AY1" s="7">
        <f t="shared" si="0"/>
        <v>47483</v>
      </c>
      <c r="AZ1" s="7">
        <f t="shared" si="0"/>
        <v>47573</v>
      </c>
      <c r="BA1" s="8">
        <f t="shared" si="0"/>
        <v>47664</v>
      </c>
      <c r="BB1" s="7"/>
      <c r="BC1" s="7"/>
      <c r="BD1" s="7"/>
      <c r="BE1" s="7"/>
    </row>
    <row r="2" spans="1:57" ht="15">
      <c r="B2" s="38" t="s">
        <v>184</v>
      </c>
      <c r="C2" s="30"/>
      <c r="D2" s="30"/>
      <c r="E2" s="30">
        <f>DATE(IF(MONTH(E1)&lt;=3,YEAR(E1),(YEAR(E1)+1)),3,31)</f>
        <v>43555</v>
      </c>
      <c r="F2" s="30">
        <f t="shared" ref="F2:BA2" si="1">DATE(IF(MONTH(F1)&lt;=3,YEAR(F1),(YEAR(F1)+1)),3,31)</f>
        <v>43555</v>
      </c>
      <c r="G2" s="30">
        <f t="shared" si="1"/>
        <v>43555</v>
      </c>
      <c r="H2" s="30">
        <f t="shared" si="1"/>
        <v>43555</v>
      </c>
      <c r="I2" s="30">
        <f t="shared" si="1"/>
        <v>43921</v>
      </c>
      <c r="J2" s="30">
        <f t="shared" si="1"/>
        <v>43921</v>
      </c>
      <c r="K2" s="30">
        <f t="shared" si="1"/>
        <v>43921</v>
      </c>
      <c r="L2" s="30">
        <f t="shared" si="1"/>
        <v>43921</v>
      </c>
      <c r="M2" s="30">
        <f t="shared" si="1"/>
        <v>44286</v>
      </c>
      <c r="N2" s="30">
        <f t="shared" si="1"/>
        <v>44286</v>
      </c>
      <c r="O2" s="30">
        <f t="shared" si="1"/>
        <v>44286</v>
      </c>
      <c r="P2" s="30">
        <f t="shared" si="1"/>
        <v>44286</v>
      </c>
      <c r="Q2" s="30">
        <f t="shared" si="1"/>
        <v>44651</v>
      </c>
      <c r="R2" s="30">
        <f t="shared" si="1"/>
        <v>44651</v>
      </c>
      <c r="S2" s="30">
        <f t="shared" si="1"/>
        <v>44651</v>
      </c>
      <c r="T2" s="30">
        <f t="shared" si="1"/>
        <v>44651</v>
      </c>
      <c r="U2" s="30">
        <f t="shared" si="1"/>
        <v>45016</v>
      </c>
      <c r="V2" s="30">
        <f t="shared" si="1"/>
        <v>45016</v>
      </c>
      <c r="W2" s="30">
        <f t="shared" si="1"/>
        <v>45016</v>
      </c>
      <c r="X2" s="30">
        <f t="shared" si="1"/>
        <v>45016</v>
      </c>
      <c r="Y2" s="30">
        <f t="shared" si="1"/>
        <v>45382</v>
      </c>
      <c r="Z2" s="30">
        <f t="shared" si="1"/>
        <v>45382</v>
      </c>
      <c r="AA2" s="30">
        <f t="shared" si="1"/>
        <v>45382</v>
      </c>
      <c r="AB2" s="30">
        <f t="shared" si="1"/>
        <v>45382</v>
      </c>
      <c r="AC2" s="30">
        <f t="shared" si="1"/>
        <v>45747</v>
      </c>
      <c r="AD2" s="30">
        <f t="shared" si="1"/>
        <v>45747</v>
      </c>
      <c r="AE2" s="30">
        <f t="shared" si="1"/>
        <v>45747</v>
      </c>
      <c r="AF2" s="30">
        <f t="shared" si="1"/>
        <v>45747</v>
      </c>
      <c r="AG2" s="30">
        <f t="shared" si="1"/>
        <v>46112</v>
      </c>
      <c r="AH2" s="30">
        <f t="shared" si="1"/>
        <v>46112</v>
      </c>
      <c r="AI2" s="30">
        <f t="shared" si="1"/>
        <v>46112</v>
      </c>
      <c r="AJ2" s="30">
        <f t="shared" si="1"/>
        <v>46112</v>
      </c>
      <c r="AK2" s="30">
        <f t="shared" si="1"/>
        <v>46477</v>
      </c>
      <c r="AL2" s="30">
        <f t="shared" si="1"/>
        <v>46477</v>
      </c>
      <c r="AM2" s="30">
        <f t="shared" si="1"/>
        <v>46477</v>
      </c>
      <c r="AN2" s="30">
        <f t="shared" si="1"/>
        <v>46477</v>
      </c>
      <c r="AO2" s="30">
        <f t="shared" si="1"/>
        <v>46843</v>
      </c>
      <c r="AP2" s="30">
        <f t="shared" si="1"/>
        <v>46843</v>
      </c>
      <c r="AQ2" s="30">
        <f t="shared" si="1"/>
        <v>46843</v>
      </c>
      <c r="AR2" s="30">
        <f t="shared" si="1"/>
        <v>46843</v>
      </c>
      <c r="AS2" s="30">
        <f t="shared" si="1"/>
        <v>47208</v>
      </c>
      <c r="AT2" s="30">
        <f t="shared" si="1"/>
        <v>47208</v>
      </c>
      <c r="AU2" s="30">
        <f t="shared" si="1"/>
        <v>47208</v>
      </c>
      <c r="AV2" s="30">
        <f t="shared" si="1"/>
        <v>47208</v>
      </c>
      <c r="AW2" s="30">
        <f t="shared" si="1"/>
        <v>47573</v>
      </c>
      <c r="AX2" s="30">
        <f t="shared" si="1"/>
        <v>47573</v>
      </c>
      <c r="AY2" s="30">
        <f t="shared" si="1"/>
        <v>47573</v>
      </c>
      <c r="AZ2" s="30">
        <f t="shared" si="1"/>
        <v>47573</v>
      </c>
      <c r="BA2" s="32">
        <f t="shared" si="1"/>
        <v>47938</v>
      </c>
    </row>
    <row r="3" spans="1:57" ht="15.75" thickBot="1">
      <c r="B3" s="39" t="s">
        <v>202</v>
      </c>
      <c r="C3" s="31"/>
      <c r="D3" s="31"/>
      <c r="E3" s="33">
        <f t="shared" ref="E3:AJ3" si="2">IF(MOD(YEAR(E2),4)=0,366,365)</f>
        <v>365</v>
      </c>
      <c r="F3" s="33">
        <f t="shared" si="2"/>
        <v>365</v>
      </c>
      <c r="G3" s="33">
        <f t="shared" si="2"/>
        <v>365</v>
      </c>
      <c r="H3" s="33">
        <f t="shared" si="2"/>
        <v>365</v>
      </c>
      <c r="I3" s="33">
        <f t="shared" si="2"/>
        <v>366</v>
      </c>
      <c r="J3" s="33">
        <f t="shared" si="2"/>
        <v>366</v>
      </c>
      <c r="K3" s="33">
        <f t="shared" si="2"/>
        <v>366</v>
      </c>
      <c r="L3" s="33">
        <f t="shared" si="2"/>
        <v>366</v>
      </c>
      <c r="M3" s="33">
        <f t="shared" si="2"/>
        <v>365</v>
      </c>
      <c r="N3" s="33">
        <f t="shared" si="2"/>
        <v>365</v>
      </c>
      <c r="O3" s="33">
        <f t="shared" si="2"/>
        <v>365</v>
      </c>
      <c r="P3" s="33">
        <f t="shared" si="2"/>
        <v>365</v>
      </c>
      <c r="Q3" s="33">
        <f t="shared" si="2"/>
        <v>365</v>
      </c>
      <c r="R3" s="33">
        <f t="shared" si="2"/>
        <v>365</v>
      </c>
      <c r="S3" s="33">
        <f t="shared" si="2"/>
        <v>365</v>
      </c>
      <c r="T3" s="33">
        <f t="shared" si="2"/>
        <v>365</v>
      </c>
      <c r="U3" s="33">
        <f t="shared" si="2"/>
        <v>365</v>
      </c>
      <c r="V3" s="33">
        <f t="shared" si="2"/>
        <v>365</v>
      </c>
      <c r="W3" s="33">
        <f t="shared" si="2"/>
        <v>365</v>
      </c>
      <c r="X3" s="33">
        <f t="shared" si="2"/>
        <v>365</v>
      </c>
      <c r="Y3" s="33">
        <f t="shared" si="2"/>
        <v>366</v>
      </c>
      <c r="Z3" s="33">
        <f t="shared" si="2"/>
        <v>366</v>
      </c>
      <c r="AA3" s="33">
        <f t="shared" si="2"/>
        <v>366</v>
      </c>
      <c r="AB3" s="33">
        <f t="shared" si="2"/>
        <v>366</v>
      </c>
      <c r="AC3" s="33">
        <f t="shared" si="2"/>
        <v>365</v>
      </c>
      <c r="AD3" s="33">
        <f t="shared" si="2"/>
        <v>365</v>
      </c>
      <c r="AE3" s="33">
        <f t="shared" si="2"/>
        <v>365</v>
      </c>
      <c r="AF3" s="33">
        <f t="shared" si="2"/>
        <v>365</v>
      </c>
      <c r="AG3" s="33">
        <f t="shared" si="2"/>
        <v>365</v>
      </c>
      <c r="AH3" s="33">
        <f t="shared" si="2"/>
        <v>365</v>
      </c>
      <c r="AI3" s="33">
        <f t="shared" si="2"/>
        <v>365</v>
      </c>
      <c r="AJ3" s="33">
        <f t="shared" si="2"/>
        <v>365</v>
      </c>
      <c r="AK3" s="33">
        <f t="shared" ref="AK3:BA3" si="3">IF(MOD(YEAR(AK2),4)=0,366,365)</f>
        <v>365</v>
      </c>
      <c r="AL3" s="33">
        <f t="shared" si="3"/>
        <v>365</v>
      </c>
      <c r="AM3" s="33">
        <f t="shared" si="3"/>
        <v>365</v>
      </c>
      <c r="AN3" s="33">
        <f t="shared" si="3"/>
        <v>365</v>
      </c>
      <c r="AO3" s="33">
        <f t="shared" si="3"/>
        <v>366</v>
      </c>
      <c r="AP3" s="33">
        <f t="shared" si="3"/>
        <v>366</v>
      </c>
      <c r="AQ3" s="33">
        <f t="shared" si="3"/>
        <v>366</v>
      </c>
      <c r="AR3" s="33">
        <f t="shared" si="3"/>
        <v>366</v>
      </c>
      <c r="AS3" s="33">
        <f t="shared" si="3"/>
        <v>365</v>
      </c>
      <c r="AT3" s="33">
        <f t="shared" si="3"/>
        <v>365</v>
      </c>
      <c r="AU3" s="33">
        <f t="shared" si="3"/>
        <v>365</v>
      </c>
      <c r="AV3" s="33">
        <f t="shared" si="3"/>
        <v>365</v>
      </c>
      <c r="AW3" s="33">
        <f t="shared" si="3"/>
        <v>365</v>
      </c>
      <c r="AX3" s="33">
        <f t="shared" si="3"/>
        <v>365</v>
      </c>
      <c r="AY3" s="33">
        <f t="shared" si="3"/>
        <v>365</v>
      </c>
      <c r="AZ3" s="33">
        <f t="shared" si="3"/>
        <v>365</v>
      </c>
      <c r="BA3" s="34">
        <f t="shared" si="3"/>
        <v>365</v>
      </c>
    </row>
    <row r="5" spans="1:57" ht="15">
      <c r="B5" s="156" t="s">
        <v>210</v>
      </c>
      <c r="C5" s="195"/>
      <c r="D5" s="209"/>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row>
    <row r="6" spans="1:57" ht="15">
      <c r="A6" s="35">
        <f>SUM(C5:BA6)</f>
        <v>0</v>
      </c>
      <c r="B6" s="156" t="s">
        <v>304</v>
      </c>
      <c r="C6" s="195"/>
      <c r="D6" s="150"/>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row>
    <row r="7" spans="1:57">
      <c r="P7" s="1">
        <f>Financials!E43</f>
        <v>1121.43</v>
      </c>
      <c r="Q7" s="1">
        <f>Financials!F43</f>
        <v>1064.4730480000001</v>
      </c>
      <c r="R7" s="1">
        <f>Financials!G43</f>
        <v>1010.1558529</v>
      </c>
      <c r="T7" s="82">
        <f>R7-T12</f>
        <v>-4.1470999999546621E-3</v>
      </c>
      <c r="U7" s="82">
        <f>T11-T7</f>
        <v>0.76414709999995267</v>
      </c>
    </row>
    <row r="8" spans="1:57" ht="15">
      <c r="B8" s="77" t="s">
        <v>204</v>
      </c>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row>
    <row r="9" spans="1:57" ht="15">
      <c r="B9" s="194" t="s">
        <v>211</v>
      </c>
      <c r="C9" s="210">
        <f>'Debt Repay'!E3</f>
        <v>1255.79</v>
      </c>
      <c r="D9" s="150"/>
      <c r="E9" s="212">
        <f>D12</f>
        <v>1255.79</v>
      </c>
      <c r="F9" s="212">
        <f t="shared" ref="F9:BA9" si="4">E12</f>
        <v>1245.33</v>
      </c>
      <c r="G9" s="212">
        <f t="shared" si="4"/>
        <v>1234.8699999999999</v>
      </c>
      <c r="H9" s="212">
        <f t="shared" si="4"/>
        <v>1213.94</v>
      </c>
      <c r="I9" s="212">
        <f t="shared" si="4"/>
        <v>1193.01</v>
      </c>
      <c r="J9" s="212">
        <f t="shared" si="4"/>
        <v>1181.08</v>
      </c>
      <c r="K9" s="212">
        <f t="shared" si="4"/>
        <v>1169.1500000000001</v>
      </c>
      <c r="L9" s="212">
        <f t="shared" si="4"/>
        <v>1145.29</v>
      </c>
      <c r="M9" s="212">
        <f t="shared" si="4"/>
        <v>1121.43</v>
      </c>
      <c r="N9" s="212">
        <f t="shared" si="4"/>
        <v>1112.22</v>
      </c>
      <c r="O9" s="212">
        <f t="shared" si="4"/>
        <v>1103.01</v>
      </c>
      <c r="P9" s="212">
        <f t="shared" si="4"/>
        <v>1084.5899999999999</v>
      </c>
      <c r="Q9" s="212">
        <f t="shared" si="4"/>
        <v>1066.17</v>
      </c>
      <c r="R9" s="212">
        <f t="shared" si="4"/>
        <v>1052.3599999999999</v>
      </c>
      <c r="S9" s="212">
        <f t="shared" si="4"/>
        <v>1038.55</v>
      </c>
      <c r="T9" s="212">
        <f t="shared" si="4"/>
        <v>1010.92</v>
      </c>
      <c r="U9" s="212">
        <f t="shared" si="4"/>
        <v>1010.16</v>
      </c>
      <c r="V9" s="212">
        <f t="shared" si="4"/>
        <v>981.55</v>
      </c>
      <c r="W9" s="212">
        <f t="shared" si="4"/>
        <v>945.61</v>
      </c>
      <c r="X9" s="212">
        <f t="shared" si="4"/>
        <v>907.94</v>
      </c>
      <c r="Y9" s="212">
        <f t="shared" si="4"/>
        <v>870.27</v>
      </c>
      <c r="Z9" s="212">
        <f t="shared" si="4"/>
        <v>845.15</v>
      </c>
      <c r="AA9" s="212">
        <f t="shared" si="4"/>
        <v>820.03</v>
      </c>
      <c r="AB9" s="212">
        <f t="shared" si="4"/>
        <v>769.8</v>
      </c>
      <c r="AC9" s="212">
        <f t="shared" si="4"/>
        <v>719.57</v>
      </c>
      <c r="AD9" s="212">
        <f t="shared" si="4"/>
        <v>688.18</v>
      </c>
      <c r="AE9" s="212">
        <f t="shared" si="4"/>
        <v>656.79</v>
      </c>
      <c r="AF9" s="212">
        <f t="shared" si="4"/>
        <v>594</v>
      </c>
      <c r="AG9" s="212">
        <f t="shared" si="4"/>
        <v>531.21</v>
      </c>
      <c r="AH9" s="212">
        <f t="shared" si="4"/>
        <v>491.97</v>
      </c>
      <c r="AI9" s="212">
        <f t="shared" si="4"/>
        <v>452.73</v>
      </c>
      <c r="AJ9" s="212">
        <f t="shared" si="4"/>
        <v>374.24</v>
      </c>
      <c r="AK9" s="212">
        <f t="shared" si="4"/>
        <v>295.75</v>
      </c>
      <c r="AL9" s="212">
        <f t="shared" si="4"/>
        <v>221.82</v>
      </c>
      <c r="AM9" s="212">
        <f t="shared" si="4"/>
        <v>147.88</v>
      </c>
      <c r="AN9" s="212">
        <f t="shared" si="4"/>
        <v>73.94</v>
      </c>
      <c r="AO9" s="212">
        <f t="shared" si="4"/>
        <v>0</v>
      </c>
      <c r="AP9" s="212">
        <f t="shared" si="4"/>
        <v>0</v>
      </c>
      <c r="AQ9" s="212">
        <f t="shared" si="4"/>
        <v>0</v>
      </c>
      <c r="AR9" s="212">
        <f t="shared" si="4"/>
        <v>0</v>
      </c>
      <c r="AS9" s="212">
        <f t="shared" si="4"/>
        <v>0</v>
      </c>
      <c r="AT9" s="212">
        <f t="shared" si="4"/>
        <v>0</v>
      </c>
      <c r="AU9" s="212">
        <f t="shared" si="4"/>
        <v>0</v>
      </c>
      <c r="AV9" s="212">
        <f t="shared" si="4"/>
        <v>0</v>
      </c>
      <c r="AW9" s="212">
        <f t="shared" si="4"/>
        <v>0</v>
      </c>
      <c r="AX9" s="212">
        <f t="shared" si="4"/>
        <v>0</v>
      </c>
      <c r="AY9" s="212">
        <f t="shared" si="4"/>
        <v>0</v>
      </c>
      <c r="AZ9" s="212">
        <f t="shared" si="4"/>
        <v>0</v>
      </c>
      <c r="BA9" s="212">
        <f t="shared" si="4"/>
        <v>0</v>
      </c>
    </row>
    <row r="10" spans="1:57" ht="15">
      <c r="A10" s="72">
        <f>SUM(E10:BA10)</f>
        <v>0</v>
      </c>
      <c r="B10" s="237" t="s">
        <v>203</v>
      </c>
      <c r="C10" s="150"/>
      <c r="D10" s="150"/>
      <c r="E10" s="212">
        <f>IF(E5&gt;0,MIN(E5,($C$9-$E$9-SUM($D$10:D10))),0)</f>
        <v>0</v>
      </c>
      <c r="F10" s="212">
        <f>IF(F5&gt;0,MIN(F5,($C$9-$E$9-SUM($D$10:E10))),0)</f>
        <v>0</v>
      </c>
      <c r="G10" s="212">
        <f>IF(G5&gt;0,MIN(G5,($C$9-$E$9-SUM($D$10:F10))),0)</f>
        <v>0</v>
      </c>
      <c r="H10" s="212">
        <f>IF(H5&gt;0,MIN(H5,($C$9-$E$9-SUM($D$10:G10))),0)</f>
        <v>0</v>
      </c>
      <c r="I10" s="212">
        <f>IF(I5&gt;0,MIN(I5,($C$9-$E$9-SUM($D$10:H10))),0)</f>
        <v>0</v>
      </c>
      <c r="J10" s="212">
        <f>IF(J5&gt;0,MIN(J5,($C$9-$E$9-SUM($D$10:I10))),0)</f>
        <v>0</v>
      </c>
      <c r="K10" s="212">
        <f>IF(K5&gt;0,MIN(K5,($C$9-$E$9-SUM($D$10:J10))),0)</f>
        <v>0</v>
      </c>
      <c r="L10" s="212">
        <f>IF(L5&gt;0,MIN(L5,($C$9-$E$9-SUM($D$10:K10))),0)</f>
        <v>0</v>
      </c>
      <c r="M10" s="212">
        <f>IF(M5&gt;0,MIN(M5,($C$9-$E$9-SUM($D$10:L10))),0)</f>
        <v>0</v>
      </c>
      <c r="N10" s="212">
        <f>IF(N5&gt;0,MIN(N5,($C$9-$E$9-SUM($D$10:M10))),0)</f>
        <v>0</v>
      </c>
      <c r="O10" s="212">
        <f>IF(O5&gt;0,MIN(O5,($C$9-$E$9-SUM($D$10:N10))),0)</f>
        <v>0</v>
      </c>
      <c r="P10" s="212">
        <f>IF(P5&gt;0,MIN(P5,($C$9-$E$9-SUM($D$10:O10))),0)</f>
        <v>0</v>
      </c>
      <c r="Q10" s="212">
        <f>IF(Q5&gt;0,MIN(Q5,($C$9-$E$9-SUM($D$10:P10))),0)</f>
        <v>0</v>
      </c>
      <c r="R10" s="212">
        <f>IF(R5&gt;0,MIN(R5,($C$9-$E$9-SUM($D$10:Q10))),0)</f>
        <v>0</v>
      </c>
      <c r="S10" s="212">
        <f>IF(S5&gt;0,MIN(S5,($C$9-$E$9-SUM($D$10:R10))),0)</f>
        <v>0</v>
      </c>
      <c r="T10" s="212">
        <f>IF(T5&gt;0,MIN(T5,($C$9-$E$9-SUM($D$10:S10))),0)</f>
        <v>0</v>
      </c>
      <c r="U10" s="212">
        <f>IF(U5&gt;0,MIN(U5,($C$9-$E$9-SUM($D$10:T10))),0)</f>
        <v>0</v>
      </c>
      <c r="V10" s="212">
        <f>IF(V5&gt;0,MIN(V5,($C$9-$E$9-SUM($D$10:U10))),0)</f>
        <v>0</v>
      </c>
      <c r="W10" s="212">
        <f>IF(W5&gt;0,MIN(W5,($C$9-$E$9-SUM($D$10:V10))),0)</f>
        <v>0</v>
      </c>
      <c r="X10" s="212">
        <f>IF(X5&gt;0,MIN(X5,($C$9-$E$9-SUM($D$10:W10))),0)</f>
        <v>0</v>
      </c>
      <c r="Y10" s="212">
        <f>IF(Y5&gt;0,MIN(Y5,($C$9-$E$9-SUM($D$10:X10))),0)</f>
        <v>0</v>
      </c>
      <c r="Z10" s="212">
        <f>IF(Z5&gt;0,MIN(Z5,($C$9-$E$9-SUM($D$10:Y10))),0)</f>
        <v>0</v>
      </c>
      <c r="AA10" s="212">
        <f>IF(AA5&gt;0,MIN(AA5,($C$9-$E$9-SUM($D$10:Z10))),0)</f>
        <v>0</v>
      </c>
      <c r="AB10" s="212">
        <f>IF(AB5&gt;0,MIN(AB5,($C$9-$E$9-SUM($D$10:AA10))),0)</f>
        <v>0</v>
      </c>
      <c r="AC10" s="212">
        <f>IF(AC5&gt;0,MIN(AC5,($C$9-$E$9-SUM($D$10:AB10))),0)</f>
        <v>0</v>
      </c>
      <c r="AD10" s="212">
        <f>IF(AD5&gt;0,MIN(AD5,($C$9-$E$9-SUM($D$10:AC10))),0)</f>
        <v>0</v>
      </c>
      <c r="AE10" s="212">
        <f>IF(AE5&gt;0,MIN(AE5,($C$9-$E$9-SUM($D$10:AD10))),0)</f>
        <v>0</v>
      </c>
      <c r="AF10" s="212">
        <f>IF(AF5&gt;0,MIN(AF5,($C$9-$E$9-SUM($D$10:AE10))),0)</f>
        <v>0</v>
      </c>
      <c r="AG10" s="212">
        <f>IF(AG5&gt;0,MIN(AG5,($C$9-$E$9-SUM($D$10:AF10))),0)</f>
        <v>0</v>
      </c>
      <c r="AH10" s="212">
        <f>IF(AH5&gt;0,MIN(AH5,($C$9-$E$9-SUM($D$10:AG10))),0)</f>
        <v>0</v>
      </c>
      <c r="AI10" s="212">
        <f>IF(AI5&gt;0,MIN(AI5,($C$9-$E$9-SUM($D$10:AH10))),0)</f>
        <v>0</v>
      </c>
      <c r="AJ10" s="212">
        <f>IF(AJ5&gt;0,MIN(AJ5,($C$9-$E$9-SUM($D$10:AI10))),0)</f>
        <v>0</v>
      </c>
      <c r="AK10" s="212">
        <f>IF(AK5&gt;0,MIN(AK5,($C$9-$E$9-SUM($D$10:AJ10))),0)</f>
        <v>0</v>
      </c>
      <c r="AL10" s="212">
        <f>IF(AL5&gt;0,MIN(AL5,($C$9-$E$9-SUM($D$10:AK10))),0)</f>
        <v>0</v>
      </c>
      <c r="AM10" s="212">
        <f>IF(AM5&gt;0,MIN(AM5,($C$9-$E$9-SUM($D$10:AL10))),0)</f>
        <v>0</v>
      </c>
      <c r="AN10" s="212">
        <f>IF(AN5&gt;0,MIN(AN5,($C$9-$E$9-SUM($D$10:AM10))),0)</f>
        <v>0</v>
      </c>
      <c r="AO10" s="212">
        <f>IF(AO5&gt;0,MIN(AO5,($C$9-$E$9-SUM($D$10:AN10))),0)</f>
        <v>0</v>
      </c>
      <c r="AP10" s="212">
        <f>IF(AP5&gt;0,MIN(AP5,($C$9-$E$9-SUM($D$10:AO10))),0)</f>
        <v>0</v>
      </c>
      <c r="AQ10" s="212">
        <f>IF(AQ5&gt;0,MIN(AQ5,($C$9-$E$9-SUM($D$10:AP10))),0)</f>
        <v>0</v>
      </c>
      <c r="AR10" s="212">
        <f>IF(AR5&gt;0,MIN(AR5,($C$9-$E$9-SUM($D$10:AQ10))),0)</f>
        <v>0</v>
      </c>
      <c r="AS10" s="212">
        <f>IF(AS5&gt;0,MIN(AS5,($C$9-$E$9-SUM($D$10:AR10))),0)</f>
        <v>0</v>
      </c>
      <c r="AT10" s="212">
        <f>IF(AT5&gt;0,MIN(AT5,($C$9-$E$9-SUM($D$10:AS10))),0)</f>
        <v>0</v>
      </c>
      <c r="AU10" s="212">
        <f>IF(AU5&gt;0,MIN(AU5,($C$9-$E$9-SUM($D$10:AT10))),0)</f>
        <v>0</v>
      </c>
      <c r="AV10" s="212">
        <f>IF(AV5&gt;0,MIN(AV5,($C$9-$E$9-SUM($D$10:AU10))),0)</f>
        <v>0</v>
      </c>
      <c r="AW10" s="212">
        <f>IF(AW5&gt;0,MIN(AW5,($C$9-$E$9-SUM($D$10:AV10))),0)</f>
        <v>0</v>
      </c>
      <c r="AX10" s="212">
        <f>IF(AX5&gt;0,MIN(AX5,($C$9-$E$9-SUM($D$10:AW10))),0)</f>
        <v>0</v>
      </c>
      <c r="AY10" s="212">
        <f>IF(AY5&gt;0,MIN(AY5,($C$9-$E$9-SUM($D$10:AX10))),0)</f>
        <v>0</v>
      </c>
      <c r="AZ10" s="212">
        <f>IF(AZ5&gt;0,MIN(AZ5,($C$9-$E$9-SUM($D$10:AY10))),0)</f>
        <v>0</v>
      </c>
      <c r="BA10" s="212">
        <f>IF(BA5&gt;0,MIN(BA5,($C$9-$E$9-SUM($D$10:AZ10))),0)</f>
        <v>0</v>
      </c>
    </row>
    <row r="11" spans="1:57" ht="15">
      <c r="A11" s="72">
        <f>SUM(E11:BA11)</f>
        <v>1255.7900000000002</v>
      </c>
      <c r="B11" s="237" t="s">
        <v>206</v>
      </c>
      <c r="C11" s="150"/>
      <c r="D11" s="150"/>
      <c r="E11" s="239">
        <f>IF(SUM(E9:E10)&gt;0,MIN(SUM(E9:E10),SUMIF('Debt Repay'!$D$5:$D$52,E$1,'Debt Repay'!$E$5:$E$52)),0)</f>
        <v>10.46</v>
      </c>
      <c r="F11" s="239">
        <f>IF(SUM(F9:F10)&gt;0,MIN(SUM(F9:F10),SUMIF('Debt Repay'!$D$5:$D$52,F$1,'Debt Repay'!$E$5:$E$52)),0)</f>
        <v>10.46</v>
      </c>
      <c r="G11" s="239">
        <f>IF(SUM(G9:G10)&gt;0,MIN(SUM(G9:G10),SUMIF('Debt Repay'!$D$5:$D$52,G$1,'Debt Repay'!$E$5:$E$52)),0)</f>
        <v>20.93</v>
      </c>
      <c r="H11" s="239">
        <f>IF(SUM(H9:H10)&gt;0,MIN(SUM(H9:H10),SUMIF('Debt Repay'!$D$5:$D$52,H$1,'Debt Repay'!$E$5:$E$52)),0)</f>
        <v>20.93</v>
      </c>
      <c r="I11" s="239">
        <f>IF(SUM(I9:I10)&gt;0,MIN(SUM(I9:I10),SUMIF('Debt Repay'!$D$5:$D$52,I$1,'Debt Repay'!$E$5:$E$52)),0)</f>
        <v>11.93</v>
      </c>
      <c r="J11" s="239">
        <f>IF(SUM(J9:J10)&gt;0,MIN(SUM(J9:J10),SUMIF('Debt Repay'!$D$5:$D$52,J$1,'Debt Repay'!$E$5:$E$52)),0)</f>
        <v>11.93</v>
      </c>
      <c r="K11" s="239">
        <f>IF(SUM(K9:K10)&gt;0,MIN(SUM(K9:K10),SUMIF('Debt Repay'!$D$5:$D$52,K$1,'Debt Repay'!$E$5:$E$52)),0)</f>
        <v>23.86</v>
      </c>
      <c r="L11" s="239">
        <f>IF(SUM(L9:L10)&gt;0,MIN(SUM(L9:L10),SUMIF('Debt Repay'!$D$5:$D$52,L$1,'Debt Repay'!$E$5:$E$52)),0)</f>
        <v>23.86</v>
      </c>
      <c r="M11" s="239">
        <f>IF(SUM(M9:M10)&gt;0,MIN(SUM(M9:M10),SUMIF('Debt Repay'!$D$5:$D$52,M$1,'Debt Repay'!$E$5:$E$52)),0)</f>
        <v>9.2100000000000009</v>
      </c>
      <c r="N11" s="239">
        <f>IF(SUM(N9:N10)&gt;0,MIN(SUM(N9:N10),SUMIF('Debt Repay'!$D$5:$D$52,N$1,'Debt Repay'!$E$5:$E$52)),0)</f>
        <v>9.2100000000000009</v>
      </c>
      <c r="O11" s="239">
        <f>IF(SUM(O9:O10)&gt;0,MIN(SUM(O9:O10),SUMIF('Debt Repay'!$D$5:$D$52,O$1,'Debt Repay'!$E$5:$E$52)),0)</f>
        <v>18.420000000000002</v>
      </c>
      <c r="P11" s="239">
        <f>IF(SUM(P9:P10)&gt;0,MIN(SUM(P9:P10),SUMIF('Debt Repay'!$D$5:$D$52,P$1,'Debt Repay'!$E$5:$E$52)),0)</f>
        <v>18.420000000000002</v>
      </c>
      <c r="Q11" s="239">
        <f>IF(SUM(Q9:Q10)&gt;0,MIN(SUM(Q9:Q10),SUMIF('Debt Repay'!$D$5:$D$52,Q$1,'Debt Repay'!$E$5:$E$52)),0)</f>
        <v>13.81</v>
      </c>
      <c r="R11" s="239">
        <f>IF(SUM(R9:R10)&gt;0,MIN(SUM(R9:R10),SUMIF('Debt Repay'!$D$5:$D$52,R$1,'Debt Repay'!$E$5:$E$52)),0)</f>
        <v>13.81</v>
      </c>
      <c r="S11" s="239">
        <f>IF(SUM(S9:S10)&gt;0,MIN(SUM(S9:S10),SUMIF('Debt Repay'!$D$5:$D$52,S$1,'Debt Repay'!$E$5:$E$52)),0)</f>
        <v>27.63</v>
      </c>
      <c r="T11" s="238">
        <f>IF(SUM(T9:T10)&gt;0,MIN(SUM(T9:T10),SUMIF('Debt Repay'!$D$5:$D$52,T$1,'Debt Repay'!$E$5:$E$52)),0)-26.87</f>
        <v>0.75999999999999801</v>
      </c>
      <c r="U11" s="238">
        <f>IF(SUM(U9:U10)&gt;0,MIN(SUM(U9:U10),SUMIF('Debt Repay'!$D$5:$D$52,U$1,'Debt Repay'!$E$5:$E$52)),0)*0+0.97+27.64</f>
        <v>28.61</v>
      </c>
      <c r="V11" s="238">
        <f>IF(SUM(V9:V10)&gt;0,MIN(SUM(V9:V10),SUMIF('Debt Repay'!$D$5:$D$52,V$1,'Debt Repay'!$E$5:$E$52)),0)+17.1</f>
        <v>35.94</v>
      </c>
      <c r="W11" s="239">
        <f>IF(SUM(W9:W10)&gt;0,MIN(SUM(W9:W10),SUMIF('Debt Repay'!$D$5:$D$52,W$1,'Debt Repay'!$E$5:$E$52)),0)</f>
        <v>37.67</v>
      </c>
      <c r="X11" s="239">
        <f>IF(SUM(X9:X10)&gt;0,MIN(SUM(X9:X10),SUMIF('Debt Repay'!$D$5:$D$52,X$1,'Debt Repay'!$E$5:$E$52)),0)</f>
        <v>37.67</v>
      </c>
      <c r="Y11" s="239">
        <f>IF(SUM(Y9:Y10)&gt;0,MIN(SUM(Y9:Y10),SUMIF('Debt Repay'!$D$5:$D$52,Y$1,'Debt Repay'!$E$5:$E$52)),0)</f>
        <v>25.12</v>
      </c>
      <c r="Z11" s="239">
        <f>IF(SUM(Z9:Z10)&gt;0,MIN(SUM(Z9:Z10),SUMIF('Debt Repay'!$D$5:$D$52,Z$1,'Debt Repay'!$E$5:$E$52)),0)</f>
        <v>25.12</v>
      </c>
      <c r="AA11" s="239">
        <f>IF(SUM(AA9:AA10)&gt;0,MIN(SUM(AA9:AA10),SUMIF('Debt Repay'!$D$5:$D$52,AA$1,'Debt Repay'!$E$5:$E$52)),0)</f>
        <v>50.23</v>
      </c>
      <c r="AB11" s="239">
        <f>IF(SUM(AB9:AB10)&gt;0,MIN(SUM(AB9:AB10),SUMIF('Debt Repay'!$D$5:$D$52,AB$1,'Debt Repay'!$E$5:$E$52)),0)</f>
        <v>50.23</v>
      </c>
      <c r="AC11" s="239">
        <f>IF(SUM(AC9:AC10)&gt;0,MIN(SUM(AC9:AC10),SUMIF('Debt Repay'!$D$5:$D$52,AC$1,'Debt Repay'!$E$5:$E$52)),0)</f>
        <v>31.39</v>
      </c>
      <c r="AD11" s="239">
        <f>IF(SUM(AD9:AD10)&gt;0,MIN(SUM(AD9:AD10),SUMIF('Debt Repay'!$D$5:$D$52,AD$1,'Debt Repay'!$E$5:$E$52)),0)</f>
        <v>31.39</v>
      </c>
      <c r="AE11" s="239">
        <f>IF(SUM(AE9:AE10)&gt;0,MIN(SUM(AE9:AE10),SUMIF('Debt Repay'!$D$5:$D$52,AE$1,'Debt Repay'!$E$5:$E$52)),0)</f>
        <v>62.79</v>
      </c>
      <c r="AF11" s="239">
        <f>IF(SUM(AF9:AF10)&gt;0,MIN(SUM(AF9:AF10),SUMIF('Debt Repay'!$D$5:$D$52,AF$1,'Debt Repay'!$E$5:$E$52)),0)</f>
        <v>62.79</v>
      </c>
      <c r="AG11" s="239">
        <f>IF(SUM(AG9:AG10)&gt;0,MIN(SUM(AG9:AG10),SUMIF('Debt Repay'!$D$5:$D$52,AG$1,'Debt Repay'!$E$5:$E$52)),0)</f>
        <v>39.24</v>
      </c>
      <c r="AH11" s="239">
        <f>IF(SUM(AH9:AH10)&gt;0,MIN(SUM(AH9:AH10),SUMIF('Debt Repay'!$D$5:$D$52,AH$1,'Debt Repay'!$E$5:$E$52)),0)</f>
        <v>39.24</v>
      </c>
      <c r="AI11" s="239">
        <f>IF(SUM(AI9:AI10)&gt;0,MIN(SUM(AI9:AI10),SUMIF('Debt Repay'!$D$5:$D$52,AI$1,'Debt Repay'!$E$5:$E$52)),0)</f>
        <v>78.489999999999995</v>
      </c>
      <c r="AJ11" s="239">
        <f>IF(SUM(AJ9:AJ10)&gt;0,MIN(SUM(AJ9:AJ10),SUMIF('Debt Repay'!$D$5:$D$52,AJ$1,'Debt Repay'!$E$5:$E$52)),0)</f>
        <v>78.489999999999995</v>
      </c>
      <c r="AK11" s="239">
        <f>IF(SUM(AK9:AK10)&gt;0,MIN(SUM(AK9:AK10),SUMIF('Debt Repay'!$D$5:$D$52,AK$1,'Debt Repay'!$E$5:$E$52)),0)</f>
        <v>73.930000000000007</v>
      </c>
      <c r="AL11" s="239">
        <f>IF(SUM(AL9:AL10)&gt;0,MIN(SUM(AL9:AL10),SUMIF('Debt Repay'!$D$5:$D$52,AL$1,'Debt Repay'!$E$5:$E$52)),0)</f>
        <v>73.94</v>
      </c>
      <c r="AM11" s="239">
        <f>IF(SUM(AM9:AM10)&gt;0,MIN(SUM(AM9:AM10),SUMIF('Debt Repay'!$D$5:$D$52,AM$1,'Debt Repay'!$E$5:$E$52)),0)</f>
        <v>73.94</v>
      </c>
      <c r="AN11" s="239">
        <f>IF(SUM(AN9:AN10)&gt;0,MIN(SUM(AN9:AN10),SUMIF('Debt Repay'!$D$5:$D$52,AN$1,'Debt Repay'!$E$5:$E$52)),0)</f>
        <v>73.94</v>
      </c>
      <c r="AO11" s="239">
        <f>IF(SUM(AO9:AO10)&gt;0,MIN(SUM(AO9:AO10),SUMIF('Debt Repay'!$D$5:$D$52,AO$1,'Debt Repay'!$E$5:$E$52)),0)</f>
        <v>0</v>
      </c>
      <c r="AP11" s="239">
        <f>IF(SUM(AP9:AP10)&gt;0,MIN(SUM(AP9:AP10),SUMIF('Debt Repay'!$D$5:$D$52,AP$1,'Debt Repay'!$E$5:$E$52)),0)</f>
        <v>0</v>
      </c>
      <c r="AQ11" s="239">
        <f>IF(SUM(AQ9:AQ10)&gt;0,MIN(SUM(AQ9:AQ10),SUMIF('Debt Repay'!$D$5:$D$52,AQ$1,'Debt Repay'!$E$5:$E$52)),0)</f>
        <v>0</v>
      </c>
      <c r="AR11" s="239">
        <f>IF(SUM(AR9:AR10)&gt;0,MIN(SUM(AR9:AR10),SUMIF('Debt Repay'!$D$5:$D$52,AR$1,'Debt Repay'!$E$5:$E$52)),0)</f>
        <v>0</v>
      </c>
      <c r="AS11" s="239">
        <f>IF(SUM(AS9:AS10)&gt;0,MIN(SUM(AS9:AS10),SUMIF('Debt Repay'!$D$5:$D$52,AS$1,'Debt Repay'!$E$5:$E$52)),0)</f>
        <v>0</v>
      </c>
      <c r="AT11" s="239">
        <f>IF(SUM(AT9:AT10)&gt;0,MIN(SUM(AT9:AT10),SUMIF('Debt Repay'!$D$5:$D$52,AT$1,'Debt Repay'!$E$5:$E$52)),0)</f>
        <v>0</v>
      </c>
      <c r="AU11" s="239">
        <f>IF(SUM(AU9:AU10)&gt;0,MIN(SUM(AU9:AU10),SUMIF('Debt Repay'!$D$5:$D$52,AU$1,'Debt Repay'!$E$5:$E$52)),0)</f>
        <v>0</v>
      </c>
      <c r="AV11" s="239">
        <f>IF(SUM(AV9:AV10)&gt;0,MIN(SUM(AV9:AV10),SUMIF('Debt Repay'!$D$5:$D$52,AV$1,'Debt Repay'!$E$5:$E$52)),0)</f>
        <v>0</v>
      </c>
      <c r="AW11" s="239">
        <f>IF(SUM(AW9:AW10)&gt;0,MIN(SUM(AW9:AW10),SUMIF('Debt Repay'!$D$5:$D$52,AW$1,'Debt Repay'!$E$5:$E$52)),0)</f>
        <v>0</v>
      </c>
      <c r="AX11" s="239">
        <f>IF(SUM(AX9:AX10)&gt;0,MIN(SUM(AX9:AX10),SUMIF('Debt Repay'!$D$5:$D$52,AX$1,'Debt Repay'!$E$5:$E$52)),0)</f>
        <v>0</v>
      </c>
      <c r="AY11" s="239">
        <f>IF(SUM(AY9:AY10)&gt;0,MIN(SUM(AY9:AY10),SUMIF('Debt Repay'!$D$5:$D$52,AY$1,'Debt Repay'!$E$5:$E$52)),0)</f>
        <v>0</v>
      </c>
      <c r="AZ11" s="239">
        <f>IF(SUM(AZ9:AZ10)&gt;0,MIN(SUM(AZ9:AZ10),SUMIF('Debt Repay'!$D$5:$D$52,AZ$1,'Debt Repay'!$E$5:$E$52)),0)</f>
        <v>0</v>
      </c>
      <c r="BA11" s="239">
        <f>IF(SUM(BA9:BA10)&gt;0,MIN(SUM(BA9:BA10),SUMIF('Debt Repay'!$D$5:$D$52,BA$1,'Debt Repay'!$E$5:$E$52)),0)</f>
        <v>0</v>
      </c>
    </row>
    <row r="12" spans="1:57" ht="15">
      <c r="B12" s="237" t="s">
        <v>207</v>
      </c>
      <c r="C12" s="150"/>
      <c r="D12" s="210">
        <f>C9</f>
        <v>1255.79</v>
      </c>
      <c r="E12" s="212">
        <f>ROUND(E9+E10-E11,3)</f>
        <v>1245.33</v>
      </c>
      <c r="F12" s="212">
        <f t="shared" ref="F12:BA12" si="5">ROUND(F9+F10-F11,3)</f>
        <v>1234.8699999999999</v>
      </c>
      <c r="G12" s="212">
        <f t="shared" si="5"/>
        <v>1213.94</v>
      </c>
      <c r="H12" s="212">
        <f t="shared" si="5"/>
        <v>1193.01</v>
      </c>
      <c r="I12" s="212">
        <f t="shared" si="5"/>
        <v>1181.08</v>
      </c>
      <c r="J12" s="212">
        <f t="shared" si="5"/>
        <v>1169.1500000000001</v>
      </c>
      <c r="K12" s="212">
        <f t="shared" si="5"/>
        <v>1145.29</v>
      </c>
      <c r="L12" s="212">
        <f t="shared" si="5"/>
        <v>1121.43</v>
      </c>
      <c r="M12" s="212">
        <f t="shared" si="5"/>
        <v>1112.22</v>
      </c>
      <c r="N12" s="212">
        <f t="shared" si="5"/>
        <v>1103.01</v>
      </c>
      <c r="O12" s="212">
        <f t="shared" si="5"/>
        <v>1084.5899999999999</v>
      </c>
      <c r="P12" s="212">
        <f t="shared" si="5"/>
        <v>1066.17</v>
      </c>
      <c r="Q12" s="212">
        <f t="shared" si="5"/>
        <v>1052.3599999999999</v>
      </c>
      <c r="R12" s="212">
        <f t="shared" si="5"/>
        <v>1038.55</v>
      </c>
      <c r="S12" s="212">
        <f t="shared" si="5"/>
        <v>1010.92</v>
      </c>
      <c r="T12" s="212">
        <f t="shared" si="5"/>
        <v>1010.16</v>
      </c>
      <c r="U12" s="212">
        <f t="shared" si="5"/>
        <v>981.55</v>
      </c>
      <c r="V12" s="212">
        <f t="shared" si="5"/>
        <v>945.61</v>
      </c>
      <c r="W12" s="212">
        <f t="shared" si="5"/>
        <v>907.94</v>
      </c>
      <c r="X12" s="212">
        <f t="shared" si="5"/>
        <v>870.27</v>
      </c>
      <c r="Y12" s="212">
        <f t="shared" si="5"/>
        <v>845.15</v>
      </c>
      <c r="Z12" s="212">
        <f t="shared" si="5"/>
        <v>820.03</v>
      </c>
      <c r="AA12" s="212">
        <f t="shared" si="5"/>
        <v>769.8</v>
      </c>
      <c r="AB12" s="212">
        <f t="shared" si="5"/>
        <v>719.57</v>
      </c>
      <c r="AC12" s="212">
        <f t="shared" si="5"/>
        <v>688.18</v>
      </c>
      <c r="AD12" s="212">
        <f t="shared" si="5"/>
        <v>656.79</v>
      </c>
      <c r="AE12" s="212">
        <f t="shared" si="5"/>
        <v>594</v>
      </c>
      <c r="AF12" s="212">
        <f t="shared" si="5"/>
        <v>531.21</v>
      </c>
      <c r="AG12" s="212">
        <f t="shared" si="5"/>
        <v>491.97</v>
      </c>
      <c r="AH12" s="212">
        <f t="shared" si="5"/>
        <v>452.73</v>
      </c>
      <c r="AI12" s="212">
        <f t="shared" si="5"/>
        <v>374.24</v>
      </c>
      <c r="AJ12" s="212">
        <f t="shared" si="5"/>
        <v>295.75</v>
      </c>
      <c r="AK12" s="212">
        <f t="shared" si="5"/>
        <v>221.82</v>
      </c>
      <c r="AL12" s="212">
        <f t="shared" si="5"/>
        <v>147.88</v>
      </c>
      <c r="AM12" s="212">
        <f t="shared" si="5"/>
        <v>73.94</v>
      </c>
      <c r="AN12" s="212">
        <f t="shared" si="5"/>
        <v>0</v>
      </c>
      <c r="AO12" s="212">
        <f t="shared" si="5"/>
        <v>0</v>
      </c>
      <c r="AP12" s="212">
        <f t="shared" si="5"/>
        <v>0</v>
      </c>
      <c r="AQ12" s="212">
        <f t="shared" si="5"/>
        <v>0</v>
      </c>
      <c r="AR12" s="212">
        <f t="shared" si="5"/>
        <v>0</v>
      </c>
      <c r="AS12" s="212">
        <f t="shared" si="5"/>
        <v>0</v>
      </c>
      <c r="AT12" s="212">
        <f t="shared" si="5"/>
        <v>0</v>
      </c>
      <c r="AU12" s="212">
        <f t="shared" si="5"/>
        <v>0</v>
      </c>
      <c r="AV12" s="212">
        <f t="shared" si="5"/>
        <v>0</v>
      </c>
      <c r="AW12" s="212">
        <f t="shared" si="5"/>
        <v>0</v>
      </c>
      <c r="AX12" s="212">
        <f t="shared" si="5"/>
        <v>0</v>
      </c>
      <c r="AY12" s="212">
        <f t="shared" si="5"/>
        <v>0</v>
      </c>
      <c r="AZ12" s="212">
        <f t="shared" si="5"/>
        <v>0</v>
      </c>
      <c r="BA12" s="212">
        <f t="shared" si="5"/>
        <v>0</v>
      </c>
    </row>
    <row r="13" spans="1:57" ht="15">
      <c r="A13" s="72">
        <f>SUM(E13:BA13)</f>
        <v>727.49790100793439</v>
      </c>
      <c r="B13" s="237" t="s">
        <v>208</v>
      </c>
      <c r="C13" s="150"/>
      <c r="D13" s="150"/>
      <c r="E13" s="212">
        <f>(E9*Input!$C$137*(E$1-D$1)/E$3)+(E10*Input!$C$137*(E$1-D$1)/E$3/2)</f>
        <v>29.743300136986303</v>
      </c>
      <c r="F13" s="212">
        <f>(F9*Input!$C$137*(F$1-E$1)/F$3)+(F10*Input!$C$137*(F$1-E$1)/F$3/2)</f>
        <v>29.819682739726026</v>
      </c>
      <c r="G13" s="212">
        <f>(G9*Input!$C$137*(G$1-F$1)/G$3)+(G10*Input!$C$137*(G$1-F$1)/G$3/2)</f>
        <v>29.569215890410955</v>
      </c>
      <c r="H13" s="212">
        <f>(H9*Input!$C$137*(H$1-G$1)/H$3)+(H10*Input!$C$137*(H$1-G$1)/H$3/2)</f>
        <v>28.436128767123286</v>
      </c>
      <c r="I13" s="212">
        <f>(I9*Input!$C$137*(I$1-H$1)/I$3)+(I10*Input!$C$137*(I$1-H$1)/I$3/2)</f>
        <v>28.179156967213114</v>
      </c>
      <c r="J13" s="212">
        <f>(J9*Input!$C$137*(J$1-I$1)/J$3)+(J10*Input!$C$137*(J$1-I$1)/J$3/2)</f>
        <v>28.203932240437158</v>
      </c>
      <c r="K13" s="212">
        <f>(K9*Input!$C$137*(K$1-J$1)/K$3)+(K10*Input!$C$137*(K$1-J$1)/K$3/2)</f>
        <v>27.919046448087435</v>
      </c>
      <c r="L13" s="212">
        <f>(L9*Input!$C$137*(L$1-K$1)/L$3)+(L10*Input!$C$137*(L$1-K$1)/L$3/2)</f>
        <v>27.052000136612023</v>
      </c>
      <c r="M13" s="212">
        <f>(M9*Input!$C$137*(M$1-L$1)/M$3)+(M10*Input!$C$137*(M$1-L$1)/M$3/2)</f>
        <v>26.560992739726029</v>
      </c>
      <c r="N13" s="212">
        <f>(N9*Input!$C$137*(N$1-M$1)/N$3)+(N10*Input!$C$137*(N$1-M$1)/N$3/2)</f>
        <v>26.632336438356162</v>
      </c>
      <c r="O13" s="212">
        <f>(O9*Input!$C$137*(O$1-N$1)/O$3)+(O10*Input!$C$137*(O$1-N$1)/O$3/2)</f>
        <v>26.411801095890411</v>
      </c>
      <c r="P13" s="212">
        <f>(P9*Input!$C$137*(P$1-O$1)/P$3)+(P10*Input!$C$137*(P$1-O$1)/P$3/2)</f>
        <v>25.40614931506849</v>
      </c>
      <c r="Q13" s="212">
        <f>(Q9*Input!$C$137*(Q$1-P$1)/Q$3)+(Q10*Input!$C$137*(Q$1-P$1)/Q$3/2)</f>
        <v>25.252163424657535</v>
      </c>
      <c r="R13" s="212">
        <f>(R9*Input!$C$137*(R$1-Q$1)/R$3)+(R10*Input!$C$137*(R$1-Q$1)/R$3/2)</f>
        <v>25.198976438356162</v>
      </c>
      <c r="S13" s="212">
        <f>(S9*Input!$C$137*(S$1-R$1)/S$3)+(S10*Input!$C$137*(S$1-R$1)/S$3/2)</f>
        <v>24.868293150684931</v>
      </c>
      <c r="T13" s="212">
        <f>(T9*Input!$C$137*(T$1-S$1)/T$3)+(T10*Input!$C$137*(T$1-S$1)/T$3/2)</f>
        <v>23.680454794520546</v>
      </c>
      <c r="U13" s="212">
        <f>(U9*Input!$C$137*(U$1-T$1)/U$3)+(U10*Input!$C$137*(U$1-T$1)/U$3/2)</f>
        <v>23.925570410958901</v>
      </c>
      <c r="V13" s="212">
        <f>(V9*Input!$C$137*(V$1-U$1)/V$3)+(V10*Input!$C$137*(V$1-U$1)/V$3/2)</f>
        <v>23.503416438356162</v>
      </c>
      <c r="W13" s="212">
        <f>(W9*Input!$C$137*(W$1-V$1)/W$3)+(W10*Input!$C$137*(W$1-V$1)/W$3/2)</f>
        <v>22.64282575342466</v>
      </c>
      <c r="X13" s="212">
        <f>(X9*Input!$C$137*(X$1-W$1)/X$3)+(X10*Input!$C$137*(X$1-W$1)/X$3/2)</f>
        <v>21.268183561643834</v>
      </c>
      <c r="Y13" s="212">
        <f>(Y9*Input!$C$137*(Y$1-X$1)/Y$3)+(Y10*Input!$C$137*(Y$1-X$1)/Y$3/2)</f>
        <v>20.555967622950821</v>
      </c>
      <c r="Z13" s="212">
        <f>(Z9*Input!$C$137*(Z$1-Y$1)/Z$3)+(Z10*Input!$C$137*(Z$1-Y$1)/Z$3/2)</f>
        <v>20.181997267759563</v>
      </c>
      <c r="AA13" s="212">
        <f>(AA9*Input!$C$137*(AA$1-Z$1)/AA$3)+(AA10*Input!$C$137*(AA$1-Z$1)/AA$3/2)</f>
        <v>19.582137158469948</v>
      </c>
      <c r="AB13" s="212">
        <f>(AB9*Input!$C$137*(AB$1-AA$1)/AB$3)+(AB10*Input!$C$137*(AB$1-AA$1)/AB$3/2)</f>
        <v>18.182844262295081</v>
      </c>
      <c r="AC13" s="212">
        <f>(AC9*Input!$C$137*(AC$1-AB$1)/AC$3)+(AC10*Input!$C$137*(AC$1-AB$1)/AC$3/2)</f>
        <v>17.042966164383561</v>
      </c>
      <c r="AD13" s="212">
        <f>(AD9*Input!$C$137*(AD$1-AC$1)/AD$3)+(AD10*Input!$C$137*(AD$1-AC$1)/AD$3/2)</f>
        <v>16.478611506849315</v>
      </c>
      <c r="AE13" s="212">
        <f>(AE9*Input!$C$137*(AE$1-AD$1)/AE$3)+(AE10*Input!$C$137*(AE$1-AD$1)/AE$3/2)</f>
        <v>15.726971506849313</v>
      </c>
      <c r="AF13" s="212">
        <f>(AF9*Input!$C$137*(AF$1-AE$1)/AF$3)+(AF10*Input!$C$137*(AF$1-AE$1)/AF$3/2)</f>
        <v>13.914246575342466</v>
      </c>
      <c r="AG13" s="212">
        <f>(AG9*Input!$C$137*(AG$1-AF$1)/AG$3)+(AG10*Input!$C$137*(AG$1-AF$1)/AG$3/2)</f>
        <v>12.581672465753424</v>
      </c>
      <c r="AH13" s="212">
        <f>(AH9*Input!$C$137*(AH$1-AG$1)/AH$3)+(AH10*Input!$C$137*(AH$1-AG$1)/AH$3/2)</f>
        <v>11.780322739726026</v>
      </c>
      <c r="AI13" s="212">
        <f>(AI9*Input!$C$137*(AI$1-AH$1)/AI$3)+(AI10*Input!$C$137*(AI$1-AH$1)/AI$3/2)</f>
        <v>10.840712876712331</v>
      </c>
      <c r="AJ13" s="212">
        <f>(AJ9*Input!$C$137*(AJ$1-AI$1)/AJ$3)+(AJ10*Input!$C$137*(AJ$1-AI$1)/AJ$3/2)</f>
        <v>8.7664438356164389</v>
      </c>
      <c r="AK13" s="212">
        <f>(AK9*Input!$C$137*(AK$1-AJ$1)/AK$3)+(AK10*Input!$C$137*(AK$1-AJ$1)/AK$3/2)</f>
        <v>7.0048184931506849</v>
      </c>
      <c r="AL13" s="212">
        <f>(AL9*Input!$C$137*(AL$1-AK$1)/AL$3)+(AL10*Input!$C$137*(AL$1-AK$1)/AL$3/2)</f>
        <v>5.3115254794520554</v>
      </c>
      <c r="AM13" s="212">
        <f>(AM9*Input!$C$137*(AM$1-AL$1)/AM$3)+(AM10*Input!$C$137*(AM$1-AL$1)/AM$3/2)</f>
        <v>3.5410169863013699</v>
      </c>
      <c r="AN13" s="212">
        <f>(AN9*Input!$C$137*(AN$1-AM$1)/AN$3)+(AN10*Input!$C$137*(AN$1-AM$1)/AN$3/2)</f>
        <v>1.7320191780821919</v>
      </c>
      <c r="AO13" s="212">
        <f>(AO9*Input!$C$137*(AO$1-AN$1)/AO$3)+(AO10*Input!$C$137*(AO$1-AN$1)/AO$3/2)</f>
        <v>0</v>
      </c>
      <c r="AP13" s="212">
        <f>(AP9*Input!$C$137*(AP$1-AO$1)/AP$3)+(AP10*Input!$C$137*(AP$1-AO$1)/AP$3/2)</f>
        <v>0</v>
      </c>
      <c r="AQ13" s="212">
        <f>(AQ9*Input!$C$137*(AQ$1-AP$1)/AQ$3)+(AQ10*Input!$C$137*(AQ$1-AP$1)/AQ$3/2)</f>
        <v>0</v>
      </c>
      <c r="AR13" s="212">
        <f>(AR9*Input!$C$137*(AR$1-AQ$1)/AR$3)+(AR10*Input!$C$137*(AR$1-AQ$1)/AR$3/2)</f>
        <v>0</v>
      </c>
      <c r="AS13" s="212">
        <f>(AS9*Input!$C$137*(AS$1-AR$1)/AS$3)+(AS10*Input!$C$137*(AS$1-AR$1)/AS$3/2)</f>
        <v>0</v>
      </c>
      <c r="AT13" s="212">
        <f>(AT9*Input!$C$137*(AT$1-AS$1)/AT$3)+(AT10*Input!$C$137*(AT$1-AS$1)/AT$3/2)</f>
        <v>0</v>
      </c>
      <c r="AU13" s="212">
        <f>(AU9*Input!$C$137*(AU$1-AT$1)/AU$3)+(AU10*Input!$C$137*(AU$1-AT$1)/AU$3/2)</f>
        <v>0</v>
      </c>
      <c r="AV13" s="212">
        <f>(AV9*Input!$C$137*(AV$1-AU$1)/AV$3)+(AV10*Input!$C$137*(AV$1-AU$1)/AV$3/2)</f>
        <v>0</v>
      </c>
      <c r="AW13" s="212">
        <f>(AW9*Input!$C$137*(AW$1-AV$1)/AW$3)+(AW10*Input!$C$137*(AW$1-AV$1)/AW$3/2)</f>
        <v>0</v>
      </c>
      <c r="AX13" s="212">
        <f>(AX9*Input!$C$137*(AX$1-AW$1)/AX$3)+(AX10*Input!$C$137*(AX$1-AW$1)/AX$3/2)</f>
        <v>0</v>
      </c>
      <c r="AY13" s="212">
        <f>(AY9*Input!$C$137*(AY$1-AX$1)/AY$3)+(AY10*Input!$C$137*(AY$1-AX$1)/AY$3/2)</f>
        <v>0</v>
      </c>
      <c r="AZ13" s="212">
        <f>(AZ9*Input!$C$137*(AZ$1-AY$1)/AZ$3)+(AZ10*Input!$C$137*(AZ$1-AY$1)/AZ$3/2)</f>
        <v>0</v>
      </c>
      <c r="BA13" s="212">
        <f>(BA9*Input!$C$137*(BA$1-AZ$1)/BA$3)+(BA10*Input!$C$137*(BA$1-AZ$1)/BA$3/2)</f>
        <v>0</v>
      </c>
    </row>
    <row r="14" spans="1:57">
      <c r="V14" s="82">
        <f>V12-945.61</f>
        <v>0</v>
      </c>
    </row>
    <row r="15" spans="1:57" ht="15">
      <c r="B15" s="77" t="s">
        <v>209</v>
      </c>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row>
    <row r="16" spans="1:57" ht="15">
      <c r="B16" s="194" t="s">
        <v>211</v>
      </c>
      <c r="C16" s="210">
        <f>'Debt Repay'!H3</f>
        <v>9.9999999999999995E-7</v>
      </c>
      <c r="D16" s="212"/>
      <c r="E16" s="212">
        <f>D19</f>
        <v>0</v>
      </c>
      <c r="F16" s="195">
        <f>E19</f>
        <v>0</v>
      </c>
      <c r="G16" s="195">
        <f t="shared" ref="G16:BA16" si="6">F19</f>
        <v>0</v>
      </c>
      <c r="H16" s="195">
        <f t="shared" si="6"/>
        <v>0</v>
      </c>
      <c r="I16" s="195">
        <f t="shared" si="6"/>
        <v>0</v>
      </c>
      <c r="J16" s="195">
        <f t="shared" si="6"/>
        <v>0</v>
      </c>
      <c r="K16" s="195">
        <f t="shared" si="6"/>
        <v>0</v>
      </c>
      <c r="L16" s="195">
        <f t="shared" si="6"/>
        <v>0</v>
      </c>
      <c r="M16" s="195">
        <f t="shared" si="6"/>
        <v>0</v>
      </c>
      <c r="N16" s="195">
        <f t="shared" si="6"/>
        <v>0</v>
      </c>
      <c r="O16" s="195">
        <f t="shared" si="6"/>
        <v>0</v>
      </c>
      <c r="P16" s="195">
        <f t="shared" si="6"/>
        <v>0</v>
      </c>
      <c r="Q16" s="195">
        <f t="shared" si="6"/>
        <v>0</v>
      </c>
      <c r="R16" s="195">
        <f t="shared" si="6"/>
        <v>0</v>
      </c>
      <c r="S16" s="195">
        <f t="shared" si="6"/>
        <v>0</v>
      </c>
      <c r="T16" s="195">
        <f t="shared" si="6"/>
        <v>0</v>
      </c>
      <c r="U16" s="195">
        <f t="shared" si="6"/>
        <v>0</v>
      </c>
      <c r="V16" s="195">
        <f t="shared" si="6"/>
        <v>0</v>
      </c>
      <c r="W16" s="195">
        <f t="shared" si="6"/>
        <v>0</v>
      </c>
      <c r="X16" s="195">
        <f t="shared" si="6"/>
        <v>0</v>
      </c>
      <c r="Y16" s="195">
        <f t="shared" si="6"/>
        <v>0</v>
      </c>
      <c r="Z16" s="195">
        <f t="shared" si="6"/>
        <v>0</v>
      </c>
      <c r="AA16" s="195">
        <f t="shared" si="6"/>
        <v>0</v>
      </c>
      <c r="AB16" s="195">
        <f t="shared" si="6"/>
        <v>0</v>
      </c>
      <c r="AC16" s="195">
        <f t="shared" si="6"/>
        <v>0</v>
      </c>
      <c r="AD16" s="195">
        <f t="shared" si="6"/>
        <v>0</v>
      </c>
      <c r="AE16" s="195">
        <f t="shared" si="6"/>
        <v>0</v>
      </c>
      <c r="AF16" s="195">
        <f t="shared" si="6"/>
        <v>0</v>
      </c>
      <c r="AG16" s="195">
        <f t="shared" si="6"/>
        <v>0</v>
      </c>
      <c r="AH16" s="195">
        <f t="shared" si="6"/>
        <v>0</v>
      </c>
      <c r="AI16" s="195">
        <f t="shared" si="6"/>
        <v>0</v>
      </c>
      <c r="AJ16" s="195">
        <f t="shared" si="6"/>
        <v>0</v>
      </c>
      <c r="AK16" s="195">
        <f t="shared" si="6"/>
        <v>0</v>
      </c>
      <c r="AL16" s="195">
        <f t="shared" si="6"/>
        <v>0</v>
      </c>
      <c r="AM16" s="195">
        <f t="shared" si="6"/>
        <v>0</v>
      </c>
      <c r="AN16" s="195">
        <f t="shared" si="6"/>
        <v>0</v>
      </c>
      <c r="AO16" s="195">
        <f t="shared" si="6"/>
        <v>0</v>
      </c>
      <c r="AP16" s="195">
        <f t="shared" si="6"/>
        <v>0</v>
      </c>
      <c r="AQ16" s="195">
        <f t="shared" si="6"/>
        <v>0</v>
      </c>
      <c r="AR16" s="195">
        <f t="shared" si="6"/>
        <v>0</v>
      </c>
      <c r="AS16" s="195">
        <f t="shared" si="6"/>
        <v>0</v>
      </c>
      <c r="AT16" s="195">
        <f t="shared" si="6"/>
        <v>0</v>
      </c>
      <c r="AU16" s="195">
        <f t="shared" si="6"/>
        <v>0</v>
      </c>
      <c r="AV16" s="195">
        <f t="shared" si="6"/>
        <v>0</v>
      </c>
      <c r="AW16" s="195">
        <f t="shared" si="6"/>
        <v>0</v>
      </c>
      <c r="AX16" s="195">
        <f t="shared" si="6"/>
        <v>0</v>
      </c>
      <c r="AY16" s="195">
        <f t="shared" si="6"/>
        <v>0</v>
      </c>
      <c r="AZ16" s="212">
        <f t="shared" si="6"/>
        <v>0</v>
      </c>
      <c r="BA16" s="212">
        <f t="shared" si="6"/>
        <v>0</v>
      </c>
    </row>
    <row r="17" spans="1:53" ht="15">
      <c r="A17" s="72">
        <f>SUM(E17:BA17)</f>
        <v>0</v>
      </c>
      <c r="B17" s="237" t="s">
        <v>203</v>
      </c>
      <c r="C17" s="150"/>
      <c r="D17" s="212"/>
      <c r="E17" s="212"/>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212"/>
      <c r="BA17" s="212"/>
    </row>
    <row r="18" spans="1:53" ht="15">
      <c r="A18" s="72">
        <f>SUM(E18:BA18)</f>
        <v>0</v>
      </c>
      <c r="B18" s="237" t="s">
        <v>206</v>
      </c>
      <c r="C18" s="150"/>
      <c r="D18" s="212"/>
      <c r="E18" s="239"/>
      <c r="F18" s="239"/>
      <c r="G18" s="239"/>
      <c r="H18" s="239"/>
      <c r="I18" s="238"/>
      <c r="J18" s="239"/>
      <c r="K18" s="239"/>
      <c r="L18" s="239"/>
      <c r="M18" s="238"/>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row>
    <row r="19" spans="1:53" ht="15">
      <c r="B19" s="237" t="s">
        <v>207</v>
      </c>
      <c r="C19" s="150"/>
      <c r="D19" s="212">
        <v>0</v>
      </c>
      <c r="E19" s="212">
        <f>ROUND(E16+E17-E18,3)</f>
        <v>0</v>
      </c>
      <c r="F19" s="195">
        <f t="shared" ref="F19:BA19" si="7">ROUND(F16+F17-F18,3)</f>
        <v>0</v>
      </c>
      <c r="G19" s="195">
        <f t="shared" si="7"/>
        <v>0</v>
      </c>
      <c r="H19" s="195">
        <f t="shared" si="7"/>
        <v>0</v>
      </c>
      <c r="I19" s="195">
        <f t="shared" si="7"/>
        <v>0</v>
      </c>
      <c r="J19" s="195">
        <f t="shared" si="7"/>
        <v>0</v>
      </c>
      <c r="K19" s="195">
        <f t="shared" si="7"/>
        <v>0</v>
      </c>
      <c r="L19" s="195">
        <f t="shared" si="7"/>
        <v>0</v>
      </c>
      <c r="M19" s="195">
        <f t="shared" si="7"/>
        <v>0</v>
      </c>
      <c r="N19" s="195">
        <f t="shared" si="7"/>
        <v>0</v>
      </c>
      <c r="O19" s="195">
        <f t="shared" si="7"/>
        <v>0</v>
      </c>
      <c r="P19" s="195">
        <f t="shared" si="7"/>
        <v>0</v>
      </c>
      <c r="Q19" s="195">
        <f t="shared" si="7"/>
        <v>0</v>
      </c>
      <c r="R19" s="195">
        <f t="shared" si="7"/>
        <v>0</v>
      </c>
      <c r="S19" s="195">
        <f t="shared" si="7"/>
        <v>0</v>
      </c>
      <c r="T19" s="195">
        <f t="shared" si="7"/>
        <v>0</v>
      </c>
      <c r="U19" s="195">
        <f t="shared" si="7"/>
        <v>0</v>
      </c>
      <c r="V19" s="195">
        <f t="shared" si="7"/>
        <v>0</v>
      </c>
      <c r="W19" s="195">
        <f t="shared" si="7"/>
        <v>0</v>
      </c>
      <c r="X19" s="195">
        <f t="shared" si="7"/>
        <v>0</v>
      </c>
      <c r="Y19" s="195">
        <f t="shared" si="7"/>
        <v>0</v>
      </c>
      <c r="Z19" s="195">
        <f t="shared" si="7"/>
        <v>0</v>
      </c>
      <c r="AA19" s="195">
        <f t="shared" si="7"/>
        <v>0</v>
      </c>
      <c r="AB19" s="195">
        <f t="shared" si="7"/>
        <v>0</v>
      </c>
      <c r="AC19" s="195">
        <f t="shared" si="7"/>
        <v>0</v>
      </c>
      <c r="AD19" s="195">
        <f t="shared" si="7"/>
        <v>0</v>
      </c>
      <c r="AE19" s="195">
        <f t="shared" si="7"/>
        <v>0</v>
      </c>
      <c r="AF19" s="195">
        <f t="shared" si="7"/>
        <v>0</v>
      </c>
      <c r="AG19" s="195">
        <f t="shared" si="7"/>
        <v>0</v>
      </c>
      <c r="AH19" s="195">
        <f t="shared" si="7"/>
        <v>0</v>
      </c>
      <c r="AI19" s="195">
        <f t="shared" si="7"/>
        <v>0</v>
      </c>
      <c r="AJ19" s="195">
        <f t="shared" si="7"/>
        <v>0</v>
      </c>
      <c r="AK19" s="195">
        <f t="shared" si="7"/>
        <v>0</v>
      </c>
      <c r="AL19" s="195">
        <f t="shared" si="7"/>
        <v>0</v>
      </c>
      <c r="AM19" s="195">
        <f t="shared" si="7"/>
        <v>0</v>
      </c>
      <c r="AN19" s="195">
        <f t="shared" si="7"/>
        <v>0</v>
      </c>
      <c r="AO19" s="195">
        <f t="shared" si="7"/>
        <v>0</v>
      </c>
      <c r="AP19" s="195">
        <f t="shared" si="7"/>
        <v>0</v>
      </c>
      <c r="AQ19" s="195">
        <f t="shared" si="7"/>
        <v>0</v>
      </c>
      <c r="AR19" s="195">
        <f t="shared" si="7"/>
        <v>0</v>
      </c>
      <c r="AS19" s="195">
        <f t="shared" si="7"/>
        <v>0</v>
      </c>
      <c r="AT19" s="195">
        <f t="shared" si="7"/>
        <v>0</v>
      </c>
      <c r="AU19" s="195">
        <f t="shared" si="7"/>
        <v>0</v>
      </c>
      <c r="AV19" s="195">
        <f t="shared" si="7"/>
        <v>0</v>
      </c>
      <c r="AW19" s="195">
        <f t="shared" si="7"/>
        <v>0</v>
      </c>
      <c r="AX19" s="195">
        <f t="shared" si="7"/>
        <v>0</v>
      </c>
      <c r="AY19" s="195">
        <f t="shared" si="7"/>
        <v>0</v>
      </c>
      <c r="AZ19" s="195">
        <f t="shared" si="7"/>
        <v>0</v>
      </c>
      <c r="BA19" s="195">
        <f t="shared" si="7"/>
        <v>0</v>
      </c>
    </row>
    <row r="20" spans="1:53" ht="15">
      <c r="A20" s="72">
        <f>SUM(E20:BA20)</f>
        <v>0</v>
      </c>
      <c r="B20" s="237" t="s">
        <v>208</v>
      </c>
      <c r="C20" s="150"/>
      <c r="D20" s="150"/>
      <c r="E20" s="212">
        <f>(E16*Input!$C$137*(E$1-D$1)/E$3)+(E17*Input!$C$137*(E$1-D$1)/E$3/2)</f>
        <v>0</v>
      </c>
      <c r="F20" s="212">
        <f>(F16*Input!$C$137*(F$1-E$1)/F$3)+(F17*Input!$C$137*(F$1-E$1)/F$3/2)</f>
        <v>0</v>
      </c>
      <c r="G20" s="212">
        <f>(G16*Input!$C$137*(G$1-F$1)/G$3)+(G17*Input!$C$137*(G$1-F$1)/G$3/2)</f>
        <v>0</v>
      </c>
      <c r="H20" s="212">
        <f>(H16*Input!$C$137*(H$1-G$1)/H$3)+(H17*Input!$C$137*(H$1-G$1)/H$3/2)</f>
        <v>0</v>
      </c>
      <c r="I20" s="212">
        <f>(I16*Input!$C$137*(I$1-H$1)/I$3)+(I17*Input!$C$137*(I$1-H$1)/I$3/2)</f>
        <v>0</v>
      </c>
      <c r="J20" s="212">
        <f>(J16*Input!$C$137*(J$1-I$1)/J$3)+(J17*Input!$C$137*(J$1-I$1)/J$3/2)</f>
        <v>0</v>
      </c>
      <c r="K20" s="212">
        <f>(K16*Input!$C$137*(K$1-J$1)/K$3)+(K17*Input!$C$137*(K$1-J$1)/K$3/2)</f>
        <v>0</v>
      </c>
      <c r="L20" s="212">
        <f>(L16*Input!$C$137*(L$1-K$1)/L$3)+(L17*Input!$C$137*(L$1-K$1)/L$3/2)</f>
        <v>0</v>
      </c>
      <c r="M20" s="212">
        <f>(M16*Input!$C$137*(M$1-L$1)/M$3)+(M17*Input!$C$137*(M$1-L$1)/M$3/2)</f>
        <v>0</v>
      </c>
      <c r="N20" s="212">
        <f>(N16*Input!$C$137*(N$1-M$1)/N$3)+(N17*Input!$C$137*(N$1-M$1)/N$3/2)</f>
        <v>0</v>
      </c>
      <c r="O20" s="212">
        <f>(O16*Input!$C$137*(O$1-N$1)/O$3)+(O17*Input!$C$137*(O$1-N$1)/O$3/2)</f>
        <v>0</v>
      </c>
      <c r="P20" s="212">
        <f>(P16*Input!$C$137*(P$1-O$1)/P$3)+(P17*Input!$C$137*(P$1-O$1)/P$3/2)</f>
        <v>0</v>
      </c>
      <c r="Q20" s="212">
        <f>(Q16*Input!$C$137*(Q$1-P$1)/Q$3)+(Q17*Input!$C$137*(Q$1-P$1)/Q$3/2)</f>
        <v>0</v>
      </c>
      <c r="R20" s="212">
        <f>(R16*Input!$C$137*(R$1-Q$1)/R$3)+(R17*Input!$C$137*(R$1-Q$1)/R$3/2)</f>
        <v>0</v>
      </c>
      <c r="S20" s="212">
        <f>(S16*Input!$C$137*(S$1-R$1)/S$3)+(S17*Input!$C$137*(S$1-R$1)/S$3/2)</f>
        <v>0</v>
      </c>
      <c r="T20" s="212">
        <f>(T16*Input!$C$137*(T$1-S$1)/T$3)+(T17*Input!$C$137*(T$1-S$1)/T$3/2)</f>
        <v>0</v>
      </c>
      <c r="U20" s="212">
        <f>(U16*Input!$C$137*(U$1-T$1)/U$3)+(U17*Input!$C$137*(U$1-T$1)/U$3/2)</f>
        <v>0</v>
      </c>
      <c r="V20" s="212">
        <f>(V16*Input!$C$137*(V$1-U$1)/V$3)+(V17*Input!$C$137*(V$1-U$1)/V$3/2)</f>
        <v>0</v>
      </c>
      <c r="W20" s="212">
        <f>(W16*Input!$C$137*(W$1-V$1)/W$3)+(W17*Input!$C$137*(W$1-V$1)/W$3/2)</f>
        <v>0</v>
      </c>
      <c r="X20" s="212">
        <f>(X16*Input!$C$137*(X$1-W$1)/X$3)+(X17*Input!$C$137*(X$1-W$1)/X$3/2)</f>
        <v>0</v>
      </c>
      <c r="Y20" s="212">
        <f>(Y16*Input!$C$137*(Y$1-X$1)/Y$3)+(Y17*Input!$C$137*(Y$1-X$1)/Y$3/2)</f>
        <v>0</v>
      </c>
      <c r="Z20" s="212">
        <f>(Z16*Input!$C$137*(Z$1-Y$1)/Z$3)+(Z17*Input!$C$137*(Z$1-Y$1)/Z$3/2)</f>
        <v>0</v>
      </c>
      <c r="AA20" s="212">
        <f>(AA16*Input!$C$137*(AA$1-Z$1)/AA$3)+(AA17*Input!$C$137*(AA$1-Z$1)/AA$3/2)</f>
        <v>0</v>
      </c>
      <c r="AB20" s="212">
        <f>(AB16*Input!$C$137*(AB$1-AA$1)/AB$3)+(AB17*Input!$C$137*(AB$1-AA$1)/AB$3/2)</f>
        <v>0</v>
      </c>
      <c r="AC20" s="212">
        <f>(AC16*Input!$C$137*(AC$1-AB$1)/AC$3)+(AC17*Input!$C$137*(AC$1-AB$1)/AC$3/2)</f>
        <v>0</v>
      </c>
      <c r="AD20" s="212">
        <f>(AD16*Input!$C$137*(AD$1-AC$1)/AD$3)+(AD17*Input!$C$137*(AD$1-AC$1)/AD$3/2)</f>
        <v>0</v>
      </c>
      <c r="AE20" s="212">
        <f>(AE16*Input!$C$137*(AE$1-AD$1)/AE$3)+(AE17*Input!$C$137*(AE$1-AD$1)/AE$3/2)</f>
        <v>0</v>
      </c>
      <c r="AF20" s="212">
        <f>(AF16*Input!$C$137*(AF$1-AE$1)/AF$3)+(AF17*Input!$C$137*(AF$1-AE$1)/AF$3/2)</f>
        <v>0</v>
      </c>
      <c r="AG20" s="212">
        <f>(AG16*Input!$C$137*(AG$1-AF$1)/AG$3)+(AG17*Input!$C$137*(AG$1-AF$1)/AG$3/2)</f>
        <v>0</v>
      </c>
      <c r="AH20" s="212">
        <f>(AH16*Input!$C$137*(AH$1-AG$1)/AH$3)+(AH17*Input!$C$137*(AH$1-AG$1)/AH$3/2)</f>
        <v>0</v>
      </c>
      <c r="AI20" s="212">
        <f>(AI16*Input!$C$137*(AI$1-AH$1)/AI$3)+(AI17*Input!$C$137*(AI$1-AH$1)/AI$3/2)</f>
        <v>0</v>
      </c>
      <c r="AJ20" s="212">
        <f>(AJ16*Input!$C$137*(AJ$1-AI$1)/AJ$3)+(AJ17*Input!$C$137*(AJ$1-AI$1)/AJ$3/2)</f>
        <v>0</v>
      </c>
      <c r="AK20" s="212">
        <f>(AK16*Input!$C$137*(AK$1-AJ$1)/AK$3)+(AK17*Input!$C$137*(AK$1-AJ$1)/AK$3/2)</f>
        <v>0</v>
      </c>
      <c r="AL20" s="212">
        <f>(AL16*Input!$C$137*(AL$1-AK$1)/AL$3)+(AL17*Input!$C$137*(AL$1-AK$1)/AL$3/2)</f>
        <v>0</v>
      </c>
      <c r="AM20" s="212">
        <f>(AM16*Input!$C$137*(AM$1-AL$1)/AM$3)+(AM17*Input!$C$137*(AM$1-AL$1)/AM$3/2)</f>
        <v>0</v>
      </c>
      <c r="AN20" s="212">
        <f>(AN16*Input!$C$137*(AN$1-AM$1)/AN$3)+(AN17*Input!$C$137*(AN$1-AM$1)/AN$3/2)</f>
        <v>0</v>
      </c>
      <c r="AO20" s="212">
        <f>(AO16*Input!$C$137*(AO$1-AN$1)/AO$3)+(AO17*Input!$C$137*(AO$1-AN$1)/AO$3/2)</f>
        <v>0</v>
      </c>
      <c r="AP20" s="212">
        <f>(AP16*Input!$C$137*(AP$1-AO$1)/AP$3)+(AP17*Input!$C$137*(AP$1-AO$1)/AP$3/2)</f>
        <v>0</v>
      </c>
      <c r="AQ20" s="212">
        <f>(AQ16*Input!$C$137*(AQ$1-AP$1)/AQ$3)+(AQ17*Input!$C$137*(AQ$1-AP$1)/AQ$3/2)</f>
        <v>0</v>
      </c>
      <c r="AR20" s="212">
        <f>(AR16*Input!$C$137*(AR$1-AQ$1)/AR$3)+(AR17*Input!$C$137*(AR$1-AQ$1)/AR$3/2)</f>
        <v>0</v>
      </c>
      <c r="AS20" s="212">
        <f>(AS16*Input!$C$137*(AS$1-AR$1)/AS$3)+(AS17*Input!$C$137*(AS$1-AR$1)/AS$3/2)</f>
        <v>0</v>
      </c>
      <c r="AT20" s="212">
        <f>(AT16*Input!$C$137*(AT$1-AS$1)/AT$3)+(AT17*Input!$C$137*(AT$1-AS$1)/AT$3/2)</f>
        <v>0</v>
      </c>
      <c r="AU20" s="212">
        <f>(AU16*Input!$C$137*(AU$1-AT$1)/AU$3)+(AU17*Input!$C$137*(AU$1-AT$1)/AU$3/2)</f>
        <v>0</v>
      </c>
      <c r="AV20" s="212">
        <f>(AV16*Input!$C$137*(AV$1-AU$1)/AV$3)+(AV17*Input!$C$137*(AV$1-AU$1)/AV$3/2)</f>
        <v>0</v>
      </c>
      <c r="AW20" s="212">
        <f>(AW16*Input!$C$137*(AW$1-AV$1)/AW$3)+(AW17*Input!$C$137*(AW$1-AV$1)/AW$3/2)</f>
        <v>0</v>
      </c>
      <c r="AX20" s="212">
        <f>(AX16*Input!$C$137*(AX$1-AW$1)/AX$3)+(AX17*Input!$C$137*(AX$1-AW$1)/AX$3/2)</f>
        <v>0</v>
      </c>
      <c r="AY20" s="212">
        <f>(AY16*Input!$C$137*(AY$1-AX$1)/AY$3)+(AY17*Input!$C$137*(AY$1-AX$1)/AY$3/2)</f>
        <v>0</v>
      </c>
      <c r="AZ20" s="212">
        <f>(AZ16*Input!$C$137*(AZ$1-AY$1)/AZ$3)+(AZ17*Input!$C$137*(AZ$1-AY$1)/AZ$3/2)</f>
        <v>0</v>
      </c>
      <c r="BA20" s="212">
        <f>(BA16*Input!$C$137*(BA$1-AZ$1)/BA$3)+(BA17*Input!$C$137*(BA$1-AZ$1)/BA$3/2)</f>
        <v>0</v>
      </c>
    </row>
    <row r="22" spans="1:53" ht="15">
      <c r="B22" s="77" t="s">
        <v>133</v>
      </c>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row>
    <row r="23" spans="1:53" ht="15">
      <c r="B23" s="194" t="s">
        <v>211</v>
      </c>
      <c r="C23" s="150"/>
      <c r="D23" s="150"/>
      <c r="E23" s="212">
        <f>Input!C134</f>
        <v>1136.19</v>
      </c>
      <c r="F23" s="212">
        <f>E26</f>
        <v>1136.19</v>
      </c>
      <c r="G23" s="212">
        <f t="shared" ref="G23:BA23" si="8">F26</f>
        <v>1136.19</v>
      </c>
      <c r="H23" s="212">
        <f t="shared" si="8"/>
        <v>1136.19</v>
      </c>
      <c r="I23" s="212">
        <f t="shared" si="8"/>
        <v>1136.19</v>
      </c>
      <c r="J23" s="212">
        <f t="shared" si="8"/>
        <v>1136.19</v>
      </c>
      <c r="K23" s="212">
        <f t="shared" si="8"/>
        <v>1136.19</v>
      </c>
      <c r="L23" s="212">
        <f t="shared" si="8"/>
        <v>1136.19</v>
      </c>
      <c r="M23" s="212">
        <f t="shared" si="8"/>
        <v>1136.19</v>
      </c>
      <c r="N23" s="212">
        <f t="shared" si="8"/>
        <v>1136.19</v>
      </c>
      <c r="O23" s="212">
        <f t="shared" si="8"/>
        <v>1136.19</v>
      </c>
      <c r="P23" s="212">
        <f t="shared" si="8"/>
        <v>1136.19</v>
      </c>
      <c r="Q23" s="212">
        <f t="shared" si="8"/>
        <v>1136.19</v>
      </c>
      <c r="R23" s="212">
        <f t="shared" si="8"/>
        <v>1136.19</v>
      </c>
      <c r="S23" s="212">
        <f t="shared" si="8"/>
        <v>1136.19</v>
      </c>
      <c r="T23" s="212">
        <f t="shared" si="8"/>
        <v>1136.19</v>
      </c>
      <c r="U23" s="212">
        <f t="shared" si="8"/>
        <v>1136.19</v>
      </c>
      <c r="V23" s="212">
        <f t="shared" si="8"/>
        <v>1136.19</v>
      </c>
      <c r="W23" s="212">
        <f t="shared" si="8"/>
        <v>1136.19</v>
      </c>
      <c r="X23" s="212">
        <f t="shared" si="8"/>
        <v>1136.19</v>
      </c>
      <c r="Y23" s="212">
        <f t="shared" si="8"/>
        <v>1136.19</v>
      </c>
      <c r="Z23" s="212">
        <f t="shared" si="8"/>
        <v>1136.19</v>
      </c>
      <c r="AA23" s="212">
        <f t="shared" si="8"/>
        <v>1136.19</v>
      </c>
      <c r="AB23" s="212">
        <f t="shared" si="8"/>
        <v>1136.19</v>
      </c>
      <c r="AC23" s="212">
        <f t="shared" si="8"/>
        <v>1136.19</v>
      </c>
      <c r="AD23" s="212">
        <f t="shared" si="8"/>
        <v>1136.19</v>
      </c>
      <c r="AE23" s="212">
        <f t="shared" si="8"/>
        <v>1136.19</v>
      </c>
      <c r="AF23" s="212">
        <f t="shared" si="8"/>
        <v>1136.19</v>
      </c>
      <c r="AG23" s="212">
        <f t="shared" si="8"/>
        <v>1136.19</v>
      </c>
      <c r="AH23" s="212">
        <f t="shared" si="8"/>
        <v>1136.19</v>
      </c>
      <c r="AI23" s="212">
        <f t="shared" si="8"/>
        <v>1136.19</v>
      </c>
      <c r="AJ23" s="212">
        <f t="shared" si="8"/>
        <v>1136.19</v>
      </c>
      <c r="AK23" s="212">
        <f t="shared" si="8"/>
        <v>1136.19</v>
      </c>
      <c r="AL23" s="212">
        <f t="shared" si="8"/>
        <v>1136.19</v>
      </c>
      <c r="AM23" s="212">
        <f t="shared" si="8"/>
        <v>1136.19</v>
      </c>
      <c r="AN23" s="212">
        <f t="shared" si="8"/>
        <v>1136.19</v>
      </c>
      <c r="AO23" s="212">
        <f t="shared" si="8"/>
        <v>1136.19</v>
      </c>
      <c r="AP23" s="212">
        <f t="shared" si="8"/>
        <v>994.16624999999999</v>
      </c>
      <c r="AQ23" s="212">
        <f t="shared" si="8"/>
        <v>852.14249999999993</v>
      </c>
      <c r="AR23" s="212">
        <f t="shared" si="8"/>
        <v>710.11874999999986</v>
      </c>
      <c r="AS23" s="212">
        <f t="shared" si="8"/>
        <v>568.0949999999998</v>
      </c>
      <c r="AT23" s="212">
        <f t="shared" si="8"/>
        <v>426.07124999999979</v>
      </c>
      <c r="AU23" s="212">
        <f t="shared" si="8"/>
        <v>284.04749999999979</v>
      </c>
      <c r="AV23" s="212">
        <f t="shared" si="8"/>
        <v>142.02374999999978</v>
      </c>
      <c r="AW23" s="212">
        <f t="shared" si="8"/>
        <v>0</v>
      </c>
      <c r="AX23" s="212">
        <f t="shared" si="8"/>
        <v>0</v>
      </c>
      <c r="AY23" s="212">
        <f t="shared" si="8"/>
        <v>0</v>
      </c>
      <c r="AZ23" s="212">
        <f t="shared" si="8"/>
        <v>0</v>
      </c>
      <c r="BA23" s="212">
        <f t="shared" si="8"/>
        <v>0</v>
      </c>
    </row>
    <row r="24" spans="1:53" ht="15">
      <c r="A24" s="72">
        <f>SUM(E24:BA24)</f>
        <v>0</v>
      </c>
      <c r="B24" s="237" t="s">
        <v>203</v>
      </c>
      <c r="C24" s="150"/>
      <c r="D24" s="150"/>
      <c r="E24" s="212">
        <f>E6</f>
        <v>0</v>
      </c>
      <c r="F24" s="212">
        <f>F6</f>
        <v>0</v>
      </c>
      <c r="G24" s="212">
        <f t="shared" ref="G24:BA24" si="9">G6</f>
        <v>0</v>
      </c>
      <c r="H24" s="212">
        <f t="shared" si="9"/>
        <v>0</v>
      </c>
      <c r="I24" s="212">
        <f t="shared" si="9"/>
        <v>0</v>
      </c>
      <c r="J24" s="212">
        <f t="shared" si="9"/>
        <v>0</v>
      </c>
      <c r="K24" s="212">
        <f t="shared" si="9"/>
        <v>0</v>
      </c>
      <c r="L24" s="212">
        <f t="shared" si="9"/>
        <v>0</v>
      </c>
      <c r="M24" s="212">
        <f t="shared" si="9"/>
        <v>0</v>
      </c>
      <c r="N24" s="212">
        <f t="shared" si="9"/>
        <v>0</v>
      </c>
      <c r="O24" s="212">
        <f t="shared" si="9"/>
        <v>0</v>
      </c>
      <c r="P24" s="212">
        <f t="shared" si="9"/>
        <v>0</v>
      </c>
      <c r="Q24" s="212">
        <f t="shared" si="9"/>
        <v>0</v>
      </c>
      <c r="R24" s="212">
        <f t="shared" si="9"/>
        <v>0</v>
      </c>
      <c r="S24" s="212">
        <f t="shared" si="9"/>
        <v>0</v>
      </c>
      <c r="T24" s="212">
        <f t="shared" si="9"/>
        <v>0</v>
      </c>
      <c r="U24" s="212">
        <f t="shared" si="9"/>
        <v>0</v>
      </c>
      <c r="V24" s="212">
        <f t="shared" si="9"/>
        <v>0</v>
      </c>
      <c r="W24" s="212">
        <f t="shared" si="9"/>
        <v>0</v>
      </c>
      <c r="X24" s="212">
        <f t="shared" si="9"/>
        <v>0</v>
      </c>
      <c r="Y24" s="212">
        <f t="shared" si="9"/>
        <v>0</v>
      </c>
      <c r="Z24" s="212">
        <f t="shared" si="9"/>
        <v>0</v>
      </c>
      <c r="AA24" s="212">
        <f t="shared" si="9"/>
        <v>0</v>
      </c>
      <c r="AB24" s="212">
        <f t="shared" si="9"/>
        <v>0</v>
      </c>
      <c r="AC24" s="212">
        <f t="shared" si="9"/>
        <v>0</v>
      </c>
      <c r="AD24" s="212">
        <f t="shared" si="9"/>
        <v>0</v>
      </c>
      <c r="AE24" s="212">
        <f t="shared" si="9"/>
        <v>0</v>
      </c>
      <c r="AF24" s="212">
        <f t="shared" si="9"/>
        <v>0</v>
      </c>
      <c r="AG24" s="212">
        <f t="shared" si="9"/>
        <v>0</v>
      </c>
      <c r="AH24" s="212">
        <f t="shared" si="9"/>
        <v>0</v>
      </c>
      <c r="AI24" s="212">
        <f t="shared" si="9"/>
        <v>0</v>
      </c>
      <c r="AJ24" s="212">
        <f t="shared" si="9"/>
        <v>0</v>
      </c>
      <c r="AK24" s="212">
        <f t="shared" si="9"/>
        <v>0</v>
      </c>
      <c r="AL24" s="212">
        <f t="shared" si="9"/>
        <v>0</v>
      </c>
      <c r="AM24" s="212">
        <f t="shared" si="9"/>
        <v>0</v>
      </c>
      <c r="AN24" s="212">
        <f t="shared" si="9"/>
        <v>0</v>
      </c>
      <c r="AO24" s="212">
        <f t="shared" si="9"/>
        <v>0</v>
      </c>
      <c r="AP24" s="212">
        <f t="shared" si="9"/>
        <v>0</v>
      </c>
      <c r="AQ24" s="212">
        <f t="shared" si="9"/>
        <v>0</v>
      </c>
      <c r="AR24" s="212">
        <f t="shared" si="9"/>
        <v>0</v>
      </c>
      <c r="AS24" s="212">
        <f t="shared" si="9"/>
        <v>0</v>
      </c>
      <c r="AT24" s="212">
        <f t="shared" si="9"/>
        <v>0</v>
      </c>
      <c r="AU24" s="212">
        <f t="shared" si="9"/>
        <v>0</v>
      </c>
      <c r="AV24" s="212">
        <f t="shared" si="9"/>
        <v>0</v>
      </c>
      <c r="AW24" s="212">
        <f t="shared" si="9"/>
        <v>0</v>
      </c>
      <c r="AX24" s="212">
        <f t="shared" si="9"/>
        <v>0</v>
      </c>
      <c r="AY24" s="212">
        <f t="shared" si="9"/>
        <v>0</v>
      </c>
      <c r="AZ24" s="212">
        <f t="shared" si="9"/>
        <v>0</v>
      </c>
      <c r="BA24" s="212">
        <f t="shared" si="9"/>
        <v>0</v>
      </c>
    </row>
    <row r="25" spans="1:53" ht="15">
      <c r="A25" s="72">
        <f>SUM(E25:BA25)</f>
        <v>1136.19</v>
      </c>
      <c r="B25" s="237" t="s">
        <v>206</v>
      </c>
      <c r="C25" s="150"/>
      <c r="D25" s="150"/>
      <c r="E25" s="239">
        <f>IF(SUM(E23:E24)&gt;0,MIN(SUM(E23:E24),SUMIF('Debt Repay'!$D$5:$D$52,E$1,'Debt Repay'!$M$5:$M$52)),0)</f>
        <v>0</v>
      </c>
      <c r="F25" s="239">
        <f>IF(SUM(F23:F24)&gt;0,MIN(SUM(F23:F24),SUMIF('Debt Repay'!$D$5:$D$52,F$1,'Debt Repay'!$M$5:$M$52)),0)</f>
        <v>0</v>
      </c>
      <c r="G25" s="239">
        <f>IF(SUM(G23:G24)&gt;0,MIN(SUM(G23:G24),SUMIF('Debt Repay'!$D$5:$D$52,G$1,'Debt Repay'!$M$5:$M$52)),0)</f>
        <v>0</v>
      </c>
      <c r="H25" s="239">
        <f>IF(SUM(H23:H24)&gt;0,MIN(SUM(H23:H24),SUMIF('Debt Repay'!$D$5:$D$52,H$1,'Debt Repay'!$M$5:$M$52)),0)</f>
        <v>0</v>
      </c>
      <c r="I25" s="239">
        <f>IF(SUM(I23:I24)&gt;0,MIN(SUM(I23:I24),SUMIF('Debt Repay'!$D$5:$D$52,I$1,'Debt Repay'!$M$5:$M$52)),0)</f>
        <v>0</v>
      </c>
      <c r="J25" s="239">
        <f>IF(SUM(J23:J24)&gt;0,MIN(SUM(J23:J24),SUMIF('Debt Repay'!$D$5:$D$52,J$1,'Debt Repay'!$M$5:$M$52)),0)</f>
        <v>0</v>
      </c>
      <c r="K25" s="239">
        <f>IF(SUM(K23:K24)&gt;0,MIN(SUM(K23:K24),SUMIF('Debt Repay'!$D$5:$D$52,K$1,'Debt Repay'!$M$5:$M$52)),0)</f>
        <v>0</v>
      </c>
      <c r="L25" s="239">
        <f>IF(SUM(L23:L24)&gt;0,MIN(SUM(L23:L24),SUMIF('Debt Repay'!$D$5:$D$52,L$1,'Debt Repay'!$M$5:$M$52)),0)</f>
        <v>0</v>
      </c>
      <c r="M25" s="239">
        <f>IF(SUM(M23:M24)&gt;0,MIN(SUM(M23:M24),SUMIF('Debt Repay'!$D$5:$D$52,M$1,'Debt Repay'!$M$5:$M$52)),0)</f>
        <v>0</v>
      </c>
      <c r="N25" s="239">
        <f>IF(SUM(N23:N24)&gt;0,MIN(SUM(N23:N24),SUMIF('Debt Repay'!$D$5:$D$52,N$1,'Debt Repay'!$M$5:$M$52)),0)</f>
        <v>0</v>
      </c>
      <c r="O25" s="239">
        <f>IF(SUM(O23:O24)&gt;0,MIN(SUM(O23:O24),SUMIF('Debt Repay'!$D$5:$D$52,O$1,'Debt Repay'!$M$5:$M$52)),0)</f>
        <v>0</v>
      </c>
      <c r="P25" s="239">
        <f>IF(SUM(P23:P24)&gt;0,MIN(SUM(P23:P24),SUMIF('Debt Repay'!$D$5:$D$52,P$1,'Debt Repay'!$M$5:$M$52)),0)</f>
        <v>0</v>
      </c>
      <c r="Q25" s="239">
        <f>IF(SUM(Q23:Q24)&gt;0,MIN(SUM(Q23:Q24),SUMIF('Debt Repay'!$D$5:$D$52,Q$1,'Debt Repay'!$M$5:$M$52)),0)</f>
        <v>0</v>
      </c>
      <c r="R25" s="239">
        <f>IF(SUM(R23:R24)&gt;0,MIN(SUM(R23:R24),SUMIF('Debt Repay'!$D$5:$D$52,R$1,'Debt Repay'!$M$5:$M$52)),0)</f>
        <v>0</v>
      </c>
      <c r="S25" s="239">
        <f>IF(SUM(S23:S24)&gt;0,MIN(SUM(S23:S24),SUMIF('Debt Repay'!$D$5:$D$52,S$1,'Debt Repay'!$M$5:$M$52)),0)</f>
        <v>0</v>
      </c>
      <c r="T25" s="239">
        <f>IF(SUM(T23:T24)&gt;0,MIN(SUM(T23:T24),SUMIF('Debt Repay'!$D$5:$D$52,T$1,'Debt Repay'!$M$5:$M$52)),0)</f>
        <v>0</v>
      </c>
      <c r="U25" s="239">
        <f>IF(SUM(U23:U24)&gt;0,MIN(SUM(U23:U24),SUMIF('Debt Repay'!$D$5:$D$52,U$1,'Debt Repay'!$M$5:$M$52)),0)</f>
        <v>0</v>
      </c>
      <c r="V25" s="239">
        <f>IF(SUM(V23:V24)&gt;0,MIN(SUM(V23:V24),SUMIF('Debt Repay'!$D$5:$D$52,V$1,'Debt Repay'!$M$5:$M$52)),0)</f>
        <v>0</v>
      </c>
      <c r="W25" s="239">
        <f>IF(SUM(W23:W24)&gt;0,MIN(SUM(W23:W24),SUMIF('Debt Repay'!$D$5:$D$52,W$1,'Debt Repay'!$M$5:$M$52)),0)</f>
        <v>0</v>
      </c>
      <c r="X25" s="239">
        <f>IF(SUM(X23:X24)&gt;0,MIN(SUM(X23:X24),SUMIF('Debt Repay'!$D$5:$D$52,X$1,'Debt Repay'!$M$5:$M$52)),0)</f>
        <v>0</v>
      </c>
      <c r="Y25" s="239">
        <f>IF(SUM(Y23:Y24)&gt;0,MIN(SUM(Y23:Y24),SUMIF('Debt Repay'!$D$5:$D$52,Y$1,'Debt Repay'!$M$5:$M$52)),0)</f>
        <v>0</v>
      </c>
      <c r="Z25" s="239">
        <f>IF(SUM(Z23:Z24)&gt;0,MIN(SUM(Z23:Z24),SUMIF('Debt Repay'!$D$5:$D$52,Z$1,'Debt Repay'!$M$5:$M$52)),0)</f>
        <v>0</v>
      </c>
      <c r="AA25" s="239">
        <f>IF(SUM(AA23:AA24)&gt;0,MIN(SUM(AA23:AA24),SUMIF('Debt Repay'!$D$5:$D$52,AA$1,'Debt Repay'!$M$5:$M$52)),0)</f>
        <v>0</v>
      </c>
      <c r="AB25" s="239">
        <f>IF(SUM(AB23:AB24)&gt;0,MIN(SUM(AB23:AB24),SUMIF('Debt Repay'!$D$5:$D$52,AB$1,'Debt Repay'!$M$5:$M$52)),0)</f>
        <v>0</v>
      </c>
      <c r="AC25" s="239">
        <f>IF(SUM(AC23:AC24)&gt;0,MIN(SUM(AC23:AC24),SUMIF('Debt Repay'!$D$5:$D$52,AC$1,'Debt Repay'!$M$5:$M$52)),0)</f>
        <v>0</v>
      </c>
      <c r="AD25" s="239">
        <f>IF(SUM(AD23:AD24)&gt;0,MIN(SUM(AD23:AD24),SUMIF('Debt Repay'!$D$5:$D$52,AD$1,'Debt Repay'!$M$5:$M$52)),0)</f>
        <v>0</v>
      </c>
      <c r="AE25" s="239">
        <f>IF(SUM(AE23:AE24)&gt;0,MIN(SUM(AE23:AE24),SUMIF('Debt Repay'!$D$5:$D$52,AE$1,'Debt Repay'!$M$5:$M$52)),0)</f>
        <v>0</v>
      </c>
      <c r="AF25" s="239">
        <f>IF(SUM(AF23:AF24)&gt;0,MIN(SUM(AF23:AF24),SUMIF('Debt Repay'!$D$5:$D$52,AF$1,'Debt Repay'!$M$5:$M$52)),0)</f>
        <v>0</v>
      </c>
      <c r="AG25" s="239">
        <f>IF(SUM(AG23:AG24)&gt;0,MIN(SUM(AG23:AG24),SUMIF('Debt Repay'!$D$5:$D$52,AG$1,'Debt Repay'!$M$5:$M$52)),0)</f>
        <v>0</v>
      </c>
      <c r="AH25" s="239">
        <f>IF(SUM(AH23:AH24)&gt;0,MIN(SUM(AH23:AH24),SUMIF('Debt Repay'!$D$5:$D$52,AH$1,'Debt Repay'!$M$5:$M$52)),0)</f>
        <v>0</v>
      </c>
      <c r="AI25" s="239">
        <f>IF(SUM(AI23:AI24)&gt;0,MIN(SUM(AI23:AI24),SUMIF('Debt Repay'!$D$5:$D$52,AI$1,'Debt Repay'!$M$5:$M$52)),0)</f>
        <v>0</v>
      </c>
      <c r="AJ25" s="239">
        <f>IF(SUM(AJ23:AJ24)&gt;0,MIN(SUM(AJ23:AJ24),SUMIF('Debt Repay'!$D$5:$D$52,AJ$1,'Debt Repay'!$M$5:$M$52)),0)</f>
        <v>0</v>
      </c>
      <c r="AK25" s="239">
        <f>IF(SUM(AK23:AK24)&gt;0,MIN(SUM(AK23:AK24),SUMIF('Debt Repay'!$D$5:$D$52,AK$1,'Debt Repay'!$M$5:$M$52)),0)</f>
        <v>0</v>
      </c>
      <c r="AL25" s="239">
        <f>IF(SUM(AL23:AL24)&gt;0,MIN(SUM(AL23:AL24),SUMIF('Debt Repay'!$D$5:$D$52,AL$1,'Debt Repay'!$M$5:$M$52)),0)</f>
        <v>0</v>
      </c>
      <c r="AM25" s="239">
        <f>IF(SUM(AM23:AM24)&gt;0,MIN(SUM(AM23:AM24),SUMIF('Debt Repay'!$D$5:$D$52,AM$1,'Debt Repay'!$M$5:$M$52)),0)</f>
        <v>0</v>
      </c>
      <c r="AN25" s="239">
        <f>IF(SUM(AN23:AN24)&gt;0,MIN(SUM(AN23:AN24),SUMIF('Debt Repay'!$D$5:$D$52,AN$1,'Debt Repay'!$M$5:$M$52)),0)</f>
        <v>0</v>
      </c>
      <c r="AO25" s="239">
        <f>IF(SUM(AO23:AO24)&gt;0,MIN(SUM(AO23:AO24),SUMIF('Debt Repay'!$D$5:$D$52,AO$1,'Debt Repay'!$M$5:$M$52)),0)</f>
        <v>142.02375000000001</v>
      </c>
      <c r="AP25" s="239">
        <f>IF(SUM(AP23:AP24)&gt;0,MIN(SUM(AP23:AP24),SUMIF('Debt Repay'!$D$5:$D$52,AP$1,'Debt Repay'!$M$5:$M$52)),0)</f>
        <v>142.02375000000001</v>
      </c>
      <c r="AQ25" s="239">
        <f>IF(SUM(AQ23:AQ24)&gt;0,MIN(SUM(AQ23:AQ24),SUMIF('Debt Repay'!$D$5:$D$52,AQ$1,'Debt Repay'!$M$5:$M$52)),0)</f>
        <v>142.02375000000001</v>
      </c>
      <c r="AR25" s="239">
        <f>IF(SUM(AR23:AR24)&gt;0,MIN(SUM(AR23:AR24),SUMIF('Debt Repay'!$D$5:$D$52,AR$1,'Debt Repay'!$M$5:$M$52)),0)</f>
        <v>142.02375000000001</v>
      </c>
      <c r="AS25" s="239">
        <f>IF(SUM(AS23:AS24)&gt;0,MIN(SUM(AS23:AS24),SUMIF('Debt Repay'!$D$5:$D$52,AS$1,'Debt Repay'!$M$5:$M$52)),0)</f>
        <v>142.02375000000001</v>
      </c>
      <c r="AT25" s="239">
        <f>IF(SUM(AT23:AT24)&gt;0,MIN(SUM(AT23:AT24),SUMIF('Debt Repay'!$D$5:$D$52,AT$1,'Debt Repay'!$M$5:$M$52)),0)</f>
        <v>142.02375000000001</v>
      </c>
      <c r="AU25" s="239">
        <f>IF(SUM(AU23:AU24)&gt;0,MIN(SUM(AU23:AU24),SUMIF('Debt Repay'!$D$5:$D$52,AU$1,'Debt Repay'!$M$5:$M$52)),0)</f>
        <v>142.02375000000001</v>
      </c>
      <c r="AV25" s="239">
        <f>IF(SUM(AV23:AV24)&gt;0,MIN(SUM(AV23:AV24),SUMIF('Debt Repay'!$D$5:$D$52,AV$1,'Debt Repay'!$M$5:$M$52)),0)</f>
        <v>142.02374999999978</v>
      </c>
      <c r="AW25" s="239">
        <f>IF(SUM(AW23:AW24)&gt;0,MIN(SUM(AW23:AW24),SUMIF('Debt Repay'!$D$5:$D$52,AW$1,'Debt Repay'!$M$5:$M$52)),0)</f>
        <v>0</v>
      </c>
      <c r="AX25" s="239">
        <f>IF(SUM(AX23:AX24)&gt;0,MIN(SUM(AX23:AX24),SUMIF('Debt Repay'!$D$5:$D$52,AX$1,'Debt Repay'!$M$5:$M$52)),0)</f>
        <v>0</v>
      </c>
      <c r="AY25" s="239">
        <f>IF(SUM(AY23:AY24)&gt;0,MIN(SUM(AY23:AY24),SUMIF('Debt Repay'!$D$5:$D$52,AY$1,'Debt Repay'!$M$5:$M$52)),0)</f>
        <v>0</v>
      </c>
      <c r="AZ25" s="239">
        <f>IF(SUM(AZ23:AZ24)&gt;0,MIN(SUM(AZ23:AZ24),SUMIF('Debt Repay'!$D$5:$D$52,AZ$1,'Debt Repay'!$M$5:$M$52)),0)</f>
        <v>0</v>
      </c>
      <c r="BA25" s="239">
        <f>IF(SUM(BA23:BA24)&gt;0,MIN(SUM(BA23:BA24),SUMIF('Debt Repay'!$D$5:$D$52,BA$1,'Debt Repay'!$M$5:$M$52)),0)</f>
        <v>0</v>
      </c>
    </row>
    <row r="26" spans="1:53" ht="15">
      <c r="B26" s="237" t="s">
        <v>207</v>
      </c>
      <c r="C26" s="150"/>
      <c r="D26" s="209">
        <f>C6</f>
        <v>0</v>
      </c>
      <c r="E26" s="212">
        <f>E23+E24-E25</f>
        <v>1136.19</v>
      </c>
      <c r="F26" s="212">
        <f>F23+F24-F25</f>
        <v>1136.19</v>
      </c>
      <c r="G26" s="212">
        <f t="shared" ref="G26:BA26" si="10">G23+G24-G25</f>
        <v>1136.19</v>
      </c>
      <c r="H26" s="212">
        <f t="shared" si="10"/>
        <v>1136.19</v>
      </c>
      <c r="I26" s="212">
        <f t="shared" si="10"/>
        <v>1136.19</v>
      </c>
      <c r="J26" s="212">
        <f t="shared" si="10"/>
        <v>1136.19</v>
      </c>
      <c r="K26" s="212">
        <f t="shared" si="10"/>
        <v>1136.19</v>
      </c>
      <c r="L26" s="212">
        <f t="shared" si="10"/>
        <v>1136.19</v>
      </c>
      <c r="M26" s="212">
        <f t="shared" si="10"/>
        <v>1136.19</v>
      </c>
      <c r="N26" s="212">
        <f t="shared" si="10"/>
        <v>1136.19</v>
      </c>
      <c r="O26" s="212">
        <f t="shared" si="10"/>
        <v>1136.19</v>
      </c>
      <c r="P26" s="212">
        <f t="shared" si="10"/>
        <v>1136.19</v>
      </c>
      <c r="Q26" s="212">
        <f t="shared" si="10"/>
        <v>1136.19</v>
      </c>
      <c r="R26" s="212">
        <f t="shared" si="10"/>
        <v>1136.19</v>
      </c>
      <c r="S26" s="212">
        <f t="shared" si="10"/>
        <v>1136.19</v>
      </c>
      <c r="T26" s="212">
        <f t="shared" si="10"/>
        <v>1136.19</v>
      </c>
      <c r="U26" s="212">
        <f t="shared" si="10"/>
        <v>1136.19</v>
      </c>
      <c r="V26" s="212">
        <f t="shared" si="10"/>
        <v>1136.19</v>
      </c>
      <c r="W26" s="212">
        <f t="shared" si="10"/>
        <v>1136.19</v>
      </c>
      <c r="X26" s="212">
        <f t="shared" si="10"/>
        <v>1136.19</v>
      </c>
      <c r="Y26" s="212">
        <f t="shared" si="10"/>
        <v>1136.19</v>
      </c>
      <c r="Z26" s="212">
        <f t="shared" si="10"/>
        <v>1136.19</v>
      </c>
      <c r="AA26" s="212">
        <f t="shared" si="10"/>
        <v>1136.19</v>
      </c>
      <c r="AB26" s="212">
        <f t="shared" si="10"/>
        <v>1136.19</v>
      </c>
      <c r="AC26" s="212">
        <f t="shared" si="10"/>
        <v>1136.19</v>
      </c>
      <c r="AD26" s="212">
        <f t="shared" si="10"/>
        <v>1136.19</v>
      </c>
      <c r="AE26" s="212">
        <f t="shared" si="10"/>
        <v>1136.19</v>
      </c>
      <c r="AF26" s="212">
        <f t="shared" si="10"/>
        <v>1136.19</v>
      </c>
      <c r="AG26" s="212">
        <f t="shared" si="10"/>
        <v>1136.19</v>
      </c>
      <c r="AH26" s="212">
        <f t="shared" si="10"/>
        <v>1136.19</v>
      </c>
      <c r="AI26" s="212">
        <f t="shared" si="10"/>
        <v>1136.19</v>
      </c>
      <c r="AJ26" s="212">
        <f t="shared" si="10"/>
        <v>1136.19</v>
      </c>
      <c r="AK26" s="212">
        <f t="shared" si="10"/>
        <v>1136.19</v>
      </c>
      <c r="AL26" s="212">
        <f t="shared" si="10"/>
        <v>1136.19</v>
      </c>
      <c r="AM26" s="212">
        <f t="shared" si="10"/>
        <v>1136.19</v>
      </c>
      <c r="AN26" s="212">
        <f t="shared" si="10"/>
        <v>1136.19</v>
      </c>
      <c r="AO26" s="212">
        <f t="shared" si="10"/>
        <v>994.16624999999999</v>
      </c>
      <c r="AP26" s="212">
        <f t="shared" si="10"/>
        <v>852.14249999999993</v>
      </c>
      <c r="AQ26" s="212">
        <f t="shared" si="10"/>
        <v>710.11874999999986</v>
      </c>
      <c r="AR26" s="212">
        <f t="shared" si="10"/>
        <v>568.0949999999998</v>
      </c>
      <c r="AS26" s="212">
        <f t="shared" si="10"/>
        <v>426.07124999999979</v>
      </c>
      <c r="AT26" s="212">
        <f t="shared" si="10"/>
        <v>284.04749999999979</v>
      </c>
      <c r="AU26" s="212">
        <f t="shared" si="10"/>
        <v>142.02374999999978</v>
      </c>
      <c r="AV26" s="212">
        <f t="shared" si="10"/>
        <v>0</v>
      </c>
      <c r="AW26" s="212">
        <f t="shared" si="10"/>
        <v>0</v>
      </c>
      <c r="AX26" s="212">
        <f t="shared" si="10"/>
        <v>0</v>
      </c>
      <c r="AY26" s="212">
        <f t="shared" si="10"/>
        <v>0</v>
      </c>
      <c r="AZ26" s="212">
        <f t="shared" si="10"/>
        <v>0</v>
      </c>
      <c r="BA26" s="212">
        <f t="shared" si="10"/>
        <v>0</v>
      </c>
    </row>
    <row r="27" spans="1:53" ht="15">
      <c r="A27" s="72">
        <f>SUM(E27:BA27)</f>
        <v>1.1504507409246574</v>
      </c>
      <c r="B27" s="237" t="s">
        <v>208</v>
      </c>
      <c r="C27" s="150"/>
      <c r="D27" s="150"/>
      <c r="E27" s="212">
        <f>SUM(E23:E24)*Input!$C$138*(E$1-D$1)/E$3</f>
        <v>2.832692876712329E-2</v>
      </c>
      <c r="F27" s="212">
        <f>SUM(F23:F24)*Input!$C$138*(F$1-E$1)/F$3</f>
        <v>2.8638213698630139E-2</v>
      </c>
      <c r="G27" s="212">
        <f>SUM(G23:G24)*Input!$C$138*(G$1-F$1)/G$3</f>
        <v>2.8638213698630139E-2</v>
      </c>
      <c r="H27" s="212">
        <f>SUM(H23:H24)*Input!$C$138*(H$1-G$1)/H$3</f>
        <v>2.801564383561644E-2</v>
      </c>
      <c r="I27" s="212">
        <f>SUM(I23:I24)*Input!$C$138*(I$1-H$1)/I$3</f>
        <v>2.8249532786885249E-2</v>
      </c>
      <c r="J27" s="212">
        <f>SUM(J23:J24)*Input!$C$138*(J$1-I$1)/J$3</f>
        <v>2.8559967213114757E-2</v>
      </c>
      <c r="K27" s="212">
        <f>SUM(K23:K24)*Input!$C$138*(K$1-J$1)/K$3</f>
        <v>2.8559967213114757E-2</v>
      </c>
      <c r="L27" s="212">
        <f>SUM(L23:L24)*Input!$C$138*(L$1-K$1)/L$3</f>
        <v>2.8249532786885249E-2</v>
      </c>
      <c r="M27" s="212">
        <f>SUM(M23:M24)*Input!$C$138*(M$1-L$1)/M$3</f>
        <v>2.832692876712329E-2</v>
      </c>
      <c r="N27" s="212">
        <f>SUM(N23:N24)*Input!$C$138*(N$1-M$1)/N$3</f>
        <v>2.8638213698630139E-2</v>
      </c>
      <c r="O27" s="212">
        <f>SUM(O23:O24)*Input!$C$138*(O$1-N$1)/O$3</f>
        <v>2.8638213698630139E-2</v>
      </c>
      <c r="P27" s="212">
        <f>SUM(P23:P24)*Input!$C$138*(P$1-O$1)/P$3</f>
        <v>2.801564383561644E-2</v>
      </c>
      <c r="Q27" s="212">
        <f>SUM(Q23:Q24)*Input!$C$138*(Q$1-P$1)/Q$3</f>
        <v>2.832692876712329E-2</v>
      </c>
      <c r="R27" s="212">
        <f>SUM(R23:R24)*Input!$C$138*(R$1-Q$1)/R$3</f>
        <v>2.8638213698630139E-2</v>
      </c>
      <c r="S27" s="212">
        <f>SUM(S23:S24)*Input!$C$138*(S$1-R$1)/S$3</f>
        <v>2.8638213698630139E-2</v>
      </c>
      <c r="T27" s="212">
        <f>SUM(T23:T24)*Input!$C$138*(T$1-S$1)/T$3</f>
        <v>2.801564383561644E-2</v>
      </c>
      <c r="U27" s="212">
        <f>SUM(U23:U24)*Input!$C$138*(U$1-T$1)/U$3</f>
        <v>2.832692876712329E-2</v>
      </c>
      <c r="V27" s="212">
        <f>SUM(V23:V24)*Input!$C$138*(V$1-U$1)/V$3</f>
        <v>2.8638213698630139E-2</v>
      </c>
      <c r="W27" s="212">
        <f>SUM(W23:W24)*Input!$C$138*(W$1-V$1)/W$3</f>
        <v>2.8638213698630139E-2</v>
      </c>
      <c r="X27" s="212">
        <f>SUM(X23:X24)*Input!$C$138*(X$1-W$1)/X$3</f>
        <v>2.801564383561644E-2</v>
      </c>
      <c r="Y27" s="212">
        <f>SUM(Y23:Y24)*Input!$C$138*(Y$1-X$1)/Y$3</f>
        <v>2.8249532786885249E-2</v>
      </c>
      <c r="Z27" s="212">
        <f>SUM(Z23:Z24)*Input!$C$138*(Z$1-Y$1)/Z$3</f>
        <v>2.8559967213114757E-2</v>
      </c>
      <c r="AA27" s="212">
        <f>SUM(AA23:AA24)*Input!$C$138*(AA$1-Z$1)/AA$3</f>
        <v>2.8559967213114757E-2</v>
      </c>
      <c r="AB27" s="212">
        <f>SUM(AB23:AB24)*Input!$C$138*(AB$1-AA$1)/AB$3</f>
        <v>2.8249532786885249E-2</v>
      </c>
      <c r="AC27" s="212">
        <f>SUM(AC23:AC24)*Input!$C$138*(AC$1-AB$1)/AC$3</f>
        <v>2.832692876712329E-2</v>
      </c>
      <c r="AD27" s="212">
        <f>SUM(AD23:AD24)*Input!$C$138*(AD$1-AC$1)/AD$3</f>
        <v>2.8638213698630139E-2</v>
      </c>
      <c r="AE27" s="212">
        <f>SUM(AE23:AE24)*Input!$C$138*(AE$1-AD$1)/AE$3</f>
        <v>2.8638213698630139E-2</v>
      </c>
      <c r="AF27" s="212">
        <f>SUM(AF23:AF24)*Input!$C$138*(AF$1-AE$1)/AF$3</f>
        <v>2.801564383561644E-2</v>
      </c>
      <c r="AG27" s="212">
        <f>SUM(AG23:AG24)*Input!$C$138*(AG$1-AF$1)/AG$3</f>
        <v>2.832692876712329E-2</v>
      </c>
      <c r="AH27" s="212">
        <f>SUM(AH23:AH24)*Input!$C$138*(AH$1-AG$1)/AH$3</f>
        <v>2.8638213698630139E-2</v>
      </c>
      <c r="AI27" s="212">
        <f>SUM(AI23:AI24)*Input!$C$138*(AI$1-AH$1)/AI$3</f>
        <v>2.8638213698630139E-2</v>
      </c>
      <c r="AJ27" s="212">
        <f>SUM(AJ23:AJ24)*Input!$C$138*(AJ$1-AI$1)/AJ$3</f>
        <v>2.801564383561644E-2</v>
      </c>
      <c r="AK27" s="212">
        <f>SUM(AK23:AK24)*Input!$C$138*(AK$1-AJ$1)/AK$3</f>
        <v>2.832692876712329E-2</v>
      </c>
      <c r="AL27" s="212">
        <f>SUM(AL23:AL24)*Input!$C$138*(AL$1-AK$1)/AL$3</f>
        <v>2.8638213698630139E-2</v>
      </c>
      <c r="AM27" s="212">
        <f>SUM(AM23:AM24)*Input!$C$138*(AM$1-AL$1)/AM$3</f>
        <v>2.8638213698630139E-2</v>
      </c>
      <c r="AN27" s="212">
        <f>SUM(AN23:AN24)*Input!$C$138*(AN$1-AM$1)/AN$3</f>
        <v>2.801564383561644E-2</v>
      </c>
      <c r="AO27" s="212">
        <f>SUM(AO23:AO24)*Input!$C$138*(AO$1-AN$1)/AO$3</f>
        <v>2.8249532786885249E-2</v>
      </c>
      <c r="AP27" s="212">
        <f>SUM(AP23:AP24)*Input!$C$138*(AP$1-AO$1)/AP$3</f>
        <v>2.4989971311475411E-2</v>
      </c>
      <c r="AQ27" s="212">
        <f>SUM(AQ23:AQ24)*Input!$C$138*(AQ$1-AP$1)/AQ$3</f>
        <v>2.1419975409836065E-2</v>
      </c>
      <c r="AR27" s="212">
        <f>SUM(AR23:AR24)*Input!$C$138*(AR$1-AQ$1)/AR$3</f>
        <v>1.7655957991803275E-2</v>
      </c>
      <c r="AS27" s="212">
        <f>SUM(AS23:AS24)*Input!$C$138*(AS$1-AR$1)/AS$3</f>
        <v>1.416346438356164E-2</v>
      </c>
      <c r="AT27" s="212">
        <f>SUM(AT23:AT24)*Input!$C$138*(AT$1-AS$1)/AT$3</f>
        <v>1.0739330136986297E-2</v>
      </c>
      <c r="AU27" s="212">
        <f>SUM(AU23:AU24)*Input!$C$138*(AU$1-AT$1)/AU$3</f>
        <v>7.1595534246575287E-3</v>
      </c>
      <c r="AV27" s="212">
        <f>SUM(AV23:AV24)*Input!$C$138*(AV$1-AU$1)/AV$3</f>
        <v>3.5019554794520498E-3</v>
      </c>
      <c r="AW27" s="212">
        <f>SUM(AW23:AW24)*Input!$C$138*(AW$1-AV$1)/AW$3</f>
        <v>0</v>
      </c>
      <c r="AX27" s="212">
        <f>SUM(AX23:AX24)*Input!$C$138*(AX$1-AW$1)/AX$3</f>
        <v>0</v>
      </c>
      <c r="AY27" s="212">
        <f>SUM(AY23:AY24)*Input!$C$138*(AY$1-AX$1)/AY$3</f>
        <v>0</v>
      </c>
      <c r="AZ27" s="212">
        <f>SUM(AZ23:AZ24)*Input!$C$138*(AZ$1-AY$1)/AZ$3</f>
        <v>0</v>
      </c>
      <c r="BA27" s="212">
        <f>SUM(BA23:BA24)*Input!$C$138*(BA$1-AZ$1)/BA$3</f>
        <v>0</v>
      </c>
    </row>
    <row r="29" spans="1:53" ht="15">
      <c r="B29" s="28" t="s">
        <v>225</v>
      </c>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row>
    <row r="30" spans="1:53" ht="15">
      <c r="B30" s="194" t="s">
        <v>211</v>
      </c>
      <c r="C30" s="150"/>
      <c r="D30" s="150"/>
      <c r="E30" s="195">
        <f>E9+E16+E23</f>
        <v>2391.98</v>
      </c>
      <c r="F30" s="195">
        <f t="shared" ref="F30:BA33" si="11">F9+F16+F23</f>
        <v>2381.52</v>
      </c>
      <c r="G30" s="195">
        <f t="shared" si="11"/>
        <v>2371.06</v>
      </c>
      <c r="H30" s="195">
        <f t="shared" si="11"/>
        <v>2350.13</v>
      </c>
      <c r="I30" s="195">
        <f t="shared" si="11"/>
        <v>2329.1999999999998</v>
      </c>
      <c r="J30" s="195">
        <f t="shared" si="11"/>
        <v>2317.27</v>
      </c>
      <c r="K30" s="195">
        <f t="shared" si="11"/>
        <v>2305.34</v>
      </c>
      <c r="L30" s="195">
        <f t="shared" si="11"/>
        <v>2281.48</v>
      </c>
      <c r="M30" s="195">
        <f t="shared" si="11"/>
        <v>2257.62</v>
      </c>
      <c r="N30" s="195">
        <f t="shared" si="11"/>
        <v>2248.41</v>
      </c>
      <c r="O30" s="195">
        <f t="shared" si="11"/>
        <v>2239.1999999999998</v>
      </c>
      <c r="P30" s="195">
        <f t="shared" si="11"/>
        <v>2220.7799999999997</v>
      </c>
      <c r="Q30" s="195">
        <f t="shared" si="11"/>
        <v>2202.36</v>
      </c>
      <c r="R30" s="195">
        <f t="shared" si="11"/>
        <v>2188.5500000000002</v>
      </c>
      <c r="S30" s="195">
        <f t="shared" si="11"/>
        <v>2174.7399999999998</v>
      </c>
      <c r="T30" s="195">
        <f t="shared" si="11"/>
        <v>2147.11</v>
      </c>
      <c r="U30" s="195">
        <f t="shared" si="11"/>
        <v>2146.35</v>
      </c>
      <c r="V30" s="195">
        <f t="shared" si="11"/>
        <v>2117.7399999999998</v>
      </c>
      <c r="W30" s="195">
        <f t="shared" si="11"/>
        <v>2081.8000000000002</v>
      </c>
      <c r="X30" s="195">
        <f t="shared" si="11"/>
        <v>2044.13</v>
      </c>
      <c r="Y30" s="195">
        <f t="shared" si="11"/>
        <v>2006.46</v>
      </c>
      <c r="Z30" s="195">
        <f t="shared" si="11"/>
        <v>1981.3400000000001</v>
      </c>
      <c r="AA30" s="195">
        <f t="shared" si="11"/>
        <v>1956.22</v>
      </c>
      <c r="AB30" s="195">
        <f t="shared" si="11"/>
        <v>1905.99</v>
      </c>
      <c r="AC30" s="195">
        <f t="shared" si="11"/>
        <v>1855.7600000000002</v>
      </c>
      <c r="AD30" s="195">
        <f t="shared" si="11"/>
        <v>1824.37</v>
      </c>
      <c r="AE30" s="195">
        <f t="shared" si="11"/>
        <v>1792.98</v>
      </c>
      <c r="AF30" s="195">
        <f t="shared" si="11"/>
        <v>1730.19</v>
      </c>
      <c r="AG30" s="195">
        <f t="shared" si="11"/>
        <v>1667.4</v>
      </c>
      <c r="AH30" s="195">
        <f t="shared" si="11"/>
        <v>1628.16</v>
      </c>
      <c r="AI30" s="195">
        <f t="shared" si="11"/>
        <v>1588.92</v>
      </c>
      <c r="AJ30" s="195">
        <f t="shared" si="11"/>
        <v>1510.43</v>
      </c>
      <c r="AK30" s="195">
        <f t="shared" si="11"/>
        <v>1431.94</v>
      </c>
      <c r="AL30" s="195">
        <f t="shared" si="11"/>
        <v>1358.01</v>
      </c>
      <c r="AM30" s="195">
        <f t="shared" si="11"/>
        <v>1284.0700000000002</v>
      </c>
      <c r="AN30" s="195">
        <f t="shared" si="11"/>
        <v>1210.1300000000001</v>
      </c>
      <c r="AO30" s="195">
        <f t="shared" si="11"/>
        <v>1136.19</v>
      </c>
      <c r="AP30" s="195">
        <f t="shared" si="11"/>
        <v>994.16624999999999</v>
      </c>
      <c r="AQ30" s="195">
        <f t="shared" si="11"/>
        <v>852.14249999999993</v>
      </c>
      <c r="AR30" s="195">
        <f t="shared" si="11"/>
        <v>710.11874999999986</v>
      </c>
      <c r="AS30" s="195">
        <f t="shared" si="11"/>
        <v>568.0949999999998</v>
      </c>
      <c r="AT30" s="195">
        <f t="shared" si="11"/>
        <v>426.07124999999979</v>
      </c>
      <c r="AU30" s="195">
        <f t="shared" si="11"/>
        <v>284.04749999999979</v>
      </c>
      <c r="AV30" s="195">
        <f t="shared" si="11"/>
        <v>142.02374999999978</v>
      </c>
      <c r="AW30" s="195">
        <f t="shared" si="11"/>
        <v>0</v>
      </c>
      <c r="AX30" s="195">
        <f t="shared" si="11"/>
        <v>0</v>
      </c>
      <c r="AY30" s="195">
        <f t="shared" si="11"/>
        <v>0</v>
      </c>
      <c r="AZ30" s="195">
        <f t="shared" si="11"/>
        <v>0</v>
      </c>
      <c r="BA30" s="195">
        <f t="shared" si="11"/>
        <v>0</v>
      </c>
    </row>
    <row r="31" spans="1:53" ht="15">
      <c r="B31" s="240" t="s">
        <v>203</v>
      </c>
      <c r="C31" s="150"/>
      <c r="D31" s="150"/>
      <c r="E31" s="195">
        <f>E10+E17+E24</f>
        <v>0</v>
      </c>
      <c r="F31" s="195">
        <f t="shared" ref="F31:T31" si="12">F10+F17+F24</f>
        <v>0</v>
      </c>
      <c r="G31" s="195">
        <f t="shared" si="12"/>
        <v>0</v>
      </c>
      <c r="H31" s="195">
        <f t="shared" si="12"/>
        <v>0</v>
      </c>
      <c r="I31" s="195">
        <f t="shared" si="12"/>
        <v>0</v>
      </c>
      <c r="J31" s="195">
        <f t="shared" si="12"/>
        <v>0</v>
      </c>
      <c r="K31" s="195">
        <f t="shared" si="12"/>
        <v>0</v>
      </c>
      <c r="L31" s="195">
        <f t="shared" si="12"/>
        <v>0</v>
      </c>
      <c r="M31" s="195">
        <f t="shared" si="12"/>
        <v>0</v>
      </c>
      <c r="N31" s="195">
        <f t="shared" si="12"/>
        <v>0</v>
      </c>
      <c r="O31" s="195">
        <f t="shared" si="12"/>
        <v>0</v>
      </c>
      <c r="P31" s="195">
        <f t="shared" si="12"/>
        <v>0</v>
      </c>
      <c r="Q31" s="195">
        <f t="shared" si="12"/>
        <v>0</v>
      </c>
      <c r="R31" s="195">
        <f t="shared" si="12"/>
        <v>0</v>
      </c>
      <c r="S31" s="195">
        <f t="shared" si="12"/>
        <v>0</v>
      </c>
      <c r="T31" s="195">
        <f t="shared" si="12"/>
        <v>0</v>
      </c>
      <c r="U31" s="195">
        <f t="shared" si="11"/>
        <v>0</v>
      </c>
      <c r="V31" s="195">
        <f t="shared" si="11"/>
        <v>0</v>
      </c>
      <c r="W31" s="195">
        <f t="shared" si="11"/>
        <v>0</v>
      </c>
      <c r="X31" s="195">
        <f t="shared" si="11"/>
        <v>0</v>
      </c>
      <c r="Y31" s="195">
        <f t="shared" si="11"/>
        <v>0</v>
      </c>
      <c r="Z31" s="195">
        <f t="shared" si="11"/>
        <v>0</v>
      </c>
      <c r="AA31" s="195">
        <f t="shared" si="11"/>
        <v>0</v>
      </c>
      <c r="AB31" s="195">
        <f t="shared" si="11"/>
        <v>0</v>
      </c>
      <c r="AC31" s="195">
        <f t="shared" si="11"/>
        <v>0</v>
      </c>
      <c r="AD31" s="195">
        <f t="shared" si="11"/>
        <v>0</v>
      </c>
      <c r="AE31" s="195">
        <f t="shared" si="11"/>
        <v>0</v>
      </c>
      <c r="AF31" s="195">
        <f t="shared" si="11"/>
        <v>0</v>
      </c>
      <c r="AG31" s="195">
        <f t="shared" si="11"/>
        <v>0</v>
      </c>
      <c r="AH31" s="195">
        <f t="shared" si="11"/>
        <v>0</v>
      </c>
      <c r="AI31" s="195">
        <f t="shared" si="11"/>
        <v>0</v>
      </c>
      <c r="AJ31" s="195">
        <f t="shared" si="11"/>
        <v>0</v>
      </c>
      <c r="AK31" s="195">
        <f t="shared" si="11"/>
        <v>0</v>
      </c>
      <c r="AL31" s="195">
        <f t="shared" si="11"/>
        <v>0</v>
      </c>
      <c r="AM31" s="195">
        <f t="shared" si="11"/>
        <v>0</v>
      </c>
      <c r="AN31" s="195">
        <f t="shared" si="11"/>
        <v>0</v>
      </c>
      <c r="AO31" s="195">
        <f t="shared" si="11"/>
        <v>0</v>
      </c>
      <c r="AP31" s="195">
        <f t="shared" si="11"/>
        <v>0</v>
      </c>
      <c r="AQ31" s="195">
        <f t="shared" si="11"/>
        <v>0</v>
      </c>
      <c r="AR31" s="195">
        <f t="shared" si="11"/>
        <v>0</v>
      </c>
      <c r="AS31" s="195">
        <f t="shared" si="11"/>
        <v>0</v>
      </c>
      <c r="AT31" s="195">
        <f t="shared" si="11"/>
        <v>0</v>
      </c>
      <c r="AU31" s="195">
        <f t="shared" si="11"/>
        <v>0</v>
      </c>
      <c r="AV31" s="195">
        <f t="shared" si="11"/>
        <v>0</v>
      </c>
      <c r="AW31" s="195">
        <f t="shared" si="11"/>
        <v>0</v>
      </c>
      <c r="AX31" s="195">
        <f t="shared" si="11"/>
        <v>0</v>
      </c>
      <c r="AY31" s="195">
        <f t="shared" si="11"/>
        <v>0</v>
      </c>
      <c r="AZ31" s="195">
        <f t="shared" si="11"/>
        <v>0</v>
      </c>
      <c r="BA31" s="195">
        <f t="shared" si="11"/>
        <v>0</v>
      </c>
    </row>
    <row r="32" spans="1:53" ht="15">
      <c r="A32" s="72">
        <f>SUM(E32:BA32)</f>
        <v>2391.98</v>
      </c>
      <c r="B32" s="240" t="s">
        <v>206</v>
      </c>
      <c r="C32" s="150"/>
      <c r="D32" s="150"/>
      <c r="E32" s="195">
        <f>E11+E18+E25</f>
        <v>10.46</v>
      </c>
      <c r="F32" s="195">
        <f t="shared" si="11"/>
        <v>10.46</v>
      </c>
      <c r="G32" s="195">
        <f t="shared" si="11"/>
        <v>20.93</v>
      </c>
      <c r="H32" s="195">
        <f t="shared" si="11"/>
        <v>20.93</v>
      </c>
      <c r="I32" s="195">
        <f t="shared" si="11"/>
        <v>11.93</v>
      </c>
      <c r="J32" s="195">
        <f t="shared" si="11"/>
        <v>11.93</v>
      </c>
      <c r="K32" s="195">
        <f t="shared" si="11"/>
        <v>23.86</v>
      </c>
      <c r="L32" s="195">
        <f t="shared" si="11"/>
        <v>23.86</v>
      </c>
      <c r="M32" s="195">
        <f t="shared" si="11"/>
        <v>9.2100000000000009</v>
      </c>
      <c r="N32" s="195">
        <f t="shared" si="11"/>
        <v>9.2100000000000009</v>
      </c>
      <c r="O32" s="195">
        <f t="shared" si="11"/>
        <v>18.420000000000002</v>
      </c>
      <c r="P32" s="195">
        <f t="shared" si="11"/>
        <v>18.420000000000002</v>
      </c>
      <c r="Q32" s="195">
        <f t="shared" si="11"/>
        <v>13.81</v>
      </c>
      <c r="R32" s="195">
        <f t="shared" si="11"/>
        <v>13.81</v>
      </c>
      <c r="S32" s="195">
        <f t="shared" si="11"/>
        <v>27.63</v>
      </c>
      <c r="T32" s="195">
        <f t="shared" si="11"/>
        <v>0.75999999999999801</v>
      </c>
      <c r="U32" s="195">
        <f t="shared" si="11"/>
        <v>28.61</v>
      </c>
      <c r="V32" s="195">
        <f t="shared" si="11"/>
        <v>35.94</v>
      </c>
      <c r="W32" s="195">
        <f t="shared" si="11"/>
        <v>37.67</v>
      </c>
      <c r="X32" s="195">
        <f t="shared" si="11"/>
        <v>37.67</v>
      </c>
      <c r="Y32" s="195">
        <f t="shared" si="11"/>
        <v>25.12</v>
      </c>
      <c r="Z32" s="195">
        <f t="shared" si="11"/>
        <v>25.12</v>
      </c>
      <c r="AA32" s="195">
        <f t="shared" si="11"/>
        <v>50.23</v>
      </c>
      <c r="AB32" s="195">
        <f t="shared" si="11"/>
        <v>50.23</v>
      </c>
      <c r="AC32" s="195">
        <f t="shared" si="11"/>
        <v>31.39</v>
      </c>
      <c r="AD32" s="195">
        <f t="shared" si="11"/>
        <v>31.39</v>
      </c>
      <c r="AE32" s="195">
        <f t="shared" si="11"/>
        <v>62.79</v>
      </c>
      <c r="AF32" s="195">
        <f t="shared" si="11"/>
        <v>62.79</v>
      </c>
      <c r="AG32" s="195">
        <f t="shared" si="11"/>
        <v>39.24</v>
      </c>
      <c r="AH32" s="195">
        <f t="shared" si="11"/>
        <v>39.24</v>
      </c>
      <c r="AI32" s="195">
        <f t="shared" si="11"/>
        <v>78.489999999999995</v>
      </c>
      <c r="AJ32" s="195">
        <f t="shared" si="11"/>
        <v>78.489999999999995</v>
      </c>
      <c r="AK32" s="195">
        <f t="shared" si="11"/>
        <v>73.930000000000007</v>
      </c>
      <c r="AL32" s="195">
        <f t="shared" si="11"/>
        <v>73.94</v>
      </c>
      <c r="AM32" s="195">
        <f t="shared" si="11"/>
        <v>73.94</v>
      </c>
      <c r="AN32" s="195">
        <f t="shared" si="11"/>
        <v>73.94</v>
      </c>
      <c r="AO32" s="195">
        <f t="shared" si="11"/>
        <v>142.02375000000001</v>
      </c>
      <c r="AP32" s="195">
        <f t="shared" si="11"/>
        <v>142.02375000000001</v>
      </c>
      <c r="AQ32" s="195">
        <f t="shared" si="11"/>
        <v>142.02375000000001</v>
      </c>
      <c r="AR32" s="195">
        <f t="shared" si="11"/>
        <v>142.02375000000001</v>
      </c>
      <c r="AS32" s="195">
        <f t="shared" si="11"/>
        <v>142.02375000000001</v>
      </c>
      <c r="AT32" s="195">
        <f t="shared" si="11"/>
        <v>142.02375000000001</v>
      </c>
      <c r="AU32" s="195">
        <f t="shared" si="11"/>
        <v>142.02375000000001</v>
      </c>
      <c r="AV32" s="195">
        <f t="shared" si="11"/>
        <v>142.02374999999978</v>
      </c>
      <c r="AW32" s="195">
        <f t="shared" si="11"/>
        <v>0</v>
      </c>
      <c r="AX32" s="195">
        <f t="shared" si="11"/>
        <v>0</v>
      </c>
      <c r="AY32" s="195">
        <f t="shared" si="11"/>
        <v>0</v>
      </c>
      <c r="AZ32" s="195">
        <f t="shared" si="11"/>
        <v>0</v>
      </c>
      <c r="BA32" s="195">
        <f t="shared" si="11"/>
        <v>0</v>
      </c>
    </row>
    <row r="33" spans="2:53" ht="15">
      <c r="B33" s="240" t="s">
        <v>207</v>
      </c>
      <c r="C33" s="150"/>
      <c r="D33" s="150"/>
      <c r="E33" s="195">
        <f>E12+E19+E26</f>
        <v>2381.52</v>
      </c>
      <c r="F33" s="195">
        <f t="shared" si="11"/>
        <v>2371.06</v>
      </c>
      <c r="G33" s="195">
        <f t="shared" si="11"/>
        <v>2350.13</v>
      </c>
      <c r="H33" s="195">
        <f t="shared" si="11"/>
        <v>2329.1999999999998</v>
      </c>
      <c r="I33" s="195">
        <f t="shared" si="11"/>
        <v>2317.27</v>
      </c>
      <c r="J33" s="195">
        <f t="shared" si="11"/>
        <v>2305.34</v>
      </c>
      <c r="K33" s="195">
        <f t="shared" si="11"/>
        <v>2281.48</v>
      </c>
      <c r="L33" s="195">
        <f t="shared" si="11"/>
        <v>2257.62</v>
      </c>
      <c r="M33" s="195">
        <f t="shared" si="11"/>
        <v>2248.41</v>
      </c>
      <c r="N33" s="195">
        <f t="shared" si="11"/>
        <v>2239.1999999999998</v>
      </c>
      <c r="O33" s="195">
        <f t="shared" si="11"/>
        <v>2220.7799999999997</v>
      </c>
      <c r="P33" s="195">
        <f t="shared" si="11"/>
        <v>2202.36</v>
      </c>
      <c r="Q33" s="195">
        <f t="shared" si="11"/>
        <v>2188.5500000000002</v>
      </c>
      <c r="R33" s="195">
        <f t="shared" si="11"/>
        <v>2174.7399999999998</v>
      </c>
      <c r="S33" s="195">
        <f t="shared" si="11"/>
        <v>2147.11</v>
      </c>
      <c r="T33" s="195">
        <f t="shared" si="11"/>
        <v>2146.35</v>
      </c>
      <c r="U33" s="195">
        <f t="shared" si="11"/>
        <v>2117.7399999999998</v>
      </c>
      <c r="V33" s="195">
        <f t="shared" si="11"/>
        <v>2081.8000000000002</v>
      </c>
      <c r="W33" s="195">
        <f t="shared" si="11"/>
        <v>2044.13</v>
      </c>
      <c r="X33" s="195">
        <f t="shared" si="11"/>
        <v>2006.46</v>
      </c>
      <c r="Y33" s="195">
        <f t="shared" si="11"/>
        <v>1981.3400000000001</v>
      </c>
      <c r="Z33" s="195">
        <f t="shared" si="11"/>
        <v>1956.22</v>
      </c>
      <c r="AA33" s="195">
        <f t="shared" si="11"/>
        <v>1905.99</v>
      </c>
      <c r="AB33" s="195">
        <f t="shared" si="11"/>
        <v>1855.7600000000002</v>
      </c>
      <c r="AC33" s="195">
        <f t="shared" si="11"/>
        <v>1824.37</v>
      </c>
      <c r="AD33" s="195">
        <f t="shared" si="11"/>
        <v>1792.98</v>
      </c>
      <c r="AE33" s="195">
        <f t="shared" si="11"/>
        <v>1730.19</v>
      </c>
      <c r="AF33" s="195">
        <f t="shared" si="11"/>
        <v>1667.4</v>
      </c>
      <c r="AG33" s="195">
        <f t="shared" si="11"/>
        <v>1628.16</v>
      </c>
      <c r="AH33" s="195">
        <f t="shared" si="11"/>
        <v>1588.92</v>
      </c>
      <c r="AI33" s="195">
        <f t="shared" si="11"/>
        <v>1510.43</v>
      </c>
      <c r="AJ33" s="195">
        <f t="shared" si="11"/>
        <v>1431.94</v>
      </c>
      <c r="AK33" s="195">
        <f t="shared" si="11"/>
        <v>1358.01</v>
      </c>
      <c r="AL33" s="195">
        <f t="shared" si="11"/>
        <v>1284.0700000000002</v>
      </c>
      <c r="AM33" s="195">
        <f t="shared" si="11"/>
        <v>1210.1300000000001</v>
      </c>
      <c r="AN33" s="195">
        <f t="shared" si="11"/>
        <v>1136.19</v>
      </c>
      <c r="AO33" s="195">
        <f t="shared" si="11"/>
        <v>994.16624999999999</v>
      </c>
      <c r="AP33" s="195">
        <f t="shared" si="11"/>
        <v>852.14249999999993</v>
      </c>
      <c r="AQ33" s="195">
        <f t="shared" si="11"/>
        <v>710.11874999999986</v>
      </c>
      <c r="AR33" s="195">
        <f t="shared" si="11"/>
        <v>568.0949999999998</v>
      </c>
      <c r="AS33" s="195">
        <f t="shared" si="11"/>
        <v>426.07124999999979</v>
      </c>
      <c r="AT33" s="195">
        <f t="shared" si="11"/>
        <v>284.04749999999979</v>
      </c>
      <c r="AU33" s="195">
        <f t="shared" si="11"/>
        <v>142.02374999999978</v>
      </c>
      <c r="AV33" s="195">
        <f t="shared" si="11"/>
        <v>0</v>
      </c>
      <c r="AW33" s="195">
        <f t="shared" si="11"/>
        <v>0</v>
      </c>
      <c r="AX33" s="195">
        <f t="shared" si="11"/>
        <v>0</v>
      </c>
      <c r="AY33" s="195">
        <f t="shared" si="11"/>
        <v>0</v>
      </c>
      <c r="AZ33" s="195">
        <f t="shared" si="11"/>
        <v>0</v>
      </c>
      <c r="BA33" s="195">
        <f t="shared" si="11"/>
        <v>0</v>
      </c>
    </row>
    <row r="34" spans="2:53" ht="15">
      <c r="B34" s="240" t="s">
        <v>208</v>
      </c>
      <c r="C34" s="150"/>
      <c r="D34" s="150"/>
      <c r="E34" s="195">
        <f>ROUND(E13+E20+E27,2)</f>
        <v>29.77</v>
      </c>
      <c r="F34" s="195">
        <f t="shared" ref="F34:BA34" si="13">ROUND(F13+F20+F27,2)</f>
        <v>29.85</v>
      </c>
      <c r="G34" s="195">
        <f t="shared" si="13"/>
        <v>29.6</v>
      </c>
      <c r="H34" s="195">
        <f t="shared" si="13"/>
        <v>28.46</v>
      </c>
      <c r="I34" s="195">
        <f t="shared" si="13"/>
        <v>28.21</v>
      </c>
      <c r="J34" s="195">
        <f t="shared" si="13"/>
        <v>28.23</v>
      </c>
      <c r="K34" s="195">
        <f t="shared" si="13"/>
        <v>27.95</v>
      </c>
      <c r="L34" s="195">
        <f t="shared" si="13"/>
        <v>27.08</v>
      </c>
      <c r="M34" s="195">
        <f t="shared" si="13"/>
        <v>26.59</v>
      </c>
      <c r="N34" s="195">
        <f t="shared" si="13"/>
        <v>26.66</v>
      </c>
      <c r="O34" s="195">
        <f t="shared" si="13"/>
        <v>26.44</v>
      </c>
      <c r="P34" s="195">
        <f t="shared" si="13"/>
        <v>25.43</v>
      </c>
      <c r="Q34" s="195">
        <f t="shared" si="13"/>
        <v>25.28</v>
      </c>
      <c r="R34" s="195">
        <f t="shared" si="13"/>
        <v>25.23</v>
      </c>
      <c r="S34" s="195">
        <f t="shared" si="13"/>
        <v>24.9</v>
      </c>
      <c r="T34" s="195">
        <f t="shared" si="13"/>
        <v>23.71</v>
      </c>
      <c r="U34" s="195">
        <f t="shared" si="13"/>
        <v>23.95</v>
      </c>
      <c r="V34" s="195">
        <f t="shared" si="13"/>
        <v>23.53</v>
      </c>
      <c r="W34" s="195">
        <f t="shared" si="13"/>
        <v>22.67</v>
      </c>
      <c r="X34" s="195">
        <f t="shared" si="13"/>
        <v>21.3</v>
      </c>
      <c r="Y34" s="195">
        <f t="shared" si="13"/>
        <v>20.58</v>
      </c>
      <c r="Z34" s="195">
        <f t="shared" si="13"/>
        <v>20.21</v>
      </c>
      <c r="AA34" s="195">
        <f t="shared" si="13"/>
        <v>19.61</v>
      </c>
      <c r="AB34" s="195">
        <f t="shared" si="13"/>
        <v>18.21</v>
      </c>
      <c r="AC34" s="195">
        <f t="shared" si="13"/>
        <v>17.07</v>
      </c>
      <c r="AD34" s="195">
        <f t="shared" si="13"/>
        <v>16.510000000000002</v>
      </c>
      <c r="AE34" s="195">
        <f t="shared" si="13"/>
        <v>15.76</v>
      </c>
      <c r="AF34" s="195">
        <f t="shared" si="13"/>
        <v>13.94</v>
      </c>
      <c r="AG34" s="195">
        <f t="shared" si="13"/>
        <v>12.61</v>
      </c>
      <c r="AH34" s="195">
        <f t="shared" si="13"/>
        <v>11.81</v>
      </c>
      <c r="AI34" s="195">
        <f t="shared" si="13"/>
        <v>10.87</v>
      </c>
      <c r="AJ34" s="195">
        <f t="shared" si="13"/>
        <v>8.7899999999999991</v>
      </c>
      <c r="AK34" s="195">
        <f t="shared" si="13"/>
        <v>7.03</v>
      </c>
      <c r="AL34" s="195">
        <f t="shared" si="13"/>
        <v>5.34</v>
      </c>
      <c r="AM34" s="195">
        <f t="shared" si="13"/>
        <v>3.57</v>
      </c>
      <c r="AN34" s="195">
        <f t="shared" si="13"/>
        <v>1.76</v>
      </c>
      <c r="AO34" s="195">
        <f t="shared" si="13"/>
        <v>0.03</v>
      </c>
      <c r="AP34" s="195">
        <f t="shared" si="13"/>
        <v>0.02</v>
      </c>
      <c r="AQ34" s="195">
        <f t="shared" si="13"/>
        <v>0.02</v>
      </c>
      <c r="AR34" s="195">
        <f t="shared" si="13"/>
        <v>0.02</v>
      </c>
      <c r="AS34" s="195">
        <f t="shared" si="13"/>
        <v>0.01</v>
      </c>
      <c r="AT34" s="195">
        <f t="shared" si="13"/>
        <v>0.01</v>
      </c>
      <c r="AU34" s="195">
        <f t="shared" si="13"/>
        <v>0.01</v>
      </c>
      <c r="AV34" s="195">
        <f t="shared" si="13"/>
        <v>0</v>
      </c>
      <c r="AW34" s="195">
        <f t="shared" si="13"/>
        <v>0</v>
      </c>
      <c r="AX34" s="195">
        <f t="shared" si="13"/>
        <v>0</v>
      </c>
      <c r="AY34" s="195">
        <f t="shared" si="13"/>
        <v>0</v>
      </c>
      <c r="AZ34" s="195">
        <f t="shared" si="13"/>
        <v>0</v>
      </c>
      <c r="BA34" s="195">
        <f t="shared" si="13"/>
        <v>0</v>
      </c>
    </row>
    <row r="35" spans="2:53" ht="15">
      <c r="B35" s="240" t="s">
        <v>258</v>
      </c>
      <c r="C35" s="150"/>
      <c r="D35" s="150"/>
      <c r="E35" s="195">
        <f>E34+E30</f>
        <v>2421.75</v>
      </c>
      <c r="F35" s="195">
        <f t="shared" ref="F35:BA35" si="14">F34+F30</f>
        <v>2411.37</v>
      </c>
      <c r="G35" s="195">
        <f t="shared" si="14"/>
        <v>2400.66</v>
      </c>
      <c r="H35" s="195">
        <f t="shared" si="14"/>
        <v>2378.59</v>
      </c>
      <c r="I35" s="195">
        <f t="shared" si="14"/>
        <v>2357.41</v>
      </c>
      <c r="J35" s="195">
        <f t="shared" si="14"/>
        <v>2345.5</v>
      </c>
      <c r="K35" s="195">
        <f t="shared" si="14"/>
        <v>2333.29</v>
      </c>
      <c r="L35" s="195">
        <f t="shared" si="14"/>
        <v>2308.56</v>
      </c>
      <c r="M35" s="195">
        <f t="shared" si="14"/>
        <v>2284.21</v>
      </c>
      <c r="N35" s="195">
        <f t="shared" si="14"/>
        <v>2275.0699999999997</v>
      </c>
      <c r="O35" s="195">
        <f t="shared" si="14"/>
        <v>2265.64</v>
      </c>
      <c r="P35" s="195">
        <f t="shared" si="14"/>
        <v>2246.2099999999996</v>
      </c>
      <c r="Q35" s="195">
        <f t="shared" si="14"/>
        <v>2227.6400000000003</v>
      </c>
      <c r="R35" s="195">
        <f t="shared" si="14"/>
        <v>2213.7800000000002</v>
      </c>
      <c r="S35" s="195">
        <f t="shared" si="14"/>
        <v>2199.64</v>
      </c>
      <c r="T35" s="195">
        <f t="shared" si="14"/>
        <v>2170.8200000000002</v>
      </c>
      <c r="U35" s="195">
        <f t="shared" si="14"/>
        <v>2170.2999999999997</v>
      </c>
      <c r="V35" s="195">
        <f t="shared" si="14"/>
        <v>2141.27</v>
      </c>
      <c r="W35" s="195">
        <f t="shared" si="14"/>
        <v>2104.4700000000003</v>
      </c>
      <c r="X35" s="195">
        <f t="shared" si="14"/>
        <v>2065.4300000000003</v>
      </c>
      <c r="Y35" s="195">
        <f t="shared" si="14"/>
        <v>2027.04</v>
      </c>
      <c r="Z35" s="195">
        <f t="shared" si="14"/>
        <v>2001.5500000000002</v>
      </c>
      <c r="AA35" s="195">
        <f t="shared" si="14"/>
        <v>1975.83</v>
      </c>
      <c r="AB35" s="195">
        <f t="shared" si="14"/>
        <v>1924.2</v>
      </c>
      <c r="AC35" s="195">
        <f t="shared" si="14"/>
        <v>1872.8300000000002</v>
      </c>
      <c r="AD35" s="195">
        <f t="shared" si="14"/>
        <v>1840.8799999999999</v>
      </c>
      <c r="AE35" s="195">
        <f t="shared" si="14"/>
        <v>1808.74</v>
      </c>
      <c r="AF35" s="195">
        <f t="shared" si="14"/>
        <v>1744.13</v>
      </c>
      <c r="AG35" s="195">
        <f t="shared" si="14"/>
        <v>1680.01</v>
      </c>
      <c r="AH35" s="195">
        <f t="shared" si="14"/>
        <v>1639.97</v>
      </c>
      <c r="AI35" s="195">
        <f t="shared" si="14"/>
        <v>1599.79</v>
      </c>
      <c r="AJ35" s="195">
        <f t="shared" si="14"/>
        <v>1519.22</v>
      </c>
      <c r="AK35" s="195">
        <f t="shared" si="14"/>
        <v>1438.97</v>
      </c>
      <c r="AL35" s="195">
        <f t="shared" si="14"/>
        <v>1363.35</v>
      </c>
      <c r="AM35" s="195">
        <f t="shared" si="14"/>
        <v>1287.6400000000001</v>
      </c>
      <c r="AN35" s="195">
        <f t="shared" si="14"/>
        <v>1211.8900000000001</v>
      </c>
      <c r="AO35" s="195">
        <f t="shared" si="14"/>
        <v>1136.22</v>
      </c>
      <c r="AP35" s="195">
        <f t="shared" si="14"/>
        <v>994.18624999999997</v>
      </c>
      <c r="AQ35" s="195">
        <f t="shared" si="14"/>
        <v>852.16249999999991</v>
      </c>
      <c r="AR35" s="195">
        <f t="shared" si="14"/>
        <v>710.13874999999985</v>
      </c>
      <c r="AS35" s="195">
        <f t="shared" si="14"/>
        <v>568.10499999999979</v>
      </c>
      <c r="AT35" s="195">
        <f t="shared" si="14"/>
        <v>426.08124999999978</v>
      </c>
      <c r="AU35" s="195">
        <f t="shared" si="14"/>
        <v>284.05749999999978</v>
      </c>
      <c r="AV35" s="195">
        <f t="shared" si="14"/>
        <v>142.02374999999978</v>
      </c>
      <c r="AW35" s="195">
        <f t="shared" si="14"/>
        <v>0</v>
      </c>
      <c r="AX35" s="195">
        <f t="shared" si="14"/>
        <v>0</v>
      </c>
      <c r="AY35" s="195">
        <f t="shared" si="14"/>
        <v>0</v>
      </c>
      <c r="AZ35" s="195">
        <f t="shared" si="14"/>
        <v>0</v>
      </c>
      <c r="BA35" s="195">
        <f t="shared" si="14"/>
        <v>0</v>
      </c>
    </row>
    <row r="36" spans="2:53" ht="15">
      <c r="B36" s="309"/>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row>
    <row r="38" spans="2:53" ht="15">
      <c r="B38" s="3"/>
      <c r="E38" s="310"/>
      <c r="F38" s="310"/>
      <c r="G38" s="310"/>
      <c r="H38" s="310"/>
      <c r="I38" s="310"/>
      <c r="J38" s="310"/>
      <c r="K38" s="310"/>
      <c r="L38" s="310"/>
      <c r="M38" s="310"/>
      <c r="N38" s="310"/>
      <c r="O38" s="310"/>
      <c r="P38" s="310"/>
      <c r="Q38" s="310"/>
      <c r="R38" s="310"/>
      <c r="S38" s="310"/>
    </row>
    <row r="39" spans="2:53" ht="15">
      <c r="B39" s="3"/>
      <c r="E39" s="64"/>
      <c r="F39" s="64"/>
      <c r="G39" s="64"/>
      <c r="H39" s="64"/>
      <c r="I39" s="64"/>
      <c r="J39" s="64"/>
      <c r="K39" s="64"/>
      <c r="L39" s="64"/>
      <c r="M39" s="64"/>
      <c r="N39" s="64"/>
      <c r="O39" s="64"/>
      <c r="P39" s="64"/>
      <c r="Q39" s="64"/>
      <c r="R39" s="64"/>
      <c r="S39" s="64"/>
    </row>
    <row r="40" spans="2:53" ht="15">
      <c r="B40" s="309"/>
      <c r="E40" s="64"/>
      <c r="F40" s="64"/>
      <c r="G40" s="64"/>
      <c r="H40" s="64"/>
      <c r="I40" s="64"/>
      <c r="J40" s="64"/>
      <c r="K40" s="64"/>
      <c r="L40" s="64"/>
      <c r="M40" s="64"/>
      <c r="N40" s="64"/>
      <c r="O40" s="64"/>
      <c r="P40" s="64"/>
      <c r="Q40" s="64"/>
      <c r="R40" s="64"/>
      <c r="S40" s="64"/>
    </row>
    <row r="41" spans="2:53" ht="15">
      <c r="B41" s="309"/>
      <c r="E41" s="64"/>
      <c r="F41" s="64"/>
      <c r="G41" s="64"/>
      <c r="H41" s="64"/>
      <c r="I41" s="64"/>
      <c r="J41" s="64"/>
      <c r="K41" s="64"/>
      <c r="L41" s="64"/>
      <c r="M41" s="64"/>
      <c r="N41" s="64"/>
      <c r="O41" s="64"/>
      <c r="P41" s="64"/>
      <c r="Q41" s="64"/>
      <c r="R41" s="64"/>
      <c r="S41" s="64"/>
    </row>
    <row r="43" spans="2:53" ht="15">
      <c r="B43" s="3"/>
      <c r="E43" s="139"/>
      <c r="F43" s="139"/>
      <c r="G43" s="139"/>
      <c r="H43" s="139"/>
      <c r="I43" s="139"/>
      <c r="J43" s="139"/>
      <c r="K43" s="139"/>
      <c r="L43" s="139"/>
      <c r="M43" s="139"/>
      <c r="N43" s="139"/>
      <c r="O43" s="139"/>
      <c r="P43" s="139"/>
      <c r="Q43" s="139"/>
      <c r="R43" s="139"/>
      <c r="S43" s="139"/>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55"/>
  <sheetViews>
    <sheetView topLeftCell="A30" workbookViewId="0">
      <selection activeCell="P12" sqref="P12"/>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6">
      <c r="D2" s="16"/>
      <c r="E2" s="434" t="s">
        <v>72</v>
      </c>
      <c r="F2" s="435"/>
      <c r="H2" s="434" t="s">
        <v>74</v>
      </c>
      <c r="I2" s="435"/>
      <c r="K2" s="17" t="s">
        <v>75</v>
      </c>
      <c r="M2" s="17" t="s">
        <v>133</v>
      </c>
    </row>
    <row r="3" spans="2:16">
      <c r="D3" s="16"/>
      <c r="E3" s="18">
        <v>1255.79</v>
      </c>
      <c r="F3" s="16" t="s">
        <v>73</v>
      </c>
      <c r="H3" s="18">
        <v>9.9999999999999995E-7</v>
      </c>
      <c r="I3" s="16" t="s">
        <v>73</v>
      </c>
      <c r="K3" s="18">
        <f>E3+H3</f>
        <v>1255.7900010000001</v>
      </c>
      <c r="M3" s="16">
        <v>0</v>
      </c>
    </row>
    <row r="4" spans="2:16">
      <c r="D4" s="16"/>
      <c r="E4" s="16"/>
      <c r="F4" s="16"/>
      <c r="H4" s="16"/>
      <c r="I4" s="16"/>
      <c r="K4" s="16"/>
      <c r="M4" s="16"/>
    </row>
    <row r="5" spans="2:16">
      <c r="D5" s="19">
        <f>DATE(2017,12,31)</f>
        <v>43100</v>
      </c>
      <c r="E5" s="18"/>
      <c r="F5" s="20">
        <f>E5/$E$3</f>
        <v>0</v>
      </c>
      <c r="H5" s="18">
        <v>0</v>
      </c>
      <c r="I5" s="20">
        <f>H5/$H$3</f>
        <v>0</v>
      </c>
      <c r="K5" s="18">
        <f>E5+H5</f>
        <v>0</v>
      </c>
      <c r="M5" s="25">
        <v>0</v>
      </c>
    </row>
    <row r="6" spans="2:16">
      <c r="D6" s="19">
        <f>EOMONTH(D5,3)</f>
        <v>43190</v>
      </c>
      <c r="E6" s="18"/>
      <c r="F6" s="20">
        <f t="shared" ref="F6:F48" si="0">E6/$E$3</f>
        <v>0</v>
      </c>
      <c r="H6" s="18">
        <v>0</v>
      </c>
      <c r="I6" s="20">
        <f t="shared" ref="I6:I52" si="1">H6/$H$3</f>
        <v>0</v>
      </c>
      <c r="K6" s="18">
        <f t="shared" ref="K6:K52" si="2">E6+H6</f>
        <v>0</v>
      </c>
      <c r="M6" s="25">
        <v>0</v>
      </c>
    </row>
    <row r="7" spans="2:16">
      <c r="D7" s="19">
        <f t="shared" ref="D7:D52" si="3">EOMONTH(D6,3)</f>
        <v>43281</v>
      </c>
      <c r="E7" s="18">
        <v>10.46</v>
      </c>
      <c r="F7" s="20">
        <f t="shared" si="0"/>
        <v>8.3294181351977643E-3</v>
      </c>
      <c r="H7" s="18">
        <v>0</v>
      </c>
      <c r="I7" s="20">
        <f t="shared" si="1"/>
        <v>0</v>
      </c>
      <c r="K7" s="18">
        <f t="shared" si="2"/>
        <v>10.46</v>
      </c>
      <c r="M7" s="25">
        <v>0</v>
      </c>
    </row>
    <row r="8" spans="2:16">
      <c r="D8" s="19">
        <f t="shared" si="3"/>
        <v>43373</v>
      </c>
      <c r="E8" s="18">
        <v>10.46</v>
      </c>
      <c r="F8" s="20">
        <f t="shared" si="0"/>
        <v>8.3294181351977643E-3</v>
      </c>
      <c r="H8" s="18">
        <v>0</v>
      </c>
      <c r="I8" s="20">
        <f t="shared" si="1"/>
        <v>0</v>
      </c>
      <c r="K8" s="18">
        <f t="shared" si="2"/>
        <v>10.46</v>
      </c>
      <c r="M8" s="25">
        <v>0</v>
      </c>
    </row>
    <row r="9" spans="2:16">
      <c r="C9" s="81"/>
      <c r="D9" s="19">
        <f t="shared" si="3"/>
        <v>43465</v>
      </c>
      <c r="E9" s="18">
        <v>20.93</v>
      </c>
      <c r="F9" s="20">
        <f t="shared" si="0"/>
        <v>1.6666799385247535E-2</v>
      </c>
      <c r="H9" s="18">
        <v>0</v>
      </c>
      <c r="I9" s="20">
        <f t="shared" si="1"/>
        <v>0</v>
      </c>
      <c r="K9" s="18">
        <f t="shared" si="2"/>
        <v>20.93</v>
      </c>
      <c r="M9" s="25">
        <v>0</v>
      </c>
    </row>
    <row r="10" spans="2:16">
      <c r="B10" s="81"/>
      <c r="D10" s="19">
        <f t="shared" si="3"/>
        <v>43555</v>
      </c>
      <c r="E10" s="18">
        <v>20.93</v>
      </c>
      <c r="F10" s="20">
        <f t="shared" si="0"/>
        <v>1.6666799385247535E-2</v>
      </c>
      <c r="H10" s="18">
        <v>0</v>
      </c>
      <c r="I10" s="20">
        <f t="shared" si="1"/>
        <v>0</v>
      </c>
      <c r="K10" s="18">
        <f t="shared" si="2"/>
        <v>20.93</v>
      </c>
      <c r="M10" s="25">
        <v>0</v>
      </c>
    </row>
    <row r="11" spans="2:16">
      <c r="D11" s="19">
        <f t="shared" si="3"/>
        <v>43646</v>
      </c>
      <c r="E11" s="18">
        <v>11.93</v>
      </c>
      <c r="F11" s="20">
        <f t="shared" si="0"/>
        <v>9.499996018442574E-3</v>
      </c>
      <c r="H11" s="18">
        <v>0</v>
      </c>
      <c r="I11" s="20">
        <f t="shared" si="1"/>
        <v>0</v>
      </c>
      <c r="K11" s="18">
        <f t="shared" si="2"/>
        <v>11.93</v>
      </c>
      <c r="M11" s="25">
        <v>0</v>
      </c>
    </row>
    <row r="12" spans="2:16">
      <c r="D12" s="19">
        <f t="shared" si="3"/>
        <v>43738</v>
      </c>
      <c r="E12" s="18">
        <v>11.93</v>
      </c>
      <c r="F12" s="20">
        <f t="shared" si="0"/>
        <v>9.499996018442574E-3</v>
      </c>
      <c r="H12" s="18">
        <v>0</v>
      </c>
      <c r="I12" s="20">
        <f t="shared" si="1"/>
        <v>0</v>
      </c>
      <c r="K12" s="18">
        <f t="shared" si="2"/>
        <v>11.93</v>
      </c>
      <c r="M12" s="25">
        <v>0</v>
      </c>
      <c r="P12" s="81">
        <f>E3-SUM(E7:E24)</f>
        <v>945.6099999999999</v>
      </c>
    </row>
    <row r="13" spans="2:16">
      <c r="D13" s="19">
        <f t="shared" si="3"/>
        <v>43830</v>
      </c>
      <c r="E13" s="18">
        <v>23.86</v>
      </c>
      <c r="F13" s="20">
        <f t="shared" si="0"/>
        <v>1.8999992036885148E-2</v>
      </c>
      <c r="H13" s="18">
        <v>0</v>
      </c>
      <c r="I13" s="20">
        <f t="shared" si="1"/>
        <v>0</v>
      </c>
      <c r="K13" s="18">
        <f t="shared" si="2"/>
        <v>23.86</v>
      </c>
      <c r="M13" s="25">
        <v>0</v>
      </c>
    </row>
    <row r="14" spans="2:16">
      <c r="D14" s="19">
        <f t="shared" si="3"/>
        <v>43921</v>
      </c>
      <c r="E14" s="18">
        <v>23.86</v>
      </c>
      <c r="F14" s="20">
        <f t="shared" si="0"/>
        <v>1.8999992036885148E-2</v>
      </c>
      <c r="H14" s="18">
        <v>0</v>
      </c>
      <c r="I14" s="20">
        <f t="shared" si="1"/>
        <v>0</v>
      </c>
      <c r="K14" s="18">
        <f t="shared" si="2"/>
        <v>23.86</v>
      </c>
      <c r="M14" s="25">
        <v>0</v>
      </c>
    </row>
    <row r="15" spans="2:16">
      <c r="D15" s="19">
        <f t="shared" si="3"/>
        <v>44012</v>
      </c>
      <c r="E15" s="18">
        <v>9.2100000000000009</v>
      </c>
      <c r="F15" s="20">
        <f t="shared" si="0"/>
        <v>7.3340287786970758E-3</v>
      </c>
      <c r="H15" s="18">
        <v>0</v>
      </c>
      <c r="I15" s="20">
        <f t="shared" si="1"/>
        <v>0</v>
      </c>
      <c r="K15" s="18">
        <f t="shared" si="2"/>
        <v>9.2100000000000009</v>
      </c>
      <c r="M15" s="25">
        <v>0</v>
      </c>
    </row>
    <row r="16" spans="2:16">
      <c r="D16" s="19">
        <f t="shared" si="3"/>
        <v>44104</v>
      </c>
      <c r="E16" s="18">
        <v>9.2100000000000009</v>
      </c>
      <c r="F16" s="20">
        <f t="shared" si="0"/>
        <v>7.3340287786970758E-3</v>
      </c>
      <c r="H16" s="18">
        <v>0</v>
      </c>
      <c r="I16" s="20">
        <f t="shared" si="1"/>
        <v>0</v>
      </c>
      <c r="K16" s="18">
        <f t="shared" si="2"/>
        <v>9.2100000000000009</v>
      </c>
      <c r="M16" s="25">
        <v>0</v>
      </c>
    </row>
    <row r="17" spans="4:13">
      <c r="D17" s="19">
        <f t="shared" si="3"/>
        <v>44196</v>
      </c>
      <c r="E17" s="18">
        <v>18.420000000000002</v>
      </c>
      <c r="F17" s="20">
        <f t="shared" si="0"/>
        <v>1.4668057557394152E-2</v>
      </c>
      <c r="H17" s="18">
        <v>0</v>
      </c>
      <c r="I17" s="20">
        <f t="shared" si="1"/>
        <v>0</v>
      </c>
      <c r="K17" s="18">
        <f t="shared" si="2"/>
        <v>18.420000000000002</v>
      </c>
      <c r="M17" s="25">
        <v>0</v>
      </c>
    </row>
    <row r="18" spans="4:13">
      <c r="D18" s="19">
        <f t="shared" si="3"/>
        <v>44286</v>
      </c>
      <c r="E18" s="18">
        <v>18.420000000000002</v>
      </c>
      <c r="F18" s="20">
        <f t="shared" si="0"/>
        <v>1.4668057557394152E-2</v>
      </c>
      <c r="H18" s="18">
        <v>0</v>
      </c>
      <c r="I18" s="20">
        <f t="shared" si="1"/>
        <v>0</v>
      </c>
      <c r="K18" s="18">
        <f t="shared" si="2"/>
        <v>18.420000000000002</v>
      </c>
      <c r="M18" s="25">
        <v>0</v>
      </c>
    </row>
    <row r="19" spans="4:13">
      <c r="D19" s="19">
        <f t="shared" si="3"/>
        <v>44377</v>
      </c>
      <c r="E19" s="18">
        <v>13.81</v>
      </c>
      <c r="F19" s="20">
        <f t="shared" si="0"/>
        <v>1.0997061610619611E-2</v>
      </c>
      <c r="H19" s="18">
        <v>0</v>
      </c>
      <c r="I19" s="20">
        <f t="shared" si="1"/>
        <v>0</v>
      </c>
      <c r="K19" s="18">
        <f t="shared" si="2"/>
        <v>13.81</v>
      </c>
      <c r="M19" s="25">
        <v>0</v>
      </c>
    </row>
    <row r="20" spans="4:13">
      <c r="D20" s="19">
        <f t="shared" si="3"/>
        <v>44469</v>
      </c>
      <c r="E20" s="18">
        <v>13.81</v>
      </c>
      <c r="F20" s="20">
        <f t="shared" si="0"/>
        <v>1.0997061610619611E-2</v>
      </c>
      <c r="H20" s="18">
        <v>0</v>
      </c>
      <c r="I20" s="20">
        <f t="shared" si="1"/>
        <v>0</v>
      </c>
      <c r="K20" s="18">
        <f t="shared" si="2"/>
        <v>13.81</v>
      </c>
      <c r="M20" s="25">
        <v>0</v>
      </c>
    </row>
    <row r="21" spans="4:13">
      <c r="D21" s="19">
        <f t="shared" si="3"/>
        <v>44561</v>
      </c>
      <c r="E21" s="18">
        <v>27.63</v>
      </c>
      <c r="F21" s="20">
        <f t="shared" si="0"/>
        <v>2.2002086336091225E-2</v>
      </c>
      <c r="H21" s="18">
        <v>0</v>
      </c>
      <c r="I21" s="20">
        <f t="shared" si="1"/>
        <v>0</v>
      </c>
      <c r="K21" s="18">
        <f t="shared" si="2"/>
        <v>27.63</v>
      </c>
      <c r="M21" s="25">
        <v>0</v>
      </c>
    </row>
    <row r="22" spans="4:13">
      <c r="D22" s="19">
        <f t="shared" si="3"/>
        <v>44651</v>
      </c>
      <c r="E22" s="18">
        <v>27.63</v>
      </c>
      <c r="F22" s="20">
        <f t="shared" si="0"/>
        <v>2.2002086336091225E-2</v>
      </c>
      <c r="H22" s="18">
        <v>0</v>
      </c>
      <c r="I22" s="20">
        <f t="shared" si="1"/>
        <v>0</v>
      </c>
      <c r="K22" s="18">
        <f t="shared" si="2"/>
        <v>27.63</v>
      </c>
      <c r="M22" s="25">
        <v>0</v>
      </c>
    </row>
    <row r="23" spans="4:13">
      <c r="D23" s="19">
        <f t="shared" si="3"/>
        <v>44742</v>
      </c>
      <c r="E23" s="18">
        <v>18.84</v>
      </c>
      <c r="F23" s="20">
        <f t="shared" si="0"/>
        <v>1.5002508381178382E-2</v>
      </c>
      <c r="H23" s="18">
        <v>0</v>
      </c>
      <c r="I23" s="20">
        <f t="shared" si="1"/>
        <v>0</v>
      </c>
      <c r="K23" s="18">
        <f t="shared" si="2"/>
        <v>18.84</v>
      </c>
      <c r="M23" s="25">
        <v>0</v>
      </c>
    </row>
    <row r="24" spans="4:13">
      <c r="D24" s="19">
        <f t="shared" si="3"/>
        <v>44834</v>
      </c>
      <c r="E24" s="18">
        <v>18.84</v>
      </c>
      <c r="F24" s="20">
        <f t="shared" si="0"/>
        <v>1.5002508381178382E-2</v>
      </c>
      <c r="H24" s="18">
        <v>0</v>
      </c>
      <c r="I24" s="20">
        <f t="shared" si="1"/>
        <v>0</v>
      </c>
      <c r="K24" s="18">
        <f t="shared" si="2"/>
        <v>18.84</v>
      </c>
      <c r="M24" s="25">
        <v>0</v>
      </c>
    </row>
    <row r="25" spans="4:13">
      <c r="D25" s="19">
        <f t="shared" si="3"/>
        <v>44926</v>
      </c>
      <c r="E25" s="18">
        <v>37.67</v>
      </c>
      <c r="F25" s="20">
        <f t="shared" si="0"/>
        <v>2.9997053647504761E-2</v>
      </c>
      <c r="H25" s="18">
        <v>0</v>
      </c>
      <c r="I25" s="20">
        <f t="shared" si="1"/>
        <v>0</v>
      </c>
      <c r="K25" s="18">
        <f t="shared" si="2"/>
        <v>37.67</v>
      </c>
      <c r="M25" s="25">
        <v>0</v>
      </c>
    </row>
    <row r="26" spans="4:13">
      <c r="D26" s="19">
        <f t="shared" si="3"/>
        <v>45016</v>
      </c>
      <c r="E26" s="18">
        <v>37.67</v>
      </c>
      <c r="F26" s="20">
        <f t="shared" si="0"/>
        <v>2.9997053647504761E-2</v>
      </c>
      <c r="H26" s="18">
        <v>0</v>
      </c>
      <c r="I26" s="20">
        <f t="shared" si="1"/>
        <v>0</v>
      </c>
      <c r="K26" s="18">
        <f t="shared" si="2"/>
        <v>37.67</v>
      </c>
      <c r="M26" s="25">
        <v>0</v>
      </c>
    </row>
    <row r="27" spans="4:13">
      <c r="D27" s="19">
        <f t="shared" si="3"/>
        <v>45107</v>
      </c>
      <c r="E27" s="18">
        <v>25.12</v>
      </c>
      <c r="F27" s="20">
        <f t="shared" si="0"/>
        <v>2.0003344508237843E-2</v>
      </c>
      <c r="H27" s="18">
        <v>0</v>
      </c>
      <c r="I27" s="20">
        <f t="shared" si="1"/>
        <v>0</v>
      </c>
      <c r="K27" s="18">
        <f t="shared" si="2"/>
        <v>25.12</v>
      </c>
      <c r="M27" s="25">
        <v>0</v>
      </c>
    </row>
    <row r="28" spans="4:13">
      <c r="D28" s="19">
        <f t="shared" si="3"/>
        <v>45199</v>
      </c>
      <c r="E28" s="18">
        <v>25.12</v>
      </c>
      <c r="F28" s="20">
        <f t="shared" si="0"/>
        <v>2.0003344508237843E-2</v>
      </c>
      <c r="H28" s="18">
        <v>0</v>
      </c>
      <c r="I28" s="20">
        <f t="shared" si="1"/>
        <v>0</v>
      </c>
      <c r="K28" s="18">
        <f t="shared" si="2"/>
        <v>25.12</v>
      </c>
      <c r="M28" s="25">
        <v>0</v>
      </c>
    </row>
    <row r="29" spans="4:13">
      <c r="D29" s="19">
        <f t="shared" si="3"/>
        <v>45291</v>
      </c>
      <c r="E29" s="18">
        <v>50.23</v>
      </c>
      <c r="F29" s="20">
        <f t="shared" si="0"/>
        <v>3.9998725901623677E-2</v>
      </c>
      <c r="H29" s="18">
        <v>0</v>
      </c>
      <c r="I29" s="20">
        <f t="shared" si="1"/>
        <v>0</v>
      </c>
      <c r="K29" s="18">
        <f t="shared" si="2"/>
        <v>50.23</v>
      </c>
      <c r="M29" s="25">
        <v>0</v>
      </c>
    </row>
    <row r="30" spans="4:13">
      <c r="D30" s="19">
        <f t="shared" si="3"/>
        <v>45382</v>
      </c>
      <c r="E30" s="18">
        <v>50.23</v>
      </c>
      <c r="F30" s="20">
        <f t="shared" si="0"/>
        <v>3.9998725901623677E-2</v>
      </c>
      <c r="H30" s="18">
        <v>0</v>
      </c>
      <c r="I30" s="20">
        <f t="shared" si="1"/>
        <v>0</v>
      </c>
      <c r="K30" s="18">
        <f t="shared" si="2"/>
        <v>50.23</v>
      </c>
      <c r="M30" s="25">
        <v>0</v>
      </c>
    </row>
    <row r="31" spans="4:13">
      <c r="D31" s="19">
        <f t="shared" si="3"/>
        <v>45473</v>
      </c>
      <c r="E31" s="18">
        <v>31.39</v>
      </c>
      <c r="F31" s="20">
        <f t="shared" si="0"/>
        <v>2.4996217520445299E-2</v>
      </c>
      <c r="H31" s="18">
        <v>0</v>
      </c>
      <c r="I31" s="20">
        <f t="shared" si="1"/>
        <v>0</v>
      </c>
      <c r="K31" s="18">
        <f t="shared" si="2"/>
        <v>31.39</v>
      </c>
      <c r="M31" s="25">
        <v>0</v>
      </c>
    </row>
    <row r="32" spans="4:13">
      <c r="D32" s="19">
        <f t="shared" si="3"/>
        <v>45565</v>
      </c>
      <c r="E32" s="18">
        <v>31.39</v>
      </c>
      <c r="F32" s="20">
        <f t="shared" si="0"/>
        <v>2.4996217520445299E-2</v>
      </c>
      <c r="H32" s="18">
        <v>0</v>
      </c>
      <c r="I32" s="20">
        <f t="shared" si="1"/>
        <v>0</v>
      </c>
      <c r="K32" s="18">
        <f t="shared" si="2"/>
        <v>31.39</v>
      </c>
      <c r="M32" s="25">
        <v>0</v>
      </c>
    </row>
    <row r="33" spans="4:13">
      <c r="D33" s="19">
        <f t="shared" si="3"/>
        <v>45657</v>
      </c>
      <c r="E33" s="18">
        <v>62.79</v>
      </c>
      <c r="F33" s="20">
        <f t="shared" si="0"/>
        <v>5.0000398155742601E-2</v>
      </c>
      <c r="H33" s="18">
        <v>0</v>
      </c>
      <c r="I33" s="20">
        <f t="shared" si="1"/>
        <v>0</v>
      </c>
      <c r="K33" s="18">
        <f t="shared" si="2"/>
        <v>62.79</v>
      </c>
      <c r="M33" s="25">
        <v>0</v>
      </c>
    </row>
    <row r="34" spans="4:13">
      <c r="D34" s="19">
        <f t="shared" si="3"/>
        <v>45747</v>
      </c>
      <c r="E34" s="18">
        <v>62.79</v>
      </c>
      <c r="F34" s="20">
        <f t="shared" si="0"/>
        <v>5.0000398155742601E-2</v>
      </c>
      <c r="H34" s="18">
        <v>0</v>
      </c>
      <c r="I34" s="20">
        <f t="shared" si="1"/>
        <v>0</v>
      </c>
      <c r="K34" s="18">
        <f t="shared" si="2"/>
        <v>62.79</v>
      </c>
      <c r="M34" s="25">
        <v>0</v>
      </c>
    </row>
    <row r="35" spans="4:13">
      <c r="D35" s="19">
        <f t="shared" si="3"/>
        <v>45838</v>
      </c>
      <c r="E35" s="18">
        <v>39.24</v>
      </c>
      <c r="F35" s="20">
        <f t="shared" si="0"/>
        <v>3.1247262679269625E-2</v>
      </c>
      <c r="H35" s="18">
        <v>0</v>
      </c>
      <c r="I35" s="20">
        <f t="shared" si="1"/>
        <v>0</v>
      </c>
      <c r="K35" s="18">
        <f t="shared" si="2"/>
        <v>39.24</v>
      </c>
      <c r="M35" s="25">
        <v>0</v>
      </c>
    </row>
    <row r="36" spans="4:13">
      <c r="D36" s="19">
        <f t="shared" si="3"/>
        <v>45930</v>
      </c>
      <c r="E36" s="18">
        <v>39.24</v>
      </c>
      <c r="F36" s="20">
        <f t="shared" si="0"/>
        <v>3.1247262679269625E-2</v>
      </c>
      <c r="H36" s="18">
        <v>0</v>
      </c>
      <c r="I36" s="20">
        <f t="shared" si="1"/>
        <v>0</v>
      </c>
      <c r="K36" s="18">
        <f t="shared" si="2"/>
        <v>39.24</v>
      </c>
      <c r="M36" s="25">
        <v>0</v>
      </c>
    </row>
    <row r="37" spans="4:13">
      <c r="D37" s="19">
        <f t="shared" si="3"/>
        <v>46022</v>
      </c>
      <c r="E37" s="18">
        <v>78.489999999999995</v>
      </c>
      <c r="F37" s="20">
        <f t="shared" si="0"/>
        <v>6.2502488473391252E-2</v>
      </c>
      <c r="H37" s="18">
        <v>0</v>
      </c>
      <c r="I37" s="20">
        <f t="shared" si="1"/>
        <v>0</v>
      </c>
      <c r="K37" s="18">
        <f t="shared" si="2"/>
        <v>78.489999999999995</v>
      </c>
      <c r="M37" s="25">
        <v>0</v>
      </c>
    </row>
    <row r="38" spans="4:13">
      <c r="D38" s="19">
        <f t="shared" si="3"/>
        <v>46112</v>
      </c>
      <c r="E38" s="18">
        <v>78.489999999999995</v>
      </c>
      <c r="F38" s="20">
        <f t="shared" si="0"/>
        <v>6.2502488473391252E-2</v>
      </c>
      <c r="H38" s="18">
        <v>0</v>
      </c>
      <c r="I38" s="20">
        <f t="shared" si="1"/>
        <v>0</v>
      </c>
      <c r="K38" s="18">
        <f t="shared" si="2"/>
        <v>78.489999999999995</v>
      </c>
      <c r="M38" s="25">
        <v>0</v>
      </c>
    </row>
    <row r="39" spans="4:13">
      <c r="D39" s="19">
        <f t="shared" si="3"/>
        <v>46203</v>
      </c>
      <c r="E39" s="18">
        <v>73.930000000000007</v>
      </c>
      <c r="F39" s="20">
        <f t="shared" si="0"/>
        <v>5.8871308100876749E-2</v>
      </c>
      <c r="H39" s="18">
        <v>0</v>
      </c>
      <c r="I39" s="20">
        <f t="shared" si="1"/>
        <v>0</v>
      </c>
      <c r="K39" s="18">
        <f t="shared" si="2"/>
        <v>73.930000000000007</v>
      </c>
      <c r="M39" s="25">
        <v>0</v>
      </c>
    </row>
    <row r="40" spans="4:13">
      <c r="D40" s="19">
        <f t="shared" si="3"/>
        <v>46295</v>
      </c>
      <c r="E40" s="18">
        <v>73.94</v>
      </c>
      <c r="F40" s="20">
        <f t="shared" si="0"/>
        <v>5.8879271215728744E-2</v>
      </c>
      <c r="H40" s="18">
        <v>0</v>
      </c>
      <c r="I40" s="20">
        <f t="shared" si="1"/>
        <v>0</v>
      </c>
      <c r="K40" s="18">
        <f t="shared" si="2"/>
        <v>73.94</v>
      </c>
      <c r="M40" s="25">
        <v>0</v>
      </c>
    </row>
    <row r="41" spans="4:13">
      <c r="D41" s="19">
        <f t="shared" si="3"/>
        <v>46387</v>
      </c>
      <c r="E41" s="18">
        <v>73.94</v>
      </c>
      <c r="F41" s="20">
        <f t="shared" si="0"/>
        <v>5.8879271215728744E-2</v>
      </c>
      <c r="H41" s="18">
        <v>0</v>
      </c>
      <c r="I41" s="20">
        <f t="shared" si="1"/>
        <v>0</v>
      </c>
      <c r="K41" s="18">
        <f t="shared" si="2"/>
        <v>73.94</v>
      </c>
      <c r="M41" s="25">
        <v>0</v>
      </c>
    </row>
    <row r="42" spans="4:13">
      <c r="D42" s="19">
        <f t="shared" si="3"/>
        <v>46477</v>
      </c>
      <c r="E42" s="18">
        <v>73.94</v>
      </c>
      <c r="F42" s="20">
        <f t="shared" si="0"/>
        <v>5.8879271215728744E-2</v>
      </c>
      <c r="H42" s="18">
        <v>0</v>
      </c>
      <c r="I42" s="20">
        <f t="shared" si="1"/>
        <v>0</v>
      </c>
      <c r="K42" s="18">
        <f t="shared" si="2"/>
        <v>73.94</v>
      </c>
      <c r="M42" s="25">
        <v>0</v>
      </c>
    </row>
    <row r="43" spans="4:13">
      <c r="D43" s="19">
        <f t="shared" si="3"/>
        <v>46568</v>
      </c>
      <c r="E43" s="18"/>
      <c r="F43" s="20">
        <f t="shared" si="0"/>
        <v>0</v>
      </c>
      <c r="H43" s="18">
        <v>0</v>
      </c>
      <c r="I43" s="20">
        <f t="shared" si="1"/>
        <v>0</v>
      </c>
      <c r="K43" s="18">
        <f t="shared" si="2"/>
        <v>0</v>
      </c>
      <c r="M43" s="25">
        <f>Input!$C$134/8</f>
        <v>142.02375000000001</v>
      </c>
    </row>
    <row r="44" spans="4:13">
      <c r="D44" s="19">
        <f t="shared" si="3"/>
        <v>46660</v>
      </c>
      <c r="E44" s="18"/>
      <c r="F44" s="20">
        <f t="shared" si="0"/>
        <v>0</v>
      </c>
      <c r="H44" s="18">
        <v>0</v>
      </c>
      <c r="I44" s="20">
        <f t="shared" si="1"/>
        <v>0</v>
      </c>
      <c r="K44" s="18">
        <f t="shared" si="2"/>
        <v>0</v>
      </c>
      <c r="M44" s="25">
        <f>Input!$C$134/8</f>
        <v>142.02375000000001</v>
      </c>
    </row>
    <row r="45" spans="4:13">
      <c r="D45" s="19">
        <f t="shared" si="3"/>
        <v>46752</v>
      </c>
      <c r="E45" s="18"/>
      <c r="F45" s="20">
        <f t="shared" si="0"/>
        <v>0</v>
      </c>
      <c r="H45" s="18">
        <v>0</v>
      </c>
      <c r="I45" s="20">
        <f t="shared" si="1"/>
        <v>0</v>
      </c>
      <c r="K45" s="18">
        <f t="shared" si="2"/>
        <v>0</v>
      </c>
      <c r="M45" s="25">
        <f>Input!$C$134/8</f>
        <v>142.02375000000001</v>
      </c>
    </row>
    <row r="46" spans="4:13">
      <c r="D46" s="19">
        <f t="shared" si="3"/>
        <v>46843</v>
      </c>
      <c r="E46" s="18"/>
      <c r="F46" s="20">
        <f t="shared" si="0"/>
        <v>0</v>
      </c>
      <c r="H46" s="18">
        <v>0</v>
      </c>
      <c r="I46" s="20">
        <f t="shared" si="1"/>
        <v>0</v>
      </c>
      <c r="K46" s="18">
        <f t="shared" si="2"/>
        <v>0</v>
      </c>
      <c r="M46" s="25">
        <f>Input!$C$134/8</f>
        <v>142.02375000000001</v>
      </c>
    </row>
    <row r="47" spans="4:13">
      <c r="D47" s="19">
        <f t="shared" si="3"/>
        <v>46934</v>
      </c>
      <c r="E47" s="18"/>
      <c r="F47" s="20">
        <f t="shared" si="0"/>
        <v>0</v>
      </c>
      <c r="H47" s="18">
        <v>0</v>
      </c>
      <c r="I47" s="20">
        <f t="shared" si="1"/>
        <v>0</v>
      </c>
      <c r="K47" s="18">
        <f t="shared" si="2"/>
        <v>0</v>
      </c>
      <c r="M47" s="25">
        <f>Input!$C$134/8</f>
        <v>142.02375000000001</v>
      </c>
    </row>
    <row r="48" spans="4:13">
      <c r="D48" s="19">
        <f t="shared" si="3"/>
        <v>47026</v>
      </c>
      <c r="E48" s="18"/>
      <c r="F48" s="20">
        <f t="shared" si="0"/>
        <v>0</v>
      </c>
      <c r="H48" s="18">
        <v>0</v>
      </c>
      <c r="I48" s="20">
        <f t="shared" si="1"/>
        <v>0</v>
      </c>
      <c r="K48" s="18">
        <f t="shared" si="2"/>
        <v>0</v>
      </c>
      <c r="M48" s="25">
        <f>Input!$C$134/8</f>
        <v>142.02375000000001</v>
      </c>
    </row>
    <row r="49" spans="4:13">
      <c r="D49" s="19">
        <f t="shared" si="3"/>
        <v>47118</v>
      </c>
      <c r="E49" s="21"/>
      <c r="F49" s="22"/>
      <c r="H49" s="18">
        <v>0</v>
      </c>
      <c r="I49" s="20">
        <f t="shared" si="1"/>
        <v>0</v>
      </c>
      <c r="K49" s="18">
        <f t="shared" si="2"/>
        <v>0</v>
      </c>
      <c r="M49" s="25">
        <f>Input!$C$134/8</f>
        <v>142.02375000000001</v>
      </c>
    </row>
    <row r="50" spans="4:13">
      <c r="D50" s="19">
        <f t="shared" si="3"/>
        <v>47208</v>
      </c>
      <c r="E50" s="16"/>
      <c r="F50" s="16"/>
      <c r="H50" s="18">
        <v>0</v>
      </c>
      <c r="I50" s="20">
        <f t="shared" si="1"/>
        <v>0</v>
      </c>
      <c r="K50" s="18">
        <f t="shared" si="2"/>
        <v>0</v>
      </c>
      <c r="M50" s="25">
        <f>Input!$C$134/8</f>
        <v>142.02375000000001</v>
      </c>
    </row>
    <row r="51" spans="4:13">
      <c r="D51" s="19">
        <f t="shared" si="3"/>
        <v>47299</v>
      </c>
      <c r="E51" s="16"/>
      <c r="F51" s="16"/>
      <c r="H51" s="18">
        <v>0</v>
      </c>
      <c r="I51" s="20">
        <f t="shared" si="1"/>
        <v>0</v>
      </c>
      <c r="K51" s="18">
        <f t="shared" si="2"/>
        <v>0</v>
      </c>
      <c r="M51" s="25">
        <v>0</v>
      </c>
    </row>
    <row r="52" spans="4:13">
      <c r="D52" s="19">
        <f t="shared" si="3"/>
        <v>47391</v>
      </c>
      <c r="E52" s="16"/>
      <c r="F52" s="16"/>
      <c r="H52" s="18">
        <v>0</v>
      </c>
      <c r="I52" s="20">
        <f t="shared" si="1"/>
        <v>0</v>
      </c>
      <c r="K52" s="18">
        <f t="shared" si="2"/>
        <v>0</v>
      </c>
      <c r="M52" s="25">
        <v>100</v>
      </c>
    </row>
    <row r="53" spans="4:13" ht="15.75">
      <c r="D53" s="23" t="s">
        <v>75</v>
      </c>
      <c r="E53" s="21">
        <f>SUM(E5:E52)</f>
        <v>1255.7900000000002</v>
      </c>
      <c r="F53" s="24">
        <f>SUM(F5:F52)</f>
        <v>1</v>
      </c>
      <c r="G53" s="14"/>
      <c r="H53" s="21">
        <f>SUM(H5:H52)</f>
        <v>0</v>
      </c>
      <c r="I53" s="24">
        <f>SUM(I5:I52)</f>
        <v>0</v>
      </c>
      <c r="K53" s="21">
        <f>SUM(K5:K52)</f>
        <v>1255.7900000000002</v>
      </c>
      <c r="M53" s="26">
        <f>SUM(M5:M52)</f>
        <v>1236.1900000000003</v>
      </c>
    </row>
    <row r="54" spans="4:13">
      <c r="D54" s="13"/>
    </row>
    <row r="55" spans="4:13">
      <c r="D55" s="13"/>
    </row>
  </sheetData>
  <mergeCells count="2">
    <mergeCell ref="H2:I2"/>
    <mergeCell ref="E2:F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7"/>
  <sheetViews>
    <sheetView showGridLines="0" workbookViewId="0">
      <pane xSplit="3" ySplit="5" topLeftCell="V83" activePane="bottomRight" state="frozen"/>
      <selection activeCell="A23" sqref="A23"/>
      <selection pane="topRight" activeCell="A23" sqref="A23"/>
      <selection pane="bottomLeft" activeCell="A23" sqref="A23"/>
      <selection pane="bottomRight" activeCell="B103" sqref="B103"/>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2:42" ht="14.25" thickBot="1"/>
    <row r="2" spans="2:42" s="3" customFormat="1" ht="15">
      <c r="B2" s="4" t="str">
        <f>Financials!B1</f>
        <v>Financials</v>
      </c>
      <c r="C2" s="37"/>
      <c r="D2" s="37"/>
      <c r="E2" s="7" t="e">
        <f>Financials!#REF!</f>
        <v>#REF!</v>
      </c>
      <c r="F2" s="7" t="e">
        <f>Financials!#REF!</f>
        <v>#REF!</v>
      </c>
      <c r="G2" s="7"/>
      <c r="H2" s="7">
        <f>Financials!D1</f>
        <v>43555</v>
      </c>
      <c r="I2" s="7">
        <f>Financials!E1</f>
        <v>43921</v>
      </c>
      <c r="J2" s="7">
        <f>Financials!F1</f>
        <v>44286</v>
      </c>
      <c r="K2" s="7">
        <f>Financials!G1</f>
        <v>44651</v>
      </c>
      <c r="L2" s="7">
        <f>Financials!H1</f>
        <v>45016</v>
      </c>
      <c r="M2" s="7">
        <f>Financials!I1</f>
        <v>45382</v>
      </c>
      <c r="N2" s="7">
        <f>Financials!J1</f>
        <v>45747</v>
      </c>
      <c r="O2" s="7">
        <f>Financials!K1</f>
        <v>46112</v>
      </c>
      <c r="P2" s="7">
        <f>Financials!L1</f>
        <v>46477</v>
      </c>
      <c r="Q2" s="7">
        <f>Financials!M1</f>
        <v>46843</v>
      </c>
      <c r="R2" s="7">
        <f>Financials!N1</f>
        <v>47208</v>
      </c>
      <c r="S2" s="7">
        <f>Financials!O1</f>
        <v>47573</v>
      </c>
      <c r="T2" s="7">
        <f>Financials!P1</f>
        <v>47938</v>
      </c>
      <c r="U2" s="7">
        <f>Financials!Q1</f>
        <v>48304</v>
      </c>
      <c r="V2" s="7">
        <f>Financials!R1</f>
        <v>48669</v>
      </c>
      <c r="W2" s="7">
        <f>Financials!S1</f>
        <v>49034</v>
      </c>
      <c r="X2" s="7">
        <f>Financials!T1</f>
        <v>0</v>
      </c>
      <c r="Y2" s="7">
        <f>Financials!U1</f>
        <v>0</v>
      </c>
      <c r="Z2" s="7">
        <f>Financials!V1</f>
        <v>0</v>
      </c>
      <c r="AA2" s="7">
        <f>Financials!W1</f>
        <v>0</v>
      </c>
      <c r="AB2" s="7">
        <f>Financials!X1</f>
        <v>0</v>
      </c>
      <c r="AC2" s="7">
        <f>Financials!Y1</f>
        <v>0</v>
      </c>
      <c r="AD2" s="7">
        <f>Financials!Z1</f>
        <v>0</v>
      </c>
      <c r="AE2" s="7">
        <f>Financials!AA1</f>
        <v>0</v>
      </c>
      <c r="AF2" s="7">
        <f>Financials!AB1</f>
        <v>0</v>
      </c>
      <c r="AG2" s="7">
        <f>Financials!AC1</f>
        <v>0</v>
      </c>
      <c r="AH2" s="7">
        <f>Financials!AD1</f>
        <v>0</v>
      </c>
      <c r="AI2" s="7">
        <f>Financials!AE1</f>
        <v>0</v>
      </c>
      <c r="AJ2" s="7">
        <f>Financials!AF1</f>
        <v>0</v>
      </c>
      <c r="AK2" s="7">
        <f>Financials!AG1</f>
        <v>0</v>
      </c>
      <c r="AL2" s="7">
        <f>Financials!AH1</f>
        <v>0</v>
      </c>
      <c r="AM2" s="7">
        <f>Financials!AI1</f>
        <v>0</v>
      </c>
      <c r="AN2" s="7">
        <f>Financials!AJ1</f>
        <v>0</v>
      </c>
      <c r="AO2" s="8">
        <f>Financials!AK1</f>
        <v>0</v>
      </c>
      <c r="AP2" s="15"/>
    </row>
    <row r="3" spans="2:42" s="3" customFormat="1" ht="15">
      <c r="B3" s="38" t="str">
        <f>Financials!B2</f>
        <v>Days in FY</v>
      </c>
      <c r="C3" s="28"/>
      <c r="D3" s="28"/>
      <c r="E3" s="9" t="e">
        <f>Financials!#REF!</f>
        <v>#REF!</v>
      </c>
      <c r="F3" s="9" t="e">
        <f>Financials!#REF!</f>
        <v>#REF!</v>
      </c>
      <c r="G3" s="9"/>
      <c r="H3" s="9">
        <f>Financials!D2</f>
        <v>365</v>
      </c>
      <c r="I3" s="9">
        <f>Financials!E2</f>
        <v>366</v>
      </c>
      <c r="J3" s="9">
        <f>Financials!F2</f>
        <v>365</v>
      </c>
      <c r="K3" s="9">
        <f>Financials!G2</f>
        <v>365</v>
      </c>
      <c r="L3" s="9">
        <f>Financials!H2</f>
        <v>365</v>
      </c>
      <c r="M3" s="9">
        <f>Financials!I2</f>
        <v>366</v>
      </c>
      <c r="N3" s="9">
        <f>Financials!J2</f>
        <v>365</v>
      </c>
      <c r="O3" s="9">
        <f>Financials!K2</f>
        <v>365</v>
      </c>
      <c r="P3" s="9">
        <f>Financials!L2</f>
        <v>365</v>
      </c>
      <c r="Q3" s="9">
        <f>Financials!M2</f>
        <v>366</v>
      </c>
      <c r="R3" s="9">
        <f>Financials!N2</f>
        <v>365</v>
      </c>
      <c r="S3" s="9">
        <f>Financials!O2</f>
        <v>365</v>
      </c>
      <c r="T3" s="9">
        <f>Financials!P2</f>
        <v>365</v>
      </c>
      <c r="U3" s="9">
        <f>Financials!Q2</f>
        <v>366</v>
      </c>
      <c r="V3" s="9">
        <f>Financials!R2</f>
        <v>365</v>
      </c>
      <c r="W3" s="9">
        <f>Financials!S2</f>
        <v>365</v>
      </c>
      <c r="X3" s="9">
        <f>Financials!T2</f>
        <v>0</v>
      </c>
      <c r="Y3" s="9">
        <f>Financials!U2</f>
        <v>0</v>
      </c>
      <c r="Z3" s="9">
        <f>Financials!V2</f>
        <v>0</v>
      </c>
      <c r="AA3" s="9">
        <f>Financials!W2</f>
        <v>0</v>
      </c>
      <c r="AB3" s="9">
        <f>Financials!X2</f>
        <v>0</v>
      </c>
      <c r="AC3" s="9">
        <f>Financials!Y2</f>
        <v>0</v>
      </c>
      <c r="AD3" s="9">
        <f>Financials!Z2</f>
        <v>0</v>
      </c>
      <c r="AE3" s="9">
        <f>Financials!AA2</f>
        <v>0</v>
      </c>
      <c r="AF3" s="9">
        <f>Financials!AB2</f>
        <v>0</v>
      </c>
      <c r="AG3" s="9">
        <f>Financials!AC2</f>
        <v>0</v>
      </c>
      <c r="AH3" s="9">
        <f>Financials!AD2</f>
        <v>0</v>
      </c>
      <c r="AI3" s="9">
        <f>Financials!AE2</f>
        <v>0</v>
      </c>
      <c r="AJ3" s="9">
        <f>Financials!AF2</f>
        <v>0</v>
      </c>
      <c r="AK3" s="9">
        <f>Financials!AG2</f>
        <v>0</v>
      </c>
      <c r="AL3" s="9">
        <f>Financials!AH2</f>
        <v>0</v>
      </c>
      <c r="AM3" s="9">
        <f>Financials!AI2</f>
        <v>0</v>
      </c>
      <c r="AN3" s="9">
        <f>Financials!AJ2</f>
        <v>0</v>
      </c>
      <c r="AO3" s="10">
        <f>Financials!AK2</f>
        <v>0</v>
      </c>
      <c r="AP3" s="36"/>
    </row>
    <row r="4" spans="2:42" s="3" customFormat="1" ht="15">
      <c r="B4" s="38" t="str">
        <f>Financials!B3</f>
        <v>Days of operations</v>
      </c>
      <c r="C4" s="28"/>
      <c r="D4" s="28"/>
      <c r="E4" s="9" t="e">
        <f>Financials!#REF!</f>
        <v>#REF!</v>
      </c>
      <c r="F4" s="9" t="e">
        <f>Financials!#REF!</f>
        <v>#REF!</v>
      </c>
      <c r="G4" s="9"/>
      <c r="H4" s="9">
        <f>Financials!D3</f>
        <v>365</v>
      </c>
      <c r="I4" s="9">
        <f>Financials!E3</f>
        <v>366</v>
      </c>
      <c r="J4" s="9">
        <f>Financials!F3</f>
        <v>346</v>
      </c>
      <c r="K4" s="9">
        <f>Financials!G3</f>
        <v>365</v>
      </c>
      <c r="L4" s="9">
        <f>Financials!H3</f>
        <v>365</v>
      </c>
      <c r="M4" s="9">
        <f>Financials!I3</f>
        <v>366</v>
      </c>
      <c r="N4" s="9">
        <f>Financials!J3</f>
        <v>365</v>
      </c>
      <c r="O4" s="9">
        <f>Financials!K3</f>
        <v>365</v>
      </c>
      <c r="P4" s="9">
        <f>Financials!L3</f>
        <v>365</v>
      </c>
      <c r="Q4" s="9">
        <f>Financials!M3</f>
        <v>366</v>
      </c>
      <c r="R4" s="9">
        <f>Financials!N3</f>
        <v>365</v>
      </c>
      <c r="S4" s="9">
        <f>Financials!O3</f>
        <v>365</v>
      </c>
      <c r="T4" s="9">
        <f>Financials!P3</f>
        <v>365</v>
      </c>
      <c r="U4" s="9">
        <f>Financials!Q3</f>
        <v>366</v>
      </c>
      <c r="V4" s="9">
        <f>Financials!R3</f>
        <v>365</v>
      </c>
      <c r="W4" s="9">
        <f>Financials!S3</f>
        <v>17</v>
      </c>
      <c r="X4" s="9">
        <f>Financials!T3</f>
        <v>0</v>
      </c>
      <c r="Y4" s="9">
        <f>Financials!U3</f>
        <v>0</v>
      </c>
      <c r="Z4" s="9">
        <f>Financials!V3</f>
        <v>0</v>
      </c>
      <c r="AA4" s="9">
        <f>Financials!W3</f>
        <v>0</v>
      </c>
      <c r="AB4" s="9">
        <f>Financials!X3</f>
        <v>0</v>
      </c>
      <c r="AC4" s="9">
        <f>Financials!Y3</f>
        <v>0</v>
      </c>
      <c r="AD4" s="9">
        <f>Financials!Z3</f>
        <v>0</v>
      </c>
      <c r="AE4" s="9">
        <f>Financials!AA3</f>
        <v>0</v>
      </c>
      <c r="AF4" s="9">
        <f>Financials!AB3</f>
        <v>0</v>
      </c>
      <c r="AG4" s="9">
        <f>Financials!AC3</f>
        <v>0</v>
      </c>
      <c r="AH4" s="9">
        <f>Financials!AD3</f>
        <v>0</v>
      </c>
      <c r="AI4" s="9">
        <f>Financials!AE3</f>
        <v>0</v>
      </c>
      <c r="AJ4" s="9">
        <f>Financials!AF3</f>
        <v>0</v>
      </c>
      <c r="AK4" s="9">
        <f>Financials!AG3</f>
        <v>0</v>
      </c>
      <c r="AL4" s="9">
        <f>Financials!AH3</f>
        <v>0</v>
      </c>
      <c r="AM4" s="9">
        <f>Financials!AI3</f>
        <v>0</v>
      </c>
      <c r="AN4" s="9">
        <f>Financials!AJ3</f>
        <v>0</v>
      </c>
      <c r="AO4" s="10">
        <f>Financials!AK3</f>
        <v>0</v>
      </c>
      <c r="AP4" s="36"/>
    </row>
    <row r="5" spans="2:42" s="3" customFormat="1" ht="15.75" thickBot="1">
      <c r="B5" s="39" t="str">
        <f>Financials!B4</f>
        <v>Actual (A)/Projected (P)</v>
      </c>
      <c r="C5" s="40"/>
      <c r="D5" s="40"/>
      <c r="E5" s="27" t="e">
        <f>Financials!#REF!</f>
        <v>#REF!</v>
      </c>
      <c r="F5" s="27" t="e">
        <f>Financials!#REF!</f>
        <v>#REF!</v>
      </c>
      <c r="G5" s="27"/>
      <c r="H5" s="27" t="str">
        <f>Financials!D4</f>
        <v>(Actual)</v>
      </c>
      <c r="I5" s="27" t="str">
        <f>Financials!E4</f>
        <v>(Actual)</v>
      </c>
      <c r="J5" s="27" t="str">
        <f>Financials!F4</f>
        <v>(Actual)</v>
      </c>
      <c r="K5" s="27" t="str">
        <f>Financials!G4</f>
        <v>(Prov.)</v>
      </c>
      <c r="L5" s="27" t="str">
        <f>Financials!H4</f>
        <v>(Proj.)</v>
      </c>
      <c r="M5" s="27" t="str">
        <f>Financials!I4</f>
        <v>(Proj.)</v>
      </c>
      <c r="N5" s="27" t="str">
        <f>Financials!J4</f>
        <v>(Proj.)</v>
      </c>
      <c r="O5" s="27" t="str">
        <f>Financials!K4</f>
        <v>(Proj.)</v>
      </c>
      <c r="P5" s="27" t="str">
        <f>Financials!L4</f>
        <v>(Proj.)</v>
      </c>
      <c r="Q5" s="27" t="str">
        <f>Financials!M4</f>
        <v>(Proj.)</v>
      </c>
      <c r="R5" s="27" t="str">
        <f>Financials!N4</f>
        <v>(Proj.)</v>
      </c>
      <c r="S5" s="27" t="str">
        <f>Financials!O4</f>
        <v>(Proj.)</v>
      </c>
      <c r="T5" s="27" t="str">
        <f>Financials!P4</f>
        <v>(Proj.)</v>
      </c>
      <c r="U5" s="27" t="str">
        <f>Financials!Q4</f>
        <v>(Proj.)</v>
      </c>
      <c r="V5" s="27" t="str">
        <f>Financials!R4</f>
        <v>(Proj.)</v>
      </c>
      <c r="W5" s="27" t="str">
        <f>Financials!S4</f>
        <v>(Proj.)</v>
      </c>
      <c r="X5" s="27">
        <f>Financials!T4</f>
        <v>0</v>
      </c>
      <c r="Y5" s="27">
        <f>Financials!U4</f>
        <v>0</v>
      </c>
      <c r="Z5" s="27">
        <f>Financials!V4</f>
        <v>0</v>
      </c>
      <c r="AA5" s="27">
        <f>Financials!W4</f>
        <v>0</v>
      </c>
      <c r="AB5" s="27">
        <f>Financials!X4</f>
        <v>0</v>
      </c>
      <c r="AC5" s="27">
        <f>Financials!Y4</f>
        <v>0</v>
      </c>
      <c r="AD5" s="27">
        <f>Financials!Z4</f>
        <v>0</v>
      </c>
      <c r="AE5" s="27">
        <f>Financials!AA4</f>
        <v>0</v>
      </c>
      <c r="AF5" s="27">
        <f>Financials!AB4</f>
        <v>0</v>
      </c>
      <c r="AG5" s="27">
        <f>Financials!AC4</f>
        <v>0</v>
      </c>
      <c r="AH5" s="27">
        <f>Financials!AD4</f>
        <v>0</v>
      </c>
      <c r="AI5" s="27">
        <f>Financials!AE4</f>
        <v>0</v>
      </c>
      <c r="AJ5" s="27">
        <f>Financials!AF4</f>
        <v>0</v>
      </c>
      <c r="AK5" s="27">
        <f>Financials!AG4</f>
        <v>0</v>
      </c>
      <c r="AL5" s="27">
        <f>Financials!AH4</f>
        <v>0</v>
      </c>
      <c r="AM5" s="27">
        <f>Financials!AI4</f>
        <v>0</v>
      </c>
      <c r="AN5" s="27">
        <f>Financials!AJ4</f>
        <v>0</v>
      </c>
      <c r="AO5" s="29">
        <f>Financials!AK4</f>
        <v>0</v>
      </c>
      <c r="AP5" s="36"/>
    </row>
    <row r="6" spans="2:42">
      <c r="R6" s="5"/>
    </row>
    <row r="7" spans="2:42" s="3" customFormat="1" ht="15">
      <c r="B7" s="28" t="s">
        <v>228</v>
      </c>
      <c r="D7" s="1"/>
      <c r="E7" s="41"/>
      <c r="F7" s="41"/>
      <c r="G7" s="41"/>
      <c r="H7" s="41"/>
      <c r="I7" s="41"/>
      <c r="J7" s="41"/>
      <c r="K7" s="41"/>
      <c r="L7" s="41"/>
      <c r="M7" s="41"/>
      <c r="N7" s="41"/>
      <c r="O7" s="41"/>
      <c r="P7" s="41"/>
      <c r="Q7" s="41"/>
      <c r="R7" s="41"/>
    </row>
    <row r="8" spans="2:42" s="44" customFormat="1" ht="15">
      <c r="B8" s="66" t="s">
        <v>240</v>
      </c>
      <c r="C8" s="50"/>
      <c r="D8" s="50"/>
      <c r="E8" s="50"/>
    </row>
    <row r="9" spans="2:42" s="44" customFormat="1" ht="15" outlineLevel="1">
      <c r="B9" s="156" t="s">
        <v>84</v>
      </c>
      <c r="C9" s="150"/>
      <c r="D9" s="185"/>
      <c r="E9" s="185">
        <v>42460</v>
      </c>
      <c r="F9" s="185">
        <v>42825</v>
      </c>
      <c r="G9" s="185"/>
      <c r="H9" s="185">
        <f t="shared" ref="H9:AO9" si="0">H2</f>
        <v>43555</v>
      </c>
      <c r="I9" s="185">
        <f t="shared" si="0"/>
        <v>43921</v>
      </c>
      <c r="J9" s="185">
        <f t="shared" si="0"/>
        <v>44286</v>
      </c>
      <c r="K9" s="185">
        <f t="shared" si="0"/>
        <v>44651</v>
      </c>
      <c r="L9" s="185">
        <f t="shared" si="0"/>
        <v>45016</v>
      </c>
      <c r="M9" s="185">
        <f t="shared" si="0"/>
        <v>45382</v>
      </c>
      <c r="N9" s="185">
        <f t="shared" si="0"/>
        <v>45747</v>
      </c>
      <c r="O9" s="185">
        <f t="shared" si="0"/>
        <v>46112</v>
      </c>
      <c r="P9" s="185">
        <f t="shared" si="0"/>
        <v>46477</v>
      </c>
      <c r="Q9" s="185">
        <f t="shared" si="0"/>
        <v>46843</v>
      </c>
      <c r="R9" s="185">
        <f t="shared" si="0"/>
        <v>47208</v>
      </c>
      <c r="S9" s="185">
        <f t="shared" si="0"/>
        <v>47573</v>
      </c>
      <c r="T9" s="185">
        <f t="shared" si="0"/>
        <v>47938</v>
      </c>
      <c r="U9" s="185">
        <f t="shared" si="0"/>
        <v>48304</v>
      </c>
      <c r="V9" s="185">
        <f t="shared" si="0"/>
        <v>48669</v>
      </c>
      <c r="W9" s="185">
        <f t="shared" si="0"/>
        <v>49034</v>
      </c>
      <c r="X9" s="185">
        <f t="shared" si="0"/>
        <v>0</v>
      </c>
      <c r="Y9" s="185">
        <f t="shared" si="0"/>
        <v>0</v>
      </c>
      <c r="Z9" s="185">
        <f t="shared" si="0"/>
        <v>0</v>
      </c>
      <c r="AA9" s="185">
        <f t="shared" si="0"/>
        <v>0</v>
      </c>
      <c r="AB9" s="185">
        <f t="shared" si="0"/>
        <v>0</v>
      </c>
      <c r="AC9" s="185">
        <f t="shared" si="0"/>
        <v>0</v>
      </c>
      <c r="AD9" s="185">
        <f t="shared" si="0"/>
        <v>0</v>
      </c>
      <c r="AE9" s="185">
        <f t="shared" si="0"/>
        <v>0</v>
      </c>
      <c r="AF9" s="185">
        <f t="shared" si="0"/>
        <v>0</v>
      </c>
      <c r="AG9" s="185">
        <f t="shared" si="0"/>
        <v>0</v>
      </c>
      <c r="AH9" s="185">
        <f t="shared" si="0"/>
        <v>0</v>
      </c>
      <c r="AI9" s="185">
        <f t="shared" si="0"/>
        <v>0</v>
      </c>
      <c r="AJ9" s="185">
        <f t="shared" si="0"/>
        <v>0</v>
      </c>
      <c r="AK9" s="185">
        <f t="shared" si="0"/>
        <v>0</v>
      </c>
      <c r="AL9" s="185">
        <f t="shared" si="0"/>
        <v>0</v>
      </c>
      <c r="AM9" s="185">
        <f t="shared" si="0"/>
        <v>0</v>
      </c>
      <c r="AN9" s="185">
        <f t="shared" si="0"/>
        <v>0</v>
      </c>
      <c r="AO9" s="185">
        <f t="shared" si="0"/>
        <v>0</v>
      </c>
    </row>
    <row r="10" spans="2:42" s="44" customFormat="1" ht="15" outlineLevel="1">
      <c r="B10" s="241"/>
      <c r="C10" s="242"/>
      <c r="D10" s="242"/>
      <c r="E10" s="242"/>
      <c r="F10" s="243"/>
      <c r="G10" s="243"/>
      <c r="H10" s="243">
        <f t="shared" ref="H10:T10" si="1">YEAR(H9)</f>
        <v>2019</v>
      </c>
      <c r="I10" s="243">
        <f t="shared" si="1"/>
        <v>2020</v>
      </c>
      <c r="J10" s="243">
        <f t="shared" si="1"/>
        <v>2021</v>
      </c>
      <c r="K10" s="243">
        <f t="shared" si="1"/>
        <v>2022</v>
      </c>
      <c r="L10" s="243">
        <f t="shared" si="1"/>
        <v>2023</v>
      </c>
      <c r="M10" s="243">
        <f t="shared" si="1"/>
        <v>2024</v>
      </c>
      <c r="N10" s="243">
        <f t="shared" si="1"/>
        <v>2025</v>
      </c>
      <c r="O10" s="243">
        <f t="shared" si="1"/>
        <v>2026</v>
      </c>
      <c r="P10" s="243">
        <f t="shared" si="1"/>
        <v>2027</v>
      </c>
      <c r="Q10" s="243">
        <f t="shared" si="1"/>
        <v>2028</v>
      </c>
      <c r="R10" s="243">
        <f t="shared" si="1"/>
        <v>2029</v>
      </c>
      <c r="S10" s="243">
        <f t="shared" si="1"/>
        <v>2030</v>
      </c>
      <c r="T10" s="243">
        <f t="shared" si="1"/>
        <v>2031</v>
      </c>
      <c r="U10" s="243"/>
      <c r="V10" s="243"/>
      <c r="W10" s="243"/>
      <c r="X10" s="244"/>
      <c r="Y10" s="244"/>
      <c r="Z10" s="244"/>
      <c r="AA10" s="244"/>
      <c r="AB10" s="244"/>
      <c r="AC10" s="244"/>
      <c r="AD10" s="244"/>
      <c r="AE10" s="244"/>
      <c r="AF10" s="245"/>
      <c r="AG10" s="245"/>
      <c r="AH10" s="245"/>
      <c r="AI10" s="245"/>
      <c r="AJ10" s="245"/>
      <c r="AK10" s="245"/>
      <c r="AL10" s="245"/>
      <c r="AM10" s="245"/>
      <c r="AN10" s="245"/>
      <c r="AO10" s="245"/>
    </row>
    <row r="11" spans="2:42" s="44" customFormat="1" outlineLevel="1">
      <c r="B11" s="245" t="s">
        <v>85</v>
      </c>
      <c r="C11" s="246"/>
      <c r="D11" s="246"/>
      <c r="E11" s="246"/>
      <c r="F11" s="247"/>
      <c r="G11" s="247"/>
      <c r="H11" s="247"/>
      <c r="I11" s="247"/>
      <c r="J11" s="247">
        <f>Financials!F29+Financials!F25</f>
        <v>-399.63153362364494</v>
      </c>
      <c r="K11" s="247">
        <f>Financials!G29+Financials!G25</f>
        <v>-63.486384840473846</v>
      </c>
      <c r="L11" s="247">
        <f>Financials!H29+Financials!H25</f>
        <v>-91.879530873591747</v>
      </c>
      <c r="M11" s="247">
        <f>Financials!I29+Financials!I25</f>
        <v>93.716120665937055</v>
      </c>
      <c r="N11" s="247">
        <f>Financials!J29+Financials!J25</f>
        <v>81.549597993971162</v>
      </c>
      <c r="O11" s="247">
        <f>Financials!K29+Financials!K25</f>
        <v>111.54149582419539</v>
      </c>
      <c r="P11" s="247">
        <f>Financials!L29+Financials!L25</f>
        <v>149.72035864231668</v>
      </c>
      <c r="Q11" s="247">
        <f>Financials!M29+Financials!M25</f>
        <v>178.14195772756759</v>
      </c>
      <c r="R11" s="247">
        <f>Financials!N29+Financials!N25</f>
        <v>184.05899459180719</v>
      </c>
      <c r="S11" s="247">
        <f>Financials!O29+Financials!O25</f>
        <v>202.52373372340003</v>
      </c>
      <c r="T11" s="247">
        <f>Financials!P29+Financials!P25</f>
        <v>216.94756168003346</v>
      </c>
      <c r="U11" s="247">
        <f>Financials!Q29+Financials!Q25</f>
        <v>231.10188644286106</v>
      </c>
      <c r="V11" s="247">
        <f>Financials!R29+Financials!R25</f>
        <v>241.36687426433818</v>
      </c>
      <c r="W11" s="247">
        <f>Financials!S29+Financials!S25</f>
        <v>13.351991338153642</v>
      </c>
      <c r="X11" s="247">
        <f>Financials!T29+Financials!T25</f>
        <v>0</v>
      </c>
      <c r="Y11" s="247">
        <f>Financials!U29+Financials!U25</f>
        <v>0</v>
      </c>
      <c r="Z11" s="247">
        <f>Financials!V29+Financials!V25</f>
        <v>0</v>
      </c>
      <c r="AA11" s="247">
        <f>Financials!W29+Financials!W25</f>
        <v>0</v>
      </c>
      <c r="AB11" s="247">
        <f>Financials!X29+Financials!X25</f>
        <v>0</v>
      </c>
      <c r="AC11" s="247">
        <f>Financials!Y29+Financials!Y25</f>
        <v>0</v>
      </c>
      <c r="AD11" s="247">
        <f>Financials!Z29+Financials!Z25</f>
        <v>0</v>
      </c>
      <c r="AE11" s="247">
        <f>Financials!AA29+Financials!AA25</f>
        <v>0</v>
      </c>
      <c r="AF11" s="247">
        <f>Financials!AB29+Financials!AB25</f>
        <v>0</v>
      </c>
      <c r="AG11" s="247">
        <f>Financials!AC29+Financials!AC25</f>
        <v>0</v>
      </c>
      <c r="AH11" s="247">
        <f>Financials!AD29+Financials!AD25</f>
        <v>0</v>
      </c>
      <c r="AI11" s="247">
        <f>Financials!AE29+Financials!AE25</f>
        <v>0</v>
      </c>
      <c r="AJ11" s="247">
        <f>Financials!AF29+Financials!AF25</f>
        <v>0</v>
      </c>
      <c r="AK11" s="247">
        <f>Financials!AG29+Financials!AG25</f>
        <v>0</v>
      </c>
      <c r="AL11" s="247">
        <f>Financials!AH29+Financials!AH25</f>
        <v>0</v>
      </c>
      <c r="AM11" s="247">
        <f>Financials!AI29+Financials!AI25</f>
        <v>0</v>
      </c>
      <c r="AN11" s="247">
        <f>Financials!AJ29+Financials!AJ25</f>
        <v>0</v>
      </c>
      <c r="AO11" s="247">
        <f>Financials!AK29+Financials!AK25</f>
        <v>0</v>
      </c>
    </row>
    <row r="12" spans="2:42" s="44" customFormat="1" outlineLevel="1">
      <c r="B12" s="245" t="s">
        <v>86</v>
      </c>
      <c r="C12" s="246"/>
      <c r="D12" s="246"/>
      <c r="E12" s="246"/>
      <c r="F12" s="247"/>
      <c r="G12" s="247"/>
      <c r="H12" s="247"/>
      <c r="I12" s="247"/>
      <c r="J12" s="247">
        <f>Financials!F25</f>
        <v>117.79144940587399</v>
      </c>
      <c r="K12" s="247">
        <f>Financials!G25</f>
        <v>87.735052307094975</v>
      </c>
      <c r="L12" s="247">
        <f>Financials!H25</f>
        <v>96.457532674718593</v>
      </c>
      <c r="M12" s="247">
        <f>Financials!I25</f>
        <v>103.05095228652415</v>
      </c>
      <c r="N12" s="247">
        <f>Financials!J25</f>
        <v>108.70276886512572</v>
      </c>
      <c r="O12" s="247">
        <f>Financials!K25</f>
        <v>114.72649096001797</v>
      </c>
      <c r="P12" s="247">
        <f>Financials!L25</f>
        <v>120.80200439665414</v>
      </c>
      <c r="Q12" s="247">
        <f>Financials!M25</f>
        <v>127.79937843847392</v>
      </c>
      <c r="R12" s="247">
        <f>Financials!N25</f>
        <v>133.94320096575149</v>
      </c>
      <c r="S12" s="247">
        <f>Financials!O25</f>
        <v>141.04765337125309</v>
      </c>
      <c r="T12" s="247">
        <f>Financials!P25</f>
        <v>149.10921637900196</v>
      </c>
      <c r="U12" s="247">
        <f>Financials!Q25</f>
        <v>157.17874658461579</v>
      </c>
      <c r="V12" s="247">
        <f>Financials!R25</f>
        <v>165.21300553359924</v>
      </c>
      <c r="W12" s="247">
        <f>Financials!S25</f>
        <v>8.1965680317944525</v>
      </c>
      <c r="X12" s="247">
        <f>Financials!T25</f>
        <v>0</v>
      </c>
      <c r="Y12" s="247">
        <f>Financials!U25</f>
        <v>0</v>
      </c>
      <c r="Z12" s="247">
        <f>Financials!V25</f>
        <v>0</v>
      </c>
      <c r="AA12" s="247">
        <f>Financials!W25</f>
        <v>0</v>
      </c>
      <c r="AB12" s="247">
        <f>Financials!X25</f>
        <v>0</v>
      </c>
      <c r="AC12" s="247">
        <f>Financials!Y25</f>
        <v>0</v>
      </c>
      <c r="AD12" s="247">
        <f>Financials!Z25</f>
        <v>0</v>
      </c>
      <c r="AE12" s="247">
        <f>Financials!AA25</f>
        <v>0</v>
      </c>
      <c r="AF12" s="247">
        <f>Financials!AB25</f>
        <v>0</v>
      </c>
      <c r="AG12" s="247">
        <f>Financials!AC25</f>
        <v>0</v>
      </c>
      <c r="AH12" s="247">
        <f>Financials!AD25</f>
        <v>0</v>
      </c>
      <c r="AI12" s="247">
        <f>Financials!AE25</f>
        <v>0</v>
      </c>
      <c r="AJ12" s="247">
        <f>Financials!AF25</f>
        <v>0</v>
      </c>
      <c r="AK12" s="247">
        <f>Financials!AG25</f>
        <v>0</v>
      </c>
      <c r="AL12" s="247">
        <f>Financials!AH25</f>
        <v>0</v>
      </c>
      <c r="AM12" s="247">
        <f>Financials!AI25</f>
        <v>0</v>
      </c>
      <c r="AN12" s="247">
        <f>Financials!AJ25</f>
        <v>0</v>
      </c>
      <c r="AO12" s="247">
        <f>Financials!AK25</f>
        <v>0</v>
      </c>
    </row>
    <row r="13" spans="2:42" s="44" customFormat="1" outlineLevel="1">
      <c r="B13" s="245" t="s">
        <v>87</v>
      </c>
      <c r="C13" s="246"/>
      <c r="D13" s="246"/>
      <c r="E13" s="246"/>
      <c r="F13" s="247"/>
      <c r="G13" s="247"/>
      <c r="H13" s="247"/>
      <c r="I13" s="247"/>
      <c r="J13" s="247">
        <f t="shared" ref="J13:AO13" si="2">J83</f>
        <v>0</v>
      </c>
      <c r="K13" s="247">
        <f t="shared" si="2"/>
        <v>0</v>
      </c>
      <c r="L13" s="247">
        <f t="shared" si="2"/>
        <v>129.01438519156105</v>
      </c>
      <c r="M13" s="247">
        <f t="shared" si="2"/>
        <v>129.36784926057899</v>
      </c>
      <c r="N13" s="247">
        <f t="shared" si="2"/>
        <v>129.01438519156105</v>
      </c>
      <c r="O13" s="247">
        <f t="shared" si="2"/>
        <v>129.01438519156105</v>
      </c>
      <c r="P13" s="247">
        <f t="shared" si="2"/>
        <v>129.01438519156105</v>
      </c>
      <c r="Q13" s="247">
        <f t="shared" si="2"/>
        <v>129.36784926057899</v>
      </c>
      <c r="R13" s="247">
        <f t="shared" si="2"/>
        <v>129.01438519156105</v>
      </c>
      <c r="S13" s="247">
        <f t="shared" si="2"/>
        <v>129.01438519156105</v>
      </c>
      <c r="T13" s="247">
        <f t="shared" si="2"/>
        <v>129.01438519156105</v>
      </c>
      <c r="U13" s="247">
        <f t="shared" si="2"/>
        <v>129.36784926057899</v>
      </c>
      <c r="V13" s="247">
        <f t="shared" si="2"/>
        <v>129.01438519156105</v>
      </c>
      <c r="W13" s="247">
        <f t="shared" si="2"/>
        <v>6.0088891733055831</v>
      </c>
      <c r="X13" s="247">
        <f t="shared" si="2"/>
        <v>0</v>
      </c>
      <c r="Y13" s="247">
        <f t="shared" si="2"/>
        <v>0</v>
      </c>
      <c r="Z13" s="247">
        <f t="shared" si="2"/>
        <v>0</v>
      </c>
      <c r="AA13" s="247">
        <f t="shared" si="2"/>
        <v>0</v>
      </c>
      <c r="AB13" s="247">
        <f t="shared" si="2"/>
        <v>0</v>
      </c>
      <c r="AC13" s="247">
        <f t="shared" si="2"/>
        <v>0</v>
      </c>
      <c r="AD13" s="247">
        <f t="shared" si="2"/>
        <v>0</v>
      </c>
      <c r="AE13" s="247">
        <f t="shared" si="2"/>
        <v>0</v>
      </c>
      <c r="AF13" s="247">
        <f t="shared" si="2"/>
        <v>0</v>
      </c>
      <c r="AG13" s="247">
        <f t="shared" si="2"/>
        <v>0</v>
      </c>
      <c r="AH13" s="247">
        <f t="shared" si="2"/>
        <v>0</v>
      </c>
      <c r="AI13" s="247">
        <f t="shared" si="2"/>
        <v>0</v>
      </c>
      <c r="AJ13" s="247">
        <f t="shared" si="2"/>
        <v>0</v>
      </c>
      <c r="AK13" s="247">
        <f t="shared" si="2"/>
        <v>0</v>
      </c>
      <c r="AL13" s="247">
        <f t="shared" si="2"/>
        <v>0</v>
      </c>
      <c r="AM13" s="247">
        <f t="shared" si="2"/>
        <v>0</v>
      </c>
      <c r="AN13" s="247">
        <f t="shared" si="2"/>
        <v>0</v>
      </c>
      <c r="AO13" s="247">
        <f t="shared" si="2"/>
        <v>0</v>
      </c>
    </row>
    <row r="14" spans="2:42" s="44" customFormat="1" outlineLevel="1">
      <c r="C14" s="45"/>
      <c r="D14" s="45"/>
      <c r="E14" s="45"/>
      <c r="F14" s="46"/>
      <c r="G14" s="46"/>
      <c r="H14" s="46"/>
      <c r="I14" s="46"/>
      <c r="J14" s="46"/>
      <c r="K14" s="46"/>
      <c r="L14" s="46"/>
      <c r="M14" s="46"/>
      <c r="N14" s="46"/>
      <c r="O14" s="46"/>
      <c r="P14" s="46"/>
      <c r="Q14" s="46"/>
      <c r="R14" s="46"/>
      <c r="S14" s="46"/>
      <c r="T14" s="46"/>
      <c r="U14" s="46"/>
      <c r="V14" s="47"/>
      <c r="W14" s="47"/>
      <c r="X14" s="47"/>
      <c r="Y14" s="47"/>
      <c r="Z14" s="47"/>
      <c r="AA14" s="47"/>
      <c r="AB14" s="47"/>
      <c r="AC14" s="47"/>
      <c r="AD14" s="47"/>
      <c r="AE14" s="47"/>
    </row>
    <row r="15" spans="2:42" s="44" customFormat="1" ht="15" outlineLevel="1">
      <c r="B15" s="67" t="s">
        <v>88</v>
      </c>
      <c r="C15" s="45"/>
      <c r="D15" s="45"/>
      <c r="E15" s="45"/>
      <c r="F15" s="46"/>
      <c r="G15" s="46"/>
      <c r="H15" s="46"/>
      <c r="I15" s="46"/>
      <c r="J15" s="46"/>
      <c r="K15" s="46"/>
      <c r="L15" s="46"/>
      <c r="M15" s="46"/>
      <c r="N15" s="46"/>
      <c r="O15" s="46"/>
      <c r="P15" s="46"/>
      <c r="Q15" s="46"/>
      <c r="R15" s="46"/>
      <c r="S15" s="46"/>
      <c r="T15" s="46"/>
      <c r="U15" s="46"/>
      <c r="V15" s="47"/>
      <c r="W15" s="47"/>
      <c r="X15" s="47"/>
      <c r="Y15" s="47"/>
      <c r="Z15" s="47"/>
      <c r="AA15" s="47"/>
      <c r="AB15" s="47"/>
      <c r="AC15" s="47"/>
      <c r="AD15" s="47"/>
      <c r="AE15" s="47"/>
    </row>
    <row r="16" spans="2:42" s="44" customFormat="1" ht="15" outlineLevel="1">
      <c r="B16" s="66" t="s">
        <v>89</v>
      </c>
      <c r="C16" s="45"/>
      <c r="D16" s="45"/>
      <c r="E16" s="45"/>
      <c r="F16" s="46"/>
      <c r="G16" s="46"/>
      <c r="H16" s="46"/>
      <c r="I16" s="46"/>
      <c r="J16" s="46"/>
      <c r="K16" s="46"/>
      <c r="L16" s="46"/>
      <c r="M16" s="46"/>
      <c r="N16" s="46"/>
      <c r="O16" s="46"/>
      <c r="P16" s="46"/>
      <c r="Q16" s="46"/>
      <c r="R16" s="46"/>
      <c r="S16" s="46"/>
      <c r="T16" s="46"/>
      <c r="U16" s="46"/>
      <c r="V16" s="47"/>
      <c r="W16" s="47"/>
      <c r="X16" s="47"/>
      <c r="Y16" s="47"/>
      <c r="Z16" s="47"/>
      <c r="AA16" s="47"/>
      <c r="AB16" s="47"/>
      <c r="AC16" s="47"/>
      <c r="AD16" s="47"/>
      <c r="AE16" s="47"/>
    </row>
    <row r="17" spans="2:41" s="44" customFormat="1" outlineLevel="1">
      <c r="B17" s="245" t="s">
        <v>85</v>
      </c>
      <c r="C17" s="246"/>
      <c r="D17" s="246"/>
      <c r="E17" s="246"/>
      <c r="F17" s="247"/>
      <c r="G17" s="247"/>
      <c r="H17" s="247"/>
      <c r="I17" s="247">
        <f t="shared" ref="I17:T17" si="3">I11</f>
        <v>0</v>
      </c>
      <c r="J17" s="247">
        <f t="shared" si="3"/>
        <v>-399.63153362364494</v>
      </c>
      <c r="K17" s="247">
        <f t="shared" si="3"/>
        <v>-63.486384840473846</v>
      </c>
      <c r="L17" s="247">
        <f t="shared" si="3"/>
        <v>-91.879530873591747</v>
      </c>
      <c r="M17" s="247">
        <f t="shared" si="3"/>
        <v>93.716120665937055</v>
      </c>
      <c r="N17" s="247">
        <f t="shared" si="3"/>
        <v>81.549597993971162</v>
      </c>
      <c r="O17" s="247">
        <f t="shared" si="3"/>
        <v>111.54149582419539</v>
      </c>
      <c r="P17" s="247">
        <f t="shared" si="3"/>
        <v>149.72035864231668</v>
      </c>
      <c r="Q17" s="247">
        <f t="shared" si="3"/>
        <v>178.14195772756759</v>
      </c>
      <c r="R17" s="247">
        <f t="shared" si="3"/>
        <v>184.05899459180719</v>
      </c>
      <c r="S17" s="247">
        <f t="shared" si="3"/>
        <v>202.52373372340003</v>
      </c>
      <c r="T17" s="247">
        <f t="shared" si="3"/>
        <v>216.94756168003346</v>
      </c>
      <c r="U17" s="247">
        <f t="shared" ref="U17:AO17" si="4">U11</f>
        <v>231.10188644286106</v>
      </c>
      <c r="V17" s="247">
        <f t="shared" si="4"/>
        <v>241.36687426433818</v>
      </c>
      <c r="W17" s="247">
        <f t="shared" si="4"/>
        <v>13.351991338153642</v>
      </c>
      <c r="X17" s="247">
        <f t="shared" si="4"/>
        <v>0</v>
      </c>
      <c r="Y17" s="247">
        <f t="shared" si="4"/>
        <v>0</v>
      </c>
      <c r="Z17" s="247">
        <f t="shared" si="4"/>
        <v>0</v>
      </c>
      <c r="AA17" s="247">
        <f t="shared" si="4"/>
        <v>0</v>
      </c>
      <c r="AB17" s="247">
        <f t="shared" si="4"/>
        <v>0</v>
      </c>
      <c r="AC17" s="247">
        <f t="shared" si="4"/>
        <v>0</v>
      </c>
      <c r="AD17" s="247">
        <f t="shared" si="4"/>
        <v>0</v>
      </c>
      <c r="AE17" s="247">
        <f t="shared" si="4"/>
        <v>0</v>
      </c>
      <c r="AF17" s="247">
        <f t="shared" si="4"/>
        <v>0</v>
      </c>
      <c r="AG17" s="247">
        <f t="shared" si="4"/>
        <v>0</v>
      </c>
      <c r="AH17" s="247">
        <f t="shared" si="4"/>
        <v>0</v>
      </c>
      <c r="AI17" s="247">
        <f t="shared" si="4"/>
        <v>0</v>
      </c>
      <c r="AJ17" s="247">
        <f t="shared" si="4"/>
        <v>0</v>
      </c>
      <c r="AK17" s="247">
        <f t="shared" si="4"/>
        <v>0</v>
      </c>
      <c r="AL17" s="247">
        <f t="shared" si="4"/>
        <v>0</v>
      </c>
      <c r="AM17" s="247">
        <f t="shared" si="4"/>
        <v>0</v>
      </c>
      <c r="AN17" s="247">
        <f t="shared" si="4"/>
        <v>0</v>
      </c>
      <c r="AO17" s="247">
        <f t="shared" si="4"/>
        <v>0</v>
      </c>
    </row>
    <row r="18" spans="2:41" s="44" customFormat="1" outlineLevel="1">
      <c r="B18" s="245" t="s">
        <v>90</v>
      </c>
      <c r="C18" s="246"/>
      <c r="D18" s="246"/>
      <c r="E18" s="246"/>
      <c r="F18" s="247"/>
      <c r="G18" s="247"/>
      <c r="H18" s="247"/>
      <c r="I18" s="247">
        <f t="shared" ref="I18:T18" si="5">IF(I17&lt;0,I17,0)</f>
        <v>0</v>
      </c>
      <c r="J18" s="247">
        <f t="shared" si="5"/>
        <v>-399.63153362364494</v>
      </c>
      <c r="K18" s="247">
        <f t="shared" si="5"/>
        <v>-63.486384840473846</v>
      </c>
      <c r="L18" s="247">
        <f t="shared" si="5"/>
        <v>-91.879530873591747</v>
      </c>
      <c r="M18" s="247">
        <f t="shared" si="5"/>
        <v>0</v>
      </c>
      <c r="N18" s="247">
        <f t="shared" si="5"/>
        <v>0</v>
      </c>
      <c r="O18" s="247">
        <f t="shared" si="5"/>
        <v>0</v>
      </c>
      <c r="P18" s="247">
        <f t="shared" si="5"/>
        <v>0</v>
      </c>
      <c r="Q18" s="247">
        <f t="shared" si="5"/>
        <v>0</v>
      </c>
      <c r="R18" s="247">
        <f t="shared" si="5"/>
        <v>0</v>
      </c>
      <c r="S18" s="247">
        <f t="shared" si="5"/>
        <v>0</v>
      </c>
      <c r="T18" s="247">
        <f t="shared" si="5"/>
        <v>0</v>
      </c>
      <c r="U18" s="247">
        <f t="shared" ref="U18:AO18" si="6">IF(U17&lt;0,U17,0)</f>
        <v>0</v>
      </c>
      <c r="V18" s="247">
        <f t="shared" si="6"/>
        <v>0</v>
      </c>
      <c r="W18" s="247">
        <f t="shared" si="6"/>
        <v>0</v>
      </c>
      <c r="X18" s="247">
        <f t="shared" si="6"/>
        <v>0</v>
      </c>
      <c r="Y18" s="247">
        <f t="shared" si="6"/>
        <v>0</v>
      </c>
      <c r="Z18" s="247">
        <f t="shared" si="6"/>
        <v>0</v>
      </c>
      <c r="AA18" s="247">
        <f t="shared" si="6"/>
        <v>0</v>
      </c>
      <c r="AB18" s="247">
        <f t="shared" si="6"/>
        <v>0</v>
      </c>
      <c r="AC18" s="247">
        <f t="shared" si="6"/>
        <v>0</v>
      </c>
      <c r="AD18" s="247">
        <f t="shared" si="6"/>
        <v>0</v>
      </c>
      <c r="AE18" s="247">
        <f t="shared" si="6"/>
        <v>0</v>
      </c>
      <c r="AF18" s="247">
        <f t="shared" si="6"/>
        <v>0</v>
      </c>
      <c r="AG18" s="247">
        <f t="shared" si="6"/>
        <v>0</v>
      </c>
      <c r="AH18" s="247">
        <f t="shared" si="6"/>
        <v>0</v>
      </c>
      <c r="AI18" s="247">
        <f t="shared" si="6"/>
        <v>0</v>
      </c>
      <c r="AJ18" s="247">
        <f t="shared" si="6"/>
        <v>0</v>
      </c>
      <c r="AK18" s="247">
        <f t="shared" si="6"/>
        <v>0</v>
      </c>
      <c r="AL18" s="247">
        <f t="shared" si="6"/>
        <v>0</v>
      </c>
      <c r="AM18" s="247">
        <f t="shared" si="6"/>
        <v>0</v>
      </c>
      <c r="AN18" s="247">
        <f t="shared" si="6"/>
        <v>0</v>
      </c>
      <c r="AO18" s="247">
        <f t="shared" si="6"/>
        <v>0</v>
      </c>
    </row>
    <row r="19" spans="2:41" s="44" customFormat="1" outlineLevel="1">
      <c r="B19" s="245" t="s">
        <v>91</v>
      </c>
      <c r="C19" s="246"/>
      <c r="D19" s="246"/>
      <c r="E19" s="246"/>
      <c r="F19" s="247"/>
      <c r="G19" s="247"/>
      <c r="H19" s="247"/>
      <c r="I19" s="247">
        <f t="shared" ref="I19:T19" si="7">SUMIF($H$18:$R$18,I10-9,$G$30:$WR$30)</f>
        <v>0</v>
      </c>
      <c r="J19" s="247">
        <f t="shared" si="7"/>
        <v>0</v>
      </c>
      <c r="K19" s="247">
        <f t="shared" si="7"/>
        <v>0</v>
      </c>
      <c r="L19" s="247">
        <f t="shared" si="7"/>
        <v>0</v>
      </c>
      <c r="M19" s="247">
        <f t="shared" si="7"/>
        <v>0</v>
      </c>
      <c r="N19" s="247">
        <f t="shared" si="7"/>
        <v>0</v>
      </c>
      <c r="O19" s="247">
        <f t="shared" si="7"/>
        <v>0</v>
      </c>
      <c r="P19" s="247">
        <f t="shared" si="7"/>
        <v>0</v>
      </c>
      <c r="Q19" s="247">
        <f t="shared" si="7"/>
        <v>0</v>
      </c>
      <c r="R19" s="247">
        <f t="shared" si="7"/>
        <v>0</v>
      </c>
      <c r="S19" s="247">
        <f t="shared" si="7"/>
        <v>0</v>
      </c>
      <c r="T19" s="247">
        <f t="shared" si="7"/>
        <v>0</v>
      </c>
      <c r="U19" s="247">
        <f t="shared" ref="U19:AO19" si="8">SUMIF($H$18:$R$18,U10-9,$G$30:$WR$30)</f>
        <v>0</v>
      </c>
      <c r="V19" s="247">
        <f t="shared" si="8"/>
        <v>0</v>
      </c>
      <c r="W19" s="247">
        <f t="shared" si="8"/>
        <v>0</v>
      </c>
      <c r="X19" s="247">
        <f t="shared" si="8"/>
        <v>0</v>
      </c>
      <c r="Y19" s="247">
        <f t="shared" si="8"/>
        <v>0</v>
      </c>
      <c r="Z19" s="247">
        <f t="shared" si="8"/>
        <v>0</v>
      </c>
      <c r="AA19" s="247">
        <f t="shared" si="8"/>
        <v>0</v>
      </c>
      <c r="AB19" s="247">
        <f t="shared" si="8"/>
        <v>0</v>
      </c>
      <c r="AC19" s="247">
        <f t="shared" si="8"/>
        <v>0</v>
      </c>
      <c r="AD19" s="247">
        <f t="shared" si="8"/>
        <v>0</v>
      </c>
      <c r="AE19" s="247">
        <f t="shared" si="8"/>
        <v>0</v>
      </c>
      <c r="AF19" s="247">
        <f t="shared" si="8"/>
        <v>0</v>
      </c>
      <c r="AG19" s="247">
        <f t="shared" si="8"/>
        <v>0</v>
      </c>
      <c r="AH19" s="247">
        <f t="shared" si="8"/>
        <v>0</v>
      </c>
      <c r="AI19" s="247">
        <f t="shared" si="8"/>
        <v>0</v>
      </c>
      <c r="AJ19" s="247">
        <f t="shared" si="8"/>
        <v>0</v>
      </c>
      <c r="AK19" s="247">
        <f t="shared" si="8"/>
        <v>0</v>
      </c>
      <c r="AL19" s="247">
        <f t="shared" si="8"/>
        <v>0</v>
      </c>
      <c r="AM19" s="247">
        <f t="shared" si="8"/>
        <v>0</v>
      </c>
      <c r="AN19" s="247">
        <f t="shared" si="8"/>
        <v>0</v>
      </c>
      <c r="AO19" s="247">
        <f t="shared" si="8"/>
        <v>0</v>
      </c>
    </row>
    <row r="20" spans="2:41" s="44" customFormat="1" outlineLevel="1">
      <c r="B20" s="245" t="s">
        <v>92</v>
      </c>
      <c r="C20" s="246"/>
      <c r="D20" s="246"/>
      <c r="E20" s="246"/>
      <c r="F20" s="247"/>
      <c r="G20" s="247"/>
      <c r="H20" s="247"/>
      <c r="I20" s="247">
        <f>SUM($H$18:I18)-SUM($H$19:I19)</f>
        <v>0</v>
      </c>
      <c r="J20" s="247">
        <f>SUM($H$18:J18)-SUM($H$19:J19)</f>
        <v>-399.63153362364494</v>
      </c>
      <c r="K20" s="247">
        <f>SUM($H$18:K18)-SUM($H$19:K19)</f>
        <v>-463.11791846411882</v>
      </c>
      <c r="L20" s="247">
        <f>SUM($H$18:L18)-SUM($H$19:L19)</f>
        <v>-554.99744933771058</v>
      </c>
      <c r="M20" s="247">
        <f>SUM($H$18:M18)-SUM($H$19:M19)</f>
        <v>-554.99744933771058</v>
      </c>
      <c r="N20" s="247">
        <f>SUM($H$18:N18)-SUM($H$19:N19)</f>
        <v>-554.99744933771058</v>
      </c>
      <c r="O20" s="247">
        <f>SUM($H$18:O18)-SUM($H$19:O19)</f>
        <v>-554.99744933771058</v>
      </c>
      <c r="P20" s="247">
        <f>SUM($H$18:P18)-SUM($H$19:P19)</f>
        <v>-554.99744933771058</v>
      </c>
      <c r="Q20" s="247">
        <f>SUM($H$18:Q18)-SUM($H$19:Q19)</f>
        <v>-554.99744933771058</v>
      </c>
      <c r="R20" s="247">
        <f>SUM($H$18:R18)-SUM($H$19:R19)</f>
        <v>-554.99744933771058</v>
      </c>
      <c r="S20" s="247">
        <f>SUM($H$18:S18)-SUM($H$19:S19)</f>
        <v>-554.99744933771058</v>
      </c>
      <c r="T20" s="247">
        <f>SUM($H$18:T18)-SUM($H$19:T19)</f>
        <v>-554.99744933771058</v>
      </c>
      <c r="U20" s="247">
        <f>SUM($H$18:U18)-SUM($H$19:U19)</f>
        <v>-554.99744933771058</v>
      </c>
      <c r="V20" s="247">
        <f>SUM($H$18:V18)-SUM($H$19:V19)</f>
        <v>-554.99744933771058</v>
      </c>
      <c r="W20" s="247">
        <f>SUM($H$18:W18)-SUM($H$19:W19)</f>
        <v>-554.99744933771058</v>
      </c>
      <c r="X20" s="247">
        <f>SUM($H$18:X18)-SUM($H$19:X19)</f>
        <v>-554.99744933771058</v>
      </c>
      <c r="Y20" s="247">
        <f>SUM($H$18:Y18)-SUM($H$19:Y19)</f>
        <v>-554.99744933771058</v>
      </c>
      <c r="Z20" s="247">
        <f>SUM($H$18:Z18)-SUM($H$19:Z19)</f>
        <v>-554.99744933771058</v>
      </c>
      <c r="AA20" s="247">
        <f>SUM($H$18:AA18)-SUM($H$19:AA19)</f>
        <v>-554.99744933771058</v>
      </c>
      <c r="AB20" s="247">
        <f>SUM($H$18:AB18)-SUM($H$19:AB19)</f>
        <v>-554.99744933771058</v>
      </c>
      <c r="AC20" s="247">
        <f>SUM($H$18:AC18)-SUM($H$19:AC19)</f>
        <v>-554.99744933771058</v>
      </c>
      <c r="AD20" s="247">
        <f>SUM($H$18:AD18)-SUM($H$19:AD19)</f>
        <v>-554.99744933771058</v>
      </c>
      <c r="AE20" s="247">
        <f>SUM($H$18:AE18)-SUM($H$19:AE19)</f>
        <v>-554.99744933771058</v>
      </c>
      <c r="AF20" s="247">
        <f>SUM($H$18:AF18)-SUM($H$19:AF19)</f>
        <v>-554.99744933771058</v>
      </c>
      <c r="AG20" s="247">
        <f>SUM($H$18:AG18)-SUM($H$19:AG19)</f>
        <v>-554.99744933771058</v>
      </c>
      <c r="AH20" s="247">
        <f>SUM($H$18:AH18)-SUM($H$19:AH19)</f>
        <v>-554.99744933771058</v>
      </c>
      <c r="AI20" s="247">
        <f>SUM($H$18:AI18)-SUM($H$19:AI19)</f>
        <v>-554.99744933771058</v>
      </c>
      <c r="AJ20" s="247">
        <f>SUM($H$18:AJ18)-SUM($H$19:AJ19)</f>
        <v>-554.99744933771058</v>
      </c>
      <c r="AK20" s="247">
        <f>SUM($H$18:AK18)-SUM($H$19:AK19)</f>
        <v>-554.99744933771058</v>
      </c>
      <c r="AL20" s="247">
        <f>SUM($H$18:AL18)-SUM($H$19:AL19)</f>
        <v>-554.99744933771058</v>
      </c>
      <c r="AM20" s="247">
        <f>SUM($H$18:AM18)-SUM($H$19:AM19)</f>
        <v>-554.99744933771058</v>
      </c>
      <c r="AN20" s="247">
        <f>SUM($H$18:AN18)-SUM($H$19:AN19)</f>
        <v>-554.99744933771058</v>
      </c>
      <c r="AO20" s="247">
        <f>SUM($H$18:AO18)-SUM($H$19:AO19)</f>
        <v>-554.99744933771058</v>
      </c>
    </row>
    <row r="21" spans="2:41" s="44" customFormat="1" outlineLevel="1">
      <c r="C21" s="45"/>
      <c r="D21" s="45"/>
      <c r="E21" s="45"/>
      <c r="F21" s="46"/>
      <c r="G21" s="46"/>
      <c r="H21" s="46"/>
      <c r="I21" s="46"/>
      <c r="J21" s="46"/>
      <c r="K21" s="46"/>
      <c r="L21" s="46"/>
      <c r="M21" s="46"/>
      <c r="N21" s="46"/>
      <c r="O21" s="46"/>
      <c r="P21" s="46"/>
      <c r="Q21" s="46"/>
      <c r="R21" s="46"/>
      <c r="S21" s="46"/>
      <c r="T21" s="46"/>
      <c r="U21" s="46"/>
      <c r="V21" s="47"/>
      <c r="W21" s="47"/>
      <c r="X21" s="47"/>
      <c r="Y21" s="47"/>
      <c r="Z21" s="47"/>
      <c r="AA21" s="47"/>
      <c r="AB21" s="47"/>
      <c r="AC21" s="47"/>
      <c r="AD21" s="47"/>
      <c r="AE21" s="47"/>
    </row>
    <row r="22" spans="2:41" s="44" customFormat="1" ht="15" outlineLevel="1">
      <c r="B22" s="66" t="s">
        <v>93</v>
      </c>
      <c r="C22" s="45"/>
      <c r="D22" s="45"/>
      <c r="E22" s="45"/>
      <c r="F22" s="46"/>
      <c r="G22" s="46"/>
      <c r="H22" s="46"/>
      <c r="I22" s="46"/>
      <c r="J22" s="46"/>
      <c r="K22" s="46"/>
      <c r="L22" s="46"/>
      <c r="M22" s="46"/>
      <c r="N22" s="46"/>
      <c r="O22" s="46"/>
      <c r="P22" s="46"/>
      <c r="Q22" s="46"/>
      <c r="R22" s="46"/>
      <c r="S22" s="46"/>
      <c r="T22" s="46"/>
      <c r="U22" s="46"/>
      <c r="V22" s="47"/>
      <c r="W22" s="47"/>
      <c r="X22" s="47"/>
      <c r="Y22" s="47"/>
      <c r="Z22" s="47"/>
      <c r="AA22" s="47"/>
      <c r="AB22" s="47"/>
      <c r="AC22" s="47"/>
      <c r="AD22" s="47"/>
      <c r="AE22" s="47"/>
    </row>
    <row r="23" spans="2:41" s="44" customFormat="1" outlineLevel="1">
      <c r="B23" s="245" t="s">
        <v>85</v>
      </c>
      <c r="C23" s="246"/>
      <c r="D23" s="246"/>
      <c r="E23" s="246"/>
      <c r="F23" s="247"/>
      <c r="G23" s="247"/>
      <c r="H23" s="247">
        <f t="shared" ref="H23:T23" si="9">H17</f>
        <v>0</v>
      </c>
      <c r="I23" s="247">
        <f t="shared" si="9"/>
        <v>0</v>
      </c>
      <c r="J23" s="247">
        <f t="shared" si="9"/>
        <v>-399.63153362364494</v>
      </c>
      <c r="K23" s="247">
        <f t="shared" si="9"/>
        <v>-63.486384840473846</v>
      </c>
      <c r="L23" s="247">
        <f t="shared" si="9"/>
        <v>-91.879530873591747</v>
      </c>
      <c r="M23" s="247">
        <f t="shared" si="9"/>
        <v>93.716120665937055</v>
      </c>
      <c r="N23" s="247">
        <f t="shared" si="9"/>
        <v>81.549597993971162</v>
      </c>
      <c r="O23" s="247">
        <f t="shared" si="9"/>
        <v>111.54149582419539</v>
      </c>
      <c r="P23" s="247">
        <f t="shared" si="9"/>
        <v>149.72035864231668</v>
      </c>
      <c r="Q23" s="247">
        <f t="shared" si="9"/>
        <v>178.14195772756759</v>
      </c>
      <c r="R23" s="247">
        <f t="shared" si="9"/>
        <v>184.05899459180719</v>
      </c>
      <c r="S23" s="247">
        <f t="shared" si="9"/>
        <v>202.52373372340003</v>
      </c>
      <c r="T23" s="247">
        <f t="shared" si="9"/>
        <v>216.94756168003346</v>
      </c>
      <c r="U23" s="247">
        <f t="shared" ref="U23:AO23" si="10">U17</f>
        <v>231.10188644286106</v>
      </c>
      <c r="V23" s="247">
        <f t="shared" si="10"/>
        <v>241.36687426433818</v>
      </c>
      <c r="W23" s="247">
        <f t="shared" si="10"/>
        <v>13.351991338153642</v>
      </c>
      <c r="X23" s="247">
        <f t="shared" si="10"/>
        <v>0</v>
      </c>
      <c r="Y23" s="247">
        <f t="shared" si="10"/>
        <v>0</v>
      </c>
      <c r="Z23" s="247">
        <f t="shared" si="10"/>
        <v>0</v>
      </c>
      <c r="AA23" s="247">
        <f t="shared" si="10"/>
        <v>0</v>
      </c>
      <c r="AB23" s="247">
        <f t="shared" si="10"/>
        <v>0</v>
      </c>
      <c r="AC23" s="247">
        <f t="shared" si="10"/>
        <v>0</v>
      </c>
      <c r="AD23" s="247">
        <f t="shared" si="10"/>
        <v>0</v>
      </c>
      <c r="AE23" s="247">
        <f t="shared" si="10"/>
        <v>0</v>
      </c>
      <c r="AF23" s="247">
        <f t="shared" si="10"/>
        <v>0</v>
      </c>
      <c r="AG23" s="247">
        <f t="shared" si="10"/>
        <v>0</v>
      </c>
      <c r="AH23" s="247">
        <f t="shared" si="10"/>
        <v>0</v>
      </c>
      <c r="AI23" s="247">
        <f t="shared" si="10"/>
        <v>0</v>
      </c>
      <c r="AJ23" s="247">
        <f t="shared" si="10"/>
        <v>0</v>
      </c>
      <c r="AK23" s="247">
        <f t="shared" si="10"/>
        <v>0</v>
      </c>
      <c r="AL23" s="247">
        <f t="shared" si="10"/>
        <v>0</v>
      </c>
      <c r="AM23" s="247">
        <f t="shared" si="10"/>
        <v>0</v>
      </c>
      <c r="AN23" s="247">
        <f t="shared" si="10"/>
        <v>0</v>
      </c>
      <c r="AO23" s="247">
        <f t="shared" si="10"/>
        <v>0</v>
      </c>
    </row>
    <row r="24" spans="2:41" s="44" customFormat="1" outlineLevel="1">
      <c r="B24" s="245" t="s">
        <v>86</v>
      </c>
      <c r="C24" s="246"/>
      <c r="D24" s="246"/>
      <c r="E24" s="246"/>
      <c r="F24" s="247"/>
      <c r="G24" s="247"/>
      <c r="H24" s="247">
        <f t="shared" ref="H24:T24" si="11">-H12</f>
        <v>0</v>
      </c>
      <c r="I24" s="247">
        <f t="shared" si="11"/>
        <v>0</v>
      </c>
      <c r="J24" s="247">
        <f t="shared" si="11"/>
        <v>-117.79144940587399</v>
      </c>
      <c r="K24" s="247">
        <f t="shared" si="11"/>
        <v>-87.735052307094975</v>
      </c>
      <c r="L24" s="247">
        <f t="shared" si="11"/>
        <v>-96.457532674718593</v>
      </c>
      <c r="M24" s="247">
        <f t="shared" si="11"/>
        <v>-103.05095228652415</v>
      </c>
      <c r="N24" s="247">
        <f t="shared" si="11"/>
        <v>-108.70276886512572</v>
      </c>
      <c r="O24" s="247">
        <f t="shared" si="11"/>
        <v>-114.72649096001797</v>
      </c>
      <c r="P24" s="247">
        <f t="shared" si="11"/>
        <v>-120.80200439665414</v>
      </c>
      <c r="Q24" s="247">
        <f t="shared" si="11"/>
        <v>-127.79937843847392</v>
      </c>
      <c r="R24" s="247">
        <f t="shared" si="11"/>
        <v>-133.94320096575149</v>
      </c>
      <c r="S24" s="247">
        <f t="shared" si="11"/>
        <v>-141.04765337125309</v>
      </c>
      <c r="T24" s="247">
        <f t="shared" si="11"/>
        <v>-149.10921637900196</v>
      </c>
      <c r="U24" s="247">
        <f t="shared" ref="U24:AO24" si="12">-U12</f>
        <v>-157.17874658461579</v>
      </c>
      <c r="V24" s="247">
        <f t="shared" si="12"/>
        <v>-165.21300553359924</v>
      </c>
      <c r="W24" s="247">
        <f t="shared" si="12"/>
        <v>-8.1965680317944525</v>
      </c>
      <c r="X24" s="247">
        <f t="shared" si="12"/>
        <v>0</v>
      </c>
      <c r="Y24" s="247">
        <f t="shared" si="12"/>
        <v>0</v>
      </c>
      <c r="Z24" s="247">
        <f t="shared" si="12"/>
        <v>0</v>
      </c>
      <c r="AA24" s="247">
        <f t="shared" si="12"/>
        <v>0</v>
      </c>
      <c r="AB24" s="247">
        <f t="shared" si="12"/>
        <v>0</v>
      </c>
      <c r="AC24" s="247">
        <f t="shared" si="12"/>
        <v>0</v>
      </c>
      <c r="AD24" s="247">
        <f t="shared" si="12"/>
        <v>0</v>
      </c>
      <c r="AE24" s="247">
        <f t="shared" si="12"/>
        <v>0</v>
      </c>
      <c r="AF24" s="247">
        <f t="shared" si="12"/>
        <v>0</v>
      </c>
      <c r="AG24" s="247">
        <f t="shared" si="12"/>
        <v>0</v>
      </c>
      <c r="AH24" s="247">
        <f t="shared" si="12"/>
        <v>0</v>
      </c>
      <c r="AI24" s="247">
        <f t="shared" si="12"/>
        <v>0</v>
      </c>
      <c r="AJ24" s="247">
        <f t="shared" si="12"/>
        <v>0</v>
      </c>
      <c r="AK24" s="247">
        <f t="shared" si="12"/>
        <v>0</v>
      </c>
      <c r="AL24" s="247">
        <f t="shared" si="12"/>
        <v>0</v>
      </c>
      <c r="AM24" s="247">
        <f t="shared" si="12"/>
        <v>0</v>
      </c>
      <c r="AN24" s="247">
        <f t="shared" si="12"/>
        <v>0</v>
      </c>
      <c r="AO24" s="247">
        <f t="shared" si="12"/>
        <v>0</v>
      </c>
    </row>
    <row r="25" spans="2:41" s="44" customFormat="1" outlineLevel="1">
      <c r="B25" s="245" t="s">
        <v>94</v>
      </c>
      <c r="C25" s="246"/>
      <c r="D25" s="246"/>
      <c r="E25" s="246"/>
      <c r="F25" s="247"/>
      <c r="G25" s="247"/>
      <c r="H25" s="247">
        <f t="shared" ref="H25:T25" si="13">H23+H24</f>
        <v>0</v>
      </c>
      <c r="I25" s="247">
        <f t="shared" si="13"/>
        <v>0</v>
      </c>
      <c r="J25" s="247">
        <f t="shared" si="13"/>
        <v>-517.42298302951895</v>
      </c>
      <c r="K25" s="247">
        <f t="shared" si="13"/>
        <v>-151.22143714756882</v>
      </c>
      <c r="L25" s="247">
        <f t="shared" si="13"/>
        <v>-188.33706354831034</v>
      </c>
      <c r="M25" s="247">
        <f t="shared" si="13"/>
        <v>-9.3348316205870958</v>
      </c>
      <c r="N25" s="247">
        <f t="shared" si="13"/>
        <v>-27.153170871154558</v>
      </c>
      <c r="O25" s="247">
        <f t="shared" si="13"/>
        <v>-3.1849951358225752</v>
      </c>
      <c r="P25" s="247">
        <f t="shared" si="13"/>
        <v>28.918354245662542</v>
      </c>
      <c r="Q25" s="247">
        <f t="shared" si="13"/>
        <v>50.342579289093663</v>
      </c>
      <c r="R25" s="247">
        <f t="shared" si="13"/>
        <v>50.115793626055705</v>
      </c>
      <c r="S25" s="247">
        <f t="shared" si="13"/>
        <v>61.476080352146937</v>
      </c>
      <c r="T25" s="247">
        <f t="shared" si="13"/>
        <v>67.838345301031495</v>
      </c>
      <c r="U25" s="247">
        <f t="shared" ref="U25:AO25" si="14">U23+U24</f>
        <v>73.923139858245264</v>
      </c>
      <c r="V25" s="247">
        <f t="shared" si="14"/>
        <v>76.153868730738935</v>
      </c>
      <c r="W25" s="247">
        <f t="shared" si="14"/>
        <v>5.1554233063591894</v>
      </c>
      <c r="X25" s="247">
        <f t="shared" si="14"/>
        <v>0</v>
      </c>
      <c r="Y25" s="247">
        <f t="shared" si="14"/>
        <v>0</v>
      </c>
      <c r="Z25" s="247">
        <f t="shared" si="14"/>
        <v>0</v>
      </c>
      <c r="AA25" s="247">
        <f t="shared" si="14"/>
        <v>0</v>
      </c>
      <c r="AB25" s="247">
        <f t="shared" si="14"/>
        <v>0</v>
      </c>
      <c r="AC25" s="247">
        <f t="shared" si="14"/>
        <v>0</v>
      </c>
      <c r="AD25" s="247">
        <f t="shared" si="14"/>
        <v>0</v>
      </c>
      <c r="AE25" s="247">
        <f t="shared" si="14"/>
        <v>0</v>
      </c>
      <c r="AF25" s="247">
        <f t="shared" si="14"/>
        <v>0</v>
      </c>
      <c r="AG25" s="247">
        <f t="shared" si="14"/>
        <v>0</v>
      </c>
      <c r="AH25" s="247">
        <f t="shared" si="14"/>
        <v>0</v>
      </c>
      <c r="AI25" s="247">
        <f t="shared" si="14"/>
        <v>0</v>
      </c>
      <c r="AJ25" s="247">
        <f t="shared" si="14"/>
        <v>0</v>
      </c>
      <c r="AK25" s="247">
        <f t="shared" si="14"/>
        <v>0</v>
      </c>
      <c r="AL25" s="247">
        <f t="shared" si="14"/>
        <v>0</v>
      </c>
      <c r="AM25" s="247">
        <f t="shared" si="14"/>
        <v>0</v>
      </c>
      <c r="AN25" s="247">
        <f t="shared" si="14"/>
        <v>0</v>
      </c>
      <c r="AO25" s="247">
        <f t="shared" si="14"/>
        <v>0</v>
      </c>
    </row>
    <row r="26" spans="2:41" s="44" customFormat="1" outlineLevel="1">
      <c r="B26" s="245" t="s">
        <v>95</v>
      </c>
      <c r="C26" s="246"/>
      <c r="D26" s="246"/>
      <c r="E26" s="246"/>
      <c r="F26" s="247"/>
      <c r="G26" s="247"/>
      <c r="H26" s="247">
        <f t="shared" ref="H26:T26" si="15">G26-IF(H25&lt;0,MAX(H24,H25),0)</f>
        <v>0</v>
      </c>
      <c r="I26" s="247">
        <f t="shared" si="15"/>
        <v>0</v>
      </c>
      <c r="J26" s="247">
        <f t="shared" si="15"/>
        <v>117.79144940587399</v>
      </c>
      <c r="K26" s="247">
        <f t="shared" si="15"/>
        <v>205.52650171296898</v>
      </c>
      <c r="L26" s="247">
        <f t="shared" si="15"/>
        <v>301.98403438768759</v>
      </c>
      <c r="M26" s="247">
        <f t="shared" si="15"/>
        <v>311.31886600827465</v>
      </c>
      <c r="N26" s="247">
        <f t="shared" si="15"/>
        <v>338.4720368794292</v>
      </c>
      <c r="O26" s="247">
        <f t="shared" si="15"/>
        <v>341.65703201525179</v>
      </c>
      <c r="P26" s="247">
        <f t="shared" si="15"/>
        <v>341.65703201525179</v>
      </c>
      <c r="Q26" s="247">
        <f t="shared" si="15"/>
        <v>341.65703201525179</v>
      </c>
      <c r="R26" s="247">
        <f t="shared" si="15"/>
        <v>341.65703201525179</v>
      </c>
      <c r="S26" s="247">
        <f t="shared" si="15"/>
        <v>341.65703201525179</v>
      </c>
      <c r="T26" s="247">
        <f t="shared" si="15"/>
        <v>341.65703201525179</v>
      </c>
      <c r="U26" s="247">
        <f t="shared" ref="U26:AO26" si="16">T26-IF(U25&lt;0,MAX(U24,U25),0)</f>
        <v>341.65703201525179</v>
      </c>
      <c r="V26" s="247">
        <f t="shared" si="16"/>
        <v>341.65703201525179</v>
      </c>
      <c r="W26" s="247">
        <f t="shared" si="16"/>
        <v>341.65703201525179</v>
      </c>
      <c r="X26" s="247">
        <f t="shared" si="16"/>
        <v>341.65703201525179</v>
      </c>
      <c r="Y26" s="247">
        <f t="shared" si="16"/>
        <v>341.65703201525179</v>
      </c>
      <c r="Z26" s="247">
        <f t="shared" si="16"/>
        <v>341.65703201525179</v>
      </c>
      <c r="AA26" s="247">
        <f t="shared" si="16"/>
        <v>341.65703201525179</v>
      </c>
      <c r="AB26" s="247">
        <f t="shared" si="16"/>
        <v>341.65703201525179</v>
      </c>
      <c r="AC26" s="247">
        <f t="shared" si="16"/>
        <v>341.65703201525179</v>
      </c>
      <c r="AD26" s="247">
        <f t="shared" si="16"/>
        <v>341.65703201525179</v>
      </c>
      <c r="AE26" s="247">
        <f t="shared" si="16"/>
        <v>341.65703201525179</v>
      </c>
      <c r="AF26" s="247">
        <f t="shared" si="16"/>
        <v>341.65703201525179</v>
      </c>
      <c r="AG26" s="247">
        <f t="shared" si="16"/>
        <v>341.65703201525179</v>
      </c>
      <c r="AH26" s="247">
        <f t="shared" si="16"/>
        <v>341.65703201525179</v>
      </c>
      <c r="AI26" s="247">
        <f t="shared" si="16"/>
        <v>341.65703201525179</v>
      </c>
      <c r="AJ26" s="247">
        <f t="shared" si="16"/>
        <v>341.65703201525179</v>
      </c>
      <c r="AK26" s="247">
        <f t="shared" si="16"/>
        <v>341.65703201525179</v>
      </c>
      <c r="AL26" s="247">
        <f t="shared" si="16"/>
        <v>341.65703201525179</v>
      </c>
      <c r="AM26" s="247">
        <f t="shared" si="16"/>
        <v>341.65703201525179</v>
      </c>
      <c r="AN26" s="247">
        <f t="shared" si="16"/>
        <v>341.65703201525179</v>
      </c>
      <c r="AO26" s="247">
        <f t="shared" si="16"/>
        <v>341.65703201525179</v>
      </c>
    </row>
    <row r="27" spans="2:41" s="44" customFormat="1" outlineLevel="1">
      <c r="C27" s="45"/>
      <c r="D27" s="45"/>
      <c r="E27" s="45"/>
      <c r="F27" s="46"/>
      <c r="G27" s="46"/>
      <c r="H27" s="46"/>
      <c r="I27" s="46"/>
      <c r="J27" s="46"/>
      <c r="K27" s="46"/>
      <c r="L27" s="46"/>
      <c r="M27" s="46"/>
      <c r="N27" s="46"/>
      <c r="O27" s="46"/>
      <c r="P27" s="46"/>
      <c r="Q27" s="46"/>
      <c r="R27" s="46"/>
      <c r="S27" s="46"/>
      <c r="T27" s="46"/>
      <c r="U27" s="46"/>
      <c r="V27" s="47"/>
      <c r="W27" s="47"/>
      <c r="X27" s="47"/>
      <c r="Y27" s="47"/>
      <c r="Z27" s="47"/>
      <c r="AA27" s="47"/>
      <c r="AB27" s="47"/>
      <c r="AC27" s="47"/>
      <c r="AD27" s="47"/>
      <c r="AE27" s="47"/>
    </row>
    <row r="28" spans="2:41" s="44" customFormat="1" ht="15" outlineLevel="1">
      <c r="B28" s="66" t="s">
        <v>96</v>
      </c>
      <c r="C28" s="45"/>
      <c r="D28" s="45"/>
      <c r="E28" s="45"/>
      <c r="F28" s="46"/>
      <c r="G28" s="46"/>
      <c r="H28" s="46"/>
      <c r="I28" s="46"/>
      <c r="J28" s="46"/>
      <c r="K28" s="46"/>
      <c r="L28" s="46"/>
      <c r="M28" s="46"/>
      <c r="N28" s="46"/>
      <c r="O28" s="46"/>
      <c r="P28" s="46"/>
      <c r="Q28" s="46"/>
      <c r="R28" s="46"/>
      <c r="S28" s="46"/>
      <c r="T28" s="46"/>
      <c r="U28" s="46"/>
      <c r="V28" s="47"/>
      <c r="W28" s="47"/>
      <c r="X28" s="47"/>
      <c r="Y28" s="47"/>
      <c r="Z28" s="47"/>
      <c r="AA28" s="47"/>
      <c r="AB28" s="47"/>
      <c r="AC28" s="47"/>
      <c r="AD28" s="47"/>
      <c r="AE28" s="47"/>
    </row>
    <row r="29" spans="2:41" s="44" customFormat="1" outlineLevel="1">
      <c r="B29" s="245" t="s">
        <v>97</v>
      </c>
      <c r="C29" s="246"/>
      <c r="D29" s="246"/>
      <c r="E29" s="246"/>
      <c r="F29" s="247"/>
      <c r="G29" s="247"/>
      <c r="H29" s="247">
        <f>IF(H25&gt;0,MAX(MIN(ABS(H26),ABS(H20))-SUM($G$30:G30),0),0)</f>
        <v>0</v>
      </c>
      <c r="I29" s="247">
        <f>IF(I25&gt;0,MAX(MIN(ABS(I26),ABS(I20))-SUM($G$30:H30),0),0)</f>
        <v>0</v>
      </c>
      <c r="J29" s="247">
        <f>IF(J25&gt;0,MAX(MIN(ABS(J26),ABS(J20))-SUM($G$30:I30),0),0)</f>
        <v>0</v>
      </c>
      <c r="K29" s="247">
        <f>IF(K25&gt;0,MAX(MIN(ABS(K26),ABS(K20))-SUM($G$30:J30),0),0)</f>
        <v>0</v>
      </c>
      <c r="L29" s="247">
        <f>IF(L25&gt;0,MAX(MIN(ABS(L26),ABS(L20))-SUM($G$30:K30),0),0)</f>
        <v>0</v>
      </c>
      <c r="M29" s="247">
        <f>IF(M25&gt;0,MAX(MIN(ABS(M26),ABS(M20))-SUM($G$30:L30),0),0)</f>
        <v>0</v>
      </c>
      <c r="N29" s="247">
        <f>IF(N25&gt;0,MAX(MIN(ABS(N26),ABS(N20))-SUM($G$30:M30),0),0)</f>
        <v>0</v>
      </c>
      <c r="O29" s="247">
        <f>IF(O25&gt;0,MAX(MIN(ABS(O26),ABS(O20))-SUM($G$30:N30),0),0)</f>
        <v>0</v>
      </c>
      <c r="P29" s="247">
        <f>IF(P25&gt;0,MAX(MIN(ABS(P26),ABS(P20))-SUM($G$30:O30),0),0)</f>
        <v>341.65703201525179</v>
      </c>
      <c r="Q29" s="247">
        <f>IF(Q25&gt;0,MAX(MIN(ABS(Q26),ABS(Q20))-SUM($G$30:P30),0),0)</f>
        <v>312.73867776958923</v>
      </c>
      <c r="R29" s="247">
        <f>IF(R25&gt;0,MAX(MIN(ABS(R26),ABS(R20))-SUM($G$30:Q30),0),0)</f>
        <v>262.3960984804956</v>
      </c>
      <c r="S29" s="247">
        <f>IF(S25&gt;0,MAX(MIN(ABS(S26),ABS(S20))-SUM($G$30:R30),0),0)</f>
        <v>212.28030485443986</v>
      </c>
      <c r="T29" s="247">
        <f>IF(T25&gt;0,MAX(MIN(ABS(T26),ABS(T20))-SUM($G$30:S30),0),0)</f>
        <v>150.80422450229293</v>
      </c>
      <c r="U29" s="247">
        <f>IF(U25&gt;0,MAX(MIN(ABS(U26),ABS(U20))-SUM($G$30:T30),0),0)</f>
        <v>82.96587920126143</v>
      </c>
      <c r="V29" s="247">
        <f>IF(V25&gt;0,MAX(MIN(ABS(V26),ABS(V20))-SUM($G$30:U30),0),0)</f>
        <v>9.0427393430161942</v>
      </c>
      <c r="W29" s="247">
        <f>IF(W25&gt;0,MAX(MIN(ABS(W26),ABS(W20))-SUM($G$30:V30),0),0)</f>
        <v>0</v>
      </c>
      <c r="X29" s="247">
        <f>IF(X25&gt;0,MAX(MIN(ABS(X26),ABS(X20))-SUM($G$30:W30),0),0)</f>
        <v>0</v>
      </c>
      <c r="Y29" s="247">
        <f>IF(Y25&gt;0,MAX(MIN(ABS(Y26),ABS(Y20))-SUM($G$30:X30),0),0)</f>
        <v>0</v>
      </c>
      <c r="Z29" s="247">
        <f>IF(Z25&gt;0,MAX(MIN(ABS(Z26),ABS(Z20))-SUM($G$30:Y30),0),0)</f>
        <v>0</v>
      </c>
      <c r="AA29" s="247">
        <f>IF(AA25&gt;0,MAX(MIN(ABS(AA26),ABS(AA20))-SUM($G$30:Z30),0),0)</f>
        <v>0</v>
      </c>
      <c r="AB29" s="247">
        <f>IF(AB25&gt;0,MAX(MIN(ABS(AB26),ABS(AB20))-SUM($G$30:AA30),0),0)</f>
        <v>0</v>
      </c>
      <c r="AC29" s="247">
        <f>IF(AC25&gt;0,MAX(MIN(ABS(AC26),ABS(AC20))-SUM($G$30:AB30),0),0)</f>
        <v>0</v>
      </c>
      <c r="AD29" s="247">
        <f>IF(AD25&gt;0,MAX(MIN(ABS(AD26),ABS(AD20))-SUM($G$30:AC30),0),0)</f>
        <v>0</v>
      </c>
      <c r="AE29" s="247">
        <f>IF(AE25&gt;0,MAX(MIN(ABS(AE26),ABS(AE20))-SUM($G$30:AD30),0),0)</f>
        <v>0</v>
      </c>
      <c r="AF29" s="247">
        <f>IF(AF25&gt;0,MAX(MIN(ABS(AF26),ABS(AF20))-SUM($G$30:AE30),0),0)</f>
        <v>0</v>
      </c>
      <c r="AG29" s="247">
        <f>IF(AG25&gt;0,MAX(MIN(ABS(AG26),ABS(AG20))-SUM($G$30:AF30),0),0)</f>
        <v>0</v>
      </c>
      <c r="AH29" s="247">
        <f>IF(AH25&gt;0,MAX(MIN(ABS(AH26),ABS(AH20))-SUM($G$30:AG30),0),0)</f>
        <v>0</v>
      </c>
      <c r="AI29" s="247">
        <f>IF(AI25&gt;0,MAX(MIN(ABS(AI26),ABS(AI20))-SUM($G$30:AH30),0),0)</f>
        <v>0</v>
      </c>
      <c r="AJ29" s="247">
        <f>IF(AJ25&gt;0,MAX(MIN(ABS(AJ26),ABS(AJ20))-SUM($G$30:AI30),0),0)</f>
        <v>0</v>
      </c>
      <c r="AK29" s="247">
        <f>IF(AK25&gt;0,MAX(MIN(ABS(AK26),ABS(AK20))-SUM($G$30:AJ30),0),0)</f>
        <v>0</v>
      </c>
      <c r="AL29" s="247">
        <f>IF(AL25&gt;0,MAX(MIN(ABS(AL26),ABS(AL20))-SUM($G$30:AK30),0),0)</f>
        <v>0</v>
      </c>
      <c r="AM29" s="247">
        <f>IF(AM25&gt;0,MAX(MIN(ABS(AM26),ABS(AM20))-SUM($G$30:AL30),0),0)</f>
        <v>0</v>
      </c>
      <c r="AN29" s="247">
        <f>IF(AN25&gt;0,MAX(MIN(ABS(AN26),ABS(AN20))-SUM($G$30:AM30),0),0)</f>
        <v>0</v>
      </c>
      <c r="AO29" s="247">
        <f>IF(AO25&gt;0,MAX(MIN(ABS(AO26),ABS(AO20))-SUM($G$30:AN30),0),0)</f>
        <v>0</v>
      </c>
    </row>
    <row r="30" spans="2:41" s="44" customFormat="1" outlineLevel="1">
      <c r="B30" s="245" t="s">
        <v>98</v>
      </c>
      <c r="C30" s="246"/>
      <c r="D30" s="246"/>
      <c r="E30" s="246"/>
      <c r="F30" s="247"/>
      <c r="G30" s="247"/>
      <c r="H30" s="247">
        <f t="shared" ref="H30:T30" si="17">IF(H25&gt;0,MIN(H29,H25),0)</f>
        <v>0</v>
      </c>
      <c r="I30" s="247">
        <f t="shared" si="17"/>
        <v>0</v>
      </c>
      <c r="J30" s="247">
        <f t="shared" si="17"/>
        <v>0</v>
      </c>
      <c r="K30" s="247">
        <f t="shared" si="17"/>
        <v>0</v>
      </c>
      <c r="L30" s="247">
        <f t="shared" si="17"/>
        <v>0</v>
      </c>
      <c r="M30" s="247">
        <f t="shared" si="17"/>
        <v>0</v>
      </c>
      <c r="N30" s="247">
        <f t="shared" si="17"/>
        <v>0</v>
      </c>
      <c r="O30" s="247">
        <f t="shared" si="17"/>
        <v>0</v>
      </c>
      <c r="P30" s="247">
        <f t="shared" si="17"/>
        <v>28.918354245662542</v>
      </c>
      <c r="Q30" s="247">
        <f t="shared" si="17"/>
        <v>50.342579289093663</v>
      </c>
      <c r="R30" s="247">
        <f t="shared" si="17"/>
        <v>50.115793626055705</v>
      </c>
      <c r="S30" s="247">
        <f t="shared" si="17"/>
        <v>61.476080352146937</v>
      </c>
      <c r="T30" s="247">
        <f t="shared" si="17"/>
        <v>67.838345301031495</v>
      </c>
      <c r="U30" s="247">
        <f t="shared" ref="U30:AO30" si="18">IF(U25&gt;0,MIN(U29,U25),0)</f>
        <v>73.923139858245264</v>
      </c>
      <c r="V30" s="247">
        <f t="shared" si="18"/>
        <v>9.0427393430161942</v>
      </c>
      <c r="W30" s="247">
        <f t="shared" si="18"/>
        <v>0</v>
      </c>
      <c r="X30" s="247">
        <f t="shared" si="18"/>
        <v>0</v>
      </c>
      <c r="Y30" s="247">
        <f t="shared" si="18"/>
        <v>0</v>
      </c>
      <c r="Z30" s="247">
        <f t="shared" si="18"/>
        <v>0</v>
      </c>
      <c r="AA30" s="247">
        <f t="shared" si="18"/>
        <v>0</v>
      </c>
      <c r="AB30" s="247">
        <f t="shared" si="18"/>
        <v>0</v>
      </c>
      <c r="AC30" s="247">
        <f t="shared" si="18"/>
        <v>0</v>
      </c>
      <c r="AD30" s="247">
        <f t="shared" si="18"/>
        <v>0</v>
      </c>
      <c r="AE30" s="247">
        <f t="shared" si="18"/>
        <v>0</v>
      </c>
      <c r="AF30" s="247">
        <f t="shared" si="18"/>
        <v>0</v>
      </c>
      <c r="AG30" s="247">
        <f t="shared" si="18"/>
        <v>0</v>
      </c>
      <c r="AH30" s="247">
        <f t="shared" si="18"/>
        <v>0</v>
      </c>
      <c r="AI30" s="247">
        <f t="shared" si="18"/>
        <v>0</v>
      </c>
      <c r="AJ30" s="247">
        <f t="shared" si="18"/>
        <v>0</v>
      </c>
      <c r="AK30" s="247">
        <f t="shared" si="18"/>
        <v>0</v>
      </c>
      <c r="AL30" s="247">
        <f t="shared" si="18"/>
        <v>0</v>
      </c>
      <c r="AM30" s="247">
        <f t="shared" si="18"/>
        <v>0</v>
      </c>
      <c r="AN30" s="247">
        <f t="shared" si="18"/>
        <v>0</v>
      </c>
      <c r="AO30" s="247">
        <f t="shared" si="18"/>
        <v>0</v>
      </c>
    </row>
    <row r="31" spans="2:41" s="44" customFormat="1" outlineLevel="1">
      <c r="C31" s="45"/>
      <c r="D31" s="45"/>
      <c r="E31" s="45"/>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row>
    <row r="32" spans="2:41" s="44" customFormat="1" outlineLevel="1">
      <c r="B32" s="245" t="s">
        <v>99</v>
      </c>
      <c r="C32" s="246"/>
      <c r="D32" s="246"/>
      <c r="E32" s="246"/>
      <c r="F32" s="247"/>
      <c r="G32" s="247"/>
      <c r="H32" s="247">
        <f t="shared" ref="H32:T32" si="19">H25-H30</f>
        <v>0</v>
      </c>
      <c r="I32" s="247">
        <f t="shared" si="19"/>
        <v>0</v>
      </c>
      <c r="J32" s="247">
        <f t="shared" si="19"/>
        <v>-517.42298302951895</v>
      </c>
      <c r="K32" s="247">
        <f t="shared" si="19"/>
        <v>-151.22143714756882</v>
      </c>
      <c r="L32" s="247">
        <f t="shared" si="19"/>
        <v>-188.33706354831034</v>
      </c>
      <c r="M32" s="247">
        <f t="shared" si="19"/>
        <v>-9.3348316205870958</v>
      </c>
      <c r="N32" s="247">
        <f t="shared" si="19"/>
        <v>-27.153170871154558</v>
      </c>
      <c r="O32" s="247">
        <f t="shared" si="19"/>
        <v>-3.1849951358225752</v>
      </c>
      <c r="P32" s="247">
        <f t="shared" si="19"/>
        <v>0</v>
      </c>
      <c r="Q32" s="247">
        <f t="shared" si="19"/>
        <v>0</v>
      </c>
      <c r="R32" s="247">
        <f t="shared" si="19"/>
        <v>0</v>
      </c>
      <c r="S32" s="247">
        <f t="shared" si="19"/>
        <v>0</v>
      </c>
      <c r="T32" s="247">
        <f t="shared" si="19"/>
        <v>0</v>
      </c>
      <c r="U32" s="247">
        <f t="shared" ref="U32:AO32" si="20">U25-U30</f>
        <v>0</v>
      </c>
      <c r="V32" s="247">
        <f t="shared" si="20"/>
        <v>67.111129387722741</v>
      </c>
      <c r="W32" s="247">
        <f t="shared" si="20"/>
        <v>5.1554233063591894</v>
      </c>
      <c r="X32" s="247">
        <f t="shared" si="20"/>
        <v>0</v>
      </c>
      <c r="Y32" s="247">
        <f t="shared" si="20"/>
        <v>0</v>
      </c>
      <c r="Z32" s="247">
        <f t="shared" si="20"/>
        <v>0</v>
      </c>
      <c r="AA32" s="247">
        <f t="shared" si="20"/>
        <v>0</v>
      </c>
      <c r="AB32" s="247">
        <f t="shared" si="20"/>
        <v>0</v>
      </c>
      <c r="AC32" s="247">
        <f t="shared" si="20"/>
        <v>0</v>
      </c>
      <c r="AD32" s="247">
        <f t="shared" si="20"/>
        <v>0</v>
      </c>
      <c r="AE32" s="247">
        <f t="shared" si="20"/>
        <v>0</v>
      </c>
      <c r="AF32" s="247">
        <f t="shared" si="20"/>
        <v>0</v>
      </c>
      <c r="AG32" s="247">
        <f t="shared" si="20"/>
        <v>0</v>
      </c>
      <c r="AH32" s="247">
        <f t="shared" si="20"/>
        <v>0</v>
      </c>
      <c r="AI32" s="247">
        <f t="shared" si="20"/>
        <v>0</v>
      </c>
      <c r="AJ32" s="247">
        <f t="shared" si="20"/>
        <v>0</v>
      </c>
      <c r="AK32" s="247">
        <f t="shared" si="20"/>
        <v>0</v>
      </c>
      <c r="AL32" s="247">
        <f t="shared" si="20"/>
        <v>0</v>
      </c>
      <c r="AM32" s="247">
        <f t="shared" si="20"/>
        <v>0</v>
      </c>
      <c r="AN32" s="247">
        <f t="shared" si="20"/>
        <v>0</v>
      </c>
      <c r="AO32" s="247">
        <f t="shared" si="20"/>
        <v>0</v>
      </c>
    </row>
    <row r="33" spans="2:41" s="66" customFormat="1" ht="15" outlineLevel="1">
      <c r="B33" s="248" t="s">
        <v>100</v>
      </c>
      <c r="C33" s="249"/>
      <c r="D33" s="249"/>
      <c r="E33" s="249"/>
      <c r="F33" s="250"/>
      <c r="G33" s="251">
        <f>IF(G32&gt;0,G32*Input!$C$120,0)</f>
        <v>0</v>
      </c>
      <c r="H33" s="251">
        <f>IF(H32&gt;0,H32*Input!$C$147,0)</f>
        <v>0</v>
      </c>
      <c r="I33" s="251">
        <f>IF(I32&gt;0,I32*Input!$C$147,0)</f>
        <v>0</v>
      </c>
      <c r="J33" s="251">
        <f>IF(J32&gt;0,J32*Input!$C$147,0)</f>
        <v>0</v>
      </c>
      <c r="K33" s="251">
        <f>IF(K32&gt;0,K32*Input!$C$147,0)</f>
        <v>0</v>
      </c>
      <c r="L33" s="251">
        <f>IF(L32&gt;0,L32*Input!$C$147,0)</f>
        <v>0</v>
      </c>
      <c r="M33" s="251">
        <f>IF(M32&gt;0,M32*Input!$C$147,0)</f>
        <v>0</v>
      </c>
      <c r="N33" s="251">
        <f>IF(N32&gt;0,N32*Input!$C$147,0)</f>
        <v>0</v>
      </c>
      <c r="O33" s="251">
        <f>IF(O32&gt;0,O32*Input!$C$147,0)</f>
        <v>0</v>
      </c>
      <c r="P33" s="251">
        <f>IF(P32&gt;0,P32*Input!$C$147,0)</f>
        <v>0</v>
      </c>
      <c r="Q33" s="251">
        <f>IF(Q32&gt;0,Q32*Input!$C$147,0)</f>
        <v>0</v>
      </c>
      <c r="R33" s="251">
        <f>IF(R32&gt;0,R32*Input!$C$147,0)</f>
        <v>0</v>
      </c>
      <c r="S33" s="251">
        <f>IF(S32&gt;0,S32*Input!$C$147,0)</f>
        <v>0</v>
      </c>
      <c r="T33" s="251">
        <f>IF(T32&gt;0,T32*Input!$C$147,0)</f>
        <v>0</v>
      </c>
      <c r="U33" s="251">
        <f>IF(U32&gt;0,U32*Input!$C$147,0)</f>
        <v>0</v>
      </c>
      <c r="V33" s="251">
        <f>IF(V32&gt;0,V32*Input!$C$147,0)</f>
        <v>14.461643049501602</v>
      </c>
      <c r="W33" s="251">
        <f>IF(W32&gt;0,W32*Input!$C$147,0)</f>
        <v>1.1109318574407292</v>
      </c>
      <c r="X33" s="251">
        <f>IF(X32&gt;0,X32*Input!$C$147,0)</f>
        <v>0</v>
      </c>
      <c r="Y33" s="251">
        <f>IF(Y32&gt;0,Y32*Input!$C$147,0)</f>
        <v>0</v>
      </c>
      <c r="Z33" s="251">
        <f>IF(Z32&gt;0,Z32*Input!$C$147,0)</f>
        <v>0</v>
      </c>
      <c r="AA33" s="251">
        <f>IF(AA32&gt;0,AA32*Input!$C$147,0)</f>
        <v>0</v>
      </c>
      <c r="AB33" s="251">
        <f>IF(AB32&gt;0,AB32*Input!$C$147,0)</f>
        <v>0</v>
      </c>
      <c r="AC33" s="251">
        <f>IF(AC32&gt;0,AC32*Input!$C$147,0)</f>
        <v>0</v>
      </c>
      <c r="AD33" s="251">
        <f>IF(AD32&gt;0,AD32*Input!$C$147,0)</f>
        <v>0</v>
      </c>
      <c r="AE33" s="251">
        <f>IF(AE32&gt;0,AE32*Input!$C$147,0)</f>
        <v>0</v>
      </c>
      <c r="AF33" s="251">
        <f>IF(AF32&gt;0,AF32*Input!$C$147,0)</f>
        <v>0</v>
      </c>
      <c r="AG33" s="251">
        <f>IF(AG32&gt;0,AG32*Input!$C$147,0)</f>
        <v>0</v>
      </c>
      <c r="AH33" s="251">
        <f>IF(AH32&gt;0,AH32*Input!$C$147,0)</f>
        <v>0</v>
      </c>
      <c r="AI33" s="251">
        <f>IF(AI32&gt;0,AI32*Input!$C$147,0)</f>
        <v>0</v>
      </c>
      <c r="AJ33" s="251">
        <f>IF(AJ32&gt;0,AJ32*Input!$C$147,0)</f>
        <v>0</v>
      </c>
      <c r="AK33" s="251">
        <f>IF(AK32&gt;0,AK32*Input!$C$147,0)</f>
        <v>0</v>
      </c>
      <c r="AL33" s="251">
        <f>IF(AL32&gt;0,AL32*Input!$C$147,0)</f>
        <v>0</v>
      </c>
      <c r="AM33" s="251">
        <f>IF(AM32&gt;0,AM32*Input!$C$147,0)</f>
        <v>0</v>
      </c>
      <c r="AN33" s="251">
        <f>IF(AN32&gt;0,AN32*Input!$C$147,0)</f>
        <v>0</v>
      </c>
      <c r="AO33" s="251">
        <f>IF(AO32&gt;0,AO32*Input!$C$147,0)</f>
        <v>0</v>
      </c>
    </row>
    <row r="34" spans="2:41" s="66" customFormat="1" ht="15" outlineLevel="1">
      <c r="C34" s="48"/>
      <c r="D34" s="48"/>
      <c r="E34" s="48"/>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row>
    <row r="35" spans="2:41" s="44" customFormat="1" outlineLevel="1">
      <c r="C35" s="45"/>
      <c r="D35" s="45"/>
      <c r="E35" s="45"/>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row>
    <row r="36" spans="2:41" s="44" customFormat="1" ht="15" outlineLevel="1">
      <c r="B36" s="67" t="s">
        <v>101</v>
      </c>
      <c r="C36" s="50"/>
      <c r="D36" s="50"/>
      <c r="E36" s="50"/>
    </row>
    <row r="37" spans="2:41" s="44" customFormat="1" ht="15" outlineLevel="1">
      <c r="B37" s="66" t="s">
        <v>89</v>
      </c>
      <c r="C37" s="50"/>
      <c r="D37" s="50"/>
      <c r="E37" s="50"/>
    </row>
    <row r="38" spans="2:41" s="44" customFormat="1" outlineLevel="1">
      <c r="B38" s="245" t="s">
        <v>92</v>
      </c>
      <c r="C38" s="252"/>
      <c r="D38" s="252"/>
      <c r="E38" s="252"/>
      <c r="F38" s="253"/>
      <c r="G38" s="253"/>
      <c r="H38" s="253">
        <f t="shared" ref="H38:T38" si="21">H20</f>
        <v>0</v>
      </c>
      <c r="I38" s="253">
        <f t="shared" si="21"/>
        <v>0</v>
      </c>
      <c r="J38" s="253">
        <f t="shared" si="21"/>
        <v>-399.63153362364494</v>
      </c>
      <c r="K38" s="253">
        <f t="shared" si="21"/>
        <v>-463.11791846411882</v>
      </c>
      <c r="L38" s="253">
        <f t="shared" si="21"/>
        <v>-554.99744933771058</v>
      </c>
      <c r="M38" s="253">
        <f t="shared" si="21"/>
        <v>-554.99744933771058</v>
      </c>
      <c r="N38" s="253">
        <f t="shared" si="21"/>
        <v>-554.99744933771058</v>
      </c>
      <c r="O38" s="253">
        <f t="shared" si="21"/>
        <v>-554.99744933771058</v>
      </c>
      <c r="P38" s="253">
        <f t="shared" si="21"/>
        <v>-554.99744933771058</v>
      </c>
      <c r="Q38" s="253">
        <f t="shared" si="21"/>
        <v>-554.99744933771058</v>
      </c>
      <c r="R38" s="253">
        <f t="shared" si="21"/>
        <v>-554.99744933771058</v>
      </c>
      <c r="S38" s="253">
        <f t="shared" si="21"/>
        <v>-554.99744933771058</v>
      </c>
      <c r="T38" s="253">
        <f t="shared" si="21"/>
        <v>-554.99744933771058</v>
      </c>
      <c r="U38" s="253">
        <f t="shared" ref="U38:AO38" si="22">U20</f>
        <v>-554.99744933771058</v>
      </c>
      <c r="V38" s="253">
        <f t="shared" si="22"/>
        <v>-554.99744933771058</v>
      </c>
      <c r="W38" s="253">
        <f t="shared" si="22"/>
        <v>-554.99744933771058</v>
      </c>
      <c r="X38" s="253">
        <f t="shared" si="22"/>
        <v>-554.99744933771058</v>
      </c>
      <c r="Y38" s="253">
        <f t="shared" si="22"/>
        <v>-554.99744933771058</v>
      </c>
      <c r="Z38" s="253">
        <f t="shared" si="22"/>
        <v>-554.99744933771058</v>
      </c>
      <c r="AA38" s="253">
        <f t="shared" si="22"/>
        <v>-554.99744933771058</v>
      </c>
      <c r="AB38" s="253">
        <f t="shared" si="22"/>
        <v>-554.99744933771058</v>
      </c>
      <c r="AC38" s="253">
        <f t="shared" si="22"/>
        <v>-554.99744933771058</v>
      </c>
      <c r="AD38" s="253">
        <f t="shared" si="22"/>
        <v>-554.99744933771058</v>
      </c>
      <c r="AE38" s="253">
        <f t="shared" si="22"/>
        <v>-554.99744933771058</v>
      </c>
      <c r="AF38" s="253">
        <f t="shared" si="22"/>
        <v>-554.99744933771058</v>
      </c>
      <c r="AG38" s="253">
        <f t="shared" si="22"/>
        <v>-554.99744933771058</v>
      </c>
      <c r="AH38" s="253">
        <f t="shared" si="22"/>
        <v>-554.99744933771058</v>
      </c>
      <c r="AI38" s="253">
        <f t="shared" si="22"/>
        <v>-554.99744933771058</v>
      </c>
      <c r="AJ38" s="253">
        <f t="shared" si="22"/>
        <v>-554.99744933771058</v>
      </c>
      <c r="AK38" s="253">
        <f t="shared" si="22"/>
        <v>-554.99744933771058</v>
      </c>
      <c r="AL38" s="253">
        <f t="shared" si="22"/>
        <v>-554.99744933771058</v>
      </c>
      <c r="AM38" s="253">
        <f t="shared" si="22"/>
        <v>-554.99744933771058</v>
      </c>
      <c r="AN38" s="253">
        <f t="shared" si="22"/>
        <v>-554.99744933771058</v>
      </c>
      <c r="AO38" s="253">
        <f t="shared" si="22"/>
        <v>-554.99744933771058</v>
      </c>
    </row>
    <row r="39" spans="2:41" s="44" customFormat="1" ht="15" outlineLevel="1">
      <c r="B39" s="66"/>
      <c r="C39" s="50"/>
      <c r="D39" s="50"/>
      <c r="E39" s="50"/>
    </row>
    <row r="40" spans="2:41" s="44" customFormat="1" ht="15" outlineLevel="1">
      <c r="B40" s="66" t="s">
        <v>93</v>
      </c>
      <c r="C40" s="50"/>
      <c r="D40" s="50"/>
      <c r="E40" s="50"/>
    </row>
    <row r="41" spans="2:41" s="44" customFormat="1" outlineLevel="1">
      <c r="B41" s="245" t="s">
        <v>85</v>
      </c>
      <c r="C41" s="252"/>
      <c r="D41" s="252"/>
      <c r="E41" s="252"/>
      <c r="F41" s="253"/>
      <c r="G41" s="253"/>
      <c r="H41" s="253">
        <f t="shared" ref="H41:T41" si="23">H11</f>
        <v>0</v>
      </c>
      <c r="I41" s="253">
        <f t="shared" si="23"/>
        <v>0</v>
      </c>
      <c r="J41" s="253">
        <f t="shared" si="23"/>
        <v>-399.63153362364494</v>
      </c>
      <c r="K41" s="253">
        <f t="shared" si="23"/>
        <v>-63.486384840473846</v>
      </c>
      <c r="L41" s="253">
        <f t="shared" si="23"/>
        <v>-91.879530873591747</v>
      </c>
      <c r="M41" s="253">
        <f t="shared" si="23"/>
        <v>93.716120665937055</v>
      </c>
      <c r="N41" s="253">
        <f t="shared" si="23"/>
        <v>81.549597993971162</v>
      </c>
      <c r="O41" s="253">
        <f t="shared" si="23"/>
        <v>111.54149582419539</v>
      </c>
      <c r="P41" s="253">
        <f t="shared" si="23"/>
        <v>149.72035864231668</v>
      </c>
      <c r="Q41" s="253">
        <f t="shared" si="23"/>
        <v>178.14195772756759</v>
      </c>
      <c r="R41" s="253">
        <f t="shared" si="23"/>
        <v>184.05899459180719</v>
      </c>
      <c r="S41" s="253">
        <f t="shared" si="23"/>
        <v>202.52373372340003</v>
      </c>
      <c r="T41" s="253">
        <f t="shared" si="23"/>
        <v>216.94756168003346</v>
      </c>
      <c r="U41" s="253">
        <f t="shared" ref="U41:AO41" si="24">U11</f>
        <v>231.10188644286106</v>
      </c>
      <c r="V41" s="253">
        <f t="shared" si="24"/>
        <v>241.36687426433818</v>
      </c>
      <c r="W41" s="253">
        <f t="shared" si="24"/>
        <v>13.351991338153642</v>
      </c>
      <c r="X41" s="253">
        <f t="shared" si="24"/>
        <v>0</v>
      </c>
      <c r="Y41" s="253">
        <f t="shared" si="24"/>
        <v>0</v>
      </c>
      <c r="Z41" s="253">
        <f t="shared" si="24"/>
        <v>0</v>
      </c>
      <c r="AA41" s="253">
        <f t="shared" si="24"/>
        <v>0</v>
      </c>
      <c r="AB41" s="253">
        <f t="shared" si="24"/>
        <v>0</v>
      </c>
      <c r="AC41" s="253">
        <f t="shared" si="24"/>
        <v>0</v>
      </c>
      <c r="AD41" s="253">
        <f t="shared" si="24"/>
        <v>0</v>
      </c>
      <c r="AE41" s="253">
        <f t="shared" si="24"/>
        <v>0</v>
      </c>
      <c r="AF41" s="253">
        <f t="shared" si="24"/>
        <v>0</v>
      </c>
      <c r="AG41" s="253">
        <f t="shared" si="24"/>
        <v>0</v>
      </c>
      <c r="AH41" s="253">
        <f t="shared" si="24"/>
        <v>0</v>
      </c>
      <c r="AI41" s="253">
        <f t="shared" si="24"/>
        <v>0</v>
      </c>
      <c r="AJ41" s="253">
        <f t="shared" si="24"/>
        <v>0</v>
      </c>
      <c r="AK41" s="253">
        <f t="shared" si="24"/>
        <v>0</v>
      </c>
      <c r="AL41" s="253">
        <f t="shared" si="24"/>
        <v>0</v>
      </c>
      <c r="AM41" s="253">
        <f t="shared" si="24"/>
        <v>0</v>
      </c>
      <c r="AN41" s="253">
        <f t="shared" si="24"/>
        <v>0</v>
      </c>
      <c r="AO41" s="253">
        <f t="shared" si="24"/>
        <v>0</v>
      </c>
    </row>
    <row r="42" spans="2:41" s="44" customFormat="1" outlineLevel="1">
      <c r="B42" s="245" t="s">
        <v>87</v>
      </c>
      <c r="C42" s="252"/>
      <c r="D42" s="252"/>
      <c r="E42" s="252"/>
      <c r="F42" s="253"/>
      <c r="G42" s="253"/>
      <c r="H42" s="253">
        <f t="shared" ref="H42:T42" si="25">-H13</f>
        <v>0</v>
      </c>
      <c r="I42" s="253">
        <f t="shared" si="25"/>
        <v>0</v>
      </c>
      <c r="J42" s="253">
        <f t="shared" si="25"/>
        <v>0</v>
      </c>
      <c r="K42" s="253">
        <f t="shared" si="25"/>
        <v>0</v>
      </c>
      <c r="L42" s="253">
        <f t="shared" si="25"/>
        <v>-129.01438519156105</v>
      </c>
      <c r="M42" s="253">
        <f t="shared" si="25"/>
        <v>-129.36784926057899</v>
      </c>
      <c r="N42" s="253">
        <f t="shared" si="25"/>
        <v>-129.01438519156105</v>
      </c>
      <c r="O42" s="253">
        <f t="shared" si="25"/>
        <v>-129.01438519156105</v>
      </c>
      <c r="P42" s="253">
        <f t="shared" si="25"/>
        <v>-129.01438519156105</v>
      </c>
      <c r="Q42" s="253">
        <f t="shared" si="25"/>
        <v>-129.36784926057899</v>
      </c>
      <c r="R42" s="253">
        <f t="shared" si="25"/>
        <v>-129.01438519156105</v>
      </c>
      <c r="S42" s="253">
        <f t="shared" si="25"/>
        <v>-129.01438519156105</v>
      </c>
      <c r="T42" s="253">
        <f t="shared" si="25"/>
        <v>-129.01438519156105</v>
      </c>
      <c r="U42" s="253">
        <f t="shared" ref="U42:AO42" si="26">-U13</f>
        <v>-129.36784926057899</v>
      </c>
      <c r="V42" s="253">
        <f t="shared" si="26"/>
        <v>-129.01438519156105</v>
      </c>
      <c r="W42" s="253">
        <f t="shared" si="26"/>
        <v>-6.0088891733055831</v>
      </c>
      <c r="X42" s="253">
        <f t="shared" si="26"/>
        <v>0</v>
      </c>
      <c r="Y42" s="253">
        <f t="shared" si="26"/>
        <v>0</v>
      </c>
      <c r="Z42" s="253">
        <f t="shared" si="26"/>
        <v>0</v>
      </c>
      <c r="AA42" s="253">
        <f t="shared" si="26"/>
        <v>0</v>
      </c>
      <c r="AB42" s="253">
        <f t="shared" si="26"/>
        <v>0</v>
      </c>
      <c r="AC42" s="253">
        <f t="shared" si="26"/>
        <v>0</v>
      </c>
      <c r="AD42" s="253">
        <f t="shared" si="26"/>
        <v>0</v>
      </c>
      <c r="AE42" s="253">
        <f t="shared" si="26"/>
        <v>0</v>
      </c>
      <c r="AF42" s="253">
        <f t="shared" si="26"/>
        <v>0</v>
      </c>
      <c r="AG42" s="253">
        <f t="shared" si="26"/>
        <v>0</v>
      </c>
      <c r="AH42" s="253">
        <f t="shared" si="26"/>
        <v>0</v>
      </c>
      <c r="AI42" s="253">
        <f t="shared" si="26"/>
        <v>0</v>
      </c>
      <c r="AJ42" s="253">
        <f t="shared" si="26"/>
        <v>0</v>
      </c>
      <c r="AK42" s="253">
        <f t="shared" si="26"/>
        <v>0</v>
      </c>
      <c r="AL42" s="253">
        <f t="shared" si="26"/>
        <v>0</v>
      </c>
      <c r="AM42" s="253">
        <f t="shared" si="26"/>
        <v>0</v>
      </c>
      <c r="AN42" s="253">
        <f t="shared" si="26"/>
        <v>0</v>
      </c>
      <c r="AO42" s="253">
        <f t="shared" si="26"/>
        <v>0</v>
      </c>
    </row>
    <row r="43" spans="2:41" s="44" customFormat="1" outlineLevel="1">
      <c r="B43" s="245" t="s">
        <v>102</v>
      </c>
      <c r="C43" s="252"/>
      <c r="D43" s="252"/>
      <c r="E43" s="252"/>
      <c r="F43" s="253"/>
      <c r="G43" s="253"/>
      <c r="H43" s="253">
        <f t="shared" ref="H43:T43" si="27">H41+H42</f>
        <v>0</v>
      </c>
      <c r="I43" s="253">
        <f t="shared" si="27"/>
        <v>0</v>
      </c>
      <c r="J43" s="253">
        <f t="shared" si="27"/>
        <v>-399.63153362364494</v>
      </c>
      <c r="K43" s="253">
        <f t="shared" si="27"/>
        <v>-63.486384840473846</v>
      </c>
      <c r="L43" s="253">
        <f t="shared" si="27"/>
        <v>-220.89391606515278</v>
      </c>
      <c r="M43" s="253">
        <f t="shared" si="27"/>
        <v>-35.651728594641938</v>
      </c>
      <c r="N43" s="253">
        <f t="shared" si="27"/>
        <v>-47.464787197589885</v>
      </c>
      <c r="O43" s="253">
        <f t="shared" si="27"/>
        <v>-17.472889367365653</v>
      </c>
      <c r="P43" s="253">
        <f t="shared" si="27"/>
        <v>20.705973450755636</v>
      </c>
      <c r="Q43" s="253">
        <f t="shared" si="27"/>
        <v>48.774108466988594</v>
      </c>
      <c r="R43" s="253">
        <f t="shared" si="27"/>
        <v>55.044609400246145</v>
      </c>
      <c r="S43" s="253">
        <f t="shared" si="27"/>
        <v>73.509348531838981</v>
      </c>
      <c r="T43" s="253">
        <f t="shared" si="27"/>
        <v>87.933176488472412</v>
      </c>
      <c r="U43" s="253">
        <f t="shared" ref="U43:AO43" si="28">U41+U42</f>
        <v>101.73403718228207</v>
      </c>
      <c r="V43" s="253">
        <f t="shared" si="28"/>
        <v>112.35248907277713</v>
      </c>
      <c r="W43" s="253">
        <f t="shared" si="28"/>
        <v>7.3431021648480588</v>
      </c>
      <c r="X43" s="253">
        <f t="shared" si="28"/>
        <v>0</v>
      </c>
      <c r="Y43" s="253">
        <f t="shared" si="28"/>
        <v>0</v>
      </c>
      <c r="Z43" s="253">
        <f t="shared" si="28"/>
        <v>0</v>
      </c>
      <c r="AA43" s="253">
        <f t="shared" si="28"/>
        <v>0</v>
      </c>
      <c r="AB43" s="253">
        <f t="shared" si="28"/>
        <v>0</v>
      </c>
      <c r="AC43" s="253">
        <f t="shared" si="28"/>
        <v>0</v>
      </c>
      <c r="AD43" s="253">
        <f t="shared" si="28"/>
        <v>0</v>
      </c>
      <c r="AE43" s="253">
        <f t="shared" si="28"/>
        <v>0</v>
      </c>
      <c r="AF43" s="253">
        <f t="shared" si="28"/>
        <v>0</v>
      </c>
      <c r="AG43" s="253">
        <f t="shared" si="28"/>
        <v>0</v>
      </c>
      <c r="AH43" s="253">
        <f t="shared" si="28"/>
        <v>0</v>
      </c>
      <c r="AI43" s="253">
        <f t="shared" si="28"/>
        <v>0</v>
      </c>
      <c r="AJ43" s="253">
        <f t="shared" si="28"/>
        <v>0</v>
      </c>
      <c r="AK43" s="253">
        <f t="shared" si="28"/>
        <v>0</v>
      </c>
      <c r="AL43" s="253">
        <f t="shared" si="28"/>
        <v>0</v>
      </c>
      <c r="AM43" s="253">
        <f t="shared" si="28"/>
        <v>0</v>
      </c>
      <c r="AN43" s="253">
        <f t="shared" si="28"/>
        <v>0</v>
      </c>
      <c r="AO43" s="253">
        <f t="shared" si="28"/>
        <v>0</v>
      </c>
    </row>
    <row r="44" spans="2:41" s="44" customFormat="1" outlineLevel="1">
      <c r="B44" s="245" t="s">
        <v>95</v>
      </c>
      <c r="C44" s="252"/>
      <c r="D44" s="252"/>
      <c r="E44" s="252"/>
      <c r="F44" s="247"/>
      <c r="G44" s="247"/>
      <c r="H44" s="247">
        <f t="shared" ref="H44:T44" si="29">G44-IF(H43&lt;0,MAX(H42,H43),0)</f>
        <v>0</v>
      </c>
      <c r="I44" s="247">
        <f t="shared" si="29"/>
        <v>0</v>
      </c>
      <c r="J44" s="247">
        <f t="shared" si="29"/>
        <v>0</v>
      </c>
      <c r="K44" s="247">
        <f t="shared" si="29"/>
        <v>0</v>
      </c>
      <c r="L44" s="247">
        <f t="shared" si="29"/>
        <v>129.01438519156105</v>
      </c>
      <c r="M44" s="247">
        <f t="shared" si="29"/>
        <v>164.66611378620297</v>
      </c>
      <c r="N44" s="247">
        <f t="shared" si="29"/>
        <v>212.13090098379286</v>
      </c>
      <c r="O44" s="247">
        <f t="shared" si="29"/>
        <v>229.60379035115852</v>
      </c>
      <c r="P44" s="247">
        <f t="shared" si="29"/>
        <v>229.60379035115852</v>
      </c>
      <c r="Q44" s="247">
        <f t="shared" si="29"/>
        <v>229.60379035115852</v>
      </c>
      <c r="R44" s="247">
        <f t="shared" si="29"/>
        <v>229.60379035115852</v>
      </c>
      <c r="S44" s="247">
        <f t="shared" si="29"/>
        <v>229.60379035115852</v>
      </c>
      <c r="T44" s="247">
        <f t="shared" si="29"/>
        <v>229.60379035115852</v>
      </c>
      <c r="U44" s="247">
        <f t="shared" ref="U44:AO44" si="30">T44-IF(U43&lt;0,MAX(U42,U43),0)</f>
        <v>229.60379035115852</v>
      </c>
      <c r="V44" s="247">
        <f t="shared" si="30"/>
        <v>229.60379035115852</v>
      </c>
      <c r="W44" s="247">
        <f t="shared" si="30"/>
        <v>229.60379035115852</v>
      </c>
      <c r="X44" s="247">
        <f t="shared" si="30"/>
        <v>229.60379035115852</v>
      </c>
      <c r="Y44" s="247">
        <f t="shared" si="30"/>
        <v>229.60379035115852</v>
      </c>
      <c r="Z44" s="247">
        <f t="shared" si="30"/>
        <v>229.60379035115852</v>
      </c>
      <c r="AA44" s="247">
        <f t="shared" si="30"/>
        <v>229.60379035115852</v>
      </c>
      <c r="AB44" s="247">
        <f t="shared" si="30"/>
        <v>229.60379035115852</v>
      </c>
      <c r="AC44" s="247">
        <f t="shared" si="30"/>
        <v>229.60379035115852</v>
      </c>
      <c r="AD44" s="247">
        <f t="shared" si="30"/>
        <v>229.60379035115852</v>
      </c>
      <c r="AE44" s="247">
        <f t="shared" si="30"/>
        <v>229.60379035115852</v>
      </c>
      <c r="AF44" s="247">
        <f t="shared" si="30"/>
        <v>229.60379035115852</v>
      </c>
      <c r="AG44" s="247">
        <f t="shared" si="30"/>
        <v>229.60379035115852</v>
      </c>
      <c r="AH44" s="247">
        <f t="shared" si="30"/>
        <v>229.60379035115852</v>
      </c>
      <c r="AI44" s="247">
        <f t="shared" si="30"/>
        <v>229.60379035115852</v>
      </c>
      <c r="AJ44" s="247">
        <f t="shared" si="30"/>
        <v>229.60379035115852</v>
      </c>
      <c r="AK44" s="247">
        <f t="shared" si="30"/>
        <v>229.60379035115852</v>
      </c>
      <c r="AL44" s="247">
        <f t="shared" si="30"/>
        <v>229.60379035115852</v>
      </c>
      <c r="AM44" s="247">
        <f t="shared" si="30"/>
        <v>229.60379035115852</v>
      </c>
      <c r="AN44" s="247">
        <f t="shared" si="30"/>
        <v>229.60379035115852</v>
      </c>
      <c r="AO44" s="247">
        <f t="shared" si="30"/>
        <v>229.60379035115852</v>
      </c>
    </row>
    <row r="45" spans="2:41" s="44" customFormat="1" ht="15" outlineLevel="1">
      <c r="B45" s="66"/>
      <c r="C45" s="50"/>
      <c r="D45" s="50"/>
      <c r="E45" s="50"/>
    </row>
    <row r="46" spans="2:41" s="44" customFormat="1" ht="15" outlineLevel="1">
      <c r="B46" s="66" t="s">
        <v>96</v>
      </c>
      <c r="C46" s="50"/>
      <c r="D46" s="50"/>
      <c r="E46" s="50"/>
    </row>
    <row r="47" spans="2:41" s="44" customFormat="1" outlineLevel="1">
      <c r="B47" s="245" t="s">
        <v>97</v>
      </c>
      <c r="C47" s="252"/>
      <c r="D47" s="252"/>
      <c r="E47" s="252"/>
      <c r="F47" s="253"/>
      <c r="G47" s="253"/>
      <c r="H47" s="253">
        <f>IF(H43&gt;0,ABS(H38)+ABS(H44)-SUM($F$48:G48),0)</f>
        <v>0</v>
      </c>
      <c r="I47" s="253">
        <f>IF(I43&gt;0,ABS(I38)+ABS(I44)-SUM($F$48:H48),0)</f>
        <v>0</v>
      </c>
      <c r="J47" s="253">
        <f>IF(J43&gt;0,ABS(J38)+ABS(J44)-SUM($F$48:I48),0)</f>
        <v>0</v>
      </c>
      <c r="K47" s="253">
        <f>IF(K43&gt;0,ABS(K38)+ABS(K44)-SUM($F$48:J48),0)</f>
        <v>0</v>
      </c>
      <c r="L47" s="253">
        <f>IF(L43&gt;0,ABS(L38)+ABS(L44)-SUM($F$48:K48),0)</f>
        <v>0</v>
      </c>
      <c r="M47" s="253">
        <f>IF(M43&gt;0,ABS(M38)+ABS(M44)-SUM($F$48:L48),0)</f>
        <v>0</v>
      </c>
      <c r="N47" s="253">
        <f>IF(N43&gt;0,ABS(N38)+ABS(N44)-SUM($F$48:M48),0)</f>
        <v>0</v>
      </c>
      <c r="O47" s="253">
        <f>IF(O43&gt;0,ABS(O38)+ABS(O44)-SUM($F$48:N48),0)</f>
        <v>0</v>
      </c>
      <c r="P47" s="253">
        <f>IF(P43&gt;0,ABS(P38)+ABS(P44)-SUM($F$48:O48),0)</f>
        <v>784.6012396888691</v>
      </c>
      <c r="Q47" s="253">
        <f>IF(Q43&gt;0,ABS(Q38)+ABS(Q44)-SUM($F$48:P48),0)</f>
        <v>763.89526623811344</v>
      </c>
      <c r="R47" s="253">
        <f>IF(R43&gt;0,ABS(R38)+ABS(R44)-SUM($F$48:Q48),0)</f>
        <v>715.1211577711249</v>
      </c>
      <c r="S47" s="253">
        <f>IF(S43&gt;0,ABS(S38)+ABS(S44)-SUM($F$48:R48),0)</f>
        <v>660.07654837087875</v>
      </c>
      <c r="T47" s="253">
        <f>IF(T43&gt;0,ABS(T38)+ABS(T44)-SUM($F$48:S48),0)</f>
        <v>586.56719983903974</v>
      </c>
      <c r="U47" s="253">
        <f>IF(U43&gt;0,ABS(U38)+ABS(U44)-SUM($F$48:T48),0)</f>
        <v>498.6340233505673</v>
      </c>
      <c r="V47" s="253">
        <f>IF(V43&gt;0,ABS(V38)+ABS(V44)-SUM($F$48:U48),0)</f>
        <v>396.89998616828524</v>
      </c>
      <c r="W47" s="253">
        <f>IF(W43&gt;0,ABS(W38)+ABS(W44)-SUM($F$48:V48),0)</f>
        <v>284.54749709550811</v>
      </c>
      <c r="X47" s="253">
        <f>IF(X43&gt;0,ABS(X38)+ABS(X44)-SUM($F$48:W48),0)</f>
        <v>0</v>
      </c>
      <c r="Y47" s="253">
        <f>IF(Y43&gt;0,ABS(Y38)+ABS(Y44)-SUM($F$48:X48),0)</f>
        <v>0</v>
      </c>
      <c r="Z47" s="253">
        <f>IF(Z43&gt;0,ABS(Z38)+ABS(Z44)-SUM($F$48:Y48),0)</f>
        <v>0</v>
      </c>
      <c r="AA47" s="253">
        <f>IF(AA43&gt;0,ABS(AA38)+ABS(AA44)-SUM($F$48:Z48),0)</f>
        <v>0</v>
      </c>
      <c r="AB47" s="253">
        <f>IF(AB43&gt;0,ABS(AB38)+ABS(AB44)-SUM($F$48:AA48),0)</f>
        <v>0</v>
      </c>
      <c r="AC47" s="253">
        <f>IF(AC43&gt;0,ABS(AC38)+ABS(AC44)-SUM($F$48:AB48),0)</f>
        <v>0</v>
      </c>
      <c r="AD47" s="253">
        <f>IF(AD43&gt;0,ABS(AD38)+ABS(AD44)-SUM($F$48:AC48),0)</f>
        <v>0</v>
      </c>
      <c r="AE47" s="253">
        <f>IF(AE43&gt;0,ABS(AE38)+ABS(AE44)-SUM($F$48:AD48),0)</f>
        <v>0</v>
      </c>
      <c r="AF47" s="253">
        <f>IF(AF43&gt;0,ABS(AF38)+ABS(AF44)-SUM($F$48:AE48),0)</f>
        <v>0</v>
      </c>
      <c r="AG47" s="253">
        <f>IF(AG43&gt;0,ABS(AG38)+ABS(AG44)-SUM($F$48:AF48),0)</f>
        <v>0</v>
      </c>
      <c r="AH47" s="253">
        <f>IF(AH43&gt;0,ABS(AH38)+ABS(AH44)-SUM($F$48:AG48),0)</f>
        <v>0</v>
      </c>
      <c r="AI47" s="253">
        <f>IF(AI43&gt;0,ABS(AI38)+ABS(AI44)-SUM($F$48:AH48),0)</f>
        <v>0</v>
      </c>
      <c r="AJ47" s="253">
        <f>IF(AJ43&gt;0,ABS(AJ38)+ABS(AJ44)-SUM($F$48:AI48),0)</f>
        <v>0</v>
      </c>
      <c r="AK47" s="253">
        <f>IF(AK43&gt;0,ABS(AK38)+ABS(AK44)-SUM($F$48:AJ48),0)</f>
        <v>0</v>
      </c>
      <c r="AL47" s="253">
        <f>IF(AL43&gt;0,ABS(AL38)+ABS(AL44)-SUM($F$48:AK48),0)</f>
        <v>0</v>
      </c>
      <c r="AM47" s="253">
        <f>IF(AM43&gt;0,ABS(AM38)+ABS(AM44)-SUM($F$48:AL48),0)</f>
        <v>0</v>
      </c>
      <c r="AN47" s="253">
        <f>IF(AN43&gt;0,ABS(AN38)+ABS(AN44)-SUM($F$48:AM48),0)</f>
        <v>0</v>
      </c>
      <c r="AO47" s="253">
        <f>IF(AO43&gt;0,ABS(AO38)+ABS(AO44)-SUM($F$48:AN48),0)</f>
        <v>0</v>
      </c>
    </row>
    <row r="48" spans="2:41" s="44" customFormat="1" outlineLevel="1">
      <c r="B48" s="245" t="s">
        <v>98</v>
      </c>
      <c r="C48" s="252"/>
      <c r="D48" s="252"/>
      <c r="E48" s="252"/>
      <c r="F48" s="254"/>
      <c r="G48" s="254"/>
      <c r="H48" s="254">
        <f t="shared" ref="H48:T48" si="31">IF(H43&gt;0,MIN(H43,H47),0)</f>
        <v>0</v>
      </c>
      <c r="I48" s="254">
        <f t="shared" si="31"/>
        <v>0</v>
      </c>
      <c r="J48" s="254">
        <f t="shared" si="31"/>
        <v>0</v>
      </c>
      <c r="K48" s="254">
        <f t="shared" si="31"/>
        <v>0</v>
      </c>
      <c r="L48" s="254">
        <f t="shared" si="31"/>
        <v>0</v>
      </c>
      <c r="M48" s="254">
        <f t="shared" si="31"/>
        <v>0</v>
      </c>
      <c r="N48" s="254">
        <f t="shared" si="31"/>
        <v>0</v>
      </c>
      <c r="O48" s="254">
        <f t="shared" si="31"/>
        <v>0</v>
      </c>
      <c r="P48" s="254">
        <f t="shared" si="31"/>
        <v>20.705973450755636</v>
      </c>
      <c r="Q48" s="254">
        <f t="shared" si="31"/>
        <v>48.774108466988594</v>
      </c>
      <c r="R48" s="254">
        <f t="shared" si="31"/>
        <v>55.044609400246145</v>
      </c>
      <c r="S48" s="254">
        <f t="shared" si="31"/>
        <v>73.509348531838981</v>
      </c>
      <c r="T48" s="254">
        <f t="shared" si="31"/>
        <v>87.933176488472412</v>
      </c>
      <c r="U48" s="254">
        <f t="shared" ref="U48:AO48" si="32">IF(U43&gt;0,MIN(U43,U47),0)</f>
        <v>101.73403718228207</v>
      </c>
      <c r="V48" s="254">
        <f t="shared" si="32"/>
        <v>112.35248907277713</v>
      </c>
      <c r="W48" s="254">
        <f t="shared" si="32"/>
        <v>7.3431021648480588</v>
      </c>
      <c r="X48" s="254">
        <f t="shared" si="32"/>
        <v>0</v>
      </c>
      <c r="Y48" s="254">
        <f t="shared" si="32"/>
        <v>0</v>
      </c>
      <c r="Z48" s="254">
        <f t="shared" si="32"/>
        <v>0</v>
      </c>
      <c r="AA48" s="254">
        <f t="shared" si="32"/>
        <v>0</v>
      </c>
      <c r="AB48" s="254">
        <f t="shared" si="32"/>
        <v>0</v>
      </c>
      <c r="AC48" s="254">
        <f t="shared" si="32"/>
        <v>0</v>
      </c>
      <c r="AD48" s="254">
        <f t="shared" si="32"/>
        <v>0</v>
      </c>
      <c r="AE48" s="254">
        <f t="shared" si="32"/>
        <v>0</v>
      </c>
      <c r="AF48" s="254">
        <f t="shared" si="32"/>
        <v>0</v>
      </c>
      <c r="AG48" s="254">
        <f t="shared" si="32"/>
        <v>0</v>
      </c>
      <c r="AH48" s="254">
        <f t="shared" si="32"/>
        <v>0</v>
      </c>
      <c r="AI48" s="254">
        <f t="shared" si="32"/>
        <v>0</v>
      </c>
      <c r="AJ48" s="254">
        <f t="shared" si="32"/>
        <v>0</v>
      </c>
      <c r="AK48" s="254">
        <f t="shared" si="32"/>
        <v>0</v>
      </c>
      <c r="AL48" s="254">
        <f t="shared" si="32"/>
        <v>0</v>
      </c>
      <c r="AM48" s="254">
        <f t="shared" si="32"/>
        <v>0</v>
      </c>
      <c r="AN48" s="254">
        <f t="shared" si="32"/>
        <v>0</v>
      </c>
      <c r="AO48" s="254">
        <f t="shared" si="32"/>
        <v>0</v>
      </c>
    </row>
    <row r="49" spans="2:41" s="44" customFormat="1" outlineLevel="1">
      <c r="B49" s="245" t="s">
        <v>99</v>
      </c>
      <c r="C49" s="252"/>
      <c r="D49" s="252"/>
      <c r="E49" s="252"/>
      <c r="F49" s="253"/>
      <c r="G49" s="253"/>
      <c r="H49" s="253">
        <f t="shared" ref="H49:T49" si="33">H43-H48</f>
        <v>0</v>
      </c>
      <c r="I49" s="253">
        <f t="shared" si="33"/>
        <v>0</v>
      </c>
      <c r="J49" s="253">
        <f t="shared" si="33"/>
        <v>-399.63153362364494</v>
      </c>
      <c r="K49" s="253">
        <f t="shared" si="33"/>
        <v>-63.486384840473846</v>
      </c>
      <c r="L49" s="253">
        <f t="shared" si="33"/>
        <v>-220.89391606515278</v>
      </c>
      <c r="M49" s="253">
        <f t="shared" si="33"/>
        <v>-35.651728594641938</v>
      </c>
      <c r="N49" s="253">
        <f t="shared" si="33"/>
        <v>-47.464787197589885</v>
      </c>
      <c r="O49" s="253">
        <f t="shared" si="33"/>
        <v>-17.472889367365653</v>
      </c>
      <c r="P49" s="253">
        <f t="shared" si="33"/>
        <v>0</v>
      </c>
      <c r="Q49" s="253">
        <f t="shared" si="33"/>
        <v>0</v>
      </c>
      <c r="R49" s="253">
        <f t="shared" si="33"/>
        <v>0</v>
      </c>
      <c r="S49" s="253">
        <f t="shared" si="33"/>
        <v>0</v>
      </c>
      <c r="T49" s="253">
        <f t="shared" si="33"/>
        <v>0</v>
      </c>
      <c r="U49" s="253">
        <f t="shared" ref="U49:AO49" si="34">U43-U48</f>
        <v>0</v>
      </c>
      <c r="V49" s="253">
        <f t="shared" si="34"/>
        <v>0</v>
      </c>
      <c r="W49" s="253">
        <f t="shared" si="34"/>
        <v>0</v>
      </c>
      <c r="X49" s="253">
        <f t="shared" si="34"/>
        <v>0</v>
      </c>
      <c r="Y49" s="253">
        <f t="shared" si="34"/>
        <v>0</v>
      </c>
      <c r="Z49" s="253">
        <f t="shared" si="34"/>
        <v>0</v>
      </c>
      <c r="AA49" s="253">
        <f t="shared" si="34"/>
        <v>0</v>
      </c>
      <c r="AB49" s="253">
        <f t="shared" si="34"/>
        <v>0</v>
      </c>
      <c r="AC49" s="253">
        <f t="shared" si="34"/>
        <v>0</v>
      </c>
      <c r="AD49" s="253">
        <f t="shared" si="34"/>
        <v>0</v>
      </c>
      <c r="AE49" s="253">
        <f t="shared" si="34"/>
        <v>0</v>
      </c>
      <c r="AF49" s="253">
        <f t="shared" si="34"/>
        <v>0</v>
      </c>
      <c r="AG49" s="253">
        <f t="shared" si="34"/>
        <v>0</v>
      </c>
      <c r="AH49" s="253">
        <f t="shared" si="34"/>
        <v>0</v>
      </c>
      <c r="AI49" s="253">
        <f t="shared" si="34"/>
        <v>0</v>
      </c>
      <c r="AJ49" s="253">
        <f t="shared" si="34"/>
        <v>0</v>
      </c>
      <c r="AK49" s="253">
        <f t="shared" si="34"/>
        <v>0</v>
      </c>
      <c r="AL49" s="253">
        <f t="shared" si="34"/>
        <v>0</v>
      </c>
      <c r="AM49" s="253">
        <f t="shared" si="34"/>
        <v>0</v>
      </c>
      <c r="AN49" s="253">
        <f t="shared" si="34"/>
        <v>0</v>
      </c>
      <c r="AO49" s="253">
        <f t="shared" si="34"/>
        <v>0</v>
      </c>
    </row>
    <row r="50" spans="2:41" s="44" customFormat="1" outlineLevel="1">
      <c r="B50" s="245" t="s">
        <v>103</v>
      </c>
      <c r="C50" s="252"/>
      <c r="D50" s="252"/>
      <c r="E50" s="252"/>
      <c r="F50" s="254"/>
      <c r="G50" s="254"/>
      <c r="H50" s="255">
        <f>IF(H49&gt;0,H49*Input!$C$146,0)</f>
        <v>0</v>
      </c>
      <c r="I50" s="255">
        <f>IF(I49&gt;0,I49*Input!$C$146,0)</f>
        <v>0</v>
      </c>
      <c r="J50" s="255">
        <f>IF(J49&gt;0,J49*Input!$C$146,0)</f>
        <v>0</v>
      </c>
      <c r="K50" s="255">
        <f>IF(K49&gt;0,K49*Input!$C$146,0)</f>
        <v>0</v>
      </c>
      <c r="L50" s="255">
        <f>IF(L49&gt;0,L49*Input!$C$146,0)</f>
        <v>0</v>
      </c>
      <c r="M50" s="255">
        <f>IF(M49&gt;0,M49*Input!$C$146,0)</f>
        <v>0</v>
      </c>
      <c r="N50" s="255">
        <f>IF(N49&gt;0,N49*Input!$C$146,0)</f>
        <v>0</v>
      </c>
      <c r="O50" s="255">
        <f>IF(O49&gt;0,O49*Input!$C$146,0)</f>
        <v>0</v>
      </c>
      <c r="P50" s="255">
        <f>IF(P49&gt;0,P49*Input!$C$146,0)</f>
        <v>0</v>
      </c>
      <c r="Q50" s="255">
        <f>IF(Q49&gt;0,Q49*Input!$C$146,0)</f>
        <v>0</v>
      </c>
      <c r="R50" s="255">
        <f>IF(R49&gt;0,R49*Input!$C$146,0)</f>
        <v>0</v>
      </c>
      <c r="S50" s="255">
        <f>IF(S49&gt;0,S49*Input!$C$146,0)</f>
        <v>0</v>
      </c>
      <c r="T50" s="255">
        <f>IF(T49&gt;0,T49*Input!$C$146,0)</f>
        <v>0</v>
      </c>
      <c r="U50" s="255">
        <f>IF(U49&gt;0,U49*Input!$C$146,0)</f>
        <v>0</v>
      </c>
      <c r="V50" s="255">
        <f>IF(V49&gt;0,V49*Input!$C$146,0)</f>
        <v>0</v>
      </c>
      <c r="W50" s="255">
        <f>IF(W49&gt;0,W49*Input!$C$146,0)</f>
        <v>0</v>
      </c>
      <c r="X50" s="255">
        <f>IF(X49&gt;0,X49*Input!$C$146,0)</f>
        <v>0</v>
      </c>
      <c r="Y50" s="255">
        <f>IF(Y49&gt;0,Y49*Input!$C$146,0)</f>
        <v>0</v>
      </c>
      <c r="Z50" s="255">
        <f>IF(Z49&gt;0,Z49*Input!$C$146,0)</f>
        <v>0</v>
      </c>
      <c r="AA50" s="255">
        <f>IF(AA49&gt;0,AA49*Input!$C$146,0)</f>
        <v>0</v>
      </c>
      <c r="AB50" s="255">
        <f>IF(AB49&gt;0,AB49*Input!$C$146,0)</f>
        <v>0</v>
      </c>
      <c r="AC50" s="255">
        <f>IF(AC49&gt;0,AC49*Input!$C$146,0)</f>
        <v>0</v>
      </c>
      <c r="AD50" s="255">
        <f>IF(AD49&gt;0,AD49*Input!$C$146,0)</f>
        <v>0</v>
      </c>
      <c r="AE50" s="255">
        <f>IF(AE49&gt;0,AE49*Input!$C$146,0)</f>
        <v>0</v>
      </c>
      <c r="AF50" s="255">
        <f>IF(AF49&gt;0,AF49*Input!$C$146,0)</f>
        <v>0</v>
      </c>
      <c r="AG50" s="255">
        <f>IF(AG49&gt;0,AG49*Input!$C$146,0)</f>
        <v>0</v>
      </c>
      <c r="AH50" s="255">
        <f>IF(AH49&gt;0,AH49*Input!$C$146,0)</f>
        <v>0</v>
      </c>
      <c r="AI50" s="255">
        <f>IF(AI49&gt;0,AI49*Input!$C$146,0)</f>
        <v>0</v>
      </c>
      <c r="AJ50" s="255">
        <f>IF(AJ49&gt;0,AJ49*Input!$C$146,0)</f>
        <v>0</v>
      </c>
      <c r="AK50" s="255">
        <f>IF(AK49&gt;0,AK49*Input!$C$146,0)</f>
        <v>0</v>
      </c>
      <c r="AL50" s="255">
        <f>IF(AL49&gt;0,AL49*Input!$C$146,0)</f>
        <v>0</v>
      </c>
      <c r="AM50" s="255">
        <f>IF(AM49&gt;0,AM49*Input!$C$146,0)</f>
        <v>0</v>
      </c>
      <c r="AN50" s="255">
        <f>IF(AN49&gt;0,AN49*Input!$C$146,0)</f>
        <v>0</v>
      </c>
      <c r="AO50" s="255">
        <f>IF(AO49&gt;0,AO49*Input!$C$146,0)</f>
        <v>0</v>
      </c>
    </row>
    <row r="51" spans="2:41" s="44" customFormat="1" outlineLevel="1">
      <c r="C51" s="50"/>
      <c r="D51" s="50"/>
      <c r="E51" s="5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row>
    <row r="52" spans="2:41" s="44" customFormat="1" ht="15" outlineLevel="1">
      <c r="B52" s="66" t="s">
        <v>104</v>
      </c>
      <c r="C52" s="50"/>
      <c r="D52" s="50"/>
      <c r="E52" s="50"/>
      <c r="F52" s="46"/>
      <c r="G52" s="46"/>
      <c r="H52" s="46"/>
      <c r="I52" s="52">
        <f>IF(AND(I2&gt;=Input!$C$144,I2&lt;=Input!$C$145),1,0)</f>
        <v>0</v>
      </c>
      <c r="J52" s="52">
        <f>IF(AND(J2&gt;=Input!$C$144,J2&lt;=Input!$C$145),1,0)</f>
        <v>0</v>
      </c>
      <c r="K52" s="52">
        <f>IF(AND(K2&gt;=Input!$C$144,K2&lt;=Input!$C$145),1,0)</f>
        <v>1</v>
      </c>
      <c r="L52" s="52">
        <f>IF(AND(L2&gt;=Input!$C$144,L2&lt;=Input!$C$145),1,0)</f>
        <v>1</v>
      </c>
      <c r="M52" s="52">
        <f>IF(AND(M2&gt;=Input!$C$144,M2&lt;=Input!$C$145),1,0)</f>
        <v>1</v>
      </c>
      <c r="N52" s="52">
        <f>IF(AND(N2&gt;=Input!$C$144,N2&lt;=Input!$C$145),1,0)</f>
        <v>1</v>
      </c>
      <c r="O52" s="52">
        <f>IF(AND(O2&gt;=Input!$C$144,O2&lt;=Input!$C$145),1,0)</f>
        <v>1</v>
      </c>
      <c r="P52" s="52">
        <f>IF(AND(P2&gt;=Input!$C$144,P2&lt;=Input!$C$145),1,0)</f>
        <v>1</v>
      </c>
      <c r="Q52" s="52">
        <f>IF(AND(Q2&gt;=Input!$C$144,Q2&lt;=Input!$C$145),1,0)</f>
        <v>1</v>
      </c>
      <c r="R52" s="52">
        <f>IF(AND(R2&gt;=Input!$C$144,R2&lt;=Input!$C$145),1,0)</f>
        <v>1</v>
      </c>
      <c r="S52" s="52">
        <f>IF(AND(S2&gt;=Input!$C$144,S2&lt;=Input!$C$145),1,0)</f>
        <v>1</v>
      </c>
      <c r="T52" s="52">
        <f>IF(AND(T2&gt;=Input!$C$144,T2&lt;=Input!$C$145),1,0)</f>
        <v>1</v>
      </c>
      <c r="U52" s="52">
        <f>IF(AND(U2&gt;=Input!$C$144,U2&lt;=Input!$C$145),1,0)</f>
        <v>0</v>
      </c>
      <c r="V52" s="52">
        <f>IF(AND(V2&gt;=Input!$C$144,V2&lt;=Input!$C$145),1,0)</f>
        <v>0</v>
      </c>
      <c r="W52" s="52">
        <f>IF(AND(W2&gt;=Input!$C$144,W2&lt;=Input!$C$145),1,0)</f>
        <v>0</v>
      </c>
      <c r="X52" s="52">
        <f>IF(AND(X2&gt;=Input!$C$144,X2&lt;=Input!$C$145),1,0)</f>
        <v>0</v>
      </c>
      <c r="Y52" s="52">
        <f>IF(AND(Y2&gt;=Input!$C$144,Y2&lt;=Input!$C$145),1,0)</f>
        <v>0</v>
      </c>
      <c r="Z52" s="52">
        <f>IF(AND(Z2&gt;=Input!$C$144,Z2&lt;=Input!$C$145),1,0)</f>
        <v>0</v>
      </c>
      <c r="AA52" s="52">
        <f>IF(AND(AA2&gt;=Input!$C$144,AA2&lt;=Input!$C$145),1,0)</f>
        <v>0</v>
      </c>
      <c r="AB52" s="52">
        <f>IF(AND(AB2&gt;=Input!$C$144,AB2&lt;=Input!$C$145),1,0)</f>
        <v>0</v>
      </c>
      <c r="AC52" s="52">
        <f>IF(AND(AC2&gt;=Input!$C$144,AC2&lt;=Input!$C$145),1,0)</f>
        <v>0</v>
      </c>
      <c r="AD52" s="52">
        <f>IF(AND(AD2&gt;=Input!$C$144,AD2&lt;=Input!$C$145),1,0)</f>
        <v>0</v>
      </c>
      <c r="AE52" s="52">
        <f>IF(AND(AE2&gt;=Input!$C$144,AE2&lt;=Input!$C$145),1,0)</f>
        <v>0</v>
      </c>
      <c r="AF52" s="52">
        <f>IF(AND(AF2&gt;=Input!$C$144,AF2&lt;=Input!$C$145),1,0)</f>
        <v>0</v>
      </c>
      <c r="AG52" s="52">
        <f>IF(AND(AG2&gt;=Input!$C$144,AG2&lt;=Input!$C$145),1,0)</f>
        <v>0</v>
      </c>
      <c r="AH52" s="52">
        <f>IF(AND(AH2&gt;=Input!$C$144,AH2&lt;=Input!$C$145),1,0)</f>
        <v>0</v>
      </c>
      <c r="AI52" s="52">
        <f>IF(AND(AI2&gt;=Input!$C$144,AI2&lt;=Input!$C$145),1,0)</f>
        <v>0</v>
      </c>
      <c r="AJ52" s="52">
        <f>IF(AND(AJ2&gt;=Input!$C$144,AJ2&lt;=Input!$C$145),1,0)</f>
        <v>0</v>
      </c>
      <c r="AK52" s="52">
        <f>IF(AND(AK2&gt;=Input!$C$144,AK2&lt;=Input!$C$145),1,0)</f>
        <v>0</v>
      </c>
      <c r="AL52" s="52">
        <f>IF(AND(AL2&gt;=Input!$C$144,AL2&lt;=Input!$C$145),1,0)</f>
        <v>0</v>
      </c>
      <c r="AM52" s="52">
        <f>IF(AND(AM2&gt;=Input!$C$144,AM2&lt;=Input!$C$145),1,0)</f>
        <v>0</v>
      </c>
      <c r="AN52" s="52">
        <f>IF(AND(AN2&gt;=Input!$C$144,AN2&lt;=Input!$C$145),1,0)</f>
        <v>0</v>
      </c>
      <c r="AO52" s="52">
        <f>IF(AND(AO2&gt;=Input!$C$144,AO2&lt;=Input!$C$145),1,0)</f>
        <v>0</v>
      </c>
    </row>
    <row r="53" spans="2:41" s="66" customFormat="1" ht="15" outlineLevel="1">
      <c r="B53" s="248" t="s">
        <v>105</v>
      </c>
      <c r="C53" s="256"/>
      <c r="D53" s="256"/>
      <c r="E53" s="256"/>
      <c r="F53" s="250"/>
      <c r="G53" s="250"/>
      <c r="H53" s="250"/>
      <c r="I53" s="250">
        <f t="shared" ref="I53:T53" si="35">IF(I52=1,0,I50)</f>
        <v>0</v>
      </c>
      <c r="J53" s="250">
        <f t="shared" si="35"/>
        <v>0</v>
      </c>
      <c r="K53" s="250">
        <f t="shared" si="35"/>
        <v>0</v>
      </c>
      <c r="L53" s="250">
        <f t="shared" si="35"/>
        <v>0</v>
      </c>
      <c r="M53" s="250">
        <f t="shared" si="35"/>
        <v>0</v>
      </c>
      <c r="N53" s="250">
        <f t="shared" si="35"/>
        <v>0</v>
      </c>
      <c r="O53" s="250">
        <f t="shared" si="35"/>
        <v>0</v>
      </c>
      <c r="P53" s="250">
        <f t="shared" si="35"/>
        <v>0</v>
      </c>
      <c r="Q53" s="250">
        <f t="shared" si="35"/>
        <v>0</v>
      </c>
      <c r="R53" s="250">
        <f t="shared" si="35"/>
        <v>0</v>
      </c>
      <c r="S53" s="250">
        <f t="shared" si="35"/>
        <v>0</v>
      </c>
      <c r="T53" s="250">
        <f t="shared" si="35"/>
        <v>0</v>
      </c>
      <c r="U53" s="250">
        <f t="shared" ref="U53:AO53" si="36">IF(U52=1,0,U50)</f>
        <v>0</v>
      </c>
      <c r="V53" s="250">
        <f t="shared" si="36"/>
        <v>0</v>
      </c>
      <c r="W53" s="250">
        <f t="shared" si="36"/>
        <v>0</v>
      </c>
      <c r="X53" s="250">
        <f t="shared" si="36"/>
        <v>0</v>
      </c>
      <c r="Y53" s="250">
        <f t="shared" si="36"/>
        <v>0</v>
      </c>
      <c r="Z53" s="250">
        <f t="shared" si="36"/>
        <v>0</v>
      </c>
      <c r="AA53" s="250">
        <f t="shared" si="36"/>
        <v>0</v>
      </c>
      <c r="AB53" s="250">
        <f t="shared" si="36"/>
        <v>0</v>
      </c>
      <c r="AC53" s="250">
        <f t="shared" si="36"/>
        <v>0</v>
      </c>
      <c r="AD53" s="250">
        <f t="shared" si="36"/>
        <v>0</v>
      </c>
      <c r="AE53" s="250">
        <f t="shared" si="36"/>
        <v>0</v>
      </c>
      <c r="AF53" s="250">
        <f t="shared" si="36"/>
        <v>0</v>
      </c>
      <c r="AG53" s="250">
        <f t="shared" si="36"/>
        <v>0</v>
      </c>
      <c r="AH53" s="250">
        <f t="shared" si="36"/>
        <v>0</v>
      </c>
      <c r="AI53" s="250">
        <f t="shared" si="36"/>
        <v>0</v>
      </c>
      <c r="AJ53" s="250">
        <f t="shared" si="36"/>
        <v>0</v>
      </c>
      <c r="AK53" s="250">
        <f t="shared" si="36"/>
        <v>0</v>
      </c>
      <c r="AL53" s="250">
        <f t="shared" si="36"/>
        <v>0</v>
      </c>
      <c r="AM53" s="250">
        <f t="shared" si="36"/>
        <v>0</v>
      </c>
      <c r="AN53" s="250">
        <f t="shared" si="36"/>
        <v>0</v>
      </c>
      <c r="AO53" s="250">
        <f t="shared" si="36"/>
        <v>0</v>
      </c>
    </row>
    <row r="54" spans="2:41" s="44" customFormat="1" outlineLevel="1">
      <c r="C54" s="50"/>
      <c r="D54" s="50"/>
      <c r="E54" s="50"/>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row>
    <row r="55" spans="2:41" s="44" customFormat="1" outlineLevel="1">
      <c r="B55" s="245" t="s">
        <v>106</v>
      </c>
      <c r="C55" s="252"/>
      <c r="D55" s="252"/>
      <c r="E55" s="252"/>
      <c r="F55" s="247"/>
      <c r="G55" s="247"/>
      <c r="H55" s="247"/>
      <c r="I55" s="247">
        <f t="shared" ref="I55:T55" si="37">IF(I53&gt;I33,(I53-I33),0)</f>
        <v>0</v>
      </c>
      <c r="J55" s="247">
        <f t="shared" si="37"/>
        <v>0</v>
      </c>
      <c r="K55" s="247">
        <f t="shared" si="37"/>
        <v>0</v>
      </c>
      <c r="L55" s="247">
        <f t="shared" si="37"/>
        <v>0</v>
      </c>
      <c r="M55" s="247">
        <f t="shared" si="37"/>
        <v>0</v>
      </c>
      <c r="N55" s="247">
        <f t="shared" si="37"/>
        <v>0</v>
      </c>
      <c r="O55" s="247">
        <f t="shared" si="37"/>
        <v>0</v>
      </c>
      <c r="P55" s="247">
        <f t="shared" si="37"/>
        <v>0</v>
      </c>
      <c r="Q55" s="247">
        <f t="shared" si="37"/>
        <v>0</v>
      </c>
      <c r="R55" s="247">
        <f t="shared" si="37"/>
        <v>0</v>
      </c>
      <c r="S55" s="247">
        <f t="shared" si="37"/>
        <v>0</v>
      </c>
      <c r="T55" s="247">
        <f t="shared" si="37"/>
        <v>0</v>
      </c>
      <c r="U55" s="247">
        <f t="shared" ref="U55:AO55" si="38">IF(U53&gt;U33,(U53-U33),0)</f>
        <v>0</v>
      </c>
      <c r="V55" s="247">
        <f t="shared" si="38"/>
        <v>0</v>
      </c>
      <c r="W55" s="247">
        <f t="shared" si="38"/>
        <v>0</v>
      </c>
      <c r="X55" s="247">
        <f t="shared" si="38"/>
        <v>0</v>
      </c>
      <c r="Y55" s="247">
        <f t="shared" si="38"/>
        <v>0</v>
      </c>
      <c r="Z55" s="247">
        <f t="shared" si="38"/>
        <v>0</v>
      </c>
      <c r="AA55" s="247">
        <f t="shared" si="38"/>
        <v>0</v>
      </c>
      <c r="AB55" s="247">
        <f t="shared" si="38"/>
        <v>0</v>
      </c>
      <c r="AC55" s="247">
        <f t="shared" si="38"/>
        <v>0</v>
      </c>
      <c r="AD55" s="247">
        <f t="shared" si="38"/>
        <v>0</v>
      </c>
      <c r="AE55" s="247">
        <f t="shared" si="38"/>
        <v>0</v>
      </c>
      <c r="AF55" s="247">
        <f t="shared" si="38"/>
        <v>0</v>
      </c>
      <c r="AG55" s="247">
        <f t="shared" si="38"/>
        <v>0</v>
      </c>
      <c r="AH55" s="247">
        <f t="shared" si="38"/>
        <v>0</v>
      </c>
      <c r="AI55" s="247">
        <f t="shared" si="38"/>
        <v>0</v>
      </c>
      <c r="AJ55" s="247">
        <f t="shared" si="38"/>
        <v>0</v>
      </c>
      <c r="AK55" s="247">
        <f t="shared" si="38"/>
        <v>0</v>
      </c>
      <c r="AL55" s="247">
        <f t="shared" si="38"/>
        <v>0</v>
      </c>
      <c r="AM55" s="247">
        <f t="shared" si="38"/>
        <v>0</v>
      </c>
      <c r="AN55" s="247">
        <f t="shared" si="38"/>
        <v>0</v>
      </c>
      <c r="AO55" s="247">
        <f t="shared" si="38"/>
        <v>0</v>
      </c>
    </row>
    <row r="56" spans="2:41" s="44" customFormat="1" outlineLevel="1">
      <c r="B56" s="245" t="s">
        <v>107</v>
      </c>
      <c r="C56" s="252"/>
      <c r="D56" s="252"/>
      <c r="E56" s="252"/>
      <c r="F56" s="247"/>
      <c r="G56" s="247"/>
      <c r="H56" s="247"/>
      <c r="I56" s="247">
        <f t="shared" ref="I56:T56" si="39">IF(H59&gt;I55,I55,H59)</f>
        <v>0</v>
      </c>
      <c r="J56" s="247">
        <f t="shared" si="39"/>
        <v>0</v>
      </c>
      <c r="K56" s="247">
        <f t="shared" si="39"/>
        <v>0</v>
      </c>
      <c r="L56" s="247">
        <f t="shared" si="39"/>
        <v>0</v>
      </c>
      <c r="M56" s="247">
        <f t="shared" si="39"/>
        <v>0</v>
      </c>
      <c r="N56" s="247">
        <f t="shared" si="39"/>
        <v>0</v>
      </c>
      <c r="O56" s="247">
        <f t="shared" si="39"/>
        <v>0</v>
      </c>
      <c r="P56" s="247">
        <f t="shared" si="39"/>
        <v>0</v>
      </c>
      <c r="Q56" s="247">
        <f t="shared" si="39"/>
        <v>0</v>
      </c>
      <c r="R56" s="247">
        <f t="shared" si="39"/>
        <v>0</v>
      </c>
      <c r="S56" s="247">
        <f t="shared" si="39"/>
        <v>0</v>
      </c>
      <c r="T56" s="247">
        <f t="shared" si="39"/>
        <v>0</v>
      </c>
      <c r="U56" s="247">
        <f t="shared" ref="U56:AO56" si="40">IF(T59&gt;U55,U55,T59)</f>
        <v>0</v>
      </c>
      <c r="V56" s="247">
        <f t="shared" si="40"/>
        <v>0</v>
      </c>
      <c r="W56" s="247">
        <f t="shared" si="40"/>
        <v>0</v>
      </c>
      <c r="X56" s="247">
        <f t="shared" si="40"/>
        <v>0</v>
      </c>
      <c r="Y56" s="247">
        <f t="shared" si="40"/>
        <v>0</v>
      </c>
      <c r="Z56" s="247">
        <f t="shared" si="40"/>
        <v>0</v>
      </c>
      <c r="AA56" s="247">
        <f t="shared" si="40"/>
        <v>0</v>
      </c>
      <c r="AB56" s="247">
        <f t="shared" si="40"/>
        <v>0</v>
      </c>
      <c r="AC56" s="247">
        <f t="shared" si="40"/>
        <v>0</v>
      </c>
      <c r="AD56" s="247">
        <f t="shared" si="40"/>
        <v>0</v>
      </c>
      <c r="AE56" s="247">
        <f t="shared" si="40"/>
        <v>0</v>
      </c>
      <c r="AF56" s="247">
        <f t="shared" si="40"/>
        <v>0</v>
      </c>
      <c r="AG56" s="247">
        <f t="shared" si="40"/>
        <v>0</v>
      </c>
      <c r="AH56" s="247">
        <f t="shared" si="40"/>
        <v>0</v>
      </c>
      <c r="AI56" s="247">
        <f t="shared" si="40"/>
        <v>0</v>
      </c>
      <c r="AJ56" s="247">
        <f t="shared" si="40"/>
        <v>0</v>
      </c>
      <c r="AK56" s="247">
        <f t="shared" si="40"/>
        <v>0</v>
      </c>
      <c r="AL56" s="247">
        <f t="shared" si="40"/>
        <v>0</v>
      </c>
      <c r="AM56" s="247">
        <f t="shared" si="40"/>
        <v>0</v>
      </c>
      <c r="AN56" s="247">
        <f t="shared" si="40"/>
        <v>0</v>
      </c>
      <c r="AO56" s="247">
        <f t="shared" si="40"/>
        <v>0</v>
      </c>
    </row>
    <row r="57" spans="2:41" s="44" customFormat="1" outlineLevel="1">
      <c r="B57" s="245" t="s">
        <v>108</v>
      </c>
      <c r="C57" s="252"/>
      <c r="D57" s="252"/>
      <c r="E57" s="252"/>
      <c r="F57" s="247"/>
      <c r="G57" s="247"/>
      <c r="H57" s="247"/>
      <c r="I57" s="247">
        <f t="shared" ref="I57:T57" si="41">IF(I33&gt;I53,I33,0)</f>
        <v>0</v>
      </c>
      <c r="J57" s="247">
        <f t="shared" si="41"/>
        <v>0</v>
      </c>
      <c r="K57" s="247">
        <f t="shared" si="41"/>
        <v>0</v>
      </c>
      <c r="L57" s="247">
        <f t="shared" si="41"/>
        <v>0</v>
      </c>
      <c r="M57" s="247">
        <f t="shared" si="41"/>
        <v>0</v>
      </c>
      <c r="N57" s="247">
        <f t="shared" si="41"/>
        <v>0</v>
      </c>
      <c r="O57" s="247">
        <f t="shared" si="41"/>
        <v>0</v>
      </c>
      <c r="P57" s="247">
        <f t="shared" si="41"/>
        <v>0</v>
      </c>
      <c r="Q57" s="247">
        <f t="shared" si="41"/>
        <v>0</v>
      </c>
      <c r="R57" s="247">
        <f t="shared" si="41"/>
        <v>0</v>
      </c>
      <c r="S57" s="247">
        <f t="shared" si="41"/>
        <v>0</v>
      </c>
      <c r="T57" s="247">
        <f t="shared" si="41"/>
        <v>0</v>
      </c>
      <c r="U57" s="247">
        <f t="shared" ref="U57:AO57" si="42">IF(U33&gt;U53,U33,0)</f>
        <v>0</v>
      </c>
      <c r="V57" s="247">
        <f t="shared" si="42"/>
        <v>14.461643049501602</v>
      </c>
      <c r="W57" s="247">
        <f t="shared" si="42"/>
        <v>1.1109318574407292</v>
      </c>
      <c r="X57" s="247">
        <f t="shared" si="42"/>
        <v>0</v>
      </c>
      <c r="Y57" s="247">
        <f t="shared" si="42"/>
        <v>0</v>
      </c>
      <c r="Z57" s="247">
        <f t="shared" si="42"/>
        <v>0</v>
      </c>
      <c r="AA57" s="247">
        <f t="shared" si="42"/>
        <v>0</v>
      </c>
      <c r="AB57" s="247">
        <f t="shared" si="42"/>
        <v>0</v>
      </c>
      <c r="AC57" s="247">
        <f t="shared" si="42"/>
        <v>0</v>
      </c>
      <c r="AD57" s="247">
        <f t="shared" si="42"/>
        <v>0</v>
      </c>
      <c r="AE57" s="247">
        <f t="shared" si="42"/>
        <v>0</v>
      </c>
      <c r="AF57" s="247">
        <f t="shared" si="42"/>
        <v>0</v>
      </c>
      <c r="AG57" s="247">
        <f t="shared" si="42"/>
        <v>0</v>
      </c>
      <c r="AH57" s="247">
        <f t="shared" si="42"/>
        <v>0</v>
      </c>
      <c r="AI57" s="247">
        <f t="shared" si="42"/>
        <v>0</v>
      </c>
      <c r="AJ57" s="247">
        <f t="shared" si="42"/>
        <v>0</v>
      </c>
      <c r="AK57" s="247">
        <f t="shared" si="42"/>
        <v>0</v>
      </c>
      <c r="AL57" s="247">
        <f t="shared" si="42"/>
        <v>0</v>
      </c>
      <c r="AM57" s="247">
        <f t="shared" si="42"/>
        <v>0</v>
      </c>
      <c r="AN57" s="247">
        <f t="shared" si="42"/>
        <v>0</v>
      </c>
      <c r="AO57" s="247">
        <f t="shared" si="42"/>
        <v>0</v>
      </c>
    </row>
    <row r="58" spans="2:41" s="44" customFormat="1" outlineLevel="1">
      <c r="B58" s="245" t="s">
        <v>109</v>
      </c>
      <c r="C58" s="252"/>
      <c r="D58" s="252"/>
      <c r="E58" s="252"/>
      <c r="F58" s="247"/>
      <c r="G58" s="247"/>
      <c r="H58" s="247"/>
      <c r="I58" s="247">
        <f>SUMIF($G$10:$R$10,I10-Input!$C$148,$G$57:$T$57)</f>
        <v>0</v>
      </c>
      <c r="J58" s="247">
        <f>SUMIF($G$10:$R$10,J10-Input!$C$148,$G$57:$T$57)</f>
        <v>0</v>
      </c>
      <c r="K58" s="247">
        <f>SUMIF($G$10:$R$10,K10-Input!$C$148,$G$57:$T$57)</f>
        <v>0</v>
      </c>
      <c r="L58" s="247">
        <f>SUMIF($G$10:$R$10,L10-Input!$C$148,$G$57:$T$57)</f>
        <v>0</v>
      </c>
      <c r="M58" s="247">
        <f>SUMIF($G$10:$R$10,M10-Input!$C$148,$G$57:$T$57)</f>
        <v>0</v>
      </c>
      <c r="N58" s="247">
        <f>SUMIF($G$10:$R$10,N10-Input!$C$148,$G$57:$T$57)</f>
        <v>0</v>
      </c>
      <c r="O58" s="247">
        <f>SUMIF($G$10:$R$10,O10-Input!$C$148,$G$57:$T$57)</f>
        <v>0</v>
      </c>
      <c r="P58" s="247">
        <f>SUMIF($G$10:$R$10,P10-Input!$C$148,$G$57:$T$57)</f>
        <v>0</v>
      </c>
      <c r="Q58" s="247">
        <f>SUMIF($G$10:$R$10,Q10-Input!$C$148,$G$57:$T$57)</f>
        <v>0</v>
      </c>
      <c r="R58" s="247">
        <f>SUMIF($G$10:$R$10,R10-Input!$C$148,$G$57:$T$57)</f>
        <v>0</v>
      </c>
      <c r="S58" s="247">
        <f>SUMIF($G$10:$R$10,S10-Input!$C$148,$G$57:$T$57)</f>
        <v>0</v>
      </c>
      <c r="T58" s="247">
        <f>SUMIF($G$10:$R$10,T10-Input!$C$148,$G$57:$T$57)</f>
        <v>0</v>
      </c>
      <c r="U58" s="247">
        <f>SUMIF($G$10:$R$10,U10-Input!$C$148,$G$57:$T$57)</f>
        <v>0</v>
      </c>
      <c r="V58" s="247">
        <f>SUMIF($G$10:$R$10,V10-Input!$C$148,$G$57:$T$57)</f>
        <v>0</v>
      </c>
      <c r="W58" s="247">
        <f>SUMIF($G$10:$R$10,W10-Input!$C$148,$G$57:$T$57)</f>
        <v>0</v>
      </c>
      <c r="X58" s="247">
        <f>SUMIF($G$10:$R$10,X10-Input!$C$148,$G$57:$T$57)</f>
        <v>0</v>
      </c>
      <c r="Y58" s="247">
        <f>SUMIF($G$10:$R$10,Y10-Input!$C$148,$G$57:$T$57)</f>
        <v>0</v>
      </c>
      <c r="Z58" s="247">
        <f>SUMIF($G$10:$R$10,Z10-Input!$C$148,$G$57:$T$57)</f>
        <v>0</v>
      </c>
      <c r="AA58" s="247">
        <f>SUMIF($G$10:$R$10,AA10-Input!$C$148,$G$57:$T$57)</f>
        <v>0</v>
      </c>
      <c r="AB58" s="247">
        <f>SUMIF($G$10:$R$10,AB10-Input!$C$148,$G$57:$T$57)</f>
        <v>0</v>
      </c>
      <c r="AC58" s="247">
        <f>SUMIF($G$10:$R$10,AC10-Input!$C$148,$G$57:$T$57)</f>
        <v>0</v>
      </c>
      <c r="AD58" s="247">
        <f>SUMIF($G$10:$R$10,AD10-Input!$C$148,$G$57:$T$57)</f>
        <v>0</v>
      </c>
      <c r="AE58" s="247">
        <f>SUMIF($G$10:$R$10,AE10-Input!$C$148,$G$57:$T$57)</f>
        <v>0</v>
      </c>
      <c r="AF58" s="247">
        <f>SUMIF($G$10:$R$10,AF10-Input!$C$148,$G$57:$T$57)</f>
        <v>0</v>
      </c>
      <c r="AG58" s="247">
        <f>SUMIF($G$10:$R$10,AG10-Input!$C$148,$G$57:$T$57)</f>
        <v>0</v>
      </c>
      <c r="AH58" s="247">
        <f>SUMIF($G$10:$R$10,AH10-Input!$C$148,$G$57:$T$57)</f>
        <v>0</v>
      </c>
      <c r="AI58" s="247">
        <f>SUMIF($G$10:$R$10,AI10-Input!$C$148,$G$57:$T$57)</f>
        <v>0</v>
      </c>
      <c r="AJ58" s="247">
        <f>SUMIF($G$10:$R$10,AJ10-Input!$C$148,$G$57:$T$57)</f>
        <v>0</v>
      </c>
      <c r="AK58" s="247">
        <f>SUMIF($G$10:$R$10,AK10-Input!$C$148,$G$57:$T$57)</f>
        <v>0</v>
      </c>
      <c r="AL58" s="247">
        <f>SUMIF($G$10:$R$10,AL10-Input!$C$148,$G$57:$T$57)</f>
        <v>0</v>
      </c>
      <c r="AM58" s="247">
        <f>SUMIF($G$10:$R$10,AM10-Input!$C$148,$G$57:$T$57)</f>
        <v>0</v>
      </c>
      <c r="AN58" s="247">
        <f>SUMIF($G$10:$R$10,AN10-Input!$C$148,$G$57:$T$57)</f>
        <v>0</v>
      </c>
      <c r="AO58" s="247">
        <f>SUMIF($G$10:$R$10,AO10-Input!$C$148,$G$57:$T$57)</f>
        <v>0</v>
      </c>
    </row>
    <row r="59" spans="2:41" s="44" customFormat="1" outlineLevel="1">
      <c r="B59" s="245" t="s">
        <v>110</v>
      </c>
      <c r="C59" s="246"/>
      <c r="D59" s="246"/>
      <c r="E59" s="246"/>
      <c r="F59" s="247"/>
      <c r="G59" s="247"/>
      <c r="H59" s="247"/>
      <c r="I59" s="247">
        <f>IF((SUM($G$57:I57)-SUM($G$56:I56))&gt;0,(SUM($G$57:I57)-SUM($G$56:I56)-SUM($G$58:I58)),0)</f>
        <v>0</v>
      </c>
      <c r="J59" s="247">
        <f>IF((SUM($G$57:J57)-SUM($G$56:J56))&gt;0,(SUM($G$57:J57)-SUM($G$56:J56)-SUM($G$58:J58)),0)</f>
        <v>0</v>
      </c>
      <c r="K59" s="247">
        <f>IF((SUM($G$57:K57)-SUM($G$56:K56))&gt;0,(SUM($G$57:K57)-SUM($G$56:K56)-SUM($G$58:K58)),0)</f>
        <v>0</v>
      </c>
      <c r="L59" s="247">
        <f>IF((SUM($G$57:L57)-SUM($G$56:L56))&gt;0,(SUM($G$57:L57)-SUM($G$56:L56)-SUM($G$58:L58)),0)</f>
        <v>0</v>
      </c>
      <c r="M59" s="247">
        <f>IF((SUM($G$57:M57)-SUM($G$56:M56))&gt;0,(SUM($G$57:M57)-SUM($G$56:M56)-SUM($G$58:M58)),0)</f>
        <v>0</v>
      </c>
      <c r="N59" s="247">
        <f>IF((SUM($G$57:N57)-SUM($G$56:N56))&gt;0,(SUM($G$57:N57)-SUM($G$56:N56)-SUM($G$58:N58)),0)</f>
        <v>0</v>
      </c>
      <c r="O59" s="247">
        <f>IF((SUM($G$57:O57)-SUM($G$56:O56))&gt;0,(SUM($G$57:O57)-SUM($G$56:O56)-SUM($G$58:O58)),0)</f>
        <v>0</v>
      </c>
      <c r="P59" s="247">
        <f>IF((SUM($G$57:P57)-SUM($G$56:P56))&gt;0,(SUM($G$57:P57)-SUM($G$56:P56)-SUM($G$58:P58)),0)</f>
        <v>0</v>
      </c>
      <c r="Q59" s="247">
        <f>IF((SUM($G$57:Q57)-SUM($G$56:Q56))&gt;0,(SUM($G$57:Q57)-SUM($G$56:Q56)-SUM($G$58:Q58)),0)</f>
        <v>0</v>
      </c>
      <c r="R59" s="247">
        <f>IF((SUM($G$57:R57)-SUM($G$56:R56))&gt;0,(SUM($G$57:R57)-SUM($G$56:R56)-SUM($G$58:R58)),0)</f>
        <v>0</v>
      </c>
      <c r="S59" s="247">
        <f>IF((SUM($G$57:S57)-SUM($G$56:S56))&gt;0,(SUM($G$57:S57)-SUM($G$56:S56)-SUM($G$58:S58)),0)</f>
        <v>0</v>
      </c>
      <c r="T59" s="247">
        <f>IF((SUM($G$57:T57)-SUM($G$56:T56))&gt;0,(SUM($G$57:T57)-SUM($G$56:T56)-SUM($G$58:T58)),0)</f>
        <v>0</v>
      </c>
      <c r="U59" s="247">
        <f>IF((SUM($G$57:U57)-SUM($G$56:U56))&gt;0,(SUM($G$57:U57)-SUM($G$56:U56)-SUM($G$58:U58)),0)</f>
        <v>0</v>
      </c>
      <c r="V59" s="247">
        <f>IF((SUM($G$57:V57)-SUM($G$56:V56))&gt;0,(SUM($G$57:V57)-SUM($G$56:V56)-SUM($G$58:V58)),0)</f>
        <v>14.461643049501602</v>
      </c>
      <c r="W59" s="247">
        <f>IF((SUM($G$57:W57)-SUM($G$56:W56))&gt;0,(SUM($G$57:W57)-SUM($G$56:W56)-SUM($G$58:W58)),0)</f>
        <v>15.57257490694233</v>
      </c>
      <c r="X59" s="247">
        <f>IF((SUM($G$57:X57)-SUM($G$56:X56))&gt;0,(SUM($G$57:X57)-SUM($G$56:X56)-SUM($G$58:X58)),0)</f>
        <v>15.57257490694233</v>
      </c>
      <c r="Y59" s="247">
        <f>IF((SUM($G$57:Y57)-SUM($G$56:Y56))&gt;0,(SUM($G$57:Y57)-SUM($G$56:Y56)-SUM($G$58:Y58)),0)</f>
        <v>15.57257490694233</v>
      </c>
      <c r="Z59" s="247">
        <f>IF((SUM($G$57:Z57)-SUM($G$56:Z56))&gt;0,(SUM($G$57:Z57)-SUM($G$56:Z56)-SUM($G$58:Z58)),0)</f>
        <v>15.57257490694233</v>
      </c>
      <c r="AA59" s="247">
        <f>IF((SUM($G$57:AA57)-SUM($G$56:AA56))&gt;0,(SUM($G$57:AA57)-SUM($G$56:AA56)-SUM($G$58:AA58)),0)</f>
        <v>15.57257490694233</v>
      </c>
      <c r="AB59" s="247">
        <f>IF((SUM($G$57:AB57)-SUM($G$56:AB56))&gt;0,(SUM($G$57:AB57)-SUM($G$56:AB56)-SUM($G$58:AB58)),0)</f>
        <v>15.57257490694233</v>
      </c>
      <c r="AC59" s="247">
        <f>IF((SUM($G$57:AC57)-SUM($G$56:AC56))&gt;0,(SUM($G$57:AC57)-SUM($G$56:AC56)-SUM($G$58:AC58)),0)</f>
        <v>15.57257490694233</v>
      </c>
      <c r="AD59" s="247">
        <f>IF((SUM($G$57:AD57)-SUM($G$56:AD56))&gt;0,(SUM($G$57:AD57)-SUM($G$56:AD56)-SUM($G$58:AD58)),0)</f>
        <v>15.57257490694233</v>
      </c>
      <c r="AE59" s="247">
        <f>IF((SUM($G$57:AE57)-SUM($G$56:AE56))&gt;0,(SUM($G$57:AE57)-SUM($G$56:AE56)-SUM($G$58:AE58)),0)</f>
        <v>15.57257490694233</v>
      </c>
      <c r="AF59" s="247">
        <f>IF((SUM($G$57:AF57)-SUM($G$56:AF56))&gt;0,(SUM($G$57:AF57)-SUM($G$56:AF56)-SUM($G$58:AF58)),0)</f>
        <v>15.57257490694233</v>
      </c>
      <c r="AG59" s="247">
        <f>IF((SUM($G$57:AG57)-SUM($G$56:AG56))&gt;0,(SUM($G$57:AG57)-SUM($G$56:AG56)-SUM($G$58:AG58)),0)</f>
        <v>15.57257490694233</v>
      </c>
      <c r="AH59" s="247">
        <f>IF((SUM($G$57:AH57)-SUM($G$56:AH56))&gt;0,(SUM($G$57:AH57)-SUM($G$56:AH56)-SUM($G$58:AH58)),0)</f>
        <v>15.57257490694233</v>
      </c>
      <c r="AI59" s="247">
        <f>IF((SUM($G$57:AI57)-SUM($G$56:AI56))&gt;0,(SUM($G$57:AI57)-SUM($G$56:AI56)-SUM($G$58:AI58)),0)</f>
        <v>15.57257490694233</v>
      </c>
      <c r="AJ59" s="247">
        <f>IF((SUM($G$57:AJ57)-SUM($G$56:AJ56))&gt;0,(SUM($G$57:AJ57)-SUM($G$56:AJ56)-SUM($G$58:AJ58)),0)</f>
        <v>15.57257490694233</v>
      </c>
      <c r="AK59" s="247">
        <f>IF((SUM($G$57:AK57)-SUM($G$56:AK56))&gt;0,(SUM($G$57:AK57)-SUM($G$56:AK56)-SUM($G$58:AK58)),0)</f>
        <v>15.57257490694233</v>
      </c>
      <c r="AL59" s="247">
        <f>IF((SUM($G$57:AL57)-SUM($G$56:AL56))&gt;0,(SUM($G$57:AL57)-SUM($G$56:AL56)-SUM($G$58:AL58)),0)</f>
        <v>15.57257490694233</v>
      </c>
      <c r="AM59" s="247">
        <f>IF((SUM($G$57:AM57)-SUM($G$56:AM56))&gt;0,(SUM($G$57:AM57)-SUM($G$56:AM56)-SUM($G$58:AM58)),0)</f>
        <v>15.57257490694233</v>
      </c>
      <c r="AN59" s="247">
        <f>IF((SUM($G$57:AN57)-SUM($G$56:AN56))&gt;0,(SUM($G$57:AN57)-SUM($G$56:AN56)-SUM($G$58:AN58)),0)</f>
        <v>15.57257490694233</v>
      </c>
      <c r="AO59" s="247">
        <f>IF((SUM($G$57:AO57)-SUM($G$56:AO56))&gt;0,(SUM($G$57:AO57)-SUM($G$56:AO56)-SUM($G$58:AO58)),0)</f>
        <v>15.57257490694233</v>
      </c>
    </row>
    <row r="60" spans="2:41" s="66" customFormat="1" ht="15" outlineLevel="1">
      <c r="B60" s="248" t="s">
        <v>111</v>
      </c>
      <c r="C60" s="256"/>
      <c r="D60" s="256"/>
      <c r="E60" s="256"/>
      <c r="F60" s="250"/>
      <c r="G60" s="250"/>
      <c r="H60" s="250"/>
      <c r="I60" s="250">
        <f t="shared" ref="I60:T60" si="43">IF(I53&gt;I33,I53,I33)-I56</f>
        <v>0</v>
      </c>
      <c r="J60" s="250">
        <f t="shared" si="43"/>
        <v>0</v>
      </c>
      <c r="K60" s="250">
        <f t="shared" si="43"/>
        <v>0</v>
      </c>
      <c r="L60" s="250">
        <f t="shared" si="43"/>
        <v>0</v>
      </c>
      <c r="M60" s="250">
        <f t="shared" si="43"/>
        <v>0</v>
      </c>
      <c r="N60" s="250">
        <f t="shared" si="43"/>
        <v>0</v>
      </c>
      <c r="O60" s="250">
        <f t="shared" si="43"/>
        <v>0</v>
      </c>
      <c r="P60" s="250">
        <f t="shared" si="43"/>
        <v>0</v>
      </c>
      <c r="Q60" s="250">
        <f t="shared" si="43"/>
        <v>0</v>
      </c>
      <c r="R60" s="250">
        <f t="shared" si="43"/>
        <v>0</v>
      </c>
      <c r="S60" s="250">
        <f t="shared" si="43"/>
        <v>0</v>
      </c>
      <c r="T60" s="250">
        <f t="shared" si="43"/>
        <v>0</v>
      </c>
      <c r="U60" s="250">
        <f t="shared" ref="U60:AO60" si="44">IF(U53&gt;U33,U53,U33)-U56</f>
        <v>0</v>
      </c>
      <c r="V60" s="250">
        <f t="shared" si="44"/>
        <v>14.461643049501602</v>
      </c>
      <c r="W60" s="250">
        <f t="shared" si="44"/>
        <v>1.1109318574407292</v>
      </c>
      <c r="X60" s="250">
        <f t="shared" si="44"/>
        <v>0</v>
      </c>
      <c r="Y60" s="250">
        <f t="shared" si="44"/>
        <v>0</v>
      </c>
      <c r="Z60" s="250">
        <f t="shared" si="44"/>
        <v>0</v>
      </c>
      <c r="AA60" s="250">
        <f t="shared" si="44"/>
        <v>0</v>
      </c>
      <c r="AB60" s="250">
        <f t="shared" si="44"/>
        <v>0</v>
      </c>
      <c r="AC60" s="250">
        <f t="shared" si="44"/>
        <v>0</v>
      </c>
      <c r="AD60" s="250">
        <f t="shared" si="44"/>
        <v>0</v>
      </c>
      <c r="AE60" s="250">
        <f t="shared" si="44"/>
        <v>0</v>
      </c>
      <c r="AF60" s="250">
        <f t="shared" si="44"/>
        <v>0</v>
      </c>
      <c r="AG60" s="250">
        <f t="shared" si="44"/>
        <v>0</v>
      </c>
      <c r="AH60" s="250">
        <f t="shared" si="44"/>
        <v>0</v>
      </c>
      <c r="AI60" s="250">
        <f t="shared" si="44"/>
        <v>0</v>
      </c>
      <c r="AJ60" s="250">
        <f t="shared" si="44"/>
        <v>0</v>
      </c>
      <c r="AK60" s="250">
        <f t="shared" si="44"/>
        <v>0</v>
      </c>
      <c r="AL60" s="250">
        <f t="shared" si="44"/>
        <v>0</v>
      </c>
      <c r="AM60" s="250">
        <f t="shared" si="44"/>
        <v>0</v>
      </c>
      <c r="AN60" s="250">
        <f t="shared" si="44"/>
        <v>0</v>
      </c>
      <c r="AO60" s="250">
        <f t="shared" si="44"/>
        <v>0</v>
      </c>
    </row>
    <row r="62" spans="2:41" ht="15">
      <c r="B62" s="68" t="s">
        <v>233</v>
      </c>
    </row>
    <row r="63" spans="2:41" outlineLevel="1">
      <c r="B63" s="150" t="s">
        <v>234</v>
      </c>
      <c r="C63" s="150"/>
      <c r="D63" s="150"/>
      <c r="E63" s="150"/>
      <c r="F63" s="150"/>
      <c r="G63" s="150"/>
      <c r="H63" s="150"/>
      <c r="I63" s="151">
        <f>I12</f>
        <v>0</v>
      </c>
      <c r="J63" s="151">
        <f t="shared" ref="J63:AO63" si="45">J12</f>
        <v>117.79144940587399</v>
      </c>
      <c r="K63" s="151">
        <f t="shared" si="45"/>
        <v>87.735052307094975</v>
      </c>
      <c r="L63" s="151">
        <f t="shared" si="45"/>
        <v>96.457532674718593</v>
      </c>
      <c r="M63" s="151">
        <f t="shared" si="45"/>
        <v>103.05095228652415</v>
      </c>
      <c r="N63" s="151">
        <f t="shared" si="45"/>
        <v>108.70276886512572</v>
      </c>
      <c r="O63" s="151">
        <f t="shared" si="45"/>
        <v>114.72649096001797</v>
      </c>
      <c r="P63" s="151">
        <f t="shared" si="45"/>
        <v>120.80200439665414</v>
      </c>
      <c r="Q63" s="151">
        <f t="shared" si="45"/>
        <v>127.79937843847392</v>
      </c>
      <c r="R63" s="151">
        <f t="shared" si="45"/>
        <v>133.94320096575149</v>
      </c>
      <c r="S63" s="151">
        <f t="shared" si="45"/>
        <v>141.04765337125309</v>
      </c>
      <c r="T63" s="151">
        <f t="shared" si="45"/>
        <v>149.10921637900196</v>
      </c>
      <c r="U63" s="151">
        <f t="shared" si="45"/>
        <v>157.17874658461579</v>
      </c>
      <c r="V63" s="151">
        <f t="shared" si="45"/>
        <v>165.21300553359924</v>
      </c>
      <c r="W63" s="151">
        <f t="shared" si="45"/>
        <v>8.1965680317944525</v>
      </c>
      <c r="X63" s="151">
        <f t="shared" si="45"/>
        <v>0</v>
      </c>
      <c r="Y63" s="151">
        <f t="shared" si="45"/>
        <v>0</v>
      </c>
      <c r="Z63" s="151">
        <f t="shared" si="45"/>
        <v>0</v>
      </c>
      <c r="AA63" s="151">
        <f t="shared" si="45"/>
        <v>0</v>
      </c>
      <c r="AB63" s="151">
        <f t="shared" si="45"/>
        <v>0</v>
      </c>
      <c r="AC63" s="151">
        <f t="shared" si="45"/>
        <v>0</v>
      </c>
      <c r="AD63" s="151">
        <f t="shared" si="45"/>
        <v>0</v>
      </c>
      <c r="AE63" s="151">
        <f t="shared" si="45"/>
        <v>0</v>
      </c>
      <c r="AF63" s="151">
        <f t="shared" si="45"/>
        <v>0</v>
      </c>
      <c r="AG63" s="151">
        <f t="shared" si="45"/>
        <v>0</v>
      </c>
      <c r="AH63" s="151">
        <f t="shared" si="45"/>
        <v>0</v>
      </c>
      <c r="AI63" s="151">
        <f t="shared" si="45"/>
        <v>0</v>
      </c>
      <c r="AJ63" s="151">
        <f t="shared" si="45"/>
        <v>0</v>
      </c>
      <c r="AK63" s="151">
        <f t="shared" si="45"/>
        <v>0</v>
      </c>
      <c r="AL63" s="151">
        <f t="shared" si="45"/>
        <v>0</v>
      </c>
      <c r="AM63" s="151">
        <f t="shared" si="45"/>
        <v>0</v>
      </c>
      <c r="AN63" s="151">
        <f t="shared" si="45"/>
        <v>0</v>
      </c>
      <c r="AO63" s="151">
        <f t="shared" si="45"/>
        <v>0</v>
      </c>
    </row>
    <row r="64" spans="2:41" outlineLevel="1">
      <c r="B64" s="150" t="s">
        <v>235</v>
      </c>
      <c r="C64" s="150"/>
      <c r="D64" s="150"/>
      <c r="E64" s="150"/>
      <c r="F64" s="150"/>
      <c r="G64" s="150"/>
      <c r="H64" s="150"/>
      <c r="I64" s="151">
        <f>I13</f>
        <v>0</v>
      </c>
      <c r="J64" s="151">
        <f t="shared" ref="J64:AO64" si="46">J13</f>
        <v>0</v>
      </c>
      <c r="K64" s="151">
        <f t="shared" si="46"/>
        <v>0</v>
      </c>
      <c r="L64" s="151">
        <f t="shared" si="46"/>
        <v>129.01438519156105</v>
      </c>
      <c r="M64" s="151">
        <f t="shared" si="46"/>
        <v>129.36784926057899</v>
      </c>
      <c r="N64" s="151">
        <f t="shared" si="46"/>
        <v>129.01438519156105</v>
      </c>
      <c r="O64" s="151">
        <f t="shared" si="46"/>
        <v>129.01438519156105</v>
      </c>
      <c r="P64" s="151">
        <f t="shared" si="46"/>
        <v>129.01438519156105</v>
      </c>
      <c r="Q64" s="151">
        <f t="shared" si="46"/>
        <v>129.36784926057899</v>
      </c>
      <c r="R64" s="151">
        <f t="shared" si="46"/>
        <v>129.01438519156105</v>
      </c>
      <c r="S64" s="151">
        <f t="shared" si="46"/>
        <v>129.01438519156105</v>
      </c>
      <c r="T64" s="151">
        <f t="shared" si="46"/>
        <v>129.01438519156105</v>
      </c>
      <c r="U64" s="151">
        <f t="shared" si="46"/>
        <v>129.36784926057899</v>
      </c>
      <c r="V64" s="151">
        <f t="shared" si="46"/>
        <v>129.01438519156105</v>
      </c>
      <c r="W64" s="151">
        <f t="shared" si="46"/>
        <v>6.0088891733055831</v>
      </c>
      <c r="X64" s="151">
        <f t="shared" si="46"/>
        <v>0</v>
      </c>
      <c r="Y64" s="151">
        <f t="shared" si="46"/>
        <v>0</v>
      </c>
      <c r="Z64" s="151">
        <f t="shared" si="46"/>
        <v>0</v>
      </c>
      <c r="AA64" s="151">
        <f t="shared" si="46"/>
        <v>0</v>
      </c>
      <c r="AB64" s="151">
        <f t="shared" si="46"/>
        <v>0</v>
      </c>
      <c r="AC64" s="151">
        <f t="shared" si="46"/>
        <v>0</v>
      </c>
      <c r="AD64" s="151">
        <f t="shared" si="46"/>
        <v>0</v>
      </c>
      <c r="AE64" s="151">
        <f t="shared" si="46"/>
        <v>0</v>
      </c>
      <c r="AF64" s="151">
        <f t="shared" si="46"/>
        <v>0</v>
      </c>
      <c r="AG64" s="151">
        <f t="shared" si="46"/>
        <v>0</v>
      </c>
      <c r="AH64" s="151">
        <f t="shared" si="46"/>
        <v>0</v>
      </c>
      <c r="AI64" s="151">
        <f t="shared" si="46"/>
        <v>0</v>
      </c>
      <c r="AJ64" s="151">
        <f t="shared" si="46"/>
        <v>0</v>
      </c>
      <c r="AK64" s="151">
        <f t="shared" si="46"/>
        <v>0</v>
      </c>
      <c r="AL64" s="151">
        <f t="shared" si="46"/>
        <v>0</v>
      </c>
      <c r="AM64" s="151">
        <f t="shared" si="46"/>
        <v>0</v>
      </c>
      <c r="AN64" s="151">
        <f t="shared" si="46"/>
        <v>0</v>
      </c>
      <c r="AO64" s="151">
        <f t="shared" si="46"/>
        <v>0</v>
      </c>
    </row>
    <row r="65" spans="1:41" ht="15" outlineLevel="1">
      <c r="B65" s="156" t="s">
        <v>236</v>
      </c>
      <c r="C65" s="150"/>
      <c r="D65" s="150"/>
      <c r="E65" s="150"/>
      <c r="F65" s="150"/>
      <c r="G65" s="150"/>
      <c r="H65" s="150"/>
      <c r="I65" s="257">
        <f>IF(AND(H63=0,I63&lt;&gt;0),-(I63-I64)*Input!$C$146,IF(SUM($H$65:H65)&gt;0,-(I63-I64)*Input!$C$146,-SUM($H$65:H65)))</f>
        <v>0</v>
      </c>
      <c r="J65" s="257">
        <f>IF(AND(I63=0,J63&lt;&gt;0),-(J63-J64)*Input!$C$146,IF(SUM($H$65:I65)&gt;0,-(J63-J64)*Input!$C$146,-SUM($H$65:I65)))</f>
        <v>-41.161044080388614</v>
      </c>
      <c r="K65" s="257">
        <f>IF(AND(J63=0,K63&lt;&gt;0),-(K63-K64)*Input!$C$146,IF(SUM($H$65:J65)&gt;0,-(K63-K64)*Input!$C$146,-SUM($H$65:J65)))</f>
        <v>41.161044080388614</v>
      </c>
      <c r="L65" s="257">
        <f>IF(AND(K63=0,L63&lt;&gt;0),-(L63-L64)*Input!$C$146,IF(SUM($H$65:K65)&gt;0,-(L63-L64)*Input!$C$146,-SUM($H$65:K65)))</f>
        <v>0</v>
      </c>
      <c r="M65" s="257">
        <f>IF(AND(L63=0,M63&lt;&gt;0),-(M63-M64)*Input!$C$146,IF(SUM($H$65:L65)&gt;0,-(M63-M64)*Input!$C$146,-SUM($H$65:L65)))</f>
        <v>0</v>
      </c>
      <c r="N65" s="257">
        <f>IF(AND(M63=0,N63&lt;&gt;0),-(N63-N64)*Input!$C$146,IF(SUM($H$65:M65)&gt;0,-(N63-N64)*Input!$C$146,-SUM($H$65:M65)))</f>
        <v>0</v>
      </c>
      <c r="O65" s="257">
        <f>IF(AND(N63=0,O63&lt;&gt;0),-(O63-O64)*Input!$C$146,IF(SUM($H$65:N65)&gt;0,-(O63-O64)*Input!$C$146,-SUM($H$65:N65)))</f>
        <v>0</v>
      </c>
      <c r="P65" s="257">
        <f>IF(AND(O63=0,P63&lt;&gt;0),-(P63-P64)*Input!$C$146,IF(SUM($H$65:O65)&gt;0,-(P63-P64)*Input!$C$146,-SUM($H$65:O65)))</f>
        <v>0</v>
      </c>
      <c r="Q65" s="257">
        <f>IF(AND(P63=0,Q63&lt;&gt;0),-(Q63-Q64)*Input!$C$146,IF(SUM($H$65:P65)&gt;0,-(Q63-Q64)*Input!$C$146,-SUM($H$65:P65)))</f>
        <v>0</v>
      </c>
      <c r="R65" s="257">
        <f>IF(AND(Q63=0,R63&lt;&gt;0),-(R63-R64)*Input!$C$146,IF(SUM($H$65:Q65)&gt;0,-(R63-R64)*Input!$C$146,-SUM($H$65:Q65)))</f>
        <v>0</v>
      </c>
      <c r="S65" s="257">
        <f>IF(AND(R63=0,S63&lt;&gt;0),-(S63-S64)*Input!$C$146,IF(SUM($H$65:R65)&gt;0,-(S63-S64)*Input!$C$146,-SUM($H$65:R65)))</f>
        <v>0</v>
      </c>
      <c r="T65" s="257">
        <f>IF(AND(S63=0,T63&lt;&gt;0),-(T63-T64)*Input!$C$146,IF(SUM($H$65:S65)&gt;0,-(T63-T64)*Input!$C$146,-SUM($H$65:S65)))</f>
        <v>0</v>
      </c>
      <c r="U65" s="257">
        <f>IF(AND(T63=0,U63&lt;&gt;0),-(U63-U64)*Input!$C$146,IF(SUM($H$65:T65)&gt;0,-(U63-U64)*Input!$C$146,-SUM($H$65:T65)))</f>
        <v>0</v>
      </c>
      <c r="V65" s="257">
        <f>IF(AND(U63=0,V63&lt;&gt;0),-(V63-V64)*Input!$C$146,IF(SUM($H$65:U65)&gt;0,-(V63-V64)*Input!$C$146,-SUM($H$65:U65)))</f>
        <v>0</v>
      </c>
      <c r="W65" s="257">
        <f>IF(AND(V63=0,W63&lt;&gt;0),-(W63-W64)*Input!$C$146,IF(SUM($H$65:V65)&gt;0,-(W63-W64)*Input!$C$146,-SUM($H$65:V65)))</f>
        <v>0</v>
      </c>
      <c r="X65" s="257">
        <f>IF(AND(W63=0,X63&lt;&gt;0),-(X63-X64)*Input!$C$146,IF(SUM($H$65:W65)&gt;0,-(X63-X64)*Input!$C$146,-SUM($H$65:W65)))</f>
        <v>0</v>
      </c>
      <c r="Y65" s="257">
        <f>IF(AND(X63=0,Y63&lt;&gt;0),-(Y63-Y64)*Input!$C$146,IF(SUM($H$65:X65)&gt;0,-(Y63-Y64)*Input!$C$146,-SUM($H$65:X65)))</f>
        <v>0</v>
      </c>
      <c r="Z65" s="257">
        <f>IF(AND(Y63=0,Z63&lt;&gt;0),-(Z63-Z64)*Input!$C$146,IF(SUM($H$65:Y65)&gt;0,-(Z63-Z64)*Input!$C$146,-SUM($H$65:Y65)))</f>
        <v>0</v>
      </c>
      <c r="AA65" s="257">
        <f>IF(AND(Z63=0,AA63&lt;&gt;0),-(AA63-AA64)*Input!$C$146,IF(SUM($H$65:Z65)&gt;0,-(AA63-AA64)*Input!$C$146,-SUM($H$65:Z65)))</f>
        <v>0</v>
      </c>
      <c r="AB65" s="257">
        <f>IF(AND(AA63=0,AB63&lt;&gt;0),-(AB63-AB64)*Input!$C$146,IF(SUM($H$65:AA65)&gt;0,-(AB63-AB64)*Input!$C$146,-SUM($H$65:AA65)))</f>
        <v>0</v>
      </c>
      <c r="AC65" s="257">
        <f>IF(AND(AB63=0,AC63&lt;&gt;0),-(AC63-AC64)*Input!$C$146,IF(SUM($H$65:AB65)&gt;0,-(AC63-AC64)*Input!$C$146,-SUM($H$65:AB65)))</f>
        <v>0</v>
      </c>
      <c r="AD65" s="257">
        <f>IF(AND(AC63=0,AD63&lt;&gt;0),-(AD63-AD64)*Input!$C$146,IF(SUM($H$65:AC65)&gt;0,-(AD63-AD64)*Input!$C$146,-SUM($H$65:AC65)))</f>
        <v>0</v>
      </c>
      <c r="AE65" s="257">
        <f>IF(AND(AD63=0,AE63&lt;&gt;0),-(AE63-AE64)*Input!$C$146,IF(SUM($H$65:AD65)&gt;0,-(AE63-AE64)*Input!$C$146,-SUM($H$65:AD65)))</f>
        <v>0</v>
      </c>
      <c r="AF65" s="257">
        <f>IF(AND(AE63=0,AF63&lt;&gt;0),-(AF63-AF64)*Input!$C$146,IF(SUM($H$65:AE65)&gt;0,-(AF63-AF64)*Input!$C$146,-SUM($H$65:AE65)))</f>
        <v>0</v>
      </c>
      <c r="AG65" s="257">
        <f>IF(AND(AF63=0,AG63&lt;&gt;0),-(AG63-AG64)*Input!$C$146,IF(SUM($H$65:AF65)&gt;0,-(AG63-AG64)*Input!$C$146,-SUM($H$65:AF65)))</f>
        <v>0</v>
      </c>
      <c r="AH65" s="257">
        <f>IF(AND(AG63=0,AH63&lt;&gt;0),-(AH63-AH64)*Input!$C$146,IF(SUM($H$65:AG65)&gt;0,-(AH63-AH64)*Input!$C$146,-SUM($H$65:AG65)))</f>
        <v>0</v>
      </c>
      <c r="AI65" s="257">
        <f>IF(AND(AH63=0,AI63&lt;&gt;0),-(AI63-AI64)*Input!$C$146,IF(SUM($H$65:AH65)&gt;0,-(AI63-AI64)*Input!$C$146,-SUM($H$65:AH65)))</f>
        <v>0</v>
      </c>
      <c r="AJ65" s="257">
        <f>IF(AND(AI63=0,AJ63&lt;&gt;0),-(AJ63-AJ64)*Input!$C$146,IF(SUM($H$65:AI65)&gt;0,-(AJ63-AJ64)*Input!$C$146,-SUM($H$65:AI65)))</f>
        <v>0</v>
      </c>
      <c r="AK65" s="257">
        <f>IF(AND(AJ63=0,AK63&lt;&gt;0),-(AK63-AK64)*Input!$C$146,IF(SUM($H$65:AJ65)&gt;0,-(AK63-AK64)*Input!$C$146,-SUM($H$65:AJ65)))</f>
        <v>0</v>
      </c>
      <c r="AL65" s="257">
        <f>IF(AND(AK63=0,AL63&lt;&gt;0),-(AL63-AL64)*Input!$C$146,IF(SUM($H$65:AK65)&gt;0,-(AL63-AL64)*Input!$C$146,-SUM($H$65:AK65)))</f>
        <v>0</v>
      </c>
      <c r="AM65" s="257">
        <f>IF(AND(AL63=0,AM63&lt;&gt;0),-(AM63-AM64)*Input!$C$146,IF(SUM($H$65:AL65)&gt;0,-(AM63-AM64)*Input!$C$146,-SUM($H$65:AL65)))</f>
        <v>0</v>
      </c>
      <c r="AN65" s="257">
        <f>IF(AND(AM63=0,AN63&lt;&gt;0),-(AN63-AN64)*Input!$C$146,IF(SUM($H$65:AM65)&gt;0,-(AN63-AN64)*Input!$C$146,-SUM($H$65:AM65)))</f>
        <v>0</v>
      </c>
      <c r="AO65" s="257">
        <f>IF(AND(AN63=0,AO63&lt;&gt;0),-(AO63-AO64)*Input!$C$146,IF(SUM($H$65:AN65)&gt;0,-(AO63-AO64)*Input!$C$146,-SUM($H$65:AN65)))</f>
        <v>0</v>
      </c>
    </row>
    <row r="66" spans="1:41" outlineLevel="1">
      <c r="B66" s="150" t="s">
        <v>237</v>
      </c>
      <c r="C66" s="150"/>
      <c r="D66" s="150"/>
      <c r="E66" s="150"/>
      <c r="F66" s="150"/>
      <c r="G66" s="150"/>
      <c r="H66" s="150"/>
      <c r="I66" s="151">
        <f>ROUND(H66+I65,2)</f>
        <v>0</v>
      </c>
      <c r="J66" s="151">
        <f t="shared" ref="J66:AO66" si="47">ROUND(I66+J65,2)</f>
        <v>-41.16</v>
      </c>
      <c r="K66" s="151">
        <f t="shared" si="47"/>
        <v>0</v>
      </c>
      <c r="L66" s="151">
        <f t="shared" si="47"/>
        <v>0</v>
      </c>
      <c r="M66" s="151">
        <f t="shared" si="47"/>
        <v>0</v>
      </c>
      <c r="N66" s="151">
        <f t="shared" si="47"/>
        <v>0</v>
      </c>
      <c r="O66" s="151">
        <f t="shared" si="47"/>
        <v>0</v>
      </c>
      <c r="P66" s="151">
        <f t="shared" si="47"/>
        <v>0</v>
      </c>
      <c r="Q66" s="151">
        <f t="shared" si="47"/>
        <v>0</v>
      </c>
      <c r="R66" s="151">
        <f t="shared" si="47"/>
        <v>0</v>
      </c>
      <c r="S66" s="151">
        <f t="shared" si="47"/>
        <v>0</v>
      </c>
      <c r="T66" s="151">
        <f t="shared" si="47"/>
        <v>0</v>
      </c>
      <c r="U66" s="151">
        <f t="shared" si="47"/>
        <v>0</v>
      </c>
      <c r="V66" s="151">
        <f t="shared" si="47"/>
        <v>0</v>
      </c>
      <c r="W66" s="151">
        <f t="shared" si="47"/>
        <v>0</v>
      </c>
      <c r="X66" s="151">
        <f t="shared" si="47"/>
        <v>0</v>
      </c>
      <c r="Y66" s="151">
        <f t="shared" si="47"/>
        <v>0</v>
      </c>
      <c r="Z66" s="151">
        <f t="shared" si="47"/>
        <v>0</v>
      </c>
      <c r="AA66" s="151">
        <f t="shared" si="47"/>
        <v>0</v>
      </c>
      <c r="AB66" s="151">
        <f t="shared" si="47"/>
        <v>0</v>
      </c>
      <c r="AC66" s="151">
        <f t="shared" si="47"/>
        <v>0</v>
      </c>
      <c r="AD66" s="151">
        <f t="shared" si="47"/>
        <v>0</v>
      </c>
      <c r="AE66" s="151">
        <f t="shared" si="47"/>
        <v>0</v>
      </c>
      <c r="AF66" s="151">
        <f t="shared" si="47"/>
        <v>0</v>
      </c>
      <c r="AG66" s="151">
        <f t="shared" si="47"/>
        <v>0</v>
      </c>
      <c r="AH66" s="151">
        <f t="shared" si="47"/>
        <v>0</v>
      </c>
      <c r="AI66" s="151">
        <f t="shared" si="47"/>
        <v>0</v>
      </c>
      <c r="AJ66" s="151">
        <f t="shared" si="47"/>
        <v>0</v>
      </c>
      <c r="AK66" s="151">
        <f t="shared" si="47"/>
        <v>0</v>
      </c>
      <c r="AL66" s="151">
        <f t="shared" si="47"/>
        <v>0</v>
      </c>
      <c r="AM66" s="151">
        <f t="shared" si="47"/>
        <v>0</v>
      </c>
      <c r="AN66" s="151">
        <f t="shared" si="47"/>
        <v>0</v>
      </c>
      <c r="AO66" s="151">
        <f t="shared" si="47"/>
        <v>0</v>
      </c>
    </row>
    <row r="69" spans="1:41" s="44" customFormat="1" ht="15">
      <c r="B69" s="68" t="s">
        <v>112</v>
      </c>
      <c r="C69" s="50"/>
      <c r="D69" s="50"/>
      <c r="E69" s="50"/>
    </row>
    <row r="70" spans="1:41" s="44" customFormat="1" ht="15" outlineLevel="1">
      <c r="B70" s="69" t="s">
        <v>84</v>
      </c>
      <c r="C70" s="53"/>
      <c r="D70" s="54"/>
      <c r="E70" s="54">
        <f t="shared" ref="E70:AO70" si="48">E9</f>
        <v>42460</v>
      </c>
      <c r="F70" s="54">
        <f t="shared" si="48"/>
        <v>42825</v>
      </c>
      <c r="G70" s="54">
        <f t="shared" si="48"/>
        <v>0</v>
      </c>
      <c r="H70" s="54">
        <f t="shared" si="48"/>
        <v>43555</v>
      </c>
      <c r="I70" s="54">
        <f t="shared" si="48"/>
        <v>43921</v>
      </c>
      <c r="J70" s="54">
        <f t="shared" si="48"/>
        <v>44286</v>
      </c>
      <c r="K70" s="54">
        <f t="shared" si="48"/>
        <v>44651</v>
      </c>
      <c r="L70" s="54">
        <f t="shared" si="48"/>
        <v>45016</v>
      </c>
      <c r="M70" s="54">
        <f t="shared" si="48"/>
        <v>45382</v>
      </c>
      <c r="N70" s="54">
        <f t="shared" si="48"/>
        <v>45747</v>
      </c>
      <c r="O70" s="54">
        <f t="shared" si="48"/>
        <v>46112</v>
      </c>
      <c r="P70" s="54">
        <f t="shared" si="48"/>
        <v>46477</v>
      </c>
      <c r="Q70" s="54">
        <f t="shared" si="48"/>
        <v>46843</v>
      </c>
      <c r="R70" s="54">
        <f t="shared" si="48"/>
        <v>47208</v>
      </c>
      <c r="S70" s="54">
        <f t="shared" si="48"/>
        <v>47573</v>
      </c>
      <c r="T70" s="54">
        <f t="shared" si="48"/>
        <v>47938</v>
      </c>
      <c r="U70" s="54">
        <f t="shared" si="48"/>
        <v>48304</v>
      </c>
      <c r="V70" s="54">
        <f t="shared" si="48"/>
        <v>48669</v>
      </c>
      <c r="W70" s="54">
        <f t="shared" si="48"/>
        <v>49034</v>
      </c>
      <c r="X70" s="54">
        <f t="shared" si="48"/>
        <v>0</v>
      </c>
      <c r="Y70" s="54">
        <f t="shared" si="48"/>
        <v>0</v>
      </c>
      <c r="Z70" s="54">
        <f t="shared" si="48"/>
        <v>0</v>
      </c>
      <c r="AA70" s="54">
        <f t="shared" si="48"/>
        <v>0</v>
      </c>
      <c r="AB70" s="54">
        <f t="shared" si="48"/>
        <v>0</v>
      </c>
      <c r="AC70" s="54">
        <f t="shared" si="48"/>
        <v>0</v>
      </c>
      <c r="AD70" s="54">
        <f t="shared" si="48"/>
        <v>0</v>
      </c>
      <c r="AE70" s="54">
        <f t="shared" si="48"/>
        <v>0</v>
      </c>
      <c r="AF70" s="54">
        <f t="shared" si="48"/>
        <v>0</v>
      </c>
      <c r="AG70" s="54">
        <f t="shared" si="48"/>
        <v>0</v>
      </c>
      <c r="AH70" s="54">
        <f t="shared" si="48"/>
        <v>0</v>
      </c>
      <c r="AI70" s="54">
        <f t="shared" si="48"/>
        <v>0</v>
      </c>
      <c r="AJ70" s="54">
        <f t="shared" si="48"/>
        <v>0</v>
      </c>
      <c r="AK70" s="54">
        <f t="shared" si="48"/>
        <v>0</v>
      </c>
      <c r="AL70" s="54">
        <f t="shared" si="48"/>
        <v>0</v>
      </c>
      <c r="AM70" s="54">
        <f t="shared" si="48"/>
        <v>0</v>
      </c>
      <c r="AN70" s="54">
        <f t="shared" si="48"/>
        <v>0</v>
      </c>
      <c r="AO70" s="54">
        <f t="shared" si="48"/>
        <v>0</v>
      </c>
    </row>
    <row r="71" spans="1:41" s="44" customFormat="1" ht="15" outlineLevel="1">
      <c r="B71" s="70" t="s">
        <v>86</v>
      </c>
      <c r="C71" s="42"/>
      <c r="D71" s="42"/>
      <c r="E71" s="42"/>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row>
    <row r="72" spans="1:41" s="47" customFormat="1" outlineLevel="1">
      <c r="A72" s="44"/>
      <c r="B72" s="245" t="s">
        <v>113</v>
      </c>
      <c r="C72" s="258"/>
      <c r="D72" s="258"/>
      <c r="E72" s="258"/>
      <c r="F72" s="259"/>
      <c r="G72" s="260"/>
      <c r="H72" s="260"/>
      <c r="I72" s="261"/>
      <c r="J72" s="261"/>
      <c r="K72" s="261"/>
      <c r="L72" s="261">
        <f t="shared" ref="L72:AO72" si="49">K75</f>
        <v>1426.2275184875309</v>
      </c>
      <c r="M72" s="261">
        <f t="shared" si="49"/>
        <v>1329.7699858128124</v>
      </c>
      <c r="N72" s="261">
        <f t="shared" si="49"/>
        <v>1226.7190335262883</v>
      </c>
      <c r="O72" s="261">
        <f t="shared" si="49"/>
        <v>1118.0162646611625</v>
      </c>
      <c r="P72" s="261">
        <f t="shared" si="49"/>
        <v>1003.2897737011446</v>
      </c>
      <c r="Q72" s="261">
        <f t="shared" si="49"/>
        <v>882.48776930449037</v>
      </c>
      <c r="R72" s="261">
        <f t="shared" si="49"/>
        <v>754.68839086601645</v>
      </c>
      <c r="S72" s="261">
        <f t="shared" si="49"/>
        <v>620.7451899002649</v>
      </c>
      <c r="T72" s="261">
        <f t="shared" si="49"/>
        <v>479.69753652901181</v>
      </c>
      <c r="U72" s="261">
        <f t="shared" si="49"/>
        <v>330.58832015000985</v>
      </c>
      <c r="V72" s="261">
        <f t="shared" si="49"/>
        <v>173.40957356539406</v>
      </c>
      <c r="W72" s="261">
        <f t="shared" si="49"/>
        <v>8.1965680317948113</v>
      </c>
      <c r="X72" s="261">
        <f t="shared" si="49"/>
        <v>3.5882408155885059E-13</v>
      </c>
      <c r="Y72" s="261">
        <f t="shared" si="49"/>
        <v>3.5882408155885059E-13</v>
      </c>
      <c r="Z72" s="261">
        <f t="shared" si="49"/>
        <v>3.5882408155885059E-13</v>
      </c>
      <c r="AA72" s="261">
        <f t="shared" si="49"/>
        <v>3.5882408155885059E-13</v>
      </c>
      <c r="AB72" s="261">
        <f t="shared" si="49"/>
        <v>3.5882408155885059E-13</v>
      </c>
      <c r="AC72" s="261">
        <f t="shared" si="49"/>
        <v>3.5882408155885059E-13</v>
      </c>
      <c r="AD72" s="261">
        <f t="shared" si="49"/>
        <v>3.5882408155885059E-13</v>
      </c>
      <c r="AE72" s="261">
        <f t="shared" si="49"/>
        <v>3.5882408155885059E-13</v>
      </c>
      <c r="AF72" s="261">
        <f t="shared" si="49"/>
        <v>3.5882408155885059E-13</v>
      </c>
      <c r="AG72" s="261">
        <f t="shared" si="49"/>
        <v>3.5882408155885059E-13</v>
      </c>
      <c r="AH72" s="261">
        <f t="shared" si="49"/>
        <v>3.5882408155885059E-13</v>
      </c>
      <c r="AI72" s="261">
        <f t="shared" si="49"/>
        <v>3.5882408155885059E-13</v>
      </c>
      <c r="AJ72" s="261">
        <f t="shared" si="49"/>
        <v>3.5882408155885059E-13</v>
      </c>
      <c r="AK72" s="261">
        <f t="shared" si="49"/>
        <v>3.5882408155885059E-13</v>
      </c>
      <c r="AL72" s="261">
        <f t="shared" si="49"/>
        <v>3.5882408155885059E-13</v>
      </c>
      <c r="AM72" s="261">
        <f t="shared" si="49"/>
        <v>3.5882408155885059E-13</v>
      </c>
      <c r="AN72" s="261">
        <f t="shared" si="49"/>
        <v>3.5882408155885059E-13</v>
      </c>
      <c r="AO72" s="261">
        <f t="shared" si="49"/>
        <v>3.5882408155885059E-13</v>
      </c>
    </row>
    <row r="73" spans="1:41" s="47" customFormat="1" outlineLevel="1">
      <c r="A73" s="44"/>
      <c r="B73" s="245" t="s">
        <v>114</v>
      </c>
      <c r="C73" s="258"/>
      <c r="D73" s="258"/>
      <c r="E73" s="258"/>
      <c r="F73" s="259"/>
      <c r="G73" s="259"/>
      <c r="H73" s="260"/>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row>
    <row r="74" spans="1:41" s="47" customFormat="1" outlineLevel="1">
      <c r="A74" s="44"/>
      <c r="B74" s="245" t="s">
        <v>115</v>
      </c>
      <c r="C74" s="258"/>
      <c r="D74" s="258"/>
      <c r="E74" s="258"/>
      <c r="F74" s="260"/>
      <c r="G74" s="260"/>
      <c r="H74" s="263"/>
      <c r="I74" s="261"/>
      <c r="J74" s="261"/>
      <c r="K74" s="261"/>
      <c r="L74" s="261">
        <f>$L$72*SUMIF(Financials!$H$1:$AK$1,'Other Schedules'!L$2,Financials!$H$7:$AK$7)/SUM(Financials!$H$7:$AK$7)+L78</f>
        <v>96.457532674718593</v>
      </c>
      <c r="M74" s="261">
        <f>$L$72*SUMIF(Financials!$H$1:$AK$1,'Other Schedules'!M$2,Financials!$H$7:$AK$7)/SUM(Financials!$H$7:$AK$7)+M78</f>
        <v>103.05095228652415</v>
      </c>
      <c r="N74" s="261">
        <f>$L$72*SUMIF(Financials!$H$1:$AK$1,'Other Schedules'!N$2,Financials!$H$7:$AK$7)/SUM(Financials!$H$7:$AK$7)+N78</f>
        <v>108.70276886512572</v>
      </c>
      <c r="O74" s="261">
        <f>$L$72*SUMIF(Financials!$H$1:$AK$1,'Other Schedules'!O$2,Financials!$H$7:$AK$7)/SUM(Financials!$H$7:$AK$7)+O78</f>
        <v>114.72649096001797</v>
      </c>
      <c r="P74" s="261">
        <f>$L$72*SUMIF(Financials!$H$1:$AK$1,'Other Schedules'!P$2,Financials!$H$7:$AK$7)/SUM(Financials!$H$7:$AK$7)+P78</f>
        <v>120.80200439665414</v>
      </c>
      <c r="Q74" s="261">
        <f>$L$72*SUMIF(Financials!$H$1:$AK$1,'Other Schedules'!Q$2,Financials!$H$7:$AK$7)/SUM(Financials!$H$7:$AK$7)+Q78</f>
        <v>127.79937843847392</v>
      </c>
      <c r="R74" s="261">
        <f>$L$72*SUMIF(Financials!$H$1:$AK$1,'Other Schedules'!R$2,Financials!$H$7:$AK$7)/SUM(Financials!$H$7:$AK$7)+R78</f>
        <v>133.94320096575149</v>
      </c>
      <c r="S74" s="261">
        <f>$L$72*SUMIF(Financials!$H$1:$AK$1,'Other Schedules'!S$2,Financials!$H$7:$AK$7)/SUM(Financials!$H$7:$AK$7)+S78</f>
        <v>141.04765337125309</v>
      </c>
      <c r="T74" s="261">
        <f>$L$72*SUMIF(Financials!$H$1:$AK$1,'Other Schedules'!T$2,Financials!$H$7:$AK$7)/SUM(Financials!$H$7:$AK$7)+T78</f>
        <v>149.10921637900196</v>
      </c>
      <c r="U74" s="261">
        <f>$L$72*SUMIF(Financials!$H$1:$AK$1,'Other Schedules'!U$2,Financials!$H$7:$AK$7)/SUM(Financials!$H$7:$AK$7)+U78</f>
        <v>157.17874658461579</v>
      </c>
      <c r="V74" s="261">
        <f>$L$72*SUMIF(Financials!$H$1:$AK$1,'Other Schedules'!V$2,Financials!$H$7:$AK$7)/SUM(Financials!$H$7:$AK$7)+V78</f>
        <v>165.21300553359924</v>
      </c>
      <c r="W74" s="261">
        <f>$L$72*SUMIF(Financials!$H$1:$AK$1,'Other Schedules'!W$2,Financials!$H$7:$AK$7)/SUM(Financials!$H$7:$AK$7)+W78</f>
        <v>8.1965680317944525</v>
      </c>
      <c r="X74" s="261">
        <f>$L$72*SUMIF(Financials!$H$1:$AK$1,'Other Schedules'!X$2,Financials!$H$7:$AK$7)/SUM(Financials!$H$7:$AK$7)+X78</f>
        <v>0</v>
      </c>
      <c r="Y74" s="261">
        <f>$L$72*SUMIF(Financials!$H$1:$AK$1,'Other Schedules'!Y$2,Financials!$H$7:$AK$7)/SUM(Financials!$H$7:$AK$7)+Y78</f>
        <v>0</v>
      </c>
      <c r="Z74" s="261">
        <f>$L$72*SUMIF(Financials!$H$1:$AK$1,'Other Schedules'!Z$2,Financials!$H$7:$AK$7)/SUM(Financials!$H$7:$AK$7)+Z78</f>
        <v>0</v>
      </c>
      <c r="AA74" s="261">
        <f>$L$72*SUMIF(Financials!$H$1:$AK$1,'Other Schedules'!AA$2,Financials!$H$7:$AK$7)/SUM(Financials!$H$7:$AK$7)+AA78</f>
        <v>0</v>
      </c>
      <c r="AB74" s="261">
        <f>$L$72*SUMIF(Financials!$H$1:$AK$1,'Other Schedules'!AB$2,Financials!$H$7:$AK$7)/SUM(Financials!$H$7:$AK$7)+AB78</f>
        <v>0</v>
      </c>
      <c r="AC74" s="261">
        <f>$L$72*SUMIF(Financials!$H$1:$AK$1,'Other Schedules'!AC$2,Financials!$H$7:$AK$7)/SUM(Financials!$H$7:$AK$7)+AC78</f>
        <v>0</v>
      </c>
      <c r="AD74" s="261">
        <f>$L$72*SUMIF(Financials!$H$1:$AK$1,'Other Schedules'!AD$2,Financials!$H$7:$AK$7)/SUM(Financials!$H$7:$AK$7)+AD78</f>
        <v>0</v>
      </c>
      <c r="AE74" s="261">
        <f>$L$72*SUMIF(Financials!$H$1:$AK$1,'Other Schedules'!AE$2,Financials!$H$7:$AK$7)/SUM(Financials!$H$7:$AK$7)+AE78</f>
        <v>0</v>
      </c>
      <c r="AF74" s="261">
        <f>$L$72*SUMIF(Financials!$H$1:$AK$1,'Other Schedules'!AF$2,Financials!$H$7:$AK$7)/SUM(Financials!$H$7:$AK$7)+AF78</f>
        <v>0</v>
      </c>
      <c r="AG74" s="261">
        <f>$L$72*SUMIF(Financials!$H$1:$AK$1,'Other Schedules'!AG$2,Financials!$H$7:$AK$7)/SUM(Financials!$H$7:$AK$7)+AG78</f>
        <v>0</v>
      </c>
      <c r="AH74" s="261">
        <f>$L$72*SUMIF(Financials!$H$1:$AK$1,'Other Schedules'!AH$2,Financials!$H$7:$AK$7)/SUM(Financials!$H$7:$AK$7)+AH78</f>
        <v>0</v>
      </c>
      <c r="AI74" s="261">
        <f>$L$72*SUMIF(Financials!$H$1:$AK$1,'Other Schedules'!AI$2,Financials!$H$7:$AK$7)/SUM(Financials!$H$7:$AK$7)+AI78</f>
        <v>0</v>
      </c>
      <c r="AJ74" s="261">
        <f>$L$72*SUMIF(Financials!$H$1:$AK$1,'Other Schedules'!AJ$2,Financials!$H$7:$AK$7)/SUM(Financials!$H$7:$AK$7)+AJ78</f>
        <v>0</v>
      </c>
      <c r="AK74" s="261">
        <f>$L$72*SUMIF(Financials!$H$1:$AK$1,'Other Schedules'!AK$2,Financials!$H$7:$AK$7)/SUM(Financials!$H$7:$AK$7)+AK78</f>
        <v>0</v>
      </c>
      <c r="AL74" s="261">
        <f>$L$72*SUMIF(Financials!$H$1:$AK$1,'Other Schedules'!AL$2,Financials!$H$7:$AK$7)/SUM(Financials!$H$7:$AK$7)+AL78</f>
        <v>0</v>
      </c>
      <c r="AM74" s="261">
        <f>$L$72*SUMIF(Financials!$H$1:$AK$1,'Other Schedules'!AM$2,Financials!$H$7:$AK$7)/SUM(Financials!$H$7:$AK$7)+AM78</f>
        <v>0</v>
      </c>
      <c r="AN74" s="261">
        <f>$L$72*SUMIF(Financials!$H$1:$AK$1,'Other Schedules'!AN$2,Financials!$H$7:$AK$7)/SUM(Financials!$H$7:$AK$7)+AN78</f>
        <v>0</v>
      </c>
      <c r="AO74" s="261">
        <f>$L$72*SUMIF(Financials!$H$1:$AK$1,'Other Schedules'!AO$2,Financials!$H$7:$AK$7)/SUM(Financials!$H$7:$AK$7)+AO78</f>
        <v>0</v>
      </c>
    </row>
    <row r="75" spans="1:41" s="46" customFormat="1" outlineLevel="1">
      <c r="A75" s="44"/>
      <c r="B75" s="245" t="s">
        <v>116</v>
      </c>
      <c r="C75" s="252"/>
      <c r="D75" s="252"/>
      <c r="E75" s="252"/>
      <c r="F75" s="264"/>
      <c r="G75" s="264"/>
      <c r="H75" s="264"/>
      <c r="I75" s="265"/>
      <c r="J75" s="265">
        <f>J72-J74</f>
        <v>0</v>
      </c>
      <c r="K75" s="265">
        <f>Financials!G63</f>
        <v>1426.2275184875309</v>
      </c>
      <c r="L75" s="265">
        <f t="shared" ref="L75:AO75" si="50">L72-L74</f>
        <v>1329.7699858128124</v>
      </c>
      <c r="M75" s="265">
        <f t="shared" si="50"/>
        <v>1226.7190335262883</v>
      </c>
      <c r="N75" s="265">
        <f t="shared" si="50"/>
        <v>1118.0162646611625</v>
      </c>
      <c r="O75" s="265">
        <f t="shared" si="50"/>
        <v>1003.2897737011446</v>
      </c>
      <c r="P75" s="265">
        <f t="shared" si="50"/>
        <v>882.48776930449037</v>
      </c>
      <c r="Q75" s="265">
        <f t="shared" si="50"/>
        <v>754.68839086601645</v>
      </c>
      <c r="R75" s="265">
        <f t="shared" si="50"/>
        <v>620.7451899002649</v>
      </c>
      <c r="S75" s="265">
        <f t="shared" si="50"/>
        <v>479.69753652901181</v>
      </c>
      <c r="T75" s="265">
        <f t="shared" si="50"/>
        <v>330.58832015000985</v>
      </c>
      <c r="U75" s="265">
        <f t="shared" si="50"/>
        <v>173.40957356539406</v>
      </c>
      <c r="V75" s="265">
        <f t="shared" si="50"/>
        <v>8.1965680317948113</v>
      </c>
      <c r="W75" s="265">
        <f t="shared" si="50"/>
        <v>3.5882408155885059E-13</v>
      </c>
      <c r="X75" s="265">
        <f t="shared" si="50"/>
        <v>3.5882408155885059E-13</v>
      </c>
      <c r="Y75" s="265">
        <f t="shared" si="50"/>
        <v>3.5882408155885059E-13</v>
      </c>
      <c r="Z75" s="265">
        <f t="shared" si="50"/>
        <v>3.5882408155885059E-13</v>
      </c>
      <c r="AA75" s="265">
        <f t="shared" si="50"/>
        <v>3.5882408155885059E-13</v>
      </c>
      <c r="AB75" s="265">
        <f t="shared" si="50"/>
        <v>3.5882408155885059E-13</v>
      </c>
      <c r="AC75" s="265">
        <f t="shared" si="50"/>
        <v>3.5882408155885059E-13</v>
      </c>
      <c r="AD75" s="265">
        <f t="shared" si="50"/>
        <v>3.5882408155885059E-13</v>
      </c>
      <c r="AE75" s="265">
        <f t="shared" si="50"/>
        <v>3.5882408155885059E-13</v>
      </c>
      <c r="AF75" s="265">
        <f t="shared" si="50"/>
        <v>3.5882408155885059E-13</v>
      </c>
      <c r="AG75" s="265">
        <f t="shared" si="50"/>
        <v>3.5882408155885059E-13</v>
      </c>
      <c r="AH75" s="265">
        <f t="shared" si="50"/>
        <v>3.5882408155885059E-13</v>
      </c>
      <c r="AI75" s="265">
        <f t="shared" si="50"/>
        <v>3.5882408155885059E-13</v>
      </c>
      <c r="AJ75" s="265">
        <f t="shared" si="50"/>
        <v>3.5882408155885059E-13</v>
      </c>
      <c r="AK75" s="265">
        <f t="shared" si="50"/>
        <v>3.5882408155885059E-13</v>
      </c>
      <c r="AL75" s="265">
        <f t="shared" si="50"/>
        <v>3.5882408155885059E-13</v>
      </c>
      <c r="AM75" s="265">
        <f t="shared" si="50"/>
        <v>3.5882408155885059E-13</v>
      </c>
      <c r="AN75" s="265">
        <f t="shared" si="50"/>
        <v>3.5882408155885059E-13</v>
      </c>
      <c r="AO75" s="265">
        <f t="shared" si="50"/>
        <v>3.5882408155885059E-13</v>
      </c>
    </row>
    <row r="76" spans="1:41" s="46" customFormat="1" outlineLevel="1">
      <c r="A76" s="44"/>
      <c r="B76" s="44"/>
      <c r="C76" s="50"/>
      <c r="D76" s="50"/>
      <c r="E76" s="50"/>
      <c r="F76" s="56"/>
      <c r="G76" s="56"/>
      <c r="H76" s="56"/>
      <c r="I76" s="57"/>
      <c r="J76" s="57"/>
      <c r="K76" s="57"/>
      <c r="L76" s="57"/>
      <c r="M76" s="57"/>
      <c r="N76" s="57"/>
      <c r="O76" s="57"/>
      <c r="P76" s="57"/>
      <c r="Q76" s="57"/>
      <c r="R76" s="57"/>
      <c r="S76" s="57"/>
      <c r="T76" s="57"/>
      <c r="U76" s="57"/>
      <c r="V76" s="58"/>
      <c r="W76" s="58"/>
      <c r="X76" s="58"/>
      <c r="Y76" s="58"/>
      <c r="Z76" s="58"/>
      <c r="AA76" s="58"/>
      <c r="AB76" s="58"/>
      <c r="AC76" s="58"/>
      <c r="AD76" s="58"/>
      <c r="AE76" s="58"/>
      <c r="AF76" s="59"/>
    </row>
    <row r="77" spans="1:41" s="46" customFormat="1" outlineLevel="1">
      <c r="A77" s="44"/>
      <c r="B77" s="245" t="s">
        <v>117</v>
      </c>
      <c r="C77" s="252"/>
      <c r="D77" s="252"/>
      <c r="E77" s="252"/>
      <c r="F77" s="264"/>
      <c r="G77" s="264"/>
      <c r="H77" s="264"/>
      <c r="I77" s="265"/>
      <c r="J77" s="265"/>
      <c r="K77" s="265"/>
      <c r="L77" s="265"/>
      <c r="M77" s="265"/>
      <c r="N77" s="265"/>
      <c r="O77" s="265"/>
      <c r="P77" s="265"/>
      <c r="Q77" s="265"/>
      <c r="R77" s="265"/>
      <c r="S77" s="265"/>
      <c r="T77" s="265"/>
      <c r="U77" s="57"/>
      <c r="V77" s="58"/>
      <c r="W77" s="58"/>
      <c r="X77" s="58"/>
      <c r="Y77" s="58"/>
      <c r="Z77" s="58"/>
      <c r="AA77" s="58"/>
      <c r="AB77" s="58"/>
      <c r="AC77" s="58"/>
      <c r="AD77" s="58"/>
      <c r="AE77" s="58"/>
      <c r="AF77" s="59"/>
    </row>
    <row r="78" spans="1:41" s="46" customFormat="1" outlineLevel="1">
      <c r="A78" s="44"/>
      <c r="B78" s="150" t="s">
        <v>118</v>
      </c>
      <c r="C78" s="252"/>
      <c r="D78" s="252"/>
      <c r="E78" s="252"/>
      <c r="F78" s="264"/>
      <c r="G78" s="264"/>
      <c r="H78" s="260"/>
      <c r="I78" s="261"/>
      <c r="J78" s="261">
        <f>$J$77*SUMIF(Financials!$F$1:$AK$1,'Other Schedules'!J$2,Financials!$F$7:$AK$7)/SUM(Financials!$F$7:$AK$7)</f>
        <v>0</v>
      </c>
      <c r="K78" s="261">
        <f>$J$77*SUMIF(Financials!$F$1:$AK$1,'Other Schedules'!K$2,Financials!$F$7:$AK$7)/SUM(Financials!$F$7:$AK$7)</f>
        <v>0</v>
      </c>
      <c r="L78" s="261">
        <f>$J$77*SUMIF(Financials!$F$1:$AK$1,'Other Schedules'!L$2,Financials!$F$7:$AK$7)/SUM(Financials!$F$7:$AK$7)</f>
        <v>0</v>
      </c>
      <c r="M78" s="261">
        <f>$J$77*SUMIF(Financials!$F$1:$AK$1,'Other Schedules'!M$2,Financials!$F$7:$AK$7)/SUM(Financials!$F$7:$AK$7)</f>
        <v>0</v>
      </c>
      <c r="N78" s="261">
        <f>$J$77*SUMIF(Financials!$F$1:$AK$1,'Other Schedules'!N$2,Financials!$F$7:$AK$7)/SUM(Financials!$F$7:$AK$7)</f>
        <v>0</v>
      </c>
      <c r="O78" s="261">
        <f>$J$77*SUMIF(Financials!$F$1:$AK$1,'Other Schedules'!O$2,Financials!$F$7:$AK$7)/SUM(Financials!$F$7:$AK$7)</f>
        <v>0</v>
      </c>
      <c r="P78" s="261">
        <f>$J$77*SUMIF(Financials!$F$1:$AK$1,'Other Schedules'!P$2,Financials!$F$7:$AK$7)/SUM(Financials!$F$7:$AK$7)</f>
        <v>0</v>
      </c>
      <c r="Q78" s="261">
        <f>$J$77*SUMIF(Financials!$F$1:$AK$1,'Other Schedules'!Q$2,Financials!$F$7:$AK$7)/SUM(Financials!$F$7:$AK$7)</f>
        <v>0</v>
      </c>
      <c r="R78" s="261">
        <f>$J$77*SUMIF(Financials!$F$1:$AK$1,'Other Schedules'!R$2,Financials!$F$7:$AK$7)/SUM(Financials!$F$7:$AK$7)</f>
        <v>0</v>
      </c>
      <c r="S78" s="261">
        <f>$J$77*SUMIF(Financials!$F$1:$AK$1,'Other Schedules'!S$2,Financials!$F$7:$AK$7)/SUM(Financials!$F$7:$AK$7)</f>
        <v>0</v>
      </c>
      <c r="T78" s="261">
        <f>$J$77*SUMIF(Financials!$F$1:$AK$1,'Other Schedules'!T$2,Financials!$F$7:$AK$7)/SUM(Financials!$F$7:$AK$7)</f>
        <v>0</v>
      </c>
      <c r="U78" s="55">
        <f>$J$77*SUMIF(Financials!$F$1:$AK$1,'Other Schedules'!U$2,Financials!$F$7:$AK$7)/SUM(Financials!$F$7:$AK$7)</f>
        <v>0</v>
      </c>
      <c r="V78" s="55">
        <f>$J$77*SUMIF(Financials!$F$1:$AK$1,'Other Schedules'!V$2,Financials!$F$7:$AK$7)/SUM(Financials!$F$7:$AK$7)</f>
        <v>0</v>
      </c>
      <c r="W78" s="55">
        <f>$J$77*SUMIF(Financials!$F$1:$AK$1,'Other Schedules'!W$2,Financials!$F$7:$AK$7)/SUM(Financials!$F$7:$AK$7)</f>
        <v>0</v>
      </c>
      <c r="X78" s="55">
        <f>$J$77*SUMIF(Financials!$F$1:$AK$1,'Other Schedules'!X$2,Financials!$F$7:$AK$7)/SUM(Financials!$F$7:$AK$7)</f>
        <v>0</v>
      </c>
      <c r="Y78" s="55">
        <f>$J$77*SUMIF(Financials!$F$1:$AK$1,'Other Schedules'!Y$2,Financials!$F$7:$AK$7)/SUM(Financials!$F$7:$AK$7)</f>
        <v>0</v>
      </c>
      <c r="Z78" s="55">
        <f>$J$77*SUMIF(Financials!$F$1:$AK$1,'Other Schedules'!Z$2,Financials!$F$7:$AK$7)/SUM(Financials!$F$7:$AK$7)</f>
        <v>0</v>
      </c>
      <c r="AA78" s="55">
        <f>$J$77*SUMIF(Financials!$F$1:$AK$1,'Other Schedules'!AA$2,Financials!$F$7:$AK$7)/SUM(Financials!$F$7:$AK$7)</f>
        <v>0</v>
      </c>
      <c r="AB78" s="55">
        <f>$J$77*SUMIF(Financials!$F$1:$AK$1,'Other Schedules'!AB$2,Financials!$F$7:$AK$7)/SUM(Financials!$F$7:$AK$7)</f>
        <v>0</v>
      </c>
      <c r="AC78" s="55">
        <f>$J$77*SUMIF(Financials!$F$1:$AK$1,'Other Schedules'!AC$2,Financials!$F$7:$AK$7)/SUM(Financials!$F$7:$AK$7)</f>
        <v>0</v>
      </c>
      <c r="AD78" s="55">
        <f>$J$77*SUMIF(Financials!$F$1:$AK$1,'Other Schedules'!AD$2,Financials!$F$7:$AK$7)/SUM(Financials!$F$7:$AK$7)</f>
        <v>0</v>
      </c>
      <c r="AE78" s="55">
        <f>$J$77*SUMIF(Financials!$F$1:$AK$1,'Other Schedules'!AE$2,Financials!$F$7:$AK$7)/SUM(Financials!$F$7:$AK$7)</f>
        <v>0</v>
      </c>
      <c r="AF78" s="55">
        <f>$J$77*SUMIF(Financials!$F$1:$AK$1,'Other Schedules'!AF$2,Financials!$F$7:$AK$7)/SUM(Financials!$F$7:$AK$7)</f>
        <v>0</v>
      </c>
      <c r="AG78" s="55">
        <f>$J$77*SUMIF(Financials!$F$1:$AK$1,'Other Schedules'!AG$2,Financials!$F$7:$AK$7)/SUM(Financials!$F$7:$AK$7)</f>
        <v>0</v>
      </c>
      <c r="AH78" s="55">
        <f>$J$77*SUMIF(Financials!$F$1:$AK$1,'Other Schedules'!AH$2,Financials!$F$7:$AK$7)/SUM(Financials!$F$7:$AK$7)</f>
        <v>0</v>
      </c>
      <c r="AI78" s="55">
        <f>$J$77*SUMIF(Financials!$F$1:$AK$1,'Other Schedules'!AI$2,Financials!$F$7:$AK$7)/SUM(Financials!$F$7:$AK$7)</f>
        <v>0</v>
      </c>
      <c r="AJ78" s="55">
        <f>$J$77*SUMIF(Financials!$F$1:$AK$1,'Other Schedules'!AJ$2,Financials!$F$7:$AK$7)/SUM(Financials!$F$7:$AK$7)</f>
        <v>0</v>
      </c>
      <c r="AK78" s="55">
        <f>$J$77*SUMIF(Financials!$F$1:$AK$1,'Other Schedules'!AK$2,Financials!$F$7:$AK$7)/SUM(Financials!$F$7:$AK$7)</f>
        <v>0</v>
      </c>
      <c r="AL78" s="55">
        <f>$J$77*SUMIF(Financials!$F$1:$AK$1,'Other Schedules'!AL$2,Financials!$F$7:$AK$7)/SUM(Financials!$F$7:$AK$7)</f>
        <v>0</v>
      </c>
      <c r="AM78" s="55">
        <f>$J$77*SUMIF(Financials!$F$1:$AK$1,'Other Schedules'!AM$2,Financials!$F$7:$AK$7)/SUM(Financials!$F$7:$AK$7)</f>
        <v>0</v>
      </c>
      <c r="AN78" s="55">
        <f>$J$77*SUMIF(Financials!$F$1:$AK$1,'Other Schedules'!AN$2,Financials!$F$7:$AK$7)/SUM(Financials!$F$7:$AK$7)</f>
        <v>0</v>
      </c>
      <c r="AO78" s="55">
        <f>$J$77*SUMIF(Financials!$F$1:$AK$1,'Other Schedules'!AO$2,Financials!$F$7:$AK$7)/SUM(Financials!$F$7:$AK$7)</f>
        <v>0</v>
      </c>
    </row>
    <row r="79" spans="1:41" s="46" customFormat="1" outlineLevel="1">
      <c r="A79" s="44"/>
      <c r="B79" s="44"/>
      <c r="C79" s="50"/>
      <c r="D79" s="50"/>
      <c r="E79" s="50"/>
      <c r="F79" s="56"/>
      <c r="G79" s="56"/>
      <c r="H79" s="56"/>
      <c r="I79" s="57"/>
      <c r="J79" s="57"/>
      <c r="K79" s="57"/>
      <c r="L79" s="57"/>
      <c r="M79" s="57"/>
      <c r="N79" s="57"/>
      <c r="O79" s="57"/>
      <c r="P79" s="57"/>
      <c r="Q79" s="57"/>
      <c r="R79" s="57"/>
      <c r="S79" s="57"/>
      <c r="T79" s="57"/>
      <c r="U79" s="57"/>
      <c r="V79" s="58"/>
      <c r="W79" s="58"/>
      <c r="X79" s="58"/>
      <c r="Y79" s="58"/>
      <c r="Z79" s="58"/>
      <c r="AA79" s="58"/>
      <c r="AB79" s="58"/>
      <c r="AC79" s="58"/>
      <c r="AD79" s="58"/>
      <c r="AE79" s="58"/>
      <c r="AF79" s="59"/>
    </row>
    <row r="80" spans="1:41" s="44" customFormat="1" ht="15" outlineLevel="1">
      <c r="B80" s="70" t="s">
        <v>87</v>
      </c>
      <c r="C80" s="50"/>
      <c r="D80" s="50"/>
      <c r="E80" s="50"/>
      <c r="F80" s="60"/>
      <c r="G80" s="60"/>
      <c r="H80" s="60"/>
      <c r="I80" s="57"/>
      <c r="J80" s="57"/>
      <c r="K80" s="57"/>
      <c r="L80" s="57"/>
      <c r="M80" s="57"/>
      <c r="N80" s="57"/>
      <c r="O80" s="57"/>
      <c r="P80" s="57"/>
      <c r="Q80" s="57"/>
      <c r="R80" s="57"/>
      <c r="S80" s="57"/>
      <c r="T80" s="57"/>
      <c r="U80" s="57"/>
      <c r="V80" s="58"/>
      <c r="W80" s="58"/>
      <c r="X80" s="58"/>
      <c r="Y80" s="58"/>
      <c r="Z80" s="58"/>
      <c r="AA80" s="58"/>
      <c r="AB80" s="58"/>
      <c r="AC80" s="58"/>
      <c r="AD80" s="58"/>
      <c r="AE80" s="58"/>
      <c r="AF80" s="59"/>
    </row>
    <row r="81" spans="2:41" s="44" customFormat="1" outlineLevel="1">
      <c r="B81" s="245" t="s">
        <v>119</v>
      </c>
      <c r="C81" s="252"/>
      <c r="D81" s="252"/>
      <c r="E81" s="252"/>
      <c r="F81" s="264"/>
      <c r="G81" s="264"/>
      <c r="H81" s="264">
        <f>H72</f>
        <v>0</v>
      </c>
      <c r="I81" s="265"/>
      <c r="J81" s="265">
        <f t="shared" ref="J81:T81" si="51">I84</f>
        <v>0</v>
      </c>
      <c r="K81" s="265">
        <f t="shared" si="51"/>
        <v>0</v>
      </c>
      <c r="L81" s="265">
        <f t="shared" si="51"/>
        <v>1426.2275184875309</v>
      </c>
      <c r="M81" s="265">
        <f t="shared" si="51"/>
        <v>1297.2131332959698</v>
      </c>
      <c r="N81" s="265">
        <f t="shared" si="51"/>
        <v>1167.8452840353907</v>
      </c>
      <c r="O81" s="265">
        <f t="shared" si="51"/>
        <v>1038.8308988438296</v>
      </c>
      <c r="P81" s="265">
        <f t="shared" si="51"/>
        <v>909.81651365226855</v>
      </c>
      <c r="Q81" s="265">
        <f t="shared" si="51"/>
        <v>780.80212846070754</v>
      </c>
      <c r="R81" s="265">
        <f t="shared" si="51"/>
        <v>651.43427920012857</v>
      </c>
      <c r="S81" s="265">
        <f t="shared" si="51"/>
        <v>522.41989400856755</v>
      </c>
      <c r="T81" s="265">
        <f t="shared" si="51"/>
        <v>393.40550881700653</v>
      </c>
      <c r="U81" s="265">
        <f t="shared" ref="U81:AO81" si="52">T84</f>
        <v>264.39112362544552</v>
      </c>
      <c r="V81" s="265">
        <f t="shared" si="52"/>
        <v>135.02327436486652</v>
      </c>
      <c r="W81" s="265">
        <f t="shared" si="52"/>
        <v>6.0088891733054766</v>
      </c>
      <c r="X81" s="265">
        <f t="shared" si="52"/>
        <v>-1.0658141036401503E-13</v>
      </c>
      <c r="Y81" s="265">
        <f t="shared" si="52"/>
        <v>-1.0658141036401503E-13</v>
      </c>
      <c r="Z81" s="265">
        <f t="shared" si="52"/>
        <v>-1.0658141036401503E-13</v>
      </c>
      <c r="AA81" s="265">
        <f t="shared" si="52"/>
        <v>-1.0658141036401503E-13</v>
      </c>
      <c r="AB81" s="265">
        <f t="shared" si="52"/>
        <v>-1.0658141036401503E-13</v>
      </c>
      <c r="AC81" s="265">
        <f t="shared" si="52"/>
        <v>-1.0658141036401503E-13</v>
      </c>
      <c r="AD81" s="265">
        <f t="shared" si="52"/>
        <v>-1.0658141036401503E-13</v>
      </c>
      <c r="AE81" s="265">
        <f t="shared" si="52"/>
        <v>-1.0658141036401503E-13</v>
      </c>
      <c r="AF81" s="265">
        <f t="shared" si="52"/>
        <v>-1.0658141036401503E-13</v>
      </c>
      <c r="AG81" s="265">
        <f t="shared" si="52"/>
        <v>-1.0658141036401503E-13</v>
      </c>
      <c r="AH81" s="265">
        <f t="shared" si="52"/>
        <v>-1.0658141036401503E-13</v>
      </c>
      <c r="AI81" s="265">
        <f t="shared" si="52"/>
        <v>-1.0658141036401503E-13</v>
      </c>
      <c r="AJ81" s="265">
        <f t="shared" si="52"/>
        <v>-1.0658141036401503E-13</v>
      </c>
      <c r="AK81" s="265">
        <f t="shared" si="52"/>
        <v>-1.0658141036401503E-13</v>
      </c>
      <c r="AL81" s="265">
        <f t="shared" si="52"/>
        <v>-1.0658141036401503E-13</v>
      </c>
      <c r="AM81" s="265">
        <f t="shared" si="52"/>
        <v>-1.0658141036401503E-13</v>
      </c>
      <c r="AN81" s="265">
        <f t="shared" si="52"/>
        <v>-1.0658141036401503E-13</v>
      </c>
      <c r="AO81" s="265">
        <f t="shared" si="52"/>
        <v>-1.0658141036401503E-13</v>
      </c>
    </row>
    <row r="82" spans="2:41" s="44" customFormat="1" outlineLevel="1">
      <c r="B82" s="245" t="s">
        <v>114</v>
      </c>
      <c r="C82" s="252"/>
      <c r="D82" s="252"/>
      <c r="E82" s="252"/>
      <c r="F82" s="264"/>
      <c r="G82" s="264"/>
      <c r="H82" s="264">
        <f>H73</f>
        <v>0</v>
      </c>
      <c r="I82" s="265"/>
      <c r="J82" s="265">
        <f t="shared" ref="J82:T82" si="53">J73</f>
        <v>0</v>
      </c>
      <c r="K82" s="265">
        <f t="shared" si="53"/>
        <v>0</v>
      </c>
      <c r="L82" s="265">
        <f t="shared" si="53"/>
        <v>0</v>
      </c>
      <c r="M82" s="265">
        <f t="shared" si="53"/>
        <v>0</v>
      </c>
      <c r="N82" s="265">
        <f t="shared" si="53"/>
        <v>0</v>
      </c>
      <c r="O82" s="265">
        <f t="shared" si="53"/>
        <v>0</v>
      </c>
      <c r="P82" s="265">
        <f t="shared" si="53"/>
        <v>0</v>
      </c>
      <c r="Q82" s="265">
        <f t="shared" si="53"/>
        <v>0</v>
      </c>
      <c r="R82" s="265">
        <f t="shared" si="53"/>
        <v>0</v>
      </c>
      <c r="S82" s="265">
        <f t="shared" si="53"/>
        <v>0</v>
      </c>
      <c r="T82" s="265">
        <f t="shared" si="53"/>
        <v>0</v>
      </c>
      <c r="U82" s="265">
        <f t="shared" ref="U82:AO82" si="54">U73</f>
        <v>0</v>
      </c>
      <c r="V82" s="265">
        <f t="shared" si="54"/>
        <v>0</v>
      </c>
      <c r="W82" s="265">
        <f t="shared" si="54"/>
        <v>0</v>
      </c>
      <c r="X82" s="265">
        <f t="shared" si="54"/>
        <v>0</v>
      </c>
      <c r="Y82" s="265">
        <f t="shared" si="54"/>
        <v>0</v>
      </c>
      <c r="Z82" s="265">
        <f t="shared" si="54"/>
        <v>0</v>
      </c>
      <c r="AA82" s="265">
        <f t="shared" si="54"/>
        <v>0</v>
      </c>
      <c r="AB82" s="265">
        <f t="shared" si="54"/>
        <v>0</v>
      </c>
      <c r="AC82" s="265">
        <f t="shared" si="54"/>
        <v>0</v>
      </c>
      <c r="AD82" s="265">
        <f t="shared" si="54"/>
        <v>0</v>
      </c>
      <c r="AE82" s="265">
        <f t="shared" si="54"/>
        <v>0</v>
      </c>
      <c r="AF82" s="265">
        <f t="shared" si="54"/>
        <v>0</v>
      </c>
      <c r="AG82" s="265">
        <f t="shared" si="54"/>
        <v>0</v>
      </c>
      <c r="AH82" s="265">
        <f t="shared" si="54"/>
        <v>0</v>
      </c>
      <c r="AI82" s="265">
        <f t="shared" si="54"/>
        <v>0</v>
      </c>
      <c r="AJ82" s="265">
        <f t="shared" si="54"/>
        <v>0</v>
      </c>
      <c r="AK82" s="265">
        <f t="shared" si="54"/>
        <v>0</v>
      </c>
      <c r="AL82" s="265">
        <f t="shared" si="54"/>
        <v>0</v>
      </c>
      <c r="AM82" s="265">
        <f t="shared" si="54"/>
        <v>0</v>
      </c>
      <c r="AN82" s="265">
        <f t="shared" si="54"/>
        <v>0</v>
      </c>
      <c r="AO82" s="265">
        <f t="shared" si="54"/>
        <v>0</v>
      </c>
    </row>
    <row r="83" spans="2:41" s="44" customFormat="1" outlineLevel="1">
      <c r="B83" s="245" t="s">
        <v>120</v>
      </c>
      <c r="C83" s="252"/>
      <c r="D83" s="252"/>
      <c r="E83" s="252"/>
      <c r="F83" s="266"/>
      <c r="G83" s="266"/>
      <c r="H83" s="264">
        <f>H74</f>
        <v>0</v>
      </c>
      <c r="I83" s="267"/>
      <c r="J83" s="267">
        <f>$J$81*SUMIF($J$2:$AN$2,J$2,$J$4:$AO$4)/SUM($J$4:$AN$4)+J86</f>
        <v>0</v>
      </c>
      <c r="K83" s="267"/>
      <c r="L83" s="267">
        <f>$L$81*SUMIF($L$2:$AN$2,L$2,$L$4:$AO$4)/SUM($L$4:$AN$4)+L86</f>
        <v>129.01438519156105</v>
      </c>
      <c r="M83" s="267">
        <f t="shared" ref="M83:AO83" si="55">$L$81*SUMIF($L$2:$AN$2,M$2,$L$4:$AO$4)/SUM($L$4:$AN$4)+M86</f>
        <v>129.36784926057899</v>
      </c>
      <c r="N83" s="267">
        <f t="shared" si="55"/>
        <v>129.01438519156105</v>
      </c>
      <c r="O83" s="267">
        <f t="shared" si="55"/>
        <v>129.01438519156105</v>
      </c>
      <c r="P83" s="267">
        <f t="shared" si="55"/>
        <v>129.01438519156105</v>
      </c>
      <c r="Q83" s="267">
        <f t="shared" si="55"/>
        <v>129.36784926057899</v>
      </c>
      <c r="R83" s="267">
        <f t="shared" si="55"/>
        <v>129.01438519156105</v>
      </c>
      <c r="S83" s="267">
        <f t="shared" si="55"/>
        <v>129.01438519156105</v>
      </c>
      <c r="T83" s="267">
        <f t="shared" si="55"/>
        <v>129.01438519156105</v>
      </c>
      <c r="U83" s="267">
        <f t="shared" si="55"/>
        <v>129.36784926057899</v>
      </c>
      <c r="V83" s="267">
        <f t="shared" si="55"/>
        <v>129.01438519156105</v>
      </c>
      <c r="W83" s="267">
        <f t="shared" si="55"/>
        <v>6.0088891733055831</v>
      </c>
      <c r="X83" s="267">
        <f t="shared" si="55"/>
        <v>0</v>
      </c>
      <c r="Y83" s="267">
        <f t="shared" si="55"/>
        <v>0</v>
      </c>
      <c r="Z83" s="267">
        <f t="shared" si="55"/>
        <v>0</v>
      </c>
      <c r="AA83" s="267">
        <f t="shared" si="55"/>
        <v>0</v>
      </c>
      <c r="AB83" s="267">
        <f t="shared" si="55"/>
        <v>0</v>
      </c>
      <c r="AC83" s="267">
        <f t="shared" si="55"/>
        <v>0</v>
      </c>
      <c r="AD83" s="267">
        <f t="shared" si="55"/>
        <v>0</v>
      </c>
      <c r="AE83" s="267">
        <f t="shared" si="55"/>
        <v>0</v>
      </c>
      <c r="AF83" s="267">
        <f t="shared" si="55"/>
        <v>0</v>
      </c>
      <c r="AG83" s="267">
        <f t="shared" si="55"/>
        <v>0</v>
      </c>
      <c r="AH83" s="267">
        <f t="shared" si="55"/>
        <v>0</v>
      </c>
      <c r="AI83" s="267">
        <f t="shared" si="55"/>
        <v>0</v>
      </c>
      <c r="AJ83" s="267">
        <f t="shared" si="55"/>
        <v>0</v>
      </c>
      <c r="AK83" s="267">
        <f t="shared" si="55"/>
        <v>0</v>
      </c>
      <c r="AL83" s="267">
        <f t="shared" si="55"/>
        <v>0</v>
      </c>
      <c r="AM83" s="267">
        <f t="shared" si="55"/>
        <v>0</v>
      </c>
      <c r="AN83" s="267">
        <f t="shared" si="55"/>
        <v>0</v>
      </c>
      <c r="AO83" s="267">
        <f t="shared" si="55"/>
        <v>0</v>
      </c>
    </row>
    <row r="84" spans="2:41" s="44" customFormat="1" outlineLevel="1">
      <c r="B84" s="245" t="s">
        <v>121</v>
      </c>
      <c r="C84" s="252"/>
      <c r="D84" s="252"/>
      <c r="E84" s="252"/>
      <c r="F84" s="264"/>
      <c r="G84" s="264"/>
      <c r="H84" s="264">
        <f>H75</f>
        <v>0</v>
      </c>
      <c r="I84" s="265">
        <f>I75</f>
        <v>0</v>
      </c>
      <c r="J84" s="265">
        <f>J81-J83</f>
        <v>0</v>
      </c>
      <c r="K84" s="265">
        <f>K75</f>
        <v>1426.2275184875309</v>
      </c>
      <c r="L84" s="265">
        <f t="shared" ref="L84:AO84" si="56">L81-L83</f>
        <v>1297.2131332959698</v>
      </c>
      <c r="M84" s="265">
        <f t="shared" si="56"/>
        <v>1167.8452840353907</v>
      </c>
      <c r="N84" s="265">
        <f t="shared" si="56"/>
        <v>1038.8308988438296</v>
      </c>
      <c r="O84" s="265">
        <f t="shared" si="56"/>
        <v>909.81651365226855</v>
      </c>
      <c r="P84" s="265">
        <f t="shared" si="56"/>
        <v>780.80212846070754</v>
      </c>
      <c r="Q84" s="265">
        <f t="shared" si="56"/>
        <v>651.43427920012857</v>
      </c>
      <c r="R84" s="265">
        <f t="shared" si="56"/>
        <v>522.41989400856755</v>
      </c>
      <c r="S84" s="265">
        <f t="shared" si="56"/>
        <v>393.40550881700653</v>
      </c>
      <c r="T84" s="265">
        <f t="shared" si="56"/>
        <v>264.39112362544552</v>
      </c>
      <c r="U84" s="265">
        <f t="shared" si="56"/>
        <v>135.02327436486652</v>
      </c>
      <c r="V84" s="265">
        <f t="shared" si="56"/>
        <v>6.0088891733054766</v>
      </c>
      <c r="W84" s="265">
        <f t="shared" si="56"/>
        <v>-1.0658141036401503E-13</v>
      </c>
      <c r="X84" s="265">
        <f t="shared" si="56"/>
        <v>-1.0658141036401503E-13</v>
      </c>
      <c r="Y84" s="265">
        <f t="shared" si="56"/>
        <v>-1.0658141036401503E-13</v>
      </c>
      <c r="Z84" s="265">
        <f t="shared" si="56"/>
        <v>-1.0658141036401503E-13</v>
      </c>
      <c r="AA84" s="265">
        <f t="shared" si="56"/>
        <v>-1.0658141036401503E-13</v>
      </c>
      <c r="AB84" s="265">
        <f t="shared" si="56"/>
        <v>-1.0658141036401503E-13</v>
      </c>
      <c r="AC84" s="265">
        <f t="shared" si="56"/>
        <v>-1.0658141036401503E-13</v>
      </c>
      <c r="AD84" s="265">
        <f t="shared" si="56"/>
        <v>-1.0658141036401503E-13</v>
      </c>
      <c r="AE84" s="265">
        <f t="shared" si="56"/>
        <v>-1.0658141036401503E-13</v>
      </c>
      <c r="AF84" s="265">
        <f t="shared" si="56"/>
        <v>-1.0658141036401503E-13</v>
      </c>
      <c r="AG84" s="265">
        <f t="shared" si="56"/>
        <v>-1.0658141036401503E-13</v>
      </c>
      <c r="AH84" s="265">
        <f t="shared" si="56"/>
        <v>-1.0658141036401503E-13</v>
      </c>
      <c r="AI84" s="265">
        <f t="shared" si="56"/>
        <v>-1.0658141036401503E-13</v>
      </c>
      <c r="AJ84" s="265">
        <f t="shared" si="56"/>
        <v>-1.0658141036401503E-13</v>
      </c>
      <c r="AK84" s="265">
        <f t="shared" si="56"/>
        <v>-1.0658141036401503E-13</v>
      </c>
      <c r="AL84" s="265">
        <f t="shared" si="56"/>
        <v>-1.0658141036401503E-13</v>
      </c>
      <c r="AM84" s="265">
        <f t="shared" si="56"/>
        <v>-1.0658141036401503E-13</v>
      </c>
      <c r="AN84" s="265">
        <f t="shared" si="56"/>
        <v>-1.0658141036401503E-13</v>
      </c>
      <c r="AO84" s="265">
        <f t="shared" si="56"/>
        <v>-1.0658141036401503E-13</v>
      </c>
    </row>
    <row r="85" spans="2:41" outlineLevel="1">
      <c r="F85" s="62"/>
      <c r="G85" s="62"/>
      <c r="H85" s="62"/>
      <c r="I85" s="63"/>
      <c r="J85" s="63"/>
      <c r="K85" s="63"/>
      <c r="L85" s="63"/>
      <c r="M85" s="63"/>
      <c r="N85" s="63"/>
      <c r="O85" s="63"/>
      <c r="P85" s="63"/>
      <c r="Q85" s="63"/>
      <c r="R85" s="63"/>
      <c r="S85" s="63"/>
      <c r="T85" s="63"/>
      <c r="U85" s="63"/>
      <c r="V85" s="64"/>
      <c r="W85" s="64"/>
      <c r="X85" s="64"/>
      <c r="Y85" s="64"/>
      <c r="Z85" s="64"/>
      <c r="AA85" s="64"/>
      <c r="AB85" s="64"/>
      <c r="AC85" s="64"/>
      <c r="AD85" s="64"/>
      <c r="AE85" s="64"/>
      <c r="AF85" s="6"/>
    </row>
    <row r="86" spans="2:41" outlineLevel="1">
      <c r="B86" s="150" t="s">
        <v>118</v>
      </c>
      <c r="C86" s="150"/>
      <c r="D86" s="150"/>
      <c r="E86" s="150"/>
      <c r="F86" s="268"/>
      <c r="G86" s="268"/>
      <c r="H86" s="268"/>
      <c r="I86" s="269"/>
      <c r="J86" s="267">
        <f t="shared" ref="J86:AO86" si="57">$J$82*SUMIF($J$2:$AO$2,J$2,$J$4:$AO$4)/SUM($J$4:$AO$4)</f>
        <v>0</v>
      </c>
      <c r="K86" s="267">
        <f t="shared" si="57"/>
        <v>0</v>
      </c>
      <c r="L86" s="267">
        <f t="shared" si="57"/>
        <v>0</v>
      </c>
      <c r="M86" s="267">
        <f t="shared" si="57"/>
        <v>0</v>
      </c>
      <c r="N86" s="267">
        <f t="shared" si="57"/>
        <v>0</v>
      </c>
      <c r="O86" s="267">
        <f t="shared" si="57"/>
        <v>0</v>
      </c>
      <c r="P86" s="267">
        <f t="shared" si="57"/>
        <v>0</v>
      </c>
      <c r="Q86" s="267">
        <f t="shared" si="57"/>
        <v>0</v>
      </c>
      <c r="R86" s="267">
        <f t="shared" si="57"/>
        <v>0</v>
      </c>
      <c r="S86" s="267">
        <f t="shared" si="57"/>
        <v>0</v>
      </c>
      <c r="T86" s="267">
        <f t="shared" si="57"/>
        <v>0</v>
      </c>
      <c r="U86" s="267">
        <f t="shared" si="57"/>
        <v>0</v>
      </c>
      <c r="V86" s="267">
        <f t="shared" si="57"/>
        <v>0</v>
      </c>
      <c r="W86" s="267">
        <f t="shared" si="57"/>
        <v>0</v>
      </c>
      <c r="X86" s="267">
        <f t="shared" si="57"/>
        <v>0</v>
      </c>
      <c r="Y86" s="267">
        <f t="shared" si="57"/>
        <v>0</v>
      </c>
      <c r="Z86" s="267">
        <f t="shared" si="57"/>
        <v>0</v>
      </c>
      <c r="AA86" s="267">
        <f t="shared" si="57"/>
        <v>0</v>
      </c>
      <c r="AB86" s="267">
        <f t="shared" si="57"/>
        <v>0</v>
      </c>
      <c r="AC86" s="267">
        <f t="shared" si="57"/>
        <v>0</v>
      </c>
      <c r="AD86" s="267">
        <f t="shared" si="57"/>
        <v>0</v>
      </c>
      <c r="AE86" s="267">
        <f t="shared" si="57"/>
        <v>0</v>
      </c>
      <c r="AF86" s="267">
        <f t="shared" si="57"/>
        <v>0</v>
      </c>
      <c r="AG86" s="267">
        <f t="shared" si="57"/>
        <v>0</v>
      </c>
      <c r="AH86" s="267">
        <f t="shared" si="57"/>
        <v>0</v>
      </c>
      <c r="AI86" s="267">
        <f t="shared" si="57"/>
        <v>0</v>
      </c>
      <c r="AJ86" s="267">
        <f t="shared" si="57"/>
        <v>0</v>
      </c>
      <c r="AK86" s="267">
        <f t="shared" si="57"/>
        <v>0</v>
      </c>
      <c r="AL86" s="267">
        <f t="shared" si="57"/>
        <v>0</v>
      </c>
      <c r="AM86" s="267">
        <f t="shared" si="57"/>
        <v>0</v>
      </c>
      <c r="AN86" s="267">
        <f t="shared" si="57"/>
        <v>0</v>
      </c>
      <c r="AO86" s="267">
        <f t="shared" si="57"/>
        <v>0</v>
      </c>
    </row>
    <row r="87" spans="2:41" outlineLevel="1">
      <c r="F87" s="62"/>
      <c r="G87" s="62"/>
      <c r="H87" s="62"/>
      <c r="I87" s="63"/>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row>
    <row r="88" spans="2:41" ht="15" outlineLevel="1">
      <c r="B88" s="70" t="s">
        <v>57</v>
      </c>
      <c r="F88" s="62"/>
      <c r="G88" s="62"/>
      <c r="H88" s="62"/>
      <c r="I88" s="63"/>
      <c r="J88" s="63"/>
      <c r="K88" s="63"/>
      <c r="L88" s="63"/>
      <c r="M88" s="63"/>
      <c r="N88" s="63"/>
      <c r="O88" s="63"/>
      <c r="P88" s="63"/>
      <c r="Q88" s="63"/>
      <c r="R88" s="63"/>
      <c r="S88" s="63"/>
      <c r="T88" s="63"/>
      <c r="U88" s="63"/>
      <c r="V88" s="64"/>
      <c r="W88" s="64"/>
      <c r="X88" s="64"/>
      <c r="Y88" s="64"/>
      <c r="Z88" s="64"/>
      <c r="AA88" s="64"/>
      <c r="AB88" s="64"/>
      <c r="AC88" s="64"/>
      <c r="AD88" s="64"/>
      <c r="AE88" s="64"/>
      <c r="AF88" s="6"/>
    </row>
    <row r="89" spans="2:41" outlineLevel="1">
      <c r="B89" s="150" t="s">
        <v>57</v>
      </c>
      <c r="C89" s="150"/>
      <c r="D89" s="150"/>
      <c r="E89" s="150"/>
      <c r="F89" s="268"/>
      <c r="G89" s="270"/>
      <c r="H89" s="270">
        <f>Financials!D61</f>
        <v>2674.31</v>
      </c>
      <c r="I89" s="270">
        <f>Financials!E61</f>
        <v>2677.15</v>
      </c>
      <c r="J89" s="269">
        <f t="shared" ref="J89:AO89" si="58">J73+I89</f>
        <v>2677.15</v>
      </c>
      <c r="K89" s="269">
        <f t="shared" si="58"/>
        <v>2677.15</v>
      </c>
      <c r="L89" s="269">
        <f t="shared" si="58"/>
        <v>2677.15</v>
      </c>
      <c r="M89" s="269">
        <f t="shared" si="58"/>
        <v>2677.15</v>
      </c>
      <c r="N89" s="269">
        <f t="shared" si="58"/>
        <v>2677.15</v>
      </c>
      <c r="O89" s="269">
        <f t="shared" si="58"/>
        <v>2677.15</v>
      </c>
      <c r="P89" s="269">
        <f t="shared" si="58"/>
        <v>2677.15</v>
      </c>
      <c r="Q89" s="269">
        <f t="shared" si="58"/>
        <v>2677.15</v>
      </c>
      <c r="R89" s="269">
        <f t="shared" si="58"/>
        <v>2677.15</v>
      </c>
      <c r="S89" s="269">
        <f t="shared" si="58"/>
        <v>2677.15</v>
      </c>
      <c r="T89" s="269">
        <f t="shared" si="58"/>
        <v>2677.15</v>
      </c>
      <c r="U89" s="269">
        <f t="shared" si="58"/>
        <v>2677.15</v>
      </c>
      <c r="V89" s="269">
        <f t="shared" si="58"/>
        <v>2677.15</v>
      </c>
      <c r="W89" s="269">
        <f t="shared" si="58"/>
        <v>2677.15</v>
      </c>
      <c r="X89" s="269">
        <f t="shared" si="58"/>
        <v>2677.15</v>
      </c>
      <c r="Y89" s="269">
        <f t="shared" si="58"/>
        <v>2677.15</v>
      </c>
      <c r="Z89" s="269">
        <f t="shared" si="58"/>
        <v>2677.15</v>
      </c>
      <c r="AA89" s="269">
        <f t="shared" si="58"/>
        <v>2677.15</v>
      </c>
      <c r="AB89" s="269">
        <f t="shared" si="58"/>
        <v>2677.15</v>
      </c>
      <c r="AC89" s="269">
        <f t="shared" si="58"/>
        <v>2677.15</v>
      </c>
      <c r="AD89" s="269">
        <f t="shared" si="58"/>
        <v>2677.15</v>
      </c>
      <c r="AE89" s="269">
        <f t="shared" si="58"/>
        <v>2677.15</v>
      </c>
      <c r="AF89" s="269">
        <f t="shared" si="58"/>
        <v>2677.15</v>
      </c>
      <c r="AG89" s="269">
        <f t="shared" si="58"/>
        <v>2677.15</v>
      </c>
      <c r="AH89" s="269">
        <f t="shared" si="58"/>
        <v>2677.15</v>
      </c>
      <c r="AI89" s="269">
        <f t="shared" si="58"/>
        <v>2677.15</v>
      </c>
      <c r="AJ89" s="269">
        <f t="shared" si="58"/>
        <v>2677.15</v>
      </c>
      <c r="AK89" s="269">
        <f t="shared" si="58"/>
        <v>2677.15</v>
      </c>
      <c r="AL89" s="269">
        <f t="shared" si="58"/>
        <v>2677.15</v>
      </c>
      <c r="AM89" s="269">
        <f t="shared" si="58"/>
        <v>2677.15</v>
      </c>
      <c r="AN89" s="269">
        <f t="shared" si="58"/>
        <v>2677.15</v>
      </c>
      <c r="AO89" s="269">
        <f t="shared" si="58"/>
        <v>2677.15</v>
      </c>
    </row>
    <row r="90" spans="2:41" outlineLevel="1">
      <c r="B90" s="150" t="s">
        <v>58</v>
      </c>
      <c r="C90" s="150"/>
      <c r="D90" s="150"/>
      <c r="E90" s="150"/>
      <c r="F90" s="268"/>
      <c r="G90" s="270"/>
      <c r="H90" s="270">
        <f>Financials!D62</f>
        <v>250.72</v>
      </c>
      <c r="I90" s="270">
        <f>Financials!E62</f>
        <v>340.07</v>
      </c>
      <c r="J90" s="269">
        <f t="shared" ref="J90:AO90" si="59">I90+J74</f>
        <v>340.07</v>
      </c>
      <c r="K90" s="269">
        <f t="shared" si="59"/>
        <v>340.07</v>
      </c>
      <c r="L90" s="269">
        <f t="shared" si="59"/>
        <v>436.5275326747186</v>
      </c>
      <c r="M90" s="269">
        <f t="shared" si="59"/>
        <v>539.57848496124279</v>
      </c>
      <c r="N90" s="269">
        <f t="shared" si="59"/>
        <v>648.28125382636847</v>
      </c>
      <c r="O90" s="269">
        <f t="shared" si="59"/>
        <v>763.00774478638641</v>
      </c>
      <c r="P90" s="269">
        <f t="shared" si="59"/>
        <v>883.80974918304059</v>
      </c>
      <c r="Q90" s="269">
        <f t="shared" si="59"/>
        <v>1011.6091276215145</v>
      </c>
      <c r="R90" s="269">
        <f t="shared" si="59"/>
        <v>1145.5523285872659</v>
      </c>
      <c r="S90" s="269">
        <f t="shared" si="59"/>
        <v>1286.599981958519</v>
      </c>
      <c r="T90" s="269">
        <f t="shared" si="59"/>
        <v>1435.709198337521</v>
      </c>
      <c r="U90" s="269">
        <f t="shared" si="59"/>
        <v>1592.8879449221367</v>
      </c>
      <c r="V90" s="269">
        <f t="shared" si="59"/>
        <v>1758.100950455736</v>
      </c>
      <c r="W90" s="269">
        <f t="shared" si="59"/>
        <v>1766.2975184875304</v>
      </c>
      <c r="X90" s="269">
        <f t="shared" si="59"/>
        <v>1766.2975184875304</v>
      </c>
      <c r="Y90" s="269">
        <f t="shared" si="59"/>
        <v>1766.2975184875304</v>
      </c>
      <c r="Z90" s="269">
        <f t="shared" si="59"/>
        <v>1766.2975184875304</v>
      </c>
      <c r="AA90" s="269">
        <f t="shared" si="59"/>
        <v>1766.2975184875304</v>
      </c>
      <c r="AB90" s="269">
        <f t="shared" si="59"/>
        <v>1766.2975184875304</v>
      </c>
      <c r="AC90" s="269">
        <f t="shared" si="59"/>
        <v>1766.2975184875304</v>
      </c>
      <c r="AD90" s="269">
        <f t="shared" si="59"/>
        <v>1766.2975184875304</v>
      </c>
      <c r="AE90" s="269">
        <f t="shared" si="59"/>
        <v>1766.2975184875304</v>
      </c>
      <c r="AF90" s="269">
        <f t="shared" si="59"/>
        <v>1766.2975184875304</v>
      </c>
      <c r="AG90" s="269">
        <f t="shared" si="59"/>
        <v>1766.2975184875304</v>
      </c>
      <c r="AH90" s="269">
        <f t="shared" si="59"/>
        <v>1766.2975184875304</v>
      </c>
      <c r="AI90" s="269">
        <f t="shared" si="59"/>
        <v>1766.2975184875304</v>
      </c>
      <c r="AJ90" s="269">
        <f t="shared" si="59"/>
        <v>1766.2975184875304</v>
      </c>
      <c r="AK90" s="269">
        <f t="shared" si="59"/>
        <v>1766.2975184875304</v>
      </c>
      <c r="AL90" s="269">
        <f t="shared" si="59"/>
        <v>1766.2975184875304</v>
      </c>
      <c r="AM90" s="269">
        <f t="shared" si="59"/>
        <v>1766.2975184875304</v>
      </c>
      <c r="AN90" s="269">
        <f t="shared" si="59"/>
        <v>1766.2975184875304</v>
      </c>
      <c r="AO90" s="269">
        <f t="shared" si="59"/>
        <v>1766.2975184875304</v>
      </c>
    </row>
    <row r="91" spans="2:41" outlineLevel="1">
      <c r="B91" s="150" t="s">
        <v>59</v>
      </c>
      <c r="C91" s="150"/>
      <c r="D91" s="150"/>
      <c r="E91" s="150"/>
      <c r="F91" s="268"/>
      <c r="G91" s="270"/>
      <c r="H91" s="270">
        <f>Financials!D63</f>
        <v>2423.59</v>
      </c>
      <c r="I91" s="270">
        <f>Financials!E63</f>
        <v>2337.08</v>
      </c>
      <c r="J91" s="269">
        <f t="shared" ref="J91:T91" si="60">J89-J90</f>
        <v>2337.08</v>
      </c>
      <c r="K91" s="269">
        <f t="shared" si="60"/>
        <v>2337.08</v>
      </c>
      <c r="L91" s="269">
        <f t="shared" si="60"/>
        <v>2240.6224673252814</v>
      </c>
      <c r="M91" s="269">
        <f t="shared" si="60"/>
        <v>2137.5715150387573</v>
      </c>
      <c r="N91" s="269">
        <f t="shared" si="60"/>
        <v>2028.8687461736317</v>
      </c>
      <c r="O91" s="269">
        <f t="shared" si="60"/>
        <v>1914.1422552136137</v>
      </c>
      <c r="P91" s="269">
        <f t="shared" si="60"/>
        <v>1793.3402508169595</v>
      </c>
      <c r="Q91" s="269">
        <f t="shared" si="60"/>
        <v>1665.5408723784856</v>
      </c>
      <c r="R91" s="269">
        <f t="shared" si="60"/>
        <v>1531.5976714127341</v>
      </c>
      <c r="S91" s="269">
        <f t="shared" si="60"/>
        <v>1390.5500180414811</v>
      </c>
      <c r="T91" s="269">
        <f t="shared" si="60"/>
        <v>1241.4408016624791</v>
      </c>
      <c r="U91" s="269">
        <f t="shared" ref="U91:AO91" si="61">U89-U90</f>
        <v>1084.2620550778634</v>
      </c>
      <c r="V91" s="269">
        <f t="shared" si="61"/>
        <v>919.04904954426411</v>
      </c>
      <c r="W91" s="269">
        <f t="shared" si="61"/>
        <v>910.85248151246969</v>
      </c>
      <c r="X91" s="269">
        <f t="shared" si="61"/>
        <v>910.85248151246969</v>
      </c>
      <c r="Y91" s="269">
        <f t="shared" si="61"/>
        <v>910.85248151246969</v>
      </c>
      <c r="Z91" s="269">
        <f t="shared" si="61"/>
        <v>910.85248151246969</v>
      </c>
      <c r="AA91" s="269">
        <f t="shared" si="61"/>
        <v>910.85248151246969</v>
      </c>
      <c r="AB91" s="269">
        <f t="shared" si="61"/>
        <v>910.85248151246969</v>
      </c>
      <c r="AC91" s="269">
        <f t="shared" si="61"/>
        <v>910.85248151246969</v>
      </c>
      <c r="AD91" s="269">
        <f t="shared" si="61"/>
        <v>910.85248151246969</v>
      </c>
      <c r="AE91" s="269">
        <f t="shared" si="61"/>
        <v>910.85248151246969</v>
      </c>
      <c r="AF91" s="269">
        <f t="shared" si="61"/>
        <v>910.85248151246969</v>
      </c>
      <c r="AG91" s="269">
        <f t="shared" si="61"/>
        <v>910.85248151246969</v>
      </c>
      <c r="AH91" s="269">
        <f t="shared" si="61"/>
        <v>910.85248151246969</v>
      </c>
      <c r="AI91" s="269">
        <f t="shared" si="61"/>
        <v>910.85248151246969</v>
      </c>
      <c r="AJ91" s="269">
        <f t="shared" si="61"/>
        <v>910.85248151246969</v>
      </c>
      <c r="AK91" s="269">
        <f t="shared" si="61"/>
        <v>910.85248151246969</v>
      </c>
      <c r="AL91" s="269">
        <f t="shared" si="61"/>
        <v>910.85248151246969</v>
      </c>
      <c r="AM91" s="269">
        <f t="shared" si="61"/>
        <v>910.85248151246969</v>
      </c>
      <c r="AN91" s="269">
        <f t="shared" si="61"/>
        <v>910.85248151246969</v>
      </c>
      <c r="AO91" s="269">
        <f t="shared" si="61"/>
        <v>910.85248151246969</v>
      </c>
    </row>
    <row r="92" spans="2:41" outlineLevel="1">
      <c r="I92" s="6"/>
      <c r="J92" s="6"/>
      <c r="K92" s="6"/>
      <c r="L92" s="6"/>
      <c r="M92" s="6"/>
      <c r="N92" s="6"/>
      <c r="O92" s="6"/>
      <c r="P92" s="6"/>
      <c r="Q92" s="6"/>
      <c r="R92" s="6"/>
      <c r="S92" s="6"/>
      <c r="T92" s="6"/>
      <c r="U92" s="6"/>
      <c r="V92" s="64"/>
      <c r="W92" s="64"/>
      <c r="X92" s="64"/>
      <c r="Y92" s="64"/>
      <c r="Z92" s="64"/>
      <c r="AA92" s="64"/>
      <c r="AB92" s="64"/>
      <c r="AC92" s="64"/>
      <c r="AD92" s="64"/>
      <c r="AE92" s="64"/>
      <c r="AF92" s="6"/>
    </row>
    <row r="93" spans="2:41" s="3" customFormat="1" ht="15">
      <c r="D93" s="1"/>
      <c r="E93" s="41"/>
      <c r="F93" s="41"/>
      <c r="G93" s="41"/>
      <c r="H93" s="41"/>
      <c r="I93" s="41"/>
      <c r="J93" s="41"/>
      <c r="K93" s="41"/>
      <c r="L93" s="41"/>
      <c r="M93" s="41"/>
      <c r="N93" s="41"/>
      <c r="O93" s="41"/>
      <c r="P93" s="41"/>
      <c r="Q93" s="41"/>
      <c r="R93" s="41"/>
    </row>
    <row r="94" spans="2:41" s="3" customFormat="1" ht="15">
      <c r="D94" s="1"/>
      <c r="E94" s="41"/>
      <c r="F94" s="41"/>
      <c r="G94" s="41"/>
      <c r="H94" s="41"/>
      <c r="I94" s="41"/>
      <c r="J94" s="41"/>
      <c r="K94" s="41"/>
      <c r="L94" s="41"/>
      <c r="M94" s="41"/>
      <c r="N94" s="41"/>
      <c r="O94" s="41"/>
      <c r="P94" s="41"/>
      <c r="Q94" s="41"/>
      <c r="R94" s="41"/>
    </row>
    <row r="95" spans="2:41" ht="15">
      <c r="B95" s="68" t="s">
        <v>241</v>
      </c>
    </row>
    <row r="96" spans="2:41" ht="15" outlineLevel="1">
      <c r="B96" s="3" t="s">
        <v>33</v>
      </c>
    </row>
    <row r="97" spans="2:41" ht="15" outlineLevel="1">
      <c r="B97" s="3" t="s">
        <v>122</v>
      </c>
    </row>
    <row r="98" spans="2:41" outlineLevel="1">
      <c r="B98" s="150" t="str">
        <f>Input!B103</f>
        <v>Operational Costs (excl Personnel)</v>
      </c>
      <c r="C98" s="271"/>
      <c r="D98" s="150"/>
      <c r="E98" s="150"/>
      <c r="F98" s="209"/>
      <c r="G98" s="209"/>
      <c r="H98" s="209"/>
      <c r="I98" s="212">
        <f>Financials!E14</f>
        <v>19.84</v>
      </c>
      <c r="J98" s="212">
        <f>Financials!F14</f>
        <v>32.46</v>
      </c>
      <c r="K98" s="212">
        <f>Financials!G14</f>
        <v>28.755754172918738</v>
      </c>
      <c r="L98" s="212">
        <f>Financials!H14</f>
        <v>30.193541881564677</v>
      </c>
      <c r="M98" s="212">
        <f>Financials!I14</f>
        <v>31.703218975642912</v>
      </c>
      <c r="N98" s="212">
        <f>Financials!J14</f>
        <v>33.288379924425058</v>
      </c>
      <c r="O98" s="212">
        <f>Financials!K14</f>
        <v>34.952798920646316</v>
      </c>
      <c r="P98" s="212">
        <f>Financials!L14</f>
        <v>36.700438866678631</v>
      </c>
      <c r="Q98" s="212">
        <f>Financials!M14</f>
        <v>38.535460810012566</v>
      </c>
      <c r="R98" s="212">
        <f>Financials!N14</f>
        <v>40.462233850513194</v>
      </c>
      <c r="S98" s="212">
        <f>Financials!O14</f>
        <v>42.485345543038854</v>
      </c>
      <c r="T98" s="212">
        <f>Financials!P14</f>
        <v>44.609612820190797</v>
      </c>
      <c r="U98" s="212">
        <f>Financials!Q14</f>
        <v>46.84009346120034</v>
      </c>
      <c r="V98" s="212">
        <f>Financials!R14</f>
        <v>49.182098134260357</v>
      </c>
      <c r="W98" s="212">
        <f>Financials!S14</f>
        <v>2.4052067169768425</v>
      </c>
      <c r="X98" s="212">
        <f>Financials!T14</f>
        <v>0</v>
      </c>
      <c r="Y98" s="212">
        <f>Financials!U14</f>
        <v>0</v>
      </c>
      <c r="Z98" s="212">
        <f>Financials!V14</f>
        <v>0</v>
      </c>
      <c r="AA98" s="212">
        <f>Financials!W14</f>
        <v>0</v>
      </c>
      <c r="AB98" s="212">
        <f>Financials!X14</f>
        <v>0</v>
      </c>
      <c r="AC98" s="212">
        <f>Financials!Y14</f>
        <v>0</v>
      </c>
      <c r="AD98" s="212">
        <f>Financials!Z14</f>
        <v>0</v>
      </c>
      <c r="AE98" s="212">
        <f>Financials!AA14</f>
        <v>0</v>
      </c>
      <c r="AF98" s="212">
        <f>Financials!AB14</f>
        <v>0</v>
      </c>
      <c r="AG98" s="212">
        <f>Financials!AC14</f>
        <v>0</v>
      </c>
      <c r="AH98" s="212">
        <f>Financials!AD14</f>
        <v>0</v>
      </c>
      <c r="AI98" s="212">
        <f>Financials!AE14</f>
        <v>0</v>
      </c>
      <c r="AJ98" s="212">
        <f>Financials!AF14</f>
        <v>0</v>
      </c>
      <c r="AK98" s="212">
        <f>Financials!AG14</f>
        <v>0</v>
      </c>
      <c r="AL98" s="212">
        <f>Financials!AH14</f>
        <v>0</v>
      </c>
      <c r="AM98" s="212">
        <f>Financials!AI14</f>
        <v>0</v>
      </c>
      <c r="AN98" s="212">
        <f>Financials!AJ14</f>
        <v>0</v>
      </c>
      <c r="AO98" s="212">
        <f>Financials!AK14</f>
        <v>0</v>
      </c>
    </row>
    <row r="99" spans="2:41" outlineLevel="1">
      <c r="B99" s="150" t="str">
        <f>Input!B104</f>
        <v>Operational Costs (Personnel)</v>
      </c>
      <c r="C99" s="271"/>
      <c r="D99" s="150"/>
      <c r="E99" s="150"/>
      <c r="F99" s="209"/>
      <c r="G99" s="209"/>
      <c r="H99" s="209"/>
      <c r="I99" s="212">
        <f>Financials!E15</f>
        <v>9.98</v>
      </c>
      <c r="J99" s="212">
        <f>Financials!F15</f>
        <v>9.26</v>
      </c>
      <c r="K99" s="212">
        <f>Financials!G15</f>
        <v>9.7795945</v>
      </c>
      <c r="L99" s="212">
        <f>Financials!H15</f>
        <v>10.75755395</v>
      </c>
      <c r="M99" s="212">
        <f>Financials!I15</f>
        <v>11.833309345000002</v>
      </c>
      <c r="N99" s="212">
        <f>Financials!J15</f>
        <v>13.016640279500002</v>
      </c>
      <c r="O99" s="212">
        <f>Financials!K15</f>
        <v>14.318304307450004</v>
      </c>
      <c r="P99" s="212">
        <f>Financials!L15</f>
        <v>15.750134738195007</v>
      </c>
      <c r="Q99" s="212">
        <f>Financials!M15</f>
        <v>17.325148212014508</v>
      </c>
      <c r="R99" s="212">
        <f>Financials!N15</f>
        <v>19.05766303321596</v>
      </c>
      <c r="S99" s="212">
        <f>Financials!O15</f>
        <v>20.963429336537558</v>
      </c>
      <c r="T99" s="212">
        <f>Financials!P15</f>
        <v>23.059772270191317</v>
      </c>
      <c r="U99" s="212">
        <f>Financials!Q15</f>
        <v>25.365749497210452</v>
      </c>
      <c r="V99" s="212">
        <f>Financials!R15</f>
        <v>27.902324446931498</v>
      </c>
      <c r="W99" s="212">
        <f>Financials!S15</f>
        <v>1.4295163483770386</v>
      </c>
      <c r="X99" s="212">
        <f>Financials!T15</f>
        <v>0</v>
      </c>
      <c r="Y99" s="212">
        <f>Financials!U15</f>
        <v>0</v>
      </c>
      <c r="Z99" s="212">
        <f>Financials!V15</f>
        <v>0</v>
      </c>
      <c r="AA99" s="212">
        <f>Financials!W15</f>
        <v>0</v>
      </c>
      <c r="AB99" s="212">
        <f>Financials!X15</f>
        <v>0</v>
      </c>
      <c r="AC99" s="212">
        <f>Financials!Y15</f>
        <v>0</v>
      </c>
      <c r="AD99" s="212">
        <f>Financials!Z15</f>
        <v>0</v>
      </c>
      <c r="AE99" s="212">
        <f>Financials!AA15</f>
        <v>0</v>
      </c>
      <c r="AF99" s="212">
        <f>Financials!AB15</f>
        <v>0</v>
      </c>
      <c r="AG99" s="212">
        <f>Financials!AC15</f>
        <v>0</v>
      </c>
      <c r="AH99" s="212">
        <f>Financials!AD15</f>
        <v>0</v>
      </c>
      <c r="AI99" s="212">
        <f>Financials!AE15</f>
        <v>0</v>
      </c>
      <c r="AJ99" s="212">
        <f>Financials!AF15</f>
        <v>0</v>
      </c>
      <c r="AK99" s="212">
        <f>Financials!AG15</f>
        <v>0</v>
      </c>
      <c r="AL99" s="212">
        <f>Financials!AH15</f>
        <v>0</v>
      </c>
      <c r="AM99" s="212">
        <f>Financials!AI15</f>
        <v>0</v>
      </c>
      <c r="AN99" s="212">
        <f>Financials!AJ15</f>
        <v>0</v>
      </c>
      <c r="AO99" s="212">
        <f>Financials!AK15</f>
        <v>0</v>
      </c>
    </row>
    <row r="100" spans="2:41" outlineLevel="1">
      <c r="B100" s="150" t="str">
        <f>Input!B106</f>
        <v>Other Expense</v>
      </c>
      <c r="C100" s="271"/>
      <c r="D100" s="150"/>
      <c r="E100" s="150"/>
      <c r="F100" s="209"/>
      <c r="G100" s="209"/>
      <c r="H100" s="209"/>
      <c r="I100" s="212">
        <f>Financials!E17</f>
        <v>0.67</v>
      </c>
      <c r="J100" s="212">
        <f>Financials!F17</f>
        <v>0.41854807799999999</v>
      </c>
      <c r="K100" s="212">
        <f>Financials!G17</f>
        <v>4.2524562480000005</v>
      </c>
      <c r="L100" s="212">
        <f>Financials!H17</f>
        <v>4.4650790604000008</v>
      </c>
      <c r="M100" s="212">
        <f>Financials!I17</f>
        <v>4.6883330134200012</v>
      </c>
      <c r="N100" s="212">
        <f>Financials!J17</f>
        <v>4.9227496640910013</v>
      </c>
      <c r="O100" s="212">
        <f>Financials!K17</f>
        <v>5.1688871472955515</v>
      </c>
      <c r="P100" s="212">
        <f>Financials!L17</f>
        <v>5.4273315046603292</v>
      </c>
      <c r="Q100" s="212">
        <f>Financials!M17</f>
        <v>5.6986980798933455</v>
      </c>
      <c r="R100" s="212">
        <f>Financials!N17</f>
        <v>5.9836329838880129</v>
      </c>
      <c r="S100" s="212">
        <f>Financials!O17</f>
        <v>6.2828146330824142</v>
      </c>
      <c r="T100" s="212">
        <f>Financials!P17</f>
        <v>6.5969553647365355</v>
      </c>
      <c r="U100" s="212">
        <f>Financials!Q17</f>
        <v>6.9268031329733626</v>
      </c>
      <c r="V100" s="212">
        <f>Financials!R17</f>
        <v>7.2731432896220314</v>
      </c>
      <c r="W100" s="212">
        <f>Financials!S17</f>
        <v>0.35568659649247469</v>
      </c>
      <c r="X100" s="212">
        <f>Financials!T17</f>
        <v>0</v>
      </c>
      <c r="Y100" s="212">
        <f>Financials!U17</f>
        <v>0</v>
      </c>
      <c r="Z100" s="212">
        <f>Financials!V17</f>
        <v>0</v>
      </c>
      <c r="AA100" s="212">
        <f>Financials!W17</f>
        <v>0</v>
      </c>
      <c r="AB100" s="212">
        <f>Financials!X17</f>
        <v>0</v>
      </c>
      <c r="AC100" s="212">
        <f>Financials!Y17</f>
        <v>0</v>
      </c>
      <c r="AD100" s="212">
        <f>Financials!Z17</f>
        <v>0</v>
      </c>
      <c r="AE100" s="212">
        <f>Financials!AA17</f>
        <v>0</v>
      </c>
      <c r="AF100" s="212">
        <f>Financials!AB17</f>
        <v>0</v>
      </c>
      <c r="AG100" s="212">
        <f>Financials!AC17</f>
        <v>0</v>
      </c>
      <c r="AH100" s="212">
        <f>Financials!AD17</f>
        <v>0</v>
      </c>
      <c r="AI100" s="212">
        <f>Financials!AE17</f>
        <v>0</v>
      </c>
      <c r="AJ100" s="212">
        <f>Financials!AF17</f>
        <v>0</v>
      </c>
      <c r="AK100" s="212">
        <f>Financials!AG17</f>
        <v>0</v>
      </c>
      <c r="AL100" s="212">
        <f>Financials!AH17</f>
        <v>0</v>
      </c>
      <c r="AM100" s="212">
        <f>Financials!AI17</f>
        <v>0</v>
      </c>
      <c r="AN100" s="212">
        <f>Financials!AJ17</f>
        <v>0</v>
      </c>
      <c r="AO100" s="212">
        <f>Financials!AK17</f>
        <v>0</v>
      </c>
    </row>
    <row r="101" spans="2:41" ht="15" outlineLevel="1">
      <c r="B101" s="156" t="s">
        <v>123</v>
      </c>
      <c r="C101" s="156"/>
      <c r="D101" s="156"/>
      <c r="E101" s="156"/>
      <c r="F101" s="210"/>
      <c r="G101" s="210"/>
      <c r="H101" s="210"/>
      <c r="I101" s="214">
        <f>SUM(I98:I100)</f>
        <v>30.490000000000002</v>
      </c>
      <c r="J101" s="214">
        <f t="shared" ref="J101:AO101" si="62">SUM(J98:J100)</f>
        <v>42.138548077999999</v>
      </c>
      <c r="K101" s="214">
        <f t="shared" si="62"/>
        <v>42.787804920918738</v>
      </c>
      <c r="L101" s="214">
        <f t="shared" si="62"/>
        <v>45.41617489196468</v>
      </c>
      <c r="M101" s="214">
        <f t="shared" si="62"/>
        <v>48.224861334062915</v>
      </c>
      <c r="N101" s="214">
        <f t="shared" si="62"/>
        <v>51.227769868016061</v>
      </c>
      <c r="O101" s="214">
        <f t="shared" si="62"/>
        <v>54.439990375391872</v>
      </c>
      <c r="P101" s="214">
        <f t="shared" si="62"/>
        <v>57.87790510953397</v>
      </c>
      <c r="Q101" s="214">
        <f t="shared" si="62"/>
        <v>61.559307101920425</v>
      </c>
      <c r="R101" s="214">
        <f t="shared" si="62"/>
        <v>65.503529867617161</v>
      </c>
      <c r="S101" s="214">
        <f t="shared" si="62"/>
        <v>69.731589512658829</v>
      </c>
      <c r="T101" s="214">
        <f t="shared" si="62"/>
        <v>74.266340455118652</v>
      </c>
      <c r="U101" s="214">
        <f t="shared" si="62"/>
        <v>79.132646091384146</v>
      </c>
      <c r="V101" s="214">
        <f t="shared" si="62"/>
        <v>84.357565870813886</v>
      </c>
      <c r="W101" s="214">
        <f t="shared" si="62"/>
        <v>4.1904096618463553</v>
      </c>
      <c r="X101" s="214">
        <f t="shared" si="62"/>
        <v>0</v>
      </c>
      <c r="Y101" s="214">
        <f t="shared" si="62"/>
        <v>0</v>
      </c>
      <c r="Z101" s="214">
        <f t="shared" si="62"/>
        <v>0</v>
      </c>
      <c r="AA101" s="214">
        <f t="shared" si="62"/>
        <v>0</v>
      </c>
      <c r="AB101" s="214">
        <f t="shared" si="62"/>
        <v>0</v>
      </c>
      <c r="AC101" s="214">
        <f t="shared" si="62"/>
        <v>0</v>
      </c>
      <c r="AD101" s="214">
        <f t="shared" si="62"/>
        <v>0</v>
      </c>
      <c r="AE101" s="214">
        <f t="shared" si="62"/>
        <v>0</v>
      </c>
      <c r="AF101" s="214">
        <f t="shared" si="62"/>
        <v>0</v>
      </c>
      <c r="AG101" s="214">
        <f t="shared" si="62"/>
        <v>0</v>
      </c>
      <c r="AH101" s="214">
        <f t="shared" si="62"/>
        <v>0</v>
      </c>
      <c r="AI101" s="214">
        <f t="shared" si="62"/>
        <v>0</v>
      </c>
      <c r="AJ101" s="214">
        <f t="shared" si="62"/>
        <v>0</v>
      </c>
      <c r="AK101" s="214">
        <f t="shared" si="62"/>
        <v>0</v>
      </c>
      <c r="AL101" s="214">
        <f t="shared" si="62"/>
        <v>0</v>
      </c>
      <c r="AM101" s="214">
        <f t="shared" si="62"/>
        <v>0</v>
      </c>
      <c r="AN101" s="214">
        <f t="shared" si="62"/>
        <v>0</v>
      </c>
      <c r="AO101" s="214">
        <f t="shared" si="62"/>
        <v>0</v>
      </c>
    </row>
    <row r="102" spans="2:41" outlineLevel="1">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2:41" ht="15" outlineLevel="1">
      <c r="B103" s="156" t="s">
        <v>124</v>
      </c>
      <c r="C103" s="156"/>
      <c r="D103" s="156"/>
      <c r="E103" s="156"/>
      <c r="F103" s="210"/>
      <c r="G103" s="210"/>
      <c r="H103" s="210"/>
      <c r="I103" s="214">
        <f>Financials!E16</f>
        <v>0</v>
      </c>
      <c r="J103" s="214">
        <f>Financials!F16</f>
        <v>0</v>
      </c>
      <c r="K103" s="214">
        <f>Financials!G16</f>
        <v>0</v>
      </c>
      <c r="L103" s="214">
        <f>Financials!H16</f>
        <v>0</v>
      </c>
      <c r="M103" s="214">
        <f>Financials!I16</f>
        <v>0</v>
      </c>
      <c r="N103" s="214">
        <f>Financials!J16</f>
        <v>0</v>
      </c>
      <c r="O103" s="214">
        <f>Financials!K16</f>
        <v>0</v>
      </c>
      <c r="P103" s="214">
        <f>Financials!L16</f>
        <v>0</v>
      </c>
      <c r="Q103" s="214">
        <f>Financials!M16</f>
        <v>0</v>
      </c>
      <c r="R103" s="214">
        <f>Financials!N16</f>
        <v>0</v>
      </c>
      <c r="S103" s="214">
        <f>Financials!O16</f>
        <v>0</v>
      </c>
      <c r="T103" s="214">
        <f>Financials!P16</f>
        <v>0</v>
      </c>
      <c r="U103" s="214">
        <f>Financials!Q16</f>
        <v>0</v>
      </c>
      <c r="V103" s="214">
        <f>Financials!R16</f>
        <v>0</v>
      </c>
      <c r="W103" s="214">
        <f>Financials!S16</f>
        <v>0</v>
      </c>
      <c r="X103" s="214">
        <f>Financials!T16</f>
        <v>0</v>
      </c>
      <c r="Y103" s="214">
        <f>Financials!U16</f>
        <v>0</v>
      </c>
      <c r="Z103" s="214">
        <f>Financials!V16</f>
        <v>0</v>
      </c>
      <c r="AA103" s="214">
        <f>Financials!W16</f>
        <v>0</v>
      </c>
      <c r="AB103" s="214">
        <f>Financials!X16</f>
        <v>0</v>
      </c>
      <c r="AC103" s="214">
        <f>Financials!Y16</f>
        <v>0</v>
      </c>
      <c r="AD103" s="214">
        <f>Financials!Z16</f>
        <v>0</v>
      </c>
      <c r="AE103" s="214">
        <f>Financials!AA16</f>
        <v>0</v>
      </c>
      <c r="AF103" s="214">
        <f>Financials!AB16</f>
        <v>0</v>
      </c>
      <c r="AG103" s="214">
        <f>Financials!AC16</f>
        <v>0</v>
      </c>
      <c r="AH103" s="214">
        <f>Financials!AD16</f>
        <v>0</v>
      </c>
      <c r="AI103" s="214">
        <f>Financials!AE16</f>
        <v>0</v>
      </c>
      <c r="AJ103" s="214">
        <f>Financials!AF16</f>
        <v>0</v>
      </c>
      <c r="AK103" s="214">
        <f>Financials!AG16</f>
        <v>0</v>
      </c>
      <c r="AL103" s="214">
        <f>Financials!AH16</f>
        <v>0</v>
      </c>
      <c r="AM103" s="214">
        <f>Financials!AI16</f>
        <v>0</v>
      </c>
      <c r="AN103" s="214">
        <f>Financials!AJ16</f>
        <v>0</v>
      </c>
      <c r="AO103" s="214">
        <f>Financials!AK16</f>
        <v>0</v>
      </c>
    </row>
    <row r="104" spans="2:41" ht="15" outlineLevel="1">
      <c r="B104" s="3"/>
      <c r="C104" s="3"/>
      <c r="D104" s="3"/>
      <c r="E104" s="3"/>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row>
    <row r="105" spans="2:41" ht="15" outlineLevel="1">
      <c r="B105" s="156" t="s">
        <v>125</v>
      </c>
      <c r="C105" s="156"/>
      <c r="D105" s="156"/>
      <c r="E105" s="156"/>
      <c r="F105" s="210"/>
      <c r="G105" s="210">
        <f t="shared" ref="G105:S105" si="63">G101+G103</f>
        <v>0</v>
      </c>
      <c r="H105" s="210">
        <f t="shared" si="63"/>
        <v>0</v>
      </c>
      <c r="I105" s="210">
        <f t="shared" si="63"/>
        <v>30.490000000000002</v>
      </c>
      <c r="J105" s="210">
        <f t="shared" si="63"/>
        <v>42.138548077999999</v>
      </c>
      <c r="K105" s="210">
        <f t="shared" si="63"/>
        <v>42.787804920918738</v>
      </c>
      <c r="L105" s="210">
        <f t="shared" si="63"/>
        <v>45.41617489196468</v>
      </c>
      <c r="M105" s="210">
        <f t="shared" si="63"/>
        <v>48.224861334062915</v>
      </c>
      <c r="N105" s="210">
        <f t="shared" si="63"/>
        <v>51.227769868016061</v>
      </c>
      <c r="O105" s="210">
        <f t="shared" si="63"/>
        <v>54.439990375391872</v>
      </c>
      <c r="P105" s="210">
        <f t="shared" si="63"/>
        <v>57.87790510953397</v>
      </c>
      <c r="Q105" s="210">
        <f t="shared" si="63"/>
        <v>61.559307101920425</v>
      </c>
      <c r="R105" s="210">
        <f t="shared" si="63"/>
        <v>65.503529867617161</v>
      </c>
      <c r="S105" s="210">
        <f t="shared" si="63"/>
        <v>69.731589512658829</v>
      </c>
      <c r="T105" s="210">
        <f t="shared" ref="T105:AO105" si="64">T101+T103</f>
        <v>74.266340455118652</v>
      </c>
      <c r="U105" s="210">
        <f t="shared" si="64"/>
        <v>79.132646091384146</v>
      </c>
      <c r="V105" s="210">
        <f t="shared" si="64"/>
        <v>84.357565870813886</v>
      </c>
      <c r="W105" s="210">
        <f t="shared" si="64"/>
        <v>4.1904096618463553</v>
      </c>
      <c r="X105" s="210">
        <f t="shared" si="64"/>
        <v>0</v>
      </c>
      <c r="Y105" s="210">
        <f t="shared" si="64"/>
        <v>0</v>
      </c>
      <c r="Z105" s="210">
        <f t="shared" si="64"/>
        <v>0</v>
      </c>
      <c r="AA105" s="210">
        <f t="shared" si="64"/>
        <v>0</v>
      </c>
      <c r="AB105" s="210">
        <f t="shared" si="64"/>
        <v>0</v>
      </c>
      <c r="AC105" s="210">
        <f t="shared" si="64"/>
        <v>0</v>
      </c>
      <c r="AD105" s="210">
        <f t="shared" si="64"/>
        <v>0</v>
      </c>
      <c r="AE105" s="210">
        <f t="shared" si="64"/>
        <v>0</v>
      </c>
      <c r="AF105" s="210">
        <f t="shared" si="64"/>
        <v>0</v>
      </c>
      <c r="AG105" s="210">
        <f t="shared" si="64"/>
        <v>0</v>
      </c>
      <c r="AH105" s="210">
        <f t="shared" si="64"/>
        <v>0</v>
      </c>
      <c r="AI105" s="210">
        <f t="shared" si="64"/>
        <v>0</v>
      </c>
      <c r="AJ105" s="210">
        <f t="shared" si="64"/>
        <v>0</v>
      </c>
      <c r="AK105" s="210">
        <f t="shared" si="64"/>
        <v>0</v>
      </c>
      <c r="AL105" s="210">
        <f t="shared" si="64"/>
        <v>0</v>
      </c>
      <c r="AM105" s="210">
        <f t="shared" si="64"/>
        <v>0</v>
      </c>
      <c r="AN105" s="210">
        <f t="shared" si="64"/>
        <v>0</v>
      </c>
      <c r="AO105" s="210">
        <f t="shared" si="64"/>
        <v>0</v>
      </c>
    </row>
    <row r="106" spans="2:41" ht="15" outlineLevel="1">
      <c r="B106" s="3"/>
      <c r="C106" s="3"/>
      <c r="D106" s="3"/>
      <c r="E106" s="3"/>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row>
    <row r="107" spans="2:41" outlineLevel="1">
      <c r="I107" s="1">
        <f>H107+1</f>
        <v>1</v>
      </c>
      <c r="J107" s="1">
        <f t="shared" ref="J107:AO107" si="65">I107+1</f>
        <v>2</v>
      </c>
      <c r="K107" s="1">
        <f t="shared" si="65"/>
        <v>3</v>
      </c>
      <c r="L107" s="1">
        <f t="shared" si="65"/>
        <v>4</v>
      </c>
      <c r="M107" s="1">
        <f t="shared" si="65"/>
        <v>5</v>
      </c>
      <c r="N107" s="1">
        <f t="shared" si="65"/>
        <v>6</v>
      </c>
      <c r="O107" s="1">
        <f t="shared" si="65"/>
        <v>7</v>
      </c>
      <c r="P107" s="1">
        <f t="shared" si="65"/>
        <v>8</v>
      </c>
      <c r="Q107" s="1">
        <f t="shared" si="65"/>
        <v>9</v>
      </c>
      <c r="R107" s="1">
        <f t="shared" si="65"/>
        <v>10</v>
      </c>
      <c r="S107" s="1">
        <f t="shared" si="65"/>
        <v>11</v>
      </c>
      <c r="T107" s="1">
        <f t="shared" si="65"/>
        <v>12</v>
      </c>
      <c r="U107" s="1">
        <f t="shared" si="65"/>
        <v>13</v>
      </c>
      <c r="V107" s="1">
        <f t="shared" si="65"/>
        <v>14</v>
      </c>
      <c r="W107" s="1">
        <f t="shared" si="65"/>
        <v>15</v>
      </c>
      <c r="X107" s="1">
        <f t="shared" si="65"/>
        <v>16</v>
      </c>
      <c r="Y107" s="1">
        <f t="shared" si="65"/>
        <v>17</v>
      </c>
      <c r="Z107" s="1">
        <f t="shared" si="65"/>
        <v>18</v>
      </c>
      <c r="AA107" s="1">
        <f t="shared" si="65"/>
        <v>19</v>
      </c>
      <c r="AB107" s="1">
        <f t="shared" si="65"/>
        <v>20</v>
      </c>
      <c r="AC107" s="1">
        <f t="shared" si="65"/>
        <v>21</v>
      </c>
      <c r="AD107" s="1">
        <f t="shared" si="65"/>
        <v>22</v>
      </c>
      <c r="AE107" s="1">
        <f t="shared" si="65"/>
        <v>23</v>
      </c>
      <c r="AF107" s="1">
        <f t="shared" si="65"/>
        <v>24</v>
      </c>
      <c r="AG107" s="1">
        <f t="shared" si="65"/>
        <v>25</v>
      </c>
      <c r="AH107" s="1">
        <f t="shared" si="65"/>
        <v>26</v>
      </c>
      <c r="AI107" s="1">
        <f t="shared" si="65"/>
        <v>27</v>
      </c>
      <c r="AJ107" s="1">
        <f t="shared" si="65"/>
        <v>28</v>
      </c>
      <c r="AK107" s="1">
        <f t="shared" si="65"/>
        <v>29</v>
      </c>
      <c r="AL107" s="1">
        <f t="shared" si="65"/>
        <v>30</v>
      </c>
      <c r="AM107" s="1">
        <f t="shared" si="65"/>
        <v>31</v>
      </c>
      <c r="AN107" s="1">
        <f t="shared" si="65"/>
        <v>32</v>
      </c>
      <c r="AO107" s="1">
        <f t="shared" si="65"/>
        <v>33</v>
      </c>
    </row>
    <row r="108" spans="2:41" ht="15" outlineLevel="1">
      <c r="B108" s="156" t="s">
        <v>126</v>
      </c>
      <c r="C108" s="150"/>
      <c r="D108" s="150"/>
      <c r="E108" s="150"/>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row>
    <row r="109" spans="2:41" ht="15" outlineLevel="1">
      <c r="B109" s="156" t="s">
        <v>127</v>
      </c>
      <c r="C109" s="150"/>
      <c r="D109" s="150"/>
      <c r="E109" s="150"/>
      <c r="F109" s="212"/>
      <c r="G109" s="212"/>
      <c r="H109" s="212"/>
      <c r="I109" s="212"/>
      <c r="J109" s="212">
        <f>SUMIF(Input!$B$112:$B$131,J2,Input!$C$112:$C$131)</f>
        <v>0</v>
      </c>
      <c r="K109" s="212">
        <f>SUMIF(Input!$B$112:$B$131,K2,Input!$C$112:$C$131)</f>
        <v>0</v>
      </c>
      <c r="L109" s="212">
        <f>SUMIF(Input!$B$112:$B$131,L2,Input!$C$112:$C$131)</f>
        <v>243.43</v>
      </c>
      <c r="M109" s="212">
        <f>SUMIF(Input!$B$112:$B$131,M2,Input!$C$112:$C$131)</f>
        <v>1.5</v>
      </c>
      <c r="N109" s="212">
        <f>SUMIF(Input!$B$112:$B$131,N2,Input!$C$112:$C$131)</f>
        <v>1.6861321802701068</v>
      </c>
      <c r="O109" s="212">
        <f>SUMIF(Input!$B$112:$B$131,O2,Input!$C$112:$C$131)</f>
        <v>1.7485815202801107</v>
      </c>
      <c r="P109" s="212">
        <f>SUMIF(Input!$B$112:$B$131,P2,Input!$C$112:$C$131)</f>
        <v>1.4237689515009073</v>
      </c>
      <c r="Q109" s="212">
        <f>SUMIF(Input!$B$112:$B$131,Q2,Input!$C$112:$C$131)</f>
        <v>92.307064007812514</v>
      </c>
      <c r="R109" s="212">
        <f>SUMIF(Input!$B$112:$B$131,R2,Input!$C$112:$C$131)</f>
        <v>96.922417208203129</v>
      </c>
      <c r="S109" s="212">
        <f>SUMIF(Input!$B$112:$B$131,S2,Input!$C$112:$C$131)</f>
        <v>1.5</v>
      </c>
      <c r="T109" s="212">
        <f>SUMIF(Input!$B$112:$B$131,T2,Input!$C$112:$C$131)</f>
        <v>2.6353106088003768</v>
      </c>
      <c r="U109" s="212">
        <f>SUMIF(Input!$B$112:$B$131,U2,Input!$C$112:$C$131)</f>
        <v>0</v>
      </c>
      <c r="V109" s="212">
        <f>SUMIF(Input!$B$112:$B$131,V2,Input!$C$112:$C$131)</f>
        <v>117.80980388167846</v>
      </c>
      <c r="W109" s="212">
        <f>SUMIF(Input!$B$112:$B$131,W2,Input!$C$112:$C$131)</f>
        <v>0</v>
      </c>
      <c r="X109" s="212">
        <f>SUMIF(Input!$B$112:$B$131,X2,Input!$C$112:$C$131)</f>
        <v>0</v>
      </c>
      <c r="Y109" s="212">
        <f>SUMIF(Input!$B$112:$B$131,Y2,Input!$C$112:$C$131)</f>
        <v>0</v>
      </c>
      <c r="Z109" s="212">
        <f>SUMIF(Input!$B$112:$B$131,Z2,Input!$C$112:$C$131)</f>
        <v>0</v>
      </c>
      <c r="AA109" s="212">
        <f>SUMIF(Input!$B$112:$B$131,AA2,Input!$C$112:$C$131)</f>
        <v>0</v>
      </c>
      <c r="AB109" s="212">
        <f>SUMIF(Input!$B$112:$B$131,AB2,Input!$C$112:$C$131)</f>
        <v>0</v>
      </c>
      <c r="AC109" s="212">
        <f>SUMIF(Input!$B$112:$B$131,AC2,Input!$C$112:$C$131)</f>
        <v>0</v>
      </c>
      <c r="AD109" s="212">
        <f>SUMIF(Input!$B$112:$B$131,AD2,Input!$C$112:$C$131)</f>
        <v>0</v>
      </c>
      <c r="AE109" s="212">
        <f>SUMIF(Input!$B$112:$B$131,AE2,Input!$C$112:$C$131)</f>
        <v>0</v>
      </c>
      <c r="AF109" s="212">
        <f>SUMIF(Input!$B$112:$B$131,AF2,Input!$C$112:$C$131)</f>
        <v>0</v>
      </c>
      <c r="AG109" s="212">
        <f>SUMIF(Input!$B$112:$B$131,AG2,Input!$C$112:$C$131)</f>
        <v>0</v>
      </c>
      <c r="AH109" s="212">
        <f>SUMIF(Input!$B$112:$B$131,AH2,Input!$C$112:$C$131)</f>
        <v>0</v>
      </c>
      <c r="AI109" s="212">
        <f>SUMIF(Input!$B$112:$B$131,AI2,Input!$C$112:$C$131)</f>
        <v>0</v>
      </c>
      <c r="AJ109" s="212">
        <f>SUMIF(Input!$B$112:$B$131,AJ2,Input!$C$112:$C$131)</f>
        <v>0</v>
      </c>
      <c r="AK109" s="212">
        <f>SUMIF(Input!$B$112:$B$131,AK2,Input!$C$112:$C$131)</f>
        <v>0</v>
      </c>
      <c r="AL109" s="212">
        <f>SUMIF(Input!$B$112:$B$131,AL2,Input!$C$112:$C$131)</f>
        <v>0</v>
      </c>
      <c r="AM109" s="212">
        <f>SUMIF(Input!$B$112:$B$131,AM2,Input!$C$112:$C$131)</f>
        <v>0</v>
      </c>
      <c r="AN109" s="212">
        <f>SUMIF(Input!$B$112:$B$131,AN2,Input!$C$112:$C$131)</f>
        <v>0</v>
      </c>
      <c r="AO109" s="212">
        <f>SUMIF(Input!$B$112:$B$131,AO2,Input!$C$112:$C$131)</f>
        <v>0</v>
      </c>
    </row>
    <row r="110" spans="2:41" ht="15" outlineLevel="1">
      <c r="B110" s="156" t="s">
        <v>128</v>
      </c>
      <c r="C110" s="150"/>
      <c r="D110" s="150"/>
      <c r="E110" s="150"/>
      <c r="F110" s="150"/>
      <c r="G110" s="212"/>
      <c r="H110" s="212"/>
      <c r="I110" s="212"/>
      <c r="J110" s="212"/>
      <c r="K110" s="212"/>
      <c r="L110" s="212">
        <v>0</v>
      </c>
      <c r="M110" s="212">
        <v>0</v>
      </c>
      <c r="N110" s="212">
        <v>0</v>
      </c>
      <c r="O110" s="212">
        <v>0</v>
      </c>
      <c r="P110" s="212">
        <v>0</v>
      </c>
      <c r="Q110" s="212">
        <v>0</v>
      </c>
      <c r="R110" s="212">
        <v>0</v>
      </c>
      <c r="S110" s="212">
        <v>0</v>
      </c>
      <c r="T110" s="212">
        <v>0</v>
      </c>
      <c r="U110" s="212">
        <v>0</v>
      </c>
      <c r="V110" s="212">
        <v>0</v>
      </c>
      <c r="W110" s="212">
        <v>0</v>
      </c>
      <c r="X110" s="212">
        <v>0</v>
      </c>
      <c r="Y110" s="212">
        <v>0</v>
      </c>
      <c r="Z110" s="212">
        <v>0</v>
      </c>
      <c r="AA110" s="212">
        <v>0</v>
      </c>
      <c r="AB110" s="212">
        <v>0</v>
      </c>
      <c r="AC110" s="212">
        <v>0</v>
      </c>
      <c r="AD110" s="212">
        <v>0</v>
      </c>
      <c r="AE110" s="212">
        <v>0</v>
      </c>
      <c r="AF110" s="212">
        <v>0</v>
      </c>
      <c r="AG110" s="212">
        <v>0</v>
      </c>
      <c r="AH110" s="212">
        <v>0</v>
      </c>
      <c r="AI110" s="212">
        <v>0</v>
      </c>
      <c r="AJ110" s="212">
        <v>0</v>
      </c>
      <c r="AK110" s="212">
        <v>0</v>
      </c>
      <c r="AL110" s="212">
        <v>0</v>
      </c>
      <c r="AM110" s="212">
        <v>0</v>
      </c>
      <c r="AN110" s="212">
        <v>0</v>
      </c>
      <c r="AO110" s="212">
        <v>0</v>
      </c>
    </row>
    <row r="111" spans="2:41" ht="15" outlineLevel="1">
      <c r="B111" s="156" t="s">
        <v>129</v>
      </c>
      <c r="C111" s="209">
        <f>SUM(D111:V111)</f>
        <v>560.96307835854554</v>
      </c>
      <c r="D111" s="150"/>
      <c r="E111" s="150"/>
      <c r="F111" s="213"/>
      <c r="G111" s="213"/>
      <c r="H111" s="213"/>
      <c r="I111" s="213"/>
      <c r="J111" s="213">
        <f t="shared" ref="J111:S111" si="66">SUM(J109:J110)</f>
        <v>0</v>
      </c>
      <c r="K111" s="213">
        <f t="shared" si="66"/>
        <v>0</v>
      </c>
      <c r="L111" s="213">
        <f t="shared" si="66"/>
        <v>243.43</v>
      </c>
      <c r="M111" s="213">
        <f t="shared" si="66"/>
        <v>1.5</v>
      </c>
      <c r="N111" s="213">
        <f t="shared" si="66"/>
        <v>1.6861321802701068</v>
      </c>
      <c r="O111" s="213">
        <f t="shared" si="66"/>
        <v>1.7485815202801107</v>
      </c>
      <c r="P111" s="213">
        <f t="shared" si="66"/>
        <v>1.4237689515009073</v>
      </c>
      <c r="Q111" s="213">
        <f t="shared" si="66"/>
        <v>92.307064007812514</v>
      </c>
      <c r="R111" s="213">
        <f t="shared" si="66"/>
        <v>96.922417208203129</v>
      </c>
      <c r="S111" s="213">
        <f t="shared" si="66"/>
        <v>1.5</v>
      </c>
      <c r="T111" s="213">
        <f t="shared" ref="T111:AO111" si="67">SUM(T109:T110)</f>
        <v>2.6353106088003768</v>
      </c>
      <c r="U111" s="213">
        <f t="shared" si="67"/>
        <v>0</v>
      </c>
      <c r="V111" s="213">
        <f t="shared" si="67"/>
        <v>117.80980388167846</v>
      </c>
      <c r="W111" s="213">
        <f t="shared" si="67"/>
        <v>0</v>
      </c>
      <c r="X111" s="213">
        <f t="shared" si="67"/>
        <v>0</v>
      </c>
      <c r="Y111" s="213">
        <f t="shared" si="67"/>
        <v>0</v>
      </c>
      <c r="Z111" s="213">
        <f t="shared" si="67"/>
        <v>0</v>
      </c>
      <c r="AA111" s="213">
        <f t="shared" si="67"/>
        <v>0</v>
      </c>
      <c r="AB111" s="213">
        <f t="shared" si="67"/>
        <v>0</v>
      </c>
      <c r="AC111" s="213">
        <f t="shared" si="67"/>
        <v>0</v>
      </c>
      <c r="AD111" s="213">
        <f t="shared" si="67"/>
        <v>0</v>
      </c>
      <c r="AE111" s="213">
        <f t="shared" si="67"/>
        <v>0</v>
      </c>
      <c r="AF111" s="213">
        <f t="shared" si="67"/>
        <v>0</v>
      </c>
      <c r="AG111" s="213">
        <f t="shared" si="67"/>
        <v>0</v>
      </c>
      <c r="AH111" s="213">
        <f t="shared" si="67"/>
        <v>0</v>
      </c>
      <c r="AI111" s="213">
        <f t="shared" si="67"/>
        <v>0</v>
      </c>
      <c r="AJ111" s="213">
        <f t="shared" si="67"/>
        <v>0</v>
      </c>
      <c r="AK111" s="213">
        <f t="shared" si="67"/>
        <v>0</v>
      </c>
      <c r="AL111" s="213">
        <f t="shared" si="67"/>
        <v>0</v>
      </c>
      <c r="AM111" s="213">
        <f t="shared" si="67"/>
        <v>0</v>
      </c>
      <c r="AN111" s="213">
        <f t="shared" si="67"/>
        <v>0</v>
      </c>
      <c r="AO111" s="213">
        <f t="shared" si="67"/>
        <v>0</v>
      </c>
    </row>
    <row r="112" spans="2:41" ht="15" outlineLevel="1">
      <c r="B112" s="156" t="s">
        <v>130</v>
      </c>
      <c r="C112" s="209"/>
      <c r="D112" s="150"/>
      <c r="E112" s="150"/>
      <c r="F112" s="150"/>
      <c r="G112" s="150"/>
      <c r="H112" s="150"/>
      <c r="I112" s="272"/>
      <c r="J112" s="272">
        <f>SUM($I$111:J111)</f>
        <v>0</v>
      </c>
      <c r="K112" s="272">
        <f>SUM($I$111:K111)</f>
        <v>0</v>
      </c>
      <c r="L112" s="272">
        <f>SUM($I$111:L111)</f>
        <v>243.43</v>
      </c>
      <c r="M112" s="272">
        <f>SUM($I$111:M111)</f>
        <v>244.93</v>
      </c>
      <c r="N112" s="272">
        <f>SUM($I$111:N111)</f>
        <v>246.61613218027011</v>
      </c>
      <c r="O112" s="272">
        <f>SUM($I$111:O111)</f>
        <v>248.36471370055023</v>
      </c>
      <c r="P112" s="272">
        <f>SUM($I$111:P111)</f>
        <v>249.78848265205113</v>
      </c>
      <c r="Q112" s="272">
        <f>SUM($I$111:Q111)</f>
        <v>342.09554665986366</v>
      </c>
      <c r="R112" s="272">
        <f>SUM($I$111:R111)</f>
        <v>439.01796386806677</v>
      </c>
      <c r="S112" s="272">
        <f>SUM($I$111:S111)</f>
        <v>440.51796386806677</v>
      </c>
      <c r="T112" s="272">
        <f>SUM($I$111:T111)</f>
        <v>443.15327447686713</v>
      </c>
      <c r="U112" s="272">
        <f>SUM($I$111:U111)</f>
        <v>443.15327447686713</v>
      </c>
      <c r="V112" s="272">
        <f>SUM($I$111:V111)</f>
        <v>560.96307835854554</v>
      </c>
      <c r="W112" s="272"/>
      <c r="X112" s="272"/>
      <c r="Y112" s="272"/>
      <c r="Z112" s="272"/>
      <c r="AA112" s="272"/>
      <c r="AB112" s="272"/>
      <c r="AC112" s="272"/>
      <c r="AD112" s="272">
        <f t="shared" ref="AD112:AO112" si="68">SUM(Z111:AD111)</f>
        <v>0</v>
      </c>
      <c r="AE112" s="272">
        <f t="shared" si="68"/>
        <v>0</v>
      </c>
      <c r="AF112" s="272">
        <f t="shared" si="68"/>
        <v>0</v>
      </c>
      <c r="AG112" s="272">
        <f t="shared" si="68"/>
        <v>0</v>
      </c>
      <c r="AH112" s="272">
        <f t="shared" si="68"/>
        <v>0</v>
      </c>
      <c r="AI112" s="272">
        <f t="shared" si="68"/>
        <v>0</v>
      </c>
      <c r="AJ112" s="272">
        <f t="shared" si="68"/>
        <v>0</v>
      </c>
      <c r="AK112" s="272">
        <f t="shared" si="68"/>
        <v>0</v>
      </c>
      <c r="AL112" s="272">
        <f t="shared" si="68"/>
        <v>0</v>
      </c>
      <c r="AM112" s="272">
        <f t="shared" si="68"/>
        <v>0</v>
      </c>
      <c r="AN112" s="272">
        <f t="shared" si="68"/>
        <v>0</v>
      </c>
      <c r="AO112" s="272">
        <f t="shared" si="68"/>
        <v>0</v>
      </c>
    </row>
    <row r="113" spans="1:41" outlineLevel="1">
      <c r="B113" s="150" t="s">
        <v>131</v>
      </c>
      <c r="C113" s="209">
        <f>SUM(D113:Z113)</f>
        <v>560.96307835854554</v>
      </c>
      <c r="D113" s="239"/>
      <c r="E113" s="239"/>
      <c r="F113" s="239"/>
      <c r="G113" s="239"/>
      <c r="H113" s="239"/>
      <c r="I113" s="239"/>
      <c r="J113" s="239"/>
      <c r="K113" s="239">
        <f>SUM(L111:M111)</f>
        <v>244.93</v>
      </c>
      <c r="L113" s="239"/>
      <c r="M113" s="239"/>
      <c r="N113" s="239">
        <f>SUM($N$111:$R$111)/5</f>
        <v>38.817592773613356</v>
      </c>
      <c r="O113" s="239">
        <f>SUM($N$111:$R$111)/5</f>
        <v>38.817592773613356</v>
      </c>
      <c r="P113" s="239">
        <f>SUM($N$111:$R$111)/5</f>
        <v>38.817592773613356</v>
      </c>
      <c r="Q113" s="239">
        <f>SUM($N$111:$R$111)/5</f>
        <v>38.817592773613356</v>
      </c>
      <c r="R113" s="239">
        <f>SUM($N$111:$R$111)/5</f>
        <v>38.817592773613356</v>
      </c>
      <c r="S113" s="239">
        <f>SUM($S$111:$V$111)/4</f>
        <v>30.486278622619711</v>
      </c>
      <c r="T113" s="239">
        <f>SUM($S$111:$V$111)/4</f>
        <v>30.486278622619711</v>
      </c>
      <c r="U113" s="239">
        <f>SUM($S$111:$V$111)/4</f>
        <v>30.486278622619711</v>
      </c>
      <c r="V113" s="239">
        <f>SUM($S$111:$V$111)/4</f>
        <v>30.486278622619711</v>
      </c>
      <c r="W113" s="239">
        <f t="shared" ref="W113:AO113" si="69">SUM(W111:AA111)/5</f>
        <v>0</v>
      </c>
      <c r="X113" s="239">
        <f t="shared" si="69"/>
        <v>0</v>
      </c>
      <c r="Y113" s="239">
        <f t="shared" si="69"/>
        <v>0</v>
      </c>
      <c r="Z113" s="239">
        <f t="shared" si="69"/>
        <v>0</v>
      </c>
      <c r="AA113" s="239">
        <f t="shared" si="69"/>
        <v>0</v>
      </c>
      <c r="AB113" s="239">
        <f t="shared" si="69"/>
        <v>0</v>
      </c>
      <c r="AC113" s="239">
        <f t="shared" si="69"/>
        <v>0</v>
      </c>
      <c r="AD113" s="239">
        <f t="shared" si="69"/>
        <v>0</v>
      </c>
      <c r="AE113" s="239">
        <f t="shared" si="69"/>
        <v>0</v>
      </c>
      <c r="AF113" s="239">
        <f t="shared" si="69"/>
        <v>0</v>
      </c>
      <c r="AG113" s="239">
        <f t="shared" si="69"/>
        <v>0</v>
      </c>
      <c r="AH113" s="239">
        <f t="shared" si="69"/>
        <v>0</v>
      </c>
      <c r="AI113" s="239">
        <f t="shared" si="69"/>
        <v>0</v>
      </c>
      <c r="AJ113" s="239">
        <f t="shared" si="69"/>
        <v>0</v>
      </c>
      <c r="AK113" s="239">
        <f t="shared" si="69"/>
        <v>0</v>
      </c>
      <c r="AL113" s="239">
        <f t="shared" si="69"/>
        <v>0</v>
      </c>
      <c r="AM113" s="239">
        <f t="shared" si="69"/>
        <v>0</v>
      </c>
      <c r="AN113" s="239">
        <f t="shared" si="69"/>
        <v>0</v>
      </c>
      <c r="AO113" s="239">
        <f t="shared" si="69"/>
        <v>0</v>
      </c>
    </row>
    <row r="114" spans="1:41" outlineLevel="1">
      <c r="B114" s="150" t="s">
        <v>132</v>
      </c>
      <c r="C114" s="209">
        <f>SUM(D114:Z114)</f>
        <v>560.96307835854554</v>
      </c>
      <c r="D114" s="150"/>
      <c r="E114" s="199"/>
      <c r="F114" s="199"/>
      <c r="G114" s="199"/>
      <c r="H114" s="239"/>
      <c r="I114" s="239"/>
      <c r="J114" s="239"/>
      <c r="K114" s="239">
        <f>Financials!G45</f>
        <v>83.47698401837296</v>
      </c>
      <c r="L114" s="239">
        <f>(SUM($D113:L$113)-SUM($D114:K$114))</f>
        <v>161.45301598162706</v>
      </c>
      <c r="M114" s="239">
        <f>SUM($D113:M$113)-SUM($D114:L$114)</f>
        <v>0</v>
      </c>
      <c r="N114" s="239">
        <f>SUM($D113:N$113)-SUM($D114:M$114)</f>
        <v>38.817592773613342</v>
      </c>
      <c r="O114" s="239">
        <f>SUM($D113:O$113)-SUM($D114:N$114)</f>
        <v>38.817592773613342</v>
      </c>
      <c r="P114" s="239">
        <f>SUM($D113:P$113)-SUM($D114:O$114)</f>
        <v>38.817592773613342</v>
      </c>
      <c r="Q114" s="239">
        <f>SUM($D113:Q$113)-SUM($D114:P$114)</f>
        <v>38.817592773613342</v>
      </c>
      <c r="R114" s="239">
        <f>SUM($D113:R$113)-SUM($D114:Q$114)</f>
        <v>38.817592773613342</v>
      </c>
      <c r="S114" s="239">
        <f>SUM($D113:S$113)-SUM($D114:R$114)</f>
        <v>30.486278622619693</v>
      </c>
      <c r="T114" s="239">
        <f>SUM($D113:T$113)-SUM($D114:S$114)</f>
        <v>30.486278622619693</v>
      </c>
      <c r="U114" s="239">
        <f>SUM($D113:U$113)-SUM($D114:T$114)</f>
        <v>30.48627862261975</v>
      </c>
      <c r="V114" s="239">
        <f>SUM($D113:V$113)-SUM($D114:U$114)</f>
        <v>30.486278622619693</v>
      </c>
      <c r="W114" s="239">
        <f>SUM($D113:W$113)-SUM($D114:V$114)</f>
        <v>0</v>
      </c>
      <c r="X114" s="239">
        <f>SUM($D113:X$113)-SUM($D114:W$114)</f>
        <v>0</v>
      </c>
      <c r="Y114" s="239">
        <f>SUM($D113:Y$113)-SUM($D114:X$114)</f>
        <v>0</v>
      </c>
      <c r="Z114" s="239">
        <f>SUM($D113:Z$113)-SUM($D114:Y$114)</f>
        <v>0</v>
      </c>
      <c r="AA114" s="239">
        <f>SUM($D113:AA$113)-SUM($D114:Z$114)</f>
        <v>0</v>
      </c>
      <c r="AB114" s="239">
        <f>SUM($D113:AB$113)-SUM($D114:AA$114)</f>
        <v>0</v>
      </c>
      <c r="AC114" s="239">
        <f>SUM($D113:AC$113)-SUM($D114:AB$114)</f>
        <v>0</v>
      </c>
      <c r="AD114" s="239">
        <f>SUM($D113:AD$113)-SUM($D114:AC$114)</f>
        <v>0</v>
      </c>
      <c r="AE114" s="239">
        <f>SUM($D113:AE$113)-SUM($D114:AD$114)</f>
        <v>0</v>
      </c>
      <c r="AF114" s="239">
        <f>SUM($D113:AF$113)-SUM($D114:AE$114)</f>
        <v>0</v>
      </c>
      <c r="AG114" s="239">
        <f>SUM($D113:AG$113)-SUM($D114:AF$114)</f>
        <v>0</v>
      </c>
      <c r="AH114" s="239">
        <f>SUM($D113:AH$113)-SUM($D114:AG$114)</f>
        <v>0</v>
      </c>
      <c r="AI114" s="239">
        <f>SUM($D113:AI$113)-SUM($D114:AH$114)</f>
        <v>0</v>
      </c>
      <c r="AJ114" s="239">
        <f>SUM($D113:AJ$113)-SUM($D114:AI$114)</f>
        <v>0</v>
      </c>
      <c r="AK114" s="239">
        <f>SUM($D113:AK$113)-SUM($D114:AJ$114)</f>
        <v>0</v>
      </c>
      <c r="AL114" s="239">
        <f>SUM($D113:AL$113)-SUM($D114:AK$114)</f>
        <v>0</v>
      </c>
      <c r="AM114" s="239">
        <f>SUM($D113:AM$113)-SUM($D114:AL$114)</f>
        <v>0</v>
      </c>
      <c r="AN114" s="239">
        <f>SUM($D113:AN$113)-SUM($D114:AM$114)</f>
        <v>0</v>
      </c>
      <c r="AO114" s="239">
        <f>SUM($D113:AO$113)-SUM($D114:AN$114)</f>
        <v>0</v>
      </c>
    </row>
    <row r="115" spans="1:41" outlineLevel="1">
      <c r="G115" s="35"/>
      <c r="I115" s="72"/>
    </row>
    <row r="116" spans="1:41" outlineLevel="1">
      <c r="M116" s="82"/>
      <c r="AE116" s="35"/>
    </row>
    <row r="117" spans="1:41" outlineLevel="1">
      <c r="B117" s="150" t="s">
        <v>220</v>
      </c>
      <c r="C117" s="195">
        <f>SUM(J111:AO111)</f>
        <v>560.96307835854554</v>
      </c>
    </row>
    <row r="118" spans="1:41" outlineLevel="1">
      <c r="B118" s="150" t="s">
        <v>239</v>
      </c>
      <c r="C118" s="195">
        <f>SUM(I114:AO114)</f>
        <v>560.96307835854554</v>
      </c>
    </row>
    <row r="119" spans="1:41" ht="15" outlineLevel="1">
      <c r="B119" s="156" t="s">
        <v>242</v>
      </c>
      <c r="C119" s="195">
        <f>C117-C118</f>
        <v>0</v>
      </c>
    </row>
    <row r="121" spans="1:41" ht="15">
      <c r="A121" s="150"/>
      <c r="B121" s="156" t="s">
        <v>251</v>
      </c>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row>
    <row r="122" spans="1:41">
      <c r="A122" s="150"/>
      <c r="B122" s="150" t="s">
        <v>211</v>
      </c>
      <c r="C122" s="150"/>
      <c r="D122" s="150"/>
      <c r="E122" s="150"/>
      <c r="F122" s="150"/>
      <c r="G122" s="150"/>
      <c r="H122" s="150"/>
      <c r="I122" s="212"/>
      <c r="J122" s="212">
        <v>0</v>
      </c>
      <c r="K122" s="212">
        <f t="shared" ref="K122:AO122" si="70">J125</f>
        <v>0</v>
      </c>
      <c r="L122" s="212">
        <f t="shared" si="70"/>
        <v>0</v>
      </c>
      <c r="M122" s="212">
        <f t="shared" si="70"/>
        <v>0</v>
      </c>
      <c r="N122" s="212">
        <f t="shared" si="70"/>
        <v>0</v>
      </c>
      <c r="O122" s="212">
        <f t="shared" si="70"/>
        <v>37.131460593343235</v>
      </c>
      <c r="P122" s="212">
        <f t="shared" si="70"/>
        <v>74.200471846676464</v>
      </c>
      <c r="Q122" s="212">
        <f t="shared" si="70"/>
        <v>111.5942956687889</v>
      </c>
      <c r="R122" s="212">
        <f t="shared" si="70"/>
        <v>58.10482443458973</v>
      </c>
      <c r="S122" s="212">
        <f t="shared" si="70"/>
        <v>0</v>
      </c>
      <c r="T122" s="212">
        <f t="shared" si="70"/>
        <v>28.986278622619693</v>
      </c>
      <c r="U122" s="212">
        <f t="shared" si="70"/>
        <v>56.837246636439012</v>
      </c>
      <c r="V122" s="212">
        <f t="shared" si="70"/>
        <v>87.323525259058755</v>
      </c>
      <c r="W122" s="212">
        <f t="shared" si="70"/>
        <v>0</v>
      </c>
      <c r="X122" s="212">
        <f t="shared" si="70"/>
        <v>0</v>
      </c>
      <c r="Y122" s="212">
        <f t="shared" si="70"/>
        <v>0</v>
      </c>
      <c r="Z122" s="212">
        <f t="shared" si="70"/>
        <v>0</v>
      </c>
      <c r="AA122" s="212">
        <f t="shared" si="70"/>
        <v>0</v>
      </c>
      <c r="AB122" s="212">
        <f t="shared" si="70"/>
        <v>0</v>
      </c>
      <c r="AC122" s="212">
        <f t="shared" si="70"/>
        <v>0</v>
      </c>
      <c r="AD122" s="212">
        <f t="shared" si="70"/>
        <v>0</v>
      </c>
      <c r="AE122" s="212">
        <f t="shared" si="70"/>
        <v>0</v>
      </c>
      <c r="AF122" s="2">
        <f t="shared" si="70"/>
        <v>0</v>
      </c>
      <c r="AG122" s="2">
        <f t="shared" si="70"/>
        <v>0</v>
      </c>
      <c r="AH122" s="2">
        <f t="shared" si="70"/>
        <v>0</v>
      </c>
      <c r="AI122" s="2">
        <f t="shared" si="70"/>
        <v>0</v>
      </c>
      <c r="AJ122" s="2">
        <f t="shared" si="70"/>
        <v>0</v>
      </c>
      <c r="AK122" s="2">
        <f t="shared" si="70"/>
        <v>0</v>
      </c>
      <c r="AL122" s="2">
        <f t="shared" si="70"/>
        <v>0</v>
      </c>
      <c r="AM122" s="2">
        <f t="shared" si="70"/>
        <v>0</v>
      </c>
      <c r="AN122" s="2">
        <f t="shared" si="70"/>
        <v>0</v>
      </c>
      <c r="AO122" s="2">
        <f t="shared" si="70"/>
        <v>0</v>
      </c>
    </row>
    <row r="123" spans="1:41">
      <c r="A123" s="150"/>
      <c r="B123" s="150" t="s">
        <v>203</v>
      </c>
      <c r="C123" s="150"/>
      <c r="D123" s="150"/>
      <c r="E123" s="150"/>
      <c r="F123" s="150"/>
      <c r="G123" s="150"/>
      <c r="H123" s="150"/>
      <c r="I123" s="212"/>
      <c r="J123" s="212"/>
      <c r="K123" s="212"/>
      <c r="L123" s="212"/>
      <c r="M123" s="212"/>
      <c r="N123" s="212">
        <f>Financials!J18</f>
        <v>38.817592773613342</v>
      </c>
      <c r="O123" s="212">
        <f>Financials!K18</f>
        <v>38.817592773613342</v>
      </c>
      <c r="P123" s="212">
        <f>Financials!L18</f>
        <v>38.817592773613342</v>
      </c>
      <c r="Q123" s="212">
        <f>Financials!M18</f>
        <v>38.817592773613342</v>
      </c>
      <c r="R123" s="212">
        <f>Financials!N18</f>
        <v>38.817592773613342</v>
      </c>
      <c r="S123" s="212">
        <f>Financials!O18</f>
        <v>30.486278622619693</v>
      </c>
      <c r="T123" s="212">
        <f>Financials!P18</f>
        <v>30.486278622619693</v>
      </c>
      <c r="U123" s="212">
        <f>Financials!Q18</f>
        <v>30.48627862261975</v>
      </c>
      <c r="V123" s="212">
        <f>Financials!R18</f>
        <v>30.486278622619693</v>
      </c>
      <c r="W123" s="212">
        <f>Financials!S18</f>
        <v>0</v>
      </c>
      <c r="X123" s="212">
        <f>Financials!T18</f>
        <v>0</v>
      </c>
      <c r="Y123" s="212">
        <f>Financials!U18</f>
        <v>0</v>
      </c>
      <c r="Z123" s="212">
        <f>Financials!V18</f>
        <v>0</v>
      </c>
      <c r="AA123" s="212">
        <f>Financials!W18</f>
        <v>0</v>
      </c>
      <c r="AB123" s="212">
        <f>Financials!X18</f>
        <v>0</v>
      </c>
      <c r="AC123" s="212">
        <f>Financials!Y18</f>
        <v>0</v>
      </c>
      <c r="AD123" s="212">
        <f>Financials!Z18</f>
        <v>0</v>
      </c>
      <c r="AE123" s="212">
        <f>Financials!AA18</f>
        <v>0</v>
      </c>
      <c r="AF123" s="2">
        <f>Financials!AB18</f>
        <v>0</v>
      </c>
      <c r="AG123" s="2">
        <f>Financials!AC18</f>
        <v>0</v>
      </c>
      <c r="AH123" s="2">
        <f>Financials!AD18</f>
        <v>0</v>
      </c>
      <c r="AI123" s="2">
        <f>Financials!AE18</f>
        <v>0</v>
      </c>
      <c r="AJ123" s="2">
        <f>Financials!AF18</f>
        <v>0</v>
      </c>
      <c r="AK123" s="2">
        <f>Financials!AG18</f>
        <v>0</v>
      </c>
      <c r="AL123" s="2">
        <f>Financials!AH18</f>
        <v>0</v>
      </c>
      <c r="AM123" s="2">
        <f>Financials!AI18</f>
        <v>0</v>
      </c>
      <c r="AN123" s="2">
        <f>Financials!AJ18</f>
        <v>0</v>
      </c>
      <c r="AO123" s="2">
        <f>Financials!AK18</f>
        <v>0</v>
      </c>
    </row>
    <row r="124" spans="1:41">
      <c r="A124" s="150"/>
      <c r="B124" s="150" t="s">
        <v>252</v>
      </c>
      <c r="C124" s="150"/>
      <c r="D124" s="150"/>
      <c r="E124" s="150"/>
      <c r="F124" s="150"/>
      <c r="G124" s="150"/>
      <c r="H124" s="150"/>
      <c r="I124" s="212"/>
      <c r="J124" s="212"/>
      <c r="K124" s="212"/>
      <c r="L124" s="212"/>
      <c r="M124" s="212"/>
      <c r="N124" s="212">
        <f>SUMIF('Other Schedules'!$I$2:$AO$2,N2,'Other Schedules'!$I$111:$AO$111)*-1</f>
        <v>-1.6861321802701068</v>
      </c>
      <c r="O124" s="212">
        <f>SUMIF('Other Schedules'!$I$2:$AO$2,O2,'Other Schedules'!$I$111:$AO$111)*-1</f>
        <v>-1.7485815202801107</v>
      </c>
      <c r="P124" s="212">
        <f>SUMIF('Other Schedules'!$I$2:$AO$2,P2,'Other Schedules'!$I$111:$AO$111)*-1</f>
        <v>-1.4237689515009073</v>
      </c>
      <c r="Q124" s="212">
        <f>SUMIF('Other Schedules'!$I$2:$AO$2,Q2,'Other Schedules'!$I$111:$AO$111)*-1</f>
        <v>-92.307064007812514</v>
      </c>
      <c r="R124" s="212">
        <f>SUMIF('Other Schedules'!$I$2:$AO$2,R2,'Other Schedules'!$I$111:$AO$111)*-1</f>
        <v>-96.922417208203129</v>
      </c>
      <c r="S124" s="212">
        <f>SUMIF('Other Schedules'!$I$2:$AO$2,S2,'Other Schedules'!$I$111:$AO$111)*-1</f>
        <v>-1.5</v>
      </c>
      <c r="T124" s="212">
        <f>SUMIF('Other Schedules'!$I$2:$AO$2,T2,'Other Schedules'!$I$111:$AO$111)*-1</f>
        <v>-2.6353106088003768</v>
      </c>
      <c r="U124" s="212">
        <f>SUMIF('Other Schedules'!$I$2:$AO$2,U2,'Other Schedules'!$I$111:$AO$111)*-1</f>
        <v>0</v>
      </c>
      <c r="V124" s="212">
        <f>SUMIF('Other Schedules'!$I$2:$AO$2,V2,'Other Schedules'!$I$111:$AO$111)*-1</f>
        <v>-117.80980388167846</v>
      </c>
      <c r="W124" s="212">
        <f>SUMIF('Other Schedules'!$I$2:$AO$2,W2,'Other Schedules'!$I$111:$AO$111)*-1</f>
        <v>0</v>
      </c>
      <c r="X124" s="212">
        <f>SUMIF('Other Schedules'!$I$2:$AO$2,X2,'Other Schedules'!$I$111:$AO$111)*-1</f>
        <v>0</v>
      </c>
      <c r="Y124" s="212">
        <f>SUMIF('Other Schedules'!$I$2:$AO$2,Y2,'Other Schedules'!$I$111:$AO$111)*-1</f>
        <v>0</v>
      </c>
      <c r="Z124" s="212">
        <f>SUMIF('Other Schedules'!$I$2:$AO$2,Z2,'Other Schedules'!$I$111:$AO$111)*-1</f>
        <v>0</v>
      </c>
      <c r="AA124" s="212">
        <f>SUMIF('Other Schedules'!$I$2:$AO$2,AA2,'Other Schedules'!$I$111:$AO$111)*-1</f>
        <v>0</v>
      </c>
      <c r="AB124" s="212">
        <f>SUMIF('Other Schedules'!$I$2:$AO$2,AB2,'Other Schedules'!$I$111:$AO$111)*-1</f>
        <v>0</v>
      </c>
      <c r="AC124" s="212">
        <f>SUMIF('Other Schedules'!$I$2:$AO$2,AC2,'Other Schedules'!$I$111:$AO$111)*-1</f>
        <v>0</v>
      </c>
      <c r="AD124" s="212">
        <f>SUMIF('Other Schedules'!$I$2:$AO$2,AD2,'Other Schedules'!$I$111:$AO$111)*-1</f>
        <v>0</v>
      </c>
      <c r="AE124" s="212">
        <f>SUMIF('Other Schedules'!$I$2:$AO$2,AE2,'Other Schedules'!$I$111:$AO$111)*-1</f>
        <v>0</v>
      </c>
      <c r="AF124" s="2">
        <f>SUMIF('Other Schedules'!$I$2:$AO$2,AF2,'Other Schedules'!$I$111:$AO$111)*-1</f>
        <v>0</v>
      </c>
      <c r="AG124" s="2">
        <f>SUMIF('Other Schedules'!$I$2:$AO$2,AG2,'Other Schedules'!$I$111:$AO$111)*-1</f>
        <v>0</v>
      </c>
      <c r="AH124" s="2">
        <f>SUMIF('Other Schedules'!$I$2:$AO$2,AH2,'Other Schedules'!$I$111:$AO$111)*-1</f>
        <v>0</v>
      </c>
      <c r="AI124" s="2">
        <f>SUMIF('Other Schedules'!$I$2:$AO$2,AI2,'Other Schedules'!$I$111:$AO$111)*-1</f>
        <v>0</v>
      </c>
      <c r="AJ124" s="2">
        <f>SUMIF('Other Schedules'!$I$2:$AO$2,AJ2,'Other Schedules'!$I$111:$AO$111)*-1</f>
        <v>0</v>
      </c>
      <c r="AK124" s="2">
        <f>SUMIF('Other Schedules'!$I$2:$AO$2,AK2,'Other Schedules'!$I$111:$AO$111)*-1</f>
        <v>0</v>
      </c>
      <c r="AL124" s="2">
        <f>SUMIF('Other Schedules'!$I$2:$AO$2,AL2,'Other Schedules'!$I$111:$AO$111)*-1</f>
        <v>0</v>
      </c>
      <c r="AM124" s="2">
        <f>SUMIF('Other Schedules'!$I$2:$AO$2,AM2,'Other Schedules'!$I$111:$AO$111)*-1</f>
        <v>0</v>
      </c>
      <c r="AN124" s="2">
        <f>SUMIF('Other Schedules'!$I$2:$AO$2,AN2,'Other Schedules'!$I$111:$AO$111)*-1</f>
        <v>0</v>
      </c>
      <c r="AO124" s="2">
        <f>SUMIF('Other Schedules'!$I$2:$AO$2,AO2,'Other Schedules'!$I$111:$AO$111)*-1</f>
        <v>0</v>
      </c>
    </row>
    <row r="125" spans="1:41" ht="15">
      <c r="A125" s="150"/>
      <c r="B125" s="156" t="s">
        <v>207</v>
      </c>
      <c r="C125" s="150"/>
      <c r="D125" s="150"/>
      <c r="E125" s="150"/>
      <c r="F125" s="150"/>
      <c r="G125" s="150"/>
      <c r="H125" s="150"/>
      <c r="I125" s="212"/>
      <c r="J125" s="212">
        <f>SUM(J122:J124)</f>
        <v>0</v>
      </c>
      <c r="K125" s="212">
        <f t="shared" ref="K125:AO125" si="71">SUM(K122:K124)</f>
        <v>0</v>
      </c>
      <c r="L125" s="212">
        <f t="shared" si="71"/>
        <v>0</v>
      </c>
      <c r="M125" s="212">
        <f t="shared" si="71"/>
        <v>0</v>
      </c>
      <c r="N125" s="212">
        <f t="shared" si="71"/>
        <v>37.131460593343235</v>
      </c>
      <c r="O125" s="212">
        <f t="shared" si="71"/>
        <v>74.200471846676464</v>
      </c>
      <c r="P125" s="212">
        <f t="shared" si="71"/>
        <v>111.5942956687889</v>
      </c>
      <c r="Q125" s="212">
        <f t="shared" si="71"/>
        <v>58.10482443458973</v>
      </c>
      <c r="R125" s="212">
        <f t="shared" si="71"/>
        <v>0</v>
      </c>
      <c r="S125" s="212">
        <f t="shared" si="71"/>
        <v>28.986278622619693</v>
      </c>
      <c r="T125" s="212">
        <f t="shared" si="71"/>
        <v>56.837246636439012</v>
      </c>
      <c r="U125" s="212">
        <f t="shared" si="71"/>
        <v>87.323525259058755</v>
      </c>
      <c r="V125" s="212">
        <f t="shared" si="71"/>
        <v>0</v>
      </c>
      <c r="W125" s="212">
        <f t="shared" si="71"/>
        <v>0</v>
      </c>
      <c r="X125" s="212">
        <f t="shared" si="71"/>
        <v>0</v>
      </c>
      <c r="Y125" s="212">
        <f t="shared" si="71"/>
        <v>0</v>
      </c>
      <c r="Z125" s="212">
        <f t="shared" si="71"/>
        <v>0</v>
      </c>
      <c r="AA125" s="212">
        <f t="shared" si="71"/>
        <v>0</v>
      </c>
      <c r="AB125" s="212">
        <f t="shared" si="71"/>
        <v>0</v>
      </c>
      <c r="AC125" s="212">
        <f t="shared" si="71"/>
        <v>0</v>
      </c>
      <c r="AD125" s="212">
        <f t="shared" si="71"/>
        <v>0</v>
      </c>
      <c r="AE125" s="212">
        <f t="shared" si="71"/>
        <v>0</v>
      </c>
      <c r="AF125" s="80">
        <f t="shared" si="71"/>
        <v>0</v>
      </c>
      <c r="AG125" s="80">
        <f t="shared" si="71"/>
        <v>0</v>
      </c>
      <c r="AH125" s="80">
        <f t="shared" si="71"/>
        <v>0</v>
      </c>
      <c r="AI125" s="80">
        <f t="shared" si="71"/>
        <v>0</v>
      </c>
      <c r="AJ125" s="80">
        <f t="shared" si="71"/>
        <v>0</v>
      </c>
      <c r="AK125" s="80">
        <f t="shared" si="71"/>
        <v>0</v>
      </c>
      <c r="AL125" s="80">
        <f t="shared" si="71"/>
        <v>0</v>
      </c>
      <c r="AM125" s="80">
        <f t="shared" si="71"/>
        <v>0</v>
      </c>
      <c r="AN125" s="80">
        <f t="shared" si="71"/>
        <v>0</v>
      </c>
      <c r="AO125" s="80">
        <f t="shared" si="71"/>
        <v>0</v>
      </c>
    </row>
    <row r="126" spans="1:41" ht="15.75" thickBot="1">
      <c r="A126" s="150"/>
      <c r="B126" s="156"/>
      <c r="C126" s="150"/>
      <c r="D126" s="150"/>
      <c r="E126" s="150"/>
      <c r="F126" s="150"/>
      <c r="G126" s="150"/>
      <c r="H126" s="150"/>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12"/>
      <c r="AG126" s="12"/>
      <c r="AH126" s="12"/>
      <c r="AI126" s="12"/>
      <c r="AJ126" s="12"/>
      <c r="AK126" s="12"/>
      <c r="AL126" s="12"/>
      <c r="AM126" s="12"/>
      <c r="AN126" s="12"/>
      <c r="AO126" s="12"/>
    </row>
    <row r="127" spans="1:41" ht="14.25" thickTop="1"/>
  </sheetData>
  <conditionalFormatting sqref="G108:AO108">
    <cfRule type="cellIs" dxfId="4" priority="1"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F6" sqref="F6"/>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Input</vt:lpstr>
      <vt:lpstr>FCFF</vt:lpstr>
      <vt:lpstr>Traffic and Toll</vt:lpstr>
      <vt:lpstr>Debt Schedule</vt:lpstr>
      <vt:lpstr>Sheet3</vt:lpstr>
      <vt:lpstr>Debt Repay</vt:lpstr>
      <vt:lpstr>Other Schedules</vt:lpstr>
      <vt:lpstr>Sheet1</vt:lpstr>
      <vt:lpstr>Financials</vt:lpstr>
      <vt:lpstr>Historical P&amp;L RK</vt:lpstr>
      <vt:lpstr>Projected P&amp;L RK</vt:lpstr>
      <vt:lpstr>Beta RK</vt:lpstr>
      <vt:lpstr>WACC RK</vt:lpstr>
      <vt:lpstr>Enterprise Value 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2022-09-19T07:12:33Z</dcterms:modified>
</cp:coreProperties>
</file>