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tabRatio="771" activeTab="3"/>
  </bookViews>
  <sheets>
    <sheet name="DCF, WACC &amp; SENSITIVITY" sheetId="9" r:id="rId1"/>
    <sheet name="RKA Toll Revenue" sheetId="1" r:id="rId2"/>
    <sheet name="Projected P &amp; L" sheetId="7" r:id="rId3"/>
    <sheet name="Other Income &amp; Expenditure" sheetId="4" r:id="rId4"/>
    <sheet name="Toll collection 2022" sheetId="2" r:id="rId5"/>
    <sheet name="MMR Details" sheetId="3" r:id="rId6"/>
    <sheet name="Historical P&amp;L" sheetId="5" r:id="rId7"/>
  </sheets>
  <calcPr calcId="152511" iterate="1"/>
</workbook>
</file>

<file path=xl/calcChain.xml><?xml version="1.0" encoding="utf-8"?>
<calcChain xmlns="http://schemas.openxmlformats.org/spreadsheetml/2006/main">
  <c r="L10" i="5" l="1"/>
  <c r="L8" i="5"/>
  <c r="C57" i="9" l="1"/>
  <c r="C53" i="9" s="1"/>
  <c r="C38" i="9" s="1"/>
  <c r="C49" i="9"/>
  <c r="C36" i="9" s="1"/>
  <c r="C48" i="9"/>
  <c r="C33" i="9" l="1"/>
  <c r="C35" i="9" s="1"/>
  <c r="C37" i="9" l="1"/>
  <c r="C39" i="9" s="1"/>
  <c r="C41" i="9" s="1"/>
  <c r="F34" i="9" s="1"/>
  <c r="F35" i="9" s="1"/>
  <c r="C19" i="9"/>
  <c r="D15" i="7"/>
  <c r="E15" i="7"/>
  <c r="C15" i="7"/>
  <c r="C20" i="9"/>
  <c r="D19" i="9"/>
  <c r="D20" i="9" s="1"/>
  <c r="D14" i="9"/>
  <c r="E14" i="9"/>
  <c r="F14" i="9"/>
  <c r="G14" i="9"/>
  <c r="C14" i="9"/>
  <c r="D11" i="9"/>
  <c r="E11" i="9"/>
  <c r="F11" i="9"/>
  <c r="G11" i="9"/>
  <c r="C11" i="9"/>
  <c r="D9" i="9"/>
  <c r="E9" i="9"/>
  <c r="F9" i="9"/>
  <c r="G9" i="9"/>
  <c r="C9" i="9"/>
  <c r="F33" i="9" l="1"/>
  <c r="E19" i="9"/>
  <c r="F19" i="9" s="1"/>
  <c r="F20" i="9" s="1"/>
  <c r="E20" i="9" l="1"/>
  <c r="G19" i="9"/>
  <c r="G20" i="9" s="1"/>
  <c r="D6" i="9" l="1"/>
  <c r="E6" i="9" s="1"/>
  <c r="F6" i="9" s="1"/>
  <c r="G6" i="9" s="1"/>
  <c r="D40" i="7"/>
  <c r="E40" i="7" s="1"/>
  <c r="F40" i="7" s="1"/>
  <c r="G40" i="7" s="1"/>
  <c r="E6" i="7"/>
  <c r="F6" i="7" s="1"/>
  <c r="G6" i="7" s="1"/>
  <c r="D6" i="7"/>
  <c r="D34" i="5"/>
  <c r="E34" i="5" s="1"/>
  <c r="F34" i="5" s="1"/>
  <c r="G34" i="5" s="1"/>
  <c r="H34" i="5" s="1"/>
  <c r="I34" i="5" s="1"/>
  <c r="J34" i="5" s="1"/>
  <c r="E6" i="5"/>
  <c r="F6" i="5" s="1"/>
  <c r="G6" i="5" s="1"/>
  <c r="H6" i="5" s="1"/>
  <c r="I6" i="5" s="1"/>
  <c r="J6" i="5" s="1"/>
  <c r="D6" i="5"/>
  <c r="D21" i="7" l="1"/>
  <c r="E21" i="7"/>
  <c r="F21" i="7"/>
  <c r="G21" i="7"/>
  <c r="C21" i="7"/>
  <c r="D11" i="4"/>
  <c r="C14" i="7" s="1"/>
  <c r="H10" i="4"/>
  <c r="E10" i="4"/>
  <c r="F10" i="4" s="1"/>
  <c r="G10" i="4" s="1"/>
  <c r="D10" i="4"/>
  <c r="D9" i="4"/>
  <c r="C26" i="7" s="1"/>
  <c r="D8" i="4"/>
  <c r="C13" i="7" s="1"/>
  <c r="D7" i="4"/>
  <c r="E7" i="4" s="1"/>
  <c r="D9" i="7"/>
  <c r="E9" i="7"/>
  <c r="F9" i="7"/>
  <c r="G9" i="7"/>
  <c r="C9" i="7"/>
  <c r="E27" i="4"/>
  <c r="F27" i="4"/>
  <c r="G27" i="4"/>
  <c r="H27" i="4"/>
  <c r="H28" i="4" s="1"/>
  <c r="I27" i="4"/>
  <c r="F25" i="4"/>
  <c r="G25" i="4" s="1"/>
  <c r="H25" i="4" s="1"/>
  <c r="I25" i="4" s="1"/>
  <c r="E25" i="4"/>
  <c r="D28" i="4"/>
  <c r="E28" i="4"/>
  <c r="F28" i="4"/>
  <c r="G28" i="4"/>
  <c r="I28" i="4"/>
  <c r="C28" i="4"/>
  <c r="P47" i="1"/>
  <c r="E11" i="4" l="1"/>
  <c r="F11" i="4" s="1"/>
  <c r="G11" i="4" s="1"/>
  <c r="H11" i="4" s="1"/>
  <c r="G14" i="7" s="1"/>
  <c r="F7" i="4"/>
  <c r="D12" i="7"/>
  <c r="C12" i="7"/>
  <c r="C16" i="7" s="1"/>
  <c r="E9" i="4"/>
  <c r="E8" i="4"/>
  <c r="Q23" i="1"/>
  <c r="D13" i="3"/>
  <c r="D14" i="7" l="1"/>
  <c r="E14" i="7"/>
  <c r="F14" i="7"/>
  <c r="G7" i="4"/>
  <c r="E12" i="7"/>
  <c r="F9" i="4"/>
  <c r="D26" i="7"/>
  <c r="F8" i="4"/>
  <c r="D13" i="7"/>
  <c r="D16" i="7" s="1"/>
  <c r="E39" i="5"/>
  <c r="F39" i="5"/>
  <c r="G39" i="5"/>
  <c r="H39" i="5"/>
  <c r="I39" i="5"/>
  <c r="J39" i="5"/>
  <c r="D39" i="5"/>
  <c r="D38" i="5"/>
  <c r="E38" i="5"/>
  <c r="F38" i="5"/>
  <c r="G38" i="5"/>
  <c r="H38" i="5"/>
  <c r="I38" i="5"/>
  <c r="J38" i="5"/>
  <c r="C38" i="5"/>
  <c r="D37" i="5"/>
  <c r="E37" i="5"/>
  <c r="F37" i="5"/>
  <c r="G37" i="5"/>
  <c r="H37" i="5"/>
  <c r="I37" i="5"/>
  <c r="J37" i="5"/>
  <c r="C37" i="5"/>
  <c r="D36" i="5"/>
  <c r="E36" i="5"/>
  <c r="F36" i="5"/>
  <c r="G36" i="5"/>
  <c r="H36" i="5"/>
  <c r="I36" i="5"/>
  <c r="J36" i="5"/>
  <c r="C36" i="5"/>
  <c r="D12" i="5"/>
  <c r="D17" i="5" s="1"/>
  <c r="E12" i="5"/>
  <c r="E17" i="5" s="1"/>
  <c r="F12" i="5"/>
  <c r="F17" i="5" s="1"/>
  <c r="G12" i="5"/>
  <c r="G17" i="5" s="1"/>
  <c r="H12" i="5"/>
  <c r="H17" i="5" s="1"/>
  <c r="I12" i="5"/>
  <c r="I17" i="5" s="1"/>
  <c r="J12" i="5"/>
  <c r="J17" i="5" s="1"/>
  <c r="C12" i="5"/>
  <c r="C17" i="5" s="1"/>
  <c r="F12" i="7" l="1"/>
  <c r="H7" i="4"/>
  <c r="G12" i="7" s="1"/>
  <c r="G9" i="4"/>
  <c r="E26" i="7"/>
  <c r="G8" i="4"/>
  <c r="E13" i="7"/>
  <c r="E16" i="7" s="1"/>
  <c r="I22" i="5"/>
  <c r="I18" i="5"/>
  <c r="E22" i="5"/>
  <c r="E18" i="5"/>
  <c r="H22" i="5"/>
  <c r="H18" i="5"/>
  <c r="D22" i="5"/>
  <c r="D18" i="5"/>
  <c r="C22" i="5"/>
  <c r="C18" i="5"/>
  <c r="G22" i="5"/>
  <c r="G18" i="5"/>
  <c r="J22" i="5"/>
  <c r="J18" i="5"/>
  <c r="F22" i="5"/>
  <c r="F18" i="5"/>
  <c r="J13" i="5"/>
  <c r="F13" i="5"/>
  <c r="I13" i="5"/>
  <c r="E13" i="5"/>
  <c r="H13" i="5"/>
  <c r="D13" i="5"/>
  <c r="C13" i="5"/>
  <c r="G13" i="5"/>
  <c r="D27" i="4"/>
  <c r="D16" i="4"/>
  <c r="H9" i="4" l="1"/>
  <c r="G26" i="7" s="1"/>
  <c r="F26" i="7"/>
  <c r="F13" i="7"/>
  <c r="F16" i="7" s="1"/>
  <c r="H8" i="4"/>
  <c r="G13" i="7" s="1"/>
  <c r="G16" i="7" s="1"/>
  <c r="F28" i="5"/>
  <c r="F29" i="5" s="1"/>
  <c r="F23" i="5"/>
  <c r="G28" i="5"/>
  <c r="G29" i="5" s="1"/>
  <c r="G23" i="5"/>
  <c r="D28" i="5"/>
  <c r="D29" i="5" s="1"/>
  <c r="D23" i="5"/>
  <c r="E28" i="5"/>
  <c r="E29" i="5" s="1"/>
  <c r="E23" i="5"/>
  <c r="J28" i="5"/>
  <c r="J29" i="5" s="1"/>
  <c r="J23" i="5"/>
  <c r="C28" i="5"/>
  <c r="C29" i="5" s="1"/>
  <c r="C23" i="5"/>
  <c r="H28" i="5"/>
  <c r="H29" i="5" s="1"/>
  <c r="H23" i="5"/>
  <c r="I28" i="5"/>
  <c r="I29" i="5" s="1"/>
  <c r="I23" i="5"/>
  <c r="C27" i="4"/>
  <c r="C12" i="4"/>
  <c r="C7" i="4"/>
  <c r="E16" i="4"/>
  <c r="F16" i="4" s="1"/>
  <c r="G16" i="4" s="1"/>
  <c r="H16" i="4" s="1"/>
  <c r="I16" i="4" s="1"/>
  <c r="D4" i="4"/>
  <c r="E4" i="4" s="1"/>
  <c r="F4" i="4" s="1"/>
  <c r="G4" i="4" s="1"/>
  <c r="H4" i="4" s="1"/>
  <c r="D19" i="2" l="1"/>
  <c r="C19" i="2"/>
  <c r="D46" i="1" l="1"/>
  <c r="E46" i="1"/>
  <c r="E47" i="1" s="1"/>
  <c r="F46" i="1"/>
  <c r="G46" i="1"/>
  <c r="H46" i="1"/>
  <c r="H47" i="1" s="1"/>
  <c r="I46" i="1"/>
  <c r="I47" i="1" s="1"/>
  <c r="J46" i="1"/>
  <c r="K46" i="1"/>
  <c r="L46" i="1"/>
  <c r="M46" i="1"/>
  <c r="M47" i="1" s="1"/>
  <c r="N46" i="1"/>
  <c r="O46" i="1"/>
  <c r="O47" i="1" s="1"/>
  <c r="Q47" i="1" s="1"/>
  <c r="R47" i="1" s="1"/>
  <c r="S47" i="1" s="1"/>
  <c r="T47" i="1" s="1"/>
  <c r="D45" i="1"/>
  <c r="E45" i="1"/>
  <c r="F45" i="1"/>
  <c r="G45" i="1"/>
  <c r="H45" i="1"/>
  <c r="I45" i="1"/>
  <c r="J45" i="1"/>
  <c r="K45" i="1"/>
  <c r="L45" i="1"/>
  <c r="M45" i="1"/>
  <c r="N45" i="1"/>
  <c r="O45" i="1"/>
  <c r="T32" i="1"/>
  <c r="M32" i="1"/>
  <c r="N32" i="1" s="1"/>
  <c r="O32" i="1" s="1"/>
  <c r="P32" i="1" s="1"/>
  <c r="Q32" i="1" s="1"/>
  <c r="R32" i="1" s="1"/>
  <c r="S32" i="1" s="1"/>
  <c r="L47" i="1"/>
  <c r="G47" i="1"/>
  <c r="D47" i="1"/>
  <c r="C46" i="1"/>
  <c r="C45" i="1"/>
  <c r="D32" i="1"/>
  <c r="E32" i="1" s="1"/>
  <c r="F32" i="1" s="1"/>
  <c r="G32" i="1" s="1"/>
  <c r="H32" i="1" s="1"/>
  <c r="I32" i="1" s="1"/>
  <c r="J32" i="1" s="1"/>
  <c r="K32" i="1" s="1"/>
  <c r="L32" i="1" s="1"/>
  <c r="Q24" i="1"/>
  <c r="Q21" i="1"/>
  <c r="P10" i="1"/>
  <c r="P11" i="1"/>
  <c r="P12" i="1"/>
  <c r="P13" i="1"/>
  <c r="P14" i="1"/>
  <c r="P15" i="1"/>
  <c r="P16" i="1"/>
  <c r="P17" i="1"/>
  <c r="P18" i="1"/>
  <c r="P19" i="1"/>
  <c r="P20" i="1"/>
  <c r="P21" i="1"/>
  <c r="O22" i="1"/>
  <c r="O10" i="1"/>
  <c r="O11" i="1"/>
  <c r="O12" i="1"/>
  <c r="O13" i="1"/>
  <c r="O14" i="1"/>
  <c r="O15" i="1"/>
  <c r="O16" i="1"/>
  <c r="O17" i="1"/>
  <c r="O18" i="1"/>
  <c r="O19" i="1"/>
  <c r="O20" i="1"/>
  <c r="O21" i="1"/>
  <c r="O9" i="1"/>
  <c r="D22" i="1"/>
  <c r="E22" i="1"/>
  <c r="F22" i="1"/>
  <c r="G22" i="1"/>
  <c r="H22" i="1"/>
  <c r="I22" i="1"/>
  <c r="J22" i="1"/>
  <c r="K22" i="1"/>
  <c r="L22" i="1"/>
  <c r="M22" i="1"/>
  <c r="N22" i="1"/>
  <c r="C22" i="1"/>
  <c r="F47" i="1" l="1"/>
  <c r="J47" i="1"/>
  <c r="K47" i="1"/>
  <c r="N47" i="1"/>
  <c r="P46" i="1" l="1"/>
  <c r="P45" i="1" l="1"/>
  <c r="C8" i="7" s="1"/>
  <c r="C10" i="7" s="1"/>
  <c r="C18" i="7" s="1"/>
  <c r="Q46" i="1"/>
  <c r="C23" i="7" l="1"/>
  <c r="C24" i="7" s="1"/>
  <c r="C8" i="9"/>
  <c r="C10" i="9" s="1"/>
  <c r="C12" i="9" s="1"/>
  <c r="C13" i="9" s="1"/>
  <c r="C17" i="9" s="1"/>
  <c r="C24" i="9" s="1"/>
  <c r="C42" i="7"/>
  <c r="C19" i="7"/>
  <c r="Q45" i="1"/>
  <c r="D8" i="7" s="1"/>
  <c r="D10" i="7" s="1"/>
  <c r="D18" i="7" s="1"/>
  <c r="D8" i="9" s="1"/>
  <c r="D10" i="9" s="1"/>
  <c r="D12" i="9" s="1"/>
  <c r="D13" i="9" s="1"/>
  <c r="D17" i="9" s="1"/>
  <c r="D24" i="9" s="1"/>
  <c r="R46" i="1"/>
  <c r="C28" i="7" l="1"/>
  <c r="C34" i="7" s="1"/>
  <c r="D19" i="7"/>
  <c r="D42" i="7"/>
  <c r="D23" i="7"/>
  <c r="D45" i="7"/>
  <c r="C43" i="7"/>
  <c r="R45" i="1"/>
  <c r="E8" i="7" s="1"/>
  <c r="E10" i="7" s="1"/>
  <c r="S46" i="1"/>
  <c r="D24" i="7" l="1"/>
  <c r="D43" i="7"/>
  <c r="D28" i="7"/>
  <c r="E18" i="7"/>
  <c r="E8" i="9" s="1"/>
  <c r="E10" i="9" s="1"/>
  <c r="E12" i="9" s="1"/>
  <c r="E13" i="9" s="1"/>
  <c r="E17" i="9" s="1"/>
  <c r="E24" i="9" s="1"/>
  <c r="C26" i="9" s="1"/>
  <c r="E45" i="7"/>
  <c r="C35" i="7"/>
  <c r="C44" i="7" s="1"/>
  <c r="C29" i="7"/>
  <c r="T46" i="1"/>
  <c r="T45" i="1" s="1"/>
  <c r="G8" i="7" s="1"/>
  <c r="G10" i="7" s="1"/>
  <c r="S45" i="1"/>
  <c r="F8" i="7" s="1"/>
  <c r="F10" i="7" s="1"/>
  <c r="G45" i="7" l="1"/>
  <c r="G18" i="7"/>
  <c r="G8" i="9" s="1"/>
  <c r="G10" i="9" s="1"/>
  <c r="G12" i="9" s="1"/>
  <c r="G13" i="9" s="1"/>
  <c r="G17" i="9" s="1"/>
  <c r="G24" i="9" s="1"/>
  <c r="E19" i="7"/>
  <c r="E42" i="7"/>
  <c r="E23" i="7"/>
  <c r="D34" i="7"/>
  <c r="D35" i="7" s="1"/>
  <c r="D44" i="7" s="1"/>
  <c r="D29" i="7"/>
  <c r="F45" i="7"/>
  <c r="F18" i="7"/>
  <c r="F8" i="9" s="1"/>
  <c r="F10" i="9" s="1"/>
  <c r="F12" i="9" s="1"/>
  <c r="F13" i="9" s="1"/>
  <c r="F17" i="9" s="1"/>
  <c r="F24" i="9" s="1"/>
  <c r="P9" i="1"/>
  <c r="G42" i="7" l="1"/>
  <c r="G23" i="7"/>
  <c r="G19" i="7"/>
  <c r="F42" i="7"/>
  <c r="F23" i="7"/>
  <c r="F19" i="7"/>
  <c r="E28" i="7"/>
  <c r="E24" i="7"/>
  <c r="E43" i="7"/>
  <c r="Q10" i="1"/>
  <c r="Q12" i="1"/>
  <c r="Q14" i="1"/>
  <c r="Q16" i="1"/>
  <c r="Q18" i="1"/>
  <c r="Q20" i="1"/>
  <c r="Q11" i="1"/>
  <c r="Q13" i="1"/>
  <c r="Q17" i="1"/>
  <c r="Q19" i="1"/>
  <c r="Q15" i="1"/>
  <c r="E29" i="7" l="1"/>
  <c r="E34" i="7"/>
  <c r="E35" i="7" s="1"/>
  <c r="E44" i="7" s="1"/>
  <c r="G43" i="7"/>
  <c r="G28" i="7"/>
  <c r="G24" i="7"/>
  <c r="F28" i="7"/>
  <c r="F43" i="7"/>
  <c r="F24" i="7"/>
  <c r="G34" i="7" l="1"/>
  <c r="G35" i="7" s="1"/>
  <c r="G44" i="7" s="1"/>
  <c r="G29" i="7"/>
  <c r="F29" i="7"/>
  <c r="F34" i="7"/>
  <c r="F35" i="7" s="1"/>
  <c r="F44" i="7" s="1"/>
</calcChain>
</file>

<file path=xl/sharedStrings.xml><?xml version="1.0" encoding="utf-8"?>
<sst xmlns="http://schemas.openxmlformats.org/spreadsheetml/2006/main" count="198" uniqueCount="153">
  <si>
    <t>Toll Revenue Actual &amp; Projected</t>
  </si>
  <si>
    <t xml:space="preserve">TN (DK) Expressways Limited (TNDK) </t>
  </si>
  <si>
    <t>Yearly &amp; Month-wise Actual Revenue [in Crores]</t>
  </si>
  <si>
    <t>Financial year</t>
  </si>
  <si>
    <t>Apr</t>
  </si>
  <si>
    <t>May</t>
  </si>
  <si>
    <t>Jun</t>
  </si>
  <si>
    <t>Jul</t>
  </si>
  <si>
    <t>Aug</t>
  </si>
  <si>
    <t>Sep</t>
  </si>
  <si>
    <t>Oct</t>
  </si>
  <si>
    <t>Nov</t>
  </si>
  <si>
    <t>Dec</t>
  </si>
  <si>
    <t>Jan</t>
  </si>
  <si>
    <t>Feb</t>
  </si>
  <si>
    <t>Mar</t>
  </si>
  <si>
    <t>Total</t>
  </si>
  <si>
    <t>Monthly Average Toll Collection</t>
  </si>
  <si>
    <t>% Change</t>
  </si>
  <si>
    <t xml:space="preserve">2009-10 </t>
  </si>
  <si>
    <t>2010-11</t>
  </si>
  <si>
    <t>2011-12</t>
  </si>
  <si>
    <t>2012-13</t>
  </si>
  <si>
    <t>2013-14</t>
  </si>
  <si>
    <t>2014-15</t>
  </si>
  <si>
    <t>2015-16</t>
  </si>
  <si>
    <t>2016-17</t>
  </si>
  <si>
    <t xml:space="preserve">2017-18  </t>
  </si>
  <si>
    <t>2018-19</t>
  </si>
  <si>
    <t>2019-20</t>
  </si>
  <si>
    <t>2020-21</t>
  </si>
  <si>
    <t>2021-22</t>
  </si>
  <si>
    <t>SUMMARY OF TOLL REVENUE COLLECTION AS ON 31st March, 2022</t>
  </si>
  <si>
    <t>April</t>
  </si>
  <si>
    <t>June</t>
  </si>
  <si>
    <t>July</t>
  </si>
  <si>
    <t>August</t>
  </si>
  <si>
    <t>September</t>
  </si>
  <si>
    <t>October</t>
  </si>
  <si>
    <t>November</t>
  </si>
  <si>
    <t>December</t>
  </si>
  <si>
    <t>January</t>
  </si>
  <si>
    <t>February</t>
  </si>
  <si>
    <t>March</t>
  </si>
  <si>
    <t>Average growth rate for the period of FY 2010-22</t>
  </si>
  <si>
    <t>Average growth rate for the period of FY 2012-22</t>
  </si>
  <si>
    <t>SUMMARY OF TOLL REVENUE COLLECTION AS ON 31st MARCH 2021</t>
  </si>
  <si>
    <t>%age Change of Montly Avg Toll Collection</t>
  </si>
  <si>
    <t>TNDK-Toll Collection/Traffic Report</t>
  </si>
  <si>
    <t>Month</t>
  </si>
  <si>
    <t>Collection (In Crs)</t>
  </si>
  <si>
    <t>Total Traffic (In Lakhs)</t>
  </si>
  <si>
    <t>Operation &amp; Maintenance Projects,</t>
  </si>
  <si>
    <t>Estimation for Completion of 1st, 2nd, &amp; 3rd MMR Works</t>
  </si>
  <si>
    <t>S.No</t>
  </si>
  <si>
    <t>Description</t>
  </si>
  <si>
    <t xml:space="preserve">1st MMR balance works </t>
  </si>
  <si>
    <t xml:space="preserve">2nd MMR
</t>
  </si>
  <si>
    <t xml:space="preserve">3rd MMR 
</t>
  </si>
  <si>
    <t>Remarks</t>
  </si>
  <si>
    <t>TN(DK) Expressways Limited</t>
  </si>
  <si>
    <t>110 Cr</t>
  </si>
  <si>
    <t>2nd MMR Estimation is prepared based on present Road condition.If any delay the Road condition will change and cost also may increase.
Escalations also applciable for increase in prices.
3rd MMR tentatvie estimation. Based on Road condition and BBD teat will be decided in later stages.</t>
  </si>
  <si>
    <t>Monthly Toll Collection FY 2022</t>
  </si>
  <si>
    <t>TN (DK) EXPRESSWAYS LIMITED, MMR Details</t>
  </si>
  <si>
    <t>Operating expenses</t>
  </si>
  <si>
    <t>Employee benefits expenses</t>
  </si>
  <si>
    <t>Finance costs- notional</t>
  </si>
  <si>
    <t>Depreciation and amortisation expenses</t>
  </si>
  <si>
    <t>Other expenses</t>
  </si>
  <si>
    <t>NHAI CAPITAL GRANT DEFFERMENT</t>
  </si>
  <si>
    <t>RECEIPTS FROM NHAI</t>
  </si>
  <si>
    <t>OTS Settlement</t>
  </si>
  <si>
    <t>OTHERS</t>
  </si>
  <si>
    <t>Rental income</t>
  </si>
  <si>
    <t>Income tax refund</t>
  </si>
  <si>
    <t>Intrest on fixed deposit</t>
  </si>
  <si>
    <t>other miscellanous receipts</t>
  </si>
  <si>
    <t>Income and Expenditure Prjections</t>
  </si>
  <si>
    <t>Particular</t>
  </si>
  <si>
    <t>Expenses</t>
  </si>
  <si>
    <t>Other Income</t>
  </si>
  <si>
    <t>PARTICULARS</t>
  </si>
  <si>
    <t>TOTAL INCOME</t>
  </si>
  <si>
    <t>TOTAL EXPENSES</t>
  </si>
  <si>
    <t>EBITDA</t>
  </si>
  <si>
    <t>EBITDA %</t>
  </si>
  <si>
    <t>Depreciation and Amortization</t>
  </si>
  <si>
    <t>EBIT</t>
  </si>
  <si>
    <t>EBIT %</t>
  </si>
  <si>
    <t>Finance Cost</t>
  </si>
  <si>
    <t>Profit Before Tax</t>
  </si>
  <si>
    <t>PBT %</t>
  </si>
  <si>
    <t>Tax Expense</t>
  </si>
  <si>
    <t>Effective Tax Rate</t>
  </si>
  <si>
    <t>Profit (Loss) after Tax</t>
  </si>
  <si>
    <t> PAT %</t>
  </si>
  <si>
    <t xml:space="preserve"> TNDK EV</t>
  </si>
  <si>
    <t>Historical P&amp;L</t>
  </si>
  <si>
    <t>Historical Ratio Analysis</t>
  </si>
  <si>
    <t>EBITDA Margin %</t>
  </si>
  <si>
    <t>EBIT Margin %</t>
  </si>
  <si>
    <t>PAT Margin %</t>
  </si>
  <si>
    <t>Revenue growth Rate (%)</t>
  </si>
  <si>
    <t>Projected P&amp;L</t>
  </si>
  <si>
    <t>Revenue from Operation</t>
  </si>
  <si>
    <t>Major Maintenance Expenses</t>
  </si>
  <si>
    <t>Projected Ratio Analysis</t>
  </si>
  <si>
    <t>DCF (FREE CASH FLOW TO FIRM)</t>
  </si>
  <si>
    <t>Dep &amp; Amortization</t>
  </si>
  <si>
    <t>(-)</t>
  </si>
  <si>
    <t>(1-t)</t>
  </si>
  <si>
    <t>EBIT*(1-t)</t>
  </si>
  <si>
    <t>(1-tax rate)</t>
  </si>
  <si>
    <t>NOPAT</t>
  </si>
  <si>
    <t>Add: Dep &amp; Amortization</t>
  </si>
  <si>
    <t>(+/-) WCC</t>
  </si>
  <si>
    <t>Less: CAPEX</t>
  </si>
  <si>
    <t>FCFF</t>
  </si>
  <si>
    <t>Discount Period</t>
  </si>
  <si>
    <t>Discount Factor</t>
  </si>
  <si>
    <t>WACC</t>
  </si>
  <si>
    <t>PV of FCFF</t>
  </si>
  <si>
    <t>Enterprise Value</t>
  </si>
  <si>
    <t>Total Debt</t>
  </si>
  <si>
    <t>Total Equity</t>
  </si>
  <si>
    <t>Total Capital</t>
  </si>
  <si>
    <t>Wd</t>
  </si>
  <si>
    <t>Kd</t>
  </si>
  <si>
    <t>We</t>
  </si>
  <si>
    <t>Ke</t>
  </si>
  <si>
    <t xml:space="preserve">Cost of Debt </t>
  </si>
  <si>
    <t>Cost of Debt</t>
  </si>
  <si>
    <t>Effective tax Rate</t>
  </si>
  <si>
    <t>Post-tax Cost of Debt</t>
  </si>
  <si>
    <t>Rf</t>
  </si>
  <si>
    <t>Beta</t>
  </si>
  <si>
    <t>Rm</t>
  </si>
  <si>
    <t>Market Risk Premium</t>
  </si>
  <si>
    <t>Company Risk Premium</t>
  </si>
  <si>
    <t>Discount Rate</t>
  </si>
  <si>
    <t>Previous Close 10 year govt. bond yield</t>
  </si>
  <si>
    <t>Nift Fifty 10 year return</t>
  </si>
  <si>
    <t>https://economictimes.indiatimes.com/madhucon-projects-ltd/stocks/companyid-6422.cms</t>
  </si>
  <si>
    <t>3-year Beta</t>
  </si>
  <si>
    <t>Cost of Equity CAPM</t>
  </si>
  <si>
    <t>Weighted Average Cost of Capital (WACC)</t>
  </si>
  <si>
    <t>Sensitivity Analysis</t>
  </si>
  <si>
    <t>Value</t>
  </si>
  <si>
    <t>Base Case</t>
  </si>
  <si>
    <t>Bullish Case</t>
  </si>
  <si>
    <t>Bearish Case</t>
  </si>
  <si>
    <t>Crore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</si>
</sst>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0.0%"/>
    <numFmt numFmtId="165" formatCode="mmm\-yyyy"/>
    <numFmt numFmtId="166" formatCode="_ * #,##0_ ;_ * \-#,##0_ ;_ * &quot;-&quot;??_ ;_ @_ "/>
    <numFmt numFmtId="167" formatCode="&quot;FY&quot;\ 0\ &quot;A&quot;"/>
    <numFmt numFmtId="168" formatCode="&quot;FY&quot;\ 0\ &quot;E&quot;"/>
    <numFmt numFmtId="169" formatCode="&quot;FY&quot;\ 0\ &quot;P&quot;"/>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2"/>
      <color theme="0"/>
      <name val="Calibri"/>
      <family val="2"/>
      <scheme val="minor"/>
    </font>
    <font>
      <b/>
      <sz val="11"/>
      <color rgb="FFC00000"/>
      <name val="Calibri"/>
      <family val="2"/>
      <scheme val="minor"/>
    </font>
    <font>
      <b/>
      <sz val="12"/>
      <color rgb="FFC00000"/>
      <name val="Calibri"/>
      <family val="2"/>
      <scheme val="minor"/>
    </font>
    <font>
      <b/>
      <sz val="9"/>
      <color theme="0"/>
      <name val="Arial"/>
      <family val="2"/>
    </font>
    <font>
      <b/>
      <sz val="9"/>
      <color theme="1"/>
      <name val="Arial"/>
      <family val="2"/>
    </font>
    <font>
      <b/>
      <i/>
      <sz val="9"/>
      <color theme="1"/>
      <name val="Arial"/>
      <family val="2"/>
    </font>
    <font>
      <sz val="9"/>
      <color theme="1"/>
      <name val="Arial"/>
      <family val="2"/>
    </font>
    <font>
      <sz val="9"/>
      <color theme="1"/>
      <name val="Calibri"/>
      <family val="2"/>
      <scheme val="minor"/>
    </font>
    <font>
      <b/>
      <sz val="9"/>
      <name val="Arial"/>
      <family val="2"/>
    </font>
    <font>
      <b/>
      <sz val="9"/>
      <color theme="0"/>
      <name val="Calibri"/>
      <family val="2"/>
      <scheme val="minor"/>
    </font>
    <font>
      <b/>
      <sz val="9"/>
      <color theme="1"/>
      <name val="Calibri"/>
      <family val="2"/>
      <scheme val="minor"/>
    </font>
    <font>
      <i/>
      <sz val="9"/>
      <color theme="1"/>
      <name val="Calibri"/>
      <family val="2"/>
      <scheme val="minor"/>
    </font>
    <font>
      <b/>
      <sz val="10"/>
      <color theme="0"/>
      <name val="Calibri"/>
      <family val="2"/>
      <scheme val="minor"/>
    </font>
    <font>
      <b/>
      <sz val="10"/>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color theme="1"/>
      <name val="Times New Roman"/>
      <family val="1"/>
    </font>
    <font>
      <b/>
      <sz val="11"/>
      <color rgb="FF000000"/>
      <name val="Calibri"/>
      <family val="2"/>
    </font>
    <font>
      <sz val="11"/>
      <color rgb="FF000000"/>
      <name val="Calibri"/>
      <family val="2"/>
    </font>
    <font>
      <i/>
      <sz val="11"/>
      <color rgb="FF000000"/>
      <name val="Calibri"/>
      <family val="2"/>
    </font>
    <font>
      <b/>
      <i/>
      <sz val="11"/>
      <color rgb="FF000000"/>
      <name val="Calibri"/>
      <family val="2"/>
    </font>
    <font>
      <b/>
      <sz val="14"/>
      <color rgb="FFC00000"/>
      <name val="Calibri"/>
      <family val="2"/>
      <scheme val="minor"/>
    </font>
    <font>
      <b/>
      <sz val="11"/>
      <color rgb="FFFFFFFF"/>
      <name val="Calibri"/>
      <family val="2"/>
    </font>
    <font>
      <i/>
      <sz val="11"/>
      <color theme="1"/>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FF"/>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3"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2">
    <xf numFmtId="0" fontId="0" fillId="0" borderId="0" xfId="0"/>
    <xf numFmtId="0" fontId="2" fillId="2" borderId="0" xfId="0" applyFont="1" applyFill="1"/>
    <xf numFmtId="0" fontId="3" fillId="2" borderId="0" xfId="0" applyFont="1" applyFill="1" applyAlignment="1">
      <alignment vertical="center"/>
    </xf>
    <xf numFmtId="0" fontId="4" fillId="3" borderId="0" xfId="0" applyFont="1" applyFill="1"/>
    <xf numFmtId="0" fontId="5" fillId="3" borderId="0" xfId="0" applyFont="1" applyFill="1" applyAlignment="1">
      <alignment vertical="center"/>
    </xf>
    <xf numFmtId="43" fontId="9" fillId="6" borderId="1" xfId="1" applyFont="1" applyFill="1" applyBorder="1" applyAlignment="1">
      <alignment horizontal="center" vertical="center" wrapText="1"/>
    </xf>
    <xf numFmtId="43" fontId="7" fillId="6" borderId="1" xfId="1" applyFont="1" applyFill="1" applyBorder="1" applyAlignment="1">
      <alignment horizontal="center" vertical="center" wrapText="1"/>
    </xf>
    <xf numFmtId="164" fontId="7" fillId="0" borderId="1" xfId="2" applyNumberFormat="1" applyFont="1" applyBorder="1" applyAlignment="1">
      <alignment horizontal="center"/>
    </xf>
    <xf numFmtId="43" fontId="9" fillId="7" borderId="1" xfId="1" applyFont="1" applyFill="1" applyBorder="1" applyAlignment="1">
      <alignment horizontal="center" vertical="center" wrapText="1"/>
    </xf>
    <xf numFmtId="43" fontId="9" fillId="7" borderId="1" xfId="1" applyFont="1" applyFill="1" applyBorder="1" applyAlignment="1">
      <alignment horizontal="center" vertical="center"/>
    </xf>
    <xf numFmtId="43" fontId="9" fillId="6" borderId="1" xfId="1" applyFont="1" applyFill="1" applyBorder="1" applyAlignment="1">
      <alignment horizontal="center" vertical="center"/>
    </xf>
    <xf numFmtId="43" fontId="9" fillId="0" borderId="1" xfId="1" applyFont="1" applyFill="1" applyBorder="1" applyAlignment="1">
      <alignment horizontal="center" vertical="center" wrapText="1"/>
    </xf>
    <xf numFmtId="43" fontId="7" fillId="5" borderId="1" xfId="1" applyFont="1" applyFill="1" applyBorder="1" applyAlignment="1">
      <alignment horizontal="center" vertical="center" wrapText="1"/>
    </xf>
    <xf numFmtId="43" fontId="7" fillId="5" borderId="1" xfId="1" applyFont="1" applyFill="1" applyBorder="1" applyAlignment="1">
      <alignment horizontal="right" vertical="center" wrapText="1"/>
    </xf>
    <xf numFmtId="0" fontId="10" fillId="5" borderId="1" xfId="0" applyFont="1" applyFill="1" applyBorder="1"/>
    <xf numFmtId="0" fontId="8" fillId="5" borderId="1" xfId="0" applyFont="1" applyFill="1" applyBorder="1" applyAlignment="1">
      <alignment horizontal="right"/>
    </xf>
    <xf numFmtId="10" fontId="11" fillId="5" borderId="1" xfId="2" applyNumberFormat="1" applyFont="1" applyFill="1" applyBorder="1" applyAlignment="1">
      <alignment horizontal="center" vertical="center" wrapText="1"/>
    </xf>
    <xf numFmtId="43" fontId="8" fillId="8" borderId="1" xfId="1" applyFont="1" applyFill="1" applyBorder="1" applyAlignment="1">
      <alignment horizontal="left" vertical="center" wrapText="1"/>
    </xf>
    <xf numFmtId="43" fontId="8" fillId="8" borderId="1" xfId="1" applyFont="1" applyFill="1" applyBorder="1" applyAlignment="1">
      <alignment horizontal="center" vertical="center" wrapText="1"/>
    </xf>
    <xf numFmtId="9" fontId="0" fillId="0" borderId="0" xfId="0" applyNumberFormat="1"/>
    <xf numFmtId="0" fontId="12" fillId="2" borderId="1" xfId="0" applyFont="1" applyFill="1" applyBorder="1"/>
    <xf numFmtId="0" fontId="10" fillId="0" borderId="1" xfId="0" applyFont="1" applyBorder="1"/>
    <xf numFmtId="43" fontId="10" fillId="0" borderId="1" xfId="1" applyFont="1" applyBorder="1"/>
    <xf numFmtId="43" fontId="10" fillId="7" borderId="1" xfId="1" applyFont="1" applyFill="1" applyBorder="1"/>
    <xf numFmtId="43" fontId="12" fillId="2" borderId="1" xfId="1" applyFont="1" applyFill="1" applyBorder="1"/>
    <xf numFmtId="0" fontId="10" fillId="0" borderId="0" xfId="0" applyFont="1"/>
    <xf numFmtId="9" fontId="10" fillId="0" borderId="0" xfId="0" applyNumberFormat="1" applyFont="1"/>
    <xf numFmtId="10" fontId="10" fillId="0" borderId="0" xfId="0" applyNumberFormat="1" applyFont="1"/>
    <xf numFmtId="0" fontId="16" fillId="10" borderId="1" xfId="0" applyFont="1" applyFill="1" applyBorder="1" applyAlignment="1">
      <alignment horizontal="left" vertical="center"/>
    </xf>
    <xf numFmtId="165" fontId="16" fillId="10" borderId="1" xfId="0" applyNumberFormat="1" applyFont="1" applyFill="1" applyBorder="1" applyAlignment="1">
      <alignment horizontal="center" vertical="center"/>
    </xf>
    <xf numFmtId="0" fontId="13" fillId="0" borderId="1" xfId="0" applyFont="1" applyBorder="1" applyAlignment="1">
      <alignment horizontal="left" vertical="center" wrapText="1"/>
    </xf>
    <xf numFmtId="10" fontId="10" fillId="0" borderId="1" xfId="2" applyNumberFormat="1" applyFont="1" applyBorder="1" applyAlignment="1">
      <alignment horizontal="center" vertical="center"/>
    </xf>
    <xf numFmtId="10" fontId="14" fillId="9" borderId="1" xfId="2" applyNumberFormat="1" applyFont="1" applyFill="1" applyBorder="1" applyAlignment="1">
      <alignment horizontal="center" vertical="center"/>
    </xf>
    <xf numFmtId="0" fontId="12" fillId="2" borderId="1" xfId="0" applyFont="1" applyFill="1" applyBorder="1" applyAlignment="1">
      <alignment vertical="center" wrapText="1"/>
    </xf>
    <xf numFmtId="43" fontId="0" fillId="0" borderId="0" xfId="0" applyNumberFormat="1"/>
    <xf numFmtId="2" fontId="0" fillId="0" borderId="0" xfId="0" applyNumberFormat="1"/>
    <xf numFmtId="0" fontId="17" fillId="0" borderId="1" xfId="0" applyFont="1" applyBorder="1" applyAlignment="1">
      <alignment horizontal="center"/>
    </xf>
    <xf numFmtId="17" fontId="17" fillId="0" borderId="1" xfId="0" applyNumberFormat="1" applyFont="1" applyBorder="1" applyAlignment="1">
      <alignment horizontal="center"/>
    </xf>
    <xf numFmtId="2" fontId="0" fillId="0" borderId="1" xfId="0" applyNumberFormat="1" applyBorder="1" applyAlignment="1">
      <alignment horizontal="center"/>
    </xf>
    <xf numFmtId="2" fontId="17" fillId="0" borderId="1" xfId="0" applyNumberFormat="1" applyFont="1" applyBorder="1" applyAlignment="1">
      <alignment horizontal="center"/>
    </xf>
    <xf numFmtId="0" fontId="19" fillId="0" borderId="1" xfId="0" applyFont="1" applyBorder="1" applyAlignment="1">
      <alignment vertical="center" wrapText="1"/>
    </xf>
    <xf numFmtId="2"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vertical="top" wrapText="1"/>
    </xf>
    <xf numFmtId="0" fontId="18" fillId="10" borderId="1" xfId="0" applyFont="1" applyFill="1" applyBorder="1" applyAlignment="1">
      <alignment horizontal="center" vertical="center"/>
    </xf>
    <xf numFmtId="0" fontId="18" fillId="10" borderId="1" xfId="0" applyFont="1" applyFill="1" applyBorder="1" applyAlignment="1">
      <alignment horizontal="center" vertical="center" wrapText="1"/>
    </xf>
    <xf numFmtId="0" fontId="2" fillId="2" borderId="0" xfId="0" applyFont="1" applyFill="1" applyAlignment="1">
      <alignment vertical="center"/>
    </xf>
    <xf numFmtId="167" fontId="2" fillId="2" borderId="0" xfId="0" applyNumberFormat="1" applyFont="1" applyFill="1" applyAlignment="1">
      <alignment vertical="center"/>
    </xf>
    <xf numFmtId="168" fontId="2" fillId="2" borderId="0" xfId="0" applyNumberFormat="1" applyFont="1" applyFill="1" applyAlignment="1">
      <alignment vertical="center"/>
    </xf>
    <xf numFmtId="169" fontId="2" fillId="2" borderId="0" xfId="0" applyNumberFormat="1" applyFont="1" applyFill="1" applyAlignment="1">
      <alignment vertical="center"/>
    </xf>
    <xf numFmtId="0" fontId="0" fillId="0" borderId="0" xfId="0" applyAlignment="1">
      <alignment wrapText="1"/>
    </xf>
    <xf numFmtId="0" fontId="17" fillId="0" borderId="0" xfId="0" applyFont="1"/>
    <xf numFmtId="166" fontId="0" fillId="0" borderId="0" xfId="1" applyNumberFormat="1" applyFont="1"/>
    <xf numFmtId="166" fontId="0" fillId="0" borderId="0" xfId="1" applyNumberFormat="1" applyFont="1" applyAlignment="1">
      <alignment vertical="center"/>
    </xf>
    <xf numFmtId="0" fontId="17" fillId="0" borderId="8" xfId="0" applyFont="1" applyBorder="1"/>
    <xf numFmtId="166" fontId="17" fillId="0" borderId="8" xfId="0" applyNumberFormat="1" applyFont="1" applyBorder="1"/>
    <xf numFmtId="166" fontId="17" fillId="0" borderId="8" xfId="1" applyNumberFormat="1" applyFont="1" applyBorder="1"/>
    <xf numFmtId="0" fontId="21" fillId="0" borderId="0" xfId="0" applyFont="1" applyBorder="1" applyAlignment="1">
      <alignment horizontal="center" vertical="center"/>
    </xf>
    <xf numFmtId="0" fontId="21" fillId="0" borderId="0" xfId="0" applyFont="1" applyBorder="1" applyAlignment="1">
      <alignment horizontal="center" vertical="center" wrapText="1"/>
    </xf>
    <xf numFmtId="0" fontId="21" fillId="0" borderId="0" xfId="0" applyFont="1" applyBorder="1" applyAlignment="1">
      <alignment vertical="center"/>
    </xf>
    <xf numFmtId="0" fontId="20" fillId="0" borderId="0" xfId="0" applyFont="1" applyBorder="1" applyAlignment="1">
      <alignment vertical="center"/>
    </xf>
    <xf numFmtId="0" fontId="22" fillId="0" borderId="0" xfId="0" applyFont="1" applyBorder="1" applyAlignment="1">
      <alignment horizontal="center" vertical="center" wrapText="1"/>
    </xf>
    <xf numFmtId="0" fontId="22" fillId="0" borderId="0" xfId="0" applyFont="1" applyBorder="1" applyAlignment="1">
      <alignment horizontal="center" vertical="center"/>
    </xf>
    <xf numFmtId="0" fontId="23" fillId="0" borderId="0" xfId="0" applyFont="1" applyBorder="1" applyAlignment="1">
      <alignment vertical="center"/>
    </xf>
    <xf numFmtId="0" fontId="22" fillId="0" borderId="0" xfId="0" applyFont="1" applyBorder="1" applyAlignment="1">
      <alignment vertical="center"/>
    </xf>
    <xf numFmtId="0" fontId="23" fillId="0" borderId="0" xfId="0" applyFont="1" applyBorder="1" applyAlignment="1">
      <alignment horizontal="right" vertical="center"/>
    </xf>
    <xf numFmtId="0" fontId="24" fillId="0" borderId="0" xfId="0" applyFont="1" applyBorder="1" applyAlignment="1">
      <alignment horizontal="right" vertical="center"/>
    </xf>
    <xf numFmtId="0" fontId="21" fillId="0" borderId="0" xfId="0" applyFont="1" applyFill="1" applyBorder="1" applyAlignment="1">
      <alignment horizontal="center" vertical="center"/>
    </xf>
    <xf numFmtId="10" fontId="23" fillId="0" borderId="0" xfId="0" applyNumberFormat="1" applyFont="1" applyFill="1" applyBorder="1" applyAlignment="1">
      <alignment horizontal="center" vertical="center"/>
    </xf>
    <xf numFmtId="0" fontId="20" fillId="0" borderId="0" xfId="0" applyFont="1" applyFill="1" applyBorder="1" applyAlignment="1">
      <alignment vertical="center"/>
    </xf>
    <xf numFmtId="0" fontId="22"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10" fontId="22" fillId="0" borderId="0" xfId="0" applyNumberFormat="1" applyFont="1" applyFill="1" applyBorder="1" applyAlignment="1">
      <alignment horizontal="center" vertical="center"/>
    </xf>
    <xf numFmtId="0" fontId="25" fillId="3" borderId="0" xfId="0" applyFont="1" applyFill="1" applyAlignment="1">
      <alignment vertical="center"/>
    </xf>
    <xf numFmtId="0" fontId="26" fillId="2" borderId="0" xfId="0" applyFont="1" applyFill="1" applyBorder="1" applyAlignment="1">
      <alignment vertical="center"/>
    </xf>
    <xf numFmtId="2" fontId="22" fillId="0" borderId="0" xfId="0" applyNumberFormat="1" applyFont="1" applyFill="1" applyBorder="1" applyAlignment="1">
      <alignment horizontal="center" vertical="center"/>
    </xf>
    <xf numFmtId="2" fontId="21" fillId="0" borderId="0" xfId="0" applyNumberFormat="1" applyFont="1" applyFill="1" applyBorder="1" applyAlignment="1">
      <alignment horizontal="center" vertical="center"/>
    </xf>
    <xf numFmtId="10" fontId="27" fillId="0" borderId="0" xfId="2" applyNumberFormat="1" applyFont="1" applyAlignment="1">
      <alignment horizontal="center" vertical="center"/>
    </xf>
    <xf numFmtId="0" fontId="22" fillId="0" borderId="0" xfId="0" applyFont="1" applyBorder="1" applyAlignment="1">
      <alignment horizontal="left" vertical="center"/>
    </xf>
    <xf numFmtId="166" fontId="0" fillId="0" borderId="0" xfId="0" applyNumberFormat="1"/>
    <xf numFmtId="43" fontId="0" fillId="0" borderId="0" xfId="0" applyNumberFormat="1" applyAlignment="1">
      <alignment horizontal="center" vertical="center"/>
    </xf>
    <xf numFmtId="43" fontId="22" fillId="0" borderId="0" xfId="0" applyNumberFormat="1" applyFont="1" applyBorder="1" applyAlignment="1">
      <alignment horizontal="center" vertical="center"/>
    </xf>
    <xf numFmtId="0" fontId="21" fillId="0" borderId="8" xfId="0" applyFont="1" applyBorder="1" applyAlignment="1">
      <alignment vertical="center"/>
    </xf>
    <xf numFmtId="43" fontId="21" fillId="0" borderId="8" xfId="0" applyNumberFormat="1" applyFont="1" applyBorder="1" applyAlignment="1">
      <alignment horizontal="center" vertical="center"/>
    </xf>
    <xf numFmtId="9" fontId="0" fillId="0" borderId="0" xfId="2" applyFont="1"/>
    <xf numFmtId="9" fontId="22" fillId="0" borderId="0" xfId="2" applyFont="1" applyFill="1" applyBorder="1" applyAlignment="1">
      <alignment horizontal="center" vertical="center"/>
    </xf>
    <xf numFmtId="166" fontId="0" fillId="0" borderId="0" xfId="0" applyNumberFormat="1" applyAlignment="1">
      <alignment horizontal="center" vertical="center"/>
    </xf>
    <xf numFmtId="43" fontId="21" fillId="0" borderId="0" xfId="0" applyNumberFormat="1" applyFont="1" applyFill="1" applyBorder="1" applyAlignment="1">
      <alignment horizontal="center" vertical="center"/>
    </xf>
    <xf numFmtId="10" fontId="23" fillId="0" borderId="0" xfId="0" applyNumberFormat="1" applyFont="1" applyFill="1" applyBorder="1" applyAlignment="1">
      <alignment horizontal="right" vertical="center"/>
    </xf>
    <xf numFmtId="2" fontId="22" fillId="0" borderId="0" xfId="0" applyNumberFormat="1" applyFont="1" applyFill="1" applyBorder="1" applyAlignment="1">
      <alignment horizontal="right" vertical="center"/>
    </xf>
    <xf numFmtId="10" fontId="22" fillId="0" borderId="0" xfId="0" applyNumberFormat="1" applyFont="1" applyFill="1" applyBorder="1" applyAlignment="1">
      <alignment horizontal="right" vertical="center"/>
    </xf>
    <xf numFmtId="2" fontId="21" fillId="0" borderId="0" xfId="0" applyNumberFormat="1" applyFont="1" applyFill="1" applyBorder="1" applyAlignment="1">
      <alignment horizontal="right" vertical="center"/>
    </xf>
    <xf numFmtId="10" fontId="27" fillId="0" borderId="0" xfId="2" applyNumberFormat="1" applyFont="1" applyAlignment="1">
      <alignment horizontal="right" vertical="center"/>
    </xf>
    <xf numFmtId="167" fontId="26" fillId="2" borderId="0" xfId="0" applyNumberFormat="1" applyFont="1" applyFill="1" applyBorder="1" applyAlignment="1">
      <alignment horizontal="center" vertical="center"/>
    </xf>
    <xf numFmtId="169" fontId="26" fillId="2" borderId="0" xfId="0" applyNumberFormat="1" applyFont="1" applyFill="1" applyBorder="1" applyAlignment="1">
      <alignment horizontal="center" vertical="center"/>
    </xf>
    <xf numFmtId="168" fontId="26" fillId="2" borderId="0" xfId="0" applyNumberFormat="1" applyFont="1" applyFill="1" applyBorder="1" applyAlignment="1">
      <alignment horizontal="right" vertical="center"/>
    </xf>
    <xf numFmtId="0" fontId="17" fillId="0" borderId="0" xfId="0" quotePrefix="1" applyFont="1" applyAlignment="1">
      <alignment horizontal="center" vertical="top"/>
    </xf>
    <xf numFmtId="0" fontId="17" fillId="0" borderId="8" xfId="0" applyFont="1" applyBorder="1" applyAlignment="1">
      <alignment vertical="center"/>
    </xf>
    <xf numFmtId="43" fontId="17" fillId="0" borderId="8" xfId="0" applyNumberFormat="1" applyFont="1" applyBorder="1" applyAlignment="1">
      <alignment vertical="center"/>
    </xf>
    <xf numFmtId="10" fontId="0" fillId="0" borderId="0" xfId="0" applyNumberFormat="1"/>
    <xf numFmtId="10" fontId="0" fillId="0" borderId="0" xfId="2" applyNumberFormat="1" applyFont="1"/>
    <xf numFmtId="0" fontId="0" fillId="0" borderId="0" xfId="0" applyFont="1"/>
    <xf numFmtId="10" fontId="1" fillId="0" borderId="0" xfId="2" applyNumberFormat="1" applyFont="1"/>
    <xf numFmtId="0" fontId="2" fillId="2" borderId="0" xfId="0" applyFont="1" applyFill="1" applyAlignment="1">
      <alignment horizontal="right"/>
    </xf>
    <xf numFmtId="10" fontId="0" fillId="0" borderId="0" xfId="0" applyNumberFormat="1" applyFont="1"/>
    <xf numFmtId="10" fontId="2" fillId="2" borderId="0" xfId="0" applyNumberFormat="1" applyFont="1" applyFill="1" applyAlignment="1">
      <alignment vertical="center"/>
    </xf>
    <xf numFmtId="43" fontId="2" fillId="2" borderId="0" xfId="0" applyNumberFormat="1" applyFont="1" applyFill="1" applyAlignment="1">
      <alignment vertical="center"/>
    </xf>
    <xf numFmtId="0" fontId="0" fillId="0" borderId="14" xfId="0" applyBorder="1"/>
    <xf numFmtId="0" fontId="0" fillId="0" borderId="0" xfId="0" applyBorder="1"/>
    <xf numFmtId="0" fontId="0" fillId="0" borderId="15" xfId="0" applyBorder="1"/>
    <xf numFmtId="0" fontId="2" fillId="2" borderId="14" xfId="0" applyFont="1" applyFill="1" applyBorder="1"/>
    <xf numFmtId="0" fontId="2" fillId="2" borderId="0" xfId="0" applyFont="1" applyFill="1" applyBorder="1"/>
    <xf numFmtId="0" fontId="17" fillId="0" borderId="14" xfId="0" applyFont="1" applyBorder="1"/>
    <xf numFmtId="10" fontId="17" fillId="0" borderId="0" xfId="0" applyNumberFormat="1" applyFont="1" applyBorder="1"/>
    <xf numFmtId="0" fontId="17" fillId="0" borderId="15" xfId="0" applyFont="1" applyBorder="1"/>
    <xf numFmtId="0" fontId="17" fillId="0" borderId="16" xfId="0" applyFont="1" applyBorder="1"/>
    <xf numFmtId="10" fontId="17" fillId="0" borderId="17" xfId="0" applyNumberFormat="1" applyFont="1" applyBorder="1"/>
    <xf numFmtId="0" fontId="2" fillId="2" borderId="15" xfId="0" applyFont="1" applyFill="1" applyBorder="1" applyAlignment="1">
      <alignment horizontal="center"/>
    </xf>
    <xf numFmtId="2" fontId="17" fillId="0" borderId="15" xfId="0" applyNumberFormat="1" applyFont="1" applyBorder="1"/>
    <xf numFmtId="2" fontId="17" fillId="0" borderId="18" xfId="0" applyNumberFormat="1" applyFont="1" applyBorder="1"/>
    <xf numFmtId="0" fontId="2" fillId="2" borderId="0" xfId="0" applyFont="1" applyFill="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0" xfId="0" applyFont="1" applyFill="1" applyBorder="1" applyAlignment="1">
      <alignment horizontal="center" vertical="center"/>
    </xf>
    <xf numFmtId="43" fontId="6" fillId="2" borderId="1" xfId="1" applyFont="1" applyFill="1" applyBorder="1" applyAlignment="1">
      <alignment horizontal="center" vertical="center" wrapText="1"/>
    </xf>
    <xf numFmtId="43" fontId="7" fillId="4" borderId="1" xfId="1" applyFont="1" applyFill="1" applyBorder="1" applyAlignment="1">
      <alignment horizontal="center" vertical="center"/>
    </xf>
    <xf numFmtId="0" fontId="8" fillId="5" borderId="1" xfId="0" applyFont="1" applyFill="1" applyBorder="1" applyAlignment="1">
      <alignment horizont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1" xfId="0" applyFont="1" applyFill="1" applyBorder="1" applyAlignment="1">
      <alignment vertical="center"/>
    </xf>
    <xf numFmtId="0" fontId="17" fillId="10" borderId="1" xfId="0" applyFont="1" applyFill="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IN" sz="1200" b="1"/>
              <a:t>Enterprise Value</a:t>
            </a:r>
          </a:p>
        </c:rich>
      </c:tx>
      <c:layout/>
      <c:overlay val="0"/>
      <c:spPr>
        <a:solidFill>
          <a:schemeClr val="accent3"/>
        </a:solid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'DCF, WACC &amp; SENSITIVITY'!$F$31</c:f>
              <c:strCache>
                <c:ptCount val="1"/>
              </c:strCache>
            </c:strRef>
          </c:tx>
          <c:spPr>
            <a:solidFill>
              <a:schemeClr val="accent1"/>
            </a:solidFill>
            <a:ln>
              <a:noFill/>
            </a:ln>
            <a:effectLst/>
          </c:spPr>
          <c:invertIfNegative val="0"/>
          <c:dLbls>
            <c:spPr>
              <a:solidFill>
                <a:schemeClr val="accent3"/>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'DCF, WACC &amp; SENSITIVITY'!$E$32:$E$35</c:f>
              <c:strCache>
                <c:ptCount val="4"/>
                <c:pt idx="1">
                  <c:v>Bullish Case</c:v>
                </c:pt>
                <c:pt idx="2">
                  <c:v>Base Case</c:v>
                </c:pt>
                <c:pt idx="3">
                  <c:v>Bearish Case</c:v>
                </c:pt>
              </c:strCache>
            </c:strRef>
          </c:cat>
          <c:val>
            <c:numRef>
              <c:f>'DCF, WACC &amp; SENSITIVITY'!$F$32:$F$35</c:f>
              <c:numCache>
                <c:formatCode>0.00%</c:formatCode>
                <c:ptCount val="4"/>
                <c:pt idx="1">
                  <c:v>0.15571703238397266</c:v>
                </c:pt>
                <c:pt idx="2">
                  <c:v>0.16571703238397267</c:v>
                </c:pt>
                <c:pt idx="3">
                  <c:v>0.17571703238397268</c:v>
                </c:pt>
              </c:numCache>
            </c:numRef>
          </c:val>
        </c:ser>
        <c:ser>
          <c:idx val="1"/>
          <c:order val="1"/>
          <c:tx>
            <c:strRef>
              <c:f>'DCF, WACC &amp; SENSITIVITY'!$G$31</c:f>
              <c:strCache>
                <c:ptCount val="1"/>
                <c:pt idx="0">
                  <c:v>Value</c:v>
                </c:pt>
              </c:strCache>
            </c:strRef>
          </c:tx>
          <c:spPr>
            <a:solidFill>
              <a:schemeClr val="accent6">
                <a:lumMod val="75000"/>
              </a:schemeClr>
            </a:solidFill>
            <a:ln>
              <a:noFill/>
            </a:ln>
            <a:effectLst/>
          </c:spPr>
          <c:invertIfNegative val="0"/>
          <c:dLbls>
            <c:spPr>
              <a:solidFill>
                <a:schemeClr val="accent3"/>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'DCF, WACC &amp; SENSITIVITY'!$E$32:$E$35</c:f>
              <c:strCache>
                <c:ptCount val="4"/>
                <c:pt idx="1">
                  <c:v>Bullish Case</c:v>
                </c:pt>
                <c:pt idx="2">
                  <c:v>Base Case</c:v>
                </c:pt>
                <c:pt idx="3">
                  <c:v>Bearish Case</c:v>
                </c:pt>
              </c:strCache>
            </c:strRef>
          </c:cat>
          <c:val>
            <c:numRef>
              <c:f>'DCF, WACC &amp; SENSITIVITY'!$G$32:$G$35</c:f>
              <c:numCache>
                <c:formatCode>General</c:formatCode>
                <c:ptCount val="4"/>
                <c:pt idx="1">
                  <c:v>36.770000000000003</c:v>
                </c:pt>
                <c:pt idx="2" formatCode="0.00">
                  <c:v>36.33</c:v>
                </c:pt>
                <c:pt idx="3" formatCode="0.00">
                  <c:v>35.9</c:v>
                </c:pt>
              </c:numCache>
            </c:numRef>
          </c:val>
        </c:ser>
        <c:dLbls>
          <c:dLblPos val="outEnd"/>
          <c:showLegendKey val="0"/>
          <c:showVal val="1"/>
          <c:showCatName val="0"/>
          <c:showSerName val="0"/>
          <c:showPercent val="0"/>
          <c:showBubbleSize val="0"/>
        </c:dLbls>
        <c:gapWidth val="219"/>
        <c:overlap val="-27"/>
        <c:axId val="290571264"/>
        <c:axId val="290571656"/>
      </c:barChart>
      <c:catAx>
        <c:axId val="29057126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Discount Rate</a:t>
                </a:r>
              </a:p>
            </c:rich>
          </c:tx>
          <c:layout>
            <c:manualLayout>
              <c:xMode val="edge"/>
              <c:yMode val="edge"/>
              <c:x val="0.47287243023661257"/>
              <c:y val="0.90953201025310437"/>
            </c:manualLayout>
          </c:layout>
          <c:overlay val="0"/>
          <c:spPr>
            <a:solidFill>
              <a:schemeClr val="accent3"/>
            </a:solid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0571656"/>
        <c:crosses val="autoZero"/>
        <c:auto val="1"/>
        <c:lblAlgn val="ctr"/>
        <c:lblOffset val="100"/>
        <c:noMultiLvlLbl val="0"/>
      </c:catAx>
      <c:valAx>
        <c:axId val="290571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IN" b="1"/>
                  <a:t>EV</a:t>
                </a:r>
              </a:p>
            </c:rich>
          </c:tx>
          <c:layout/>
          <c:overlay val="0"/>
          <c:spPr>
            <a:solidFill>
              <a:schemeClr val="accent3"/>
            </a:solid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0571264"/>
        <c:crosses val="autoZero"/>
        <c:crossBetween val="between"/>
      </c:valAx>
      <c:spPr>
        <a:noFill/>
        <a:ln>
          <a:noFill/>
        </a:ln>
        <a:effectLst/>
      </c:spPr>
    </c:plotArea>
    <c:plotVisOnly val="1"/>
    <c:dispBlanksAs val="gap"/>
    <c:showDLblsOverMax val="0"/>
  </c:chart>
  <c:spPr>
    <a:solidFill>
      <a:srgbClr val="002060"/>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solidFill>
                  <a:schemeClr val="bg1"/>
                </a:solidFill>
              </a:rPr>
              <a:t>EBIT Margin %</a:t>
            </a:r>
          </a:p>
        </c:rich>
      </c:tx>
      <c:layout>
        <c:manualLayout>
          <c:xMode val="edge"/>
          <c:yMode val="edge"/>
          <c:x val="0.41784309552720855"/>
          <c:y val="3.6199089290453512E-2"/>
        </c:manualLayout>
      </c:layout>
      <c:overlay val="0"/>
      <c:spPr>
        <a:solidFill>
          <a:srgbClr val="00206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612058549791523"/>
          <c:y val="0.13811652690393375"/>
          <c:w val="0.83165718839145908"/>
          <c:h val="0.75742895577496594"/>
        </c:manualLayout>
      </c:layout>
      <c:barChart>
        <c:barDir val="col"/>
        <c:grouping val="clustered"/>
        <c:varyColors val="0"/>
        <c:ser>
          <c:idx val="0"/>
          <c:order val="0"/>
          <c:tx>
            <c:strRef>
              <c:f>'Projected P &amp; L'!$B$43</c:f>
              <c:strCache>
                <c:ptCount val="1"/>
                <c:pt idx="0">
                  <c:v>EBIT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'Projected P &amp; L'!$C$40:$G$40</c:f>
              <c:numCache>
                <c:formatCode>"FY"\ 0\ "E"</c:formatCode>
                <c:ptCount val="5"/>
                <c:pt idx="0">
                  <c:v>2023</c:v>
                </c:pt>
                <c:pt idx="1">
                  <c:v>2024</c:v>
                </c:pt>
                <c:pt idx="2">
                  <c:v>2025</c:v>
                </c:pt>
                <c:pt idx="3">
                  <c:v>2026</c:v>
                </c:pt>
                <c:pt idx="4">
                  <c:v>2027</c:v>
                </c:pt>
              </c:numCache>
            </c:numRef>
          </c:cat>
          <c:val>
            <c:numRef>
              <c:f>'Projected P &amp; L'!$C$43:$G$43</c:f>
              <c:numCache>
                <c:formatCode>0.00%</c:formatCode>
                <c:ptCount val="5"/>
                <c:pt idx="0">
                  <c:v>-0.26656752702867459</c:v>
                </c:pt>
                <c:pt idx="1">
                  <c:v>-0.20408759430037696</c:v>
                </c:pt>
                <c:pt idx="2">
                  <c:v>-0.14598878293128156</c:v>
                </c:pt>
                <c:pt idx="3">
                  <c:v>0.34675744930112562</c:v>
                </c:pt>
                <c:pt idx="4">
                  <c:v>0.3619919747173827</c:v>
                </c:pt>
              </c:numCache>
            </c:numRef>
          </c:val>
        </c:ser>
        <c:dLbls>
          <c:dLblPos val="outEnd"/>
          <c:showLegendKey val="0"/>
          <c:showVal val="1"/>
          <c:showCatName val="0"/>
          <c:showSerName val="0"/>
          <c:showPercent val="0"/>
          <c:showBubbleSize val="0"/>
        </c:dLbls>
        <c:gapWidth val="219"/>
        <c:overlap val="-27"/>
        <c:axId val="324105512"/>
        <c:axId val="324104336"/>
      </c:barChart>
      <c:catAx>
        <c:axId val="3241055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a:t>For Financial year</a:t>
                </a:r>
              </a:p>
            </c:rich>
          </c:tx>
          <c:layout>
            <c:manualLayout>
              <c:xMode val="edge"/>
              <c:yMode val="edge"/>
              <c:x val="0.51312571706979737"/>
              <c:y val="0.9189455187568815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FY&quot;\ 0\ &quot;E&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4336"/>
        <c:crosses val="autoZero"/>
        <c:auto val="1"/>
        <c:lblAlgn val="ctr"/>
        <c:lblOffset val="100"/>
        <c:noMultiLvlLbl val="1"/>
      </c:catAx>
      <c:valAx>
        <c:axId val="324104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a:t>EBIT Margin %</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55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2812587665194851"/>
          <c:y val="3.3385492689037136E-2"/>
        </c:manualLayout>
      </c:layout>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'Projected P &amp; L'!$B$44</c:f>
              <c:strCache>
                <c:ptCount val="1"/>
                <c:pt idx="0">
                  <c:v>PAT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'Projected P &amp; L'!$C$40:$G$40</c:f>
              <c:numCache>
                <c:formatCode>"FY"\ 0\ "E"</c:formatCode>
                <c:ptCount val="5"/>
                <c:pt idx="0">
                  <c:v>2023</c:v>
                </c:pt>
                <c:pt idx="1">
                  <c:v>2024</c:v>
                </c:pt>
                <c:pt idx="2">
                  <c:v>2025</c:v>
                </c:pt>
                <c:pt idx="3">
                  <c:v>2026</c:v>
                </c:pt>
                <c:pt idx="4">
                  <c:v>2027</c:v>
                </c:pt>
              </c:numCache>
            </c:numRef>
          </c:cat>
          <c:val>
            <c:numRef>
              <c:f>'Projected P &amp; L'!$C$44:$G$44</c:f>
              <c:numCache>
                <c:formatCode>0.00%</c:formatCode>
                <c:ptCount val="5"/>
                <c:pt idx="0">
                  <c:v>-4.6645293039085222E-3</c:v>
                </c:pt>
                <c:pt idx="1">
                  <c:v>-3.5050768184303359E-3</c:v>
                </c:pt>
                <c:pt idx="2">
                  <c:v>-2.5420732263318102E-3</c:v>
                </c:pt>
                <c:pt idx="3">
                  <c:v>3.5033697855937585E-3</c:v>
                </c:pt>
                <c:pt idx="4">
                  <c:v>5.8383405500669425E-3</c:v>
                </c:pt>
              </c:numCache>
            </c:numRef>
          </c:val>
        </c:ser>
        <c:dLbls>
          <c:dLblPos val="outEnd"/>
          <c:showLegendKey val="0"/>
          <c:showVal val="1"/>
          <c:showCatName val="0"/>
          <c:showSerName val="0"/>
          <c:showPercent val="0"/>
          <c:showBubbleSize val="0"/>
        </c:dLbls>
        <c:gapWidth val="219"/>
        <c:overlap val="-27"/>
        <c:axId val="324101592"/>
        <c:axId val="324101984"/>
      </c:barChart>
      <c:catAx>
        <c:axId val="324101592"/>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Finacial Year</a:t>
                </a:r>
              </a:p>
            </c:rich>
          </c:tx>
          <c:layout>
            <c:manualLayout>
              <c:xMode val="edge"/>
              <c:yMode val="edge"/>
              <c:x val="0.50958923692371538"/>
              <c:y val="0.92355840014291857"/>
            </c:manualLayout>
          </c:layout>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quot;FY&quot;\ 0\ &quot;E&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1984"/>
        <c:crosses val="autoZero"/>
        <c:auto val="1"/>
        <c:lblAlgn val="ctr"/>
        <c:lblOffset val="100"/>
        <c:noMultiLvlLbl val="1"/>
      </c:catAx>
      <c:valAx>
        <c:axId val="3241019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PAT Margin %</a:t>
                </a:r>
              </a:p>
            </c:rich>
          </c:tx>
          <c:layout>
            <c:manualLayout>
              <c:xMode val="edge"/>
              <c:yMode val="edge"/>
              <c:x val="1.5617374328940947E-2"/>
              <c:y val="0.40252731384813828"/>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15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6086491895662332"/>
          <c:y val="3.0962743225909476E-2"/>
        </c:manualLayout>
      </c:layout>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'Projected P &amp; L'!$B$45</c:f>
              <c:strCache>
                <c:ptCount val="1"/>
                <c:pt idx="0">
                  <c:v>Revenue growth Rate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'Projected P &amp; L'!$C$40:$G$40</c:f>
              <c:numCache>
                <c:formatCode>"FY"\ 0\ "E"</c:formatCode>
                <c:ptCount val="5"/>
                <c:pt idx="0">
                  <c:v>2023</c:v>
                </c:pt>
                <c:pt idx="1">
                  <c:v>2024</c:v>
                </c:pt>
                <c:pt idx="2">
                  <c:v>2025</c:v>
                </c:pt>
                <c:pt idx="3">
                  <c:v>2026</c:v>
                </c:pt>
                <c:pt idx="4">
                  <c:v>2027</c:v>
                </c:pt>
              </c:numCache>
            </c:numRef>
          </c:cat>
          <c:val>
            <c:numRef>
              <c:f>'Projected P &amp; L'!$C$45:$G$45</c:f>
              <c:numCache>
                <c:formatCode>0.00%</c:formatCode>
                <c:ptCount val="5"/>
                <c:pt idx="1">
                  <c:v>7.5526327276460581E-2</c:v>
                </c:pt>
                <c:pt idx="2">
                  <c:v>7.6051289601222205E-2</c:v>
                </c:pt>
                <c:pt idx="3">
                  <c:v>7.6542540525597946E-2</c:v>
                </c:pt>
                <c:pt idx="4">
                  <c:v>-0.37508914258676307</c:v>
                </c:pt>
              </c:numCache>
            </c:numRef>
          </c:val>
        </c:ser>
        <c:dLbls>
          <c:dLblPos val="outEnd"/>
          <c:showLegendKey val="0"/>
          <c:showVal val="1"/>
          <c:showCatName val="0"/>
          <c:showSerName val="0"/>
          <c:showPercent val="0"/>
          <c:showBubbleSize val="0"/>
        </c:dLbls>
        <c:gapWidth val="219"/>
        <c:overlap val="-27"/>
        <c:axId val="324100416"/>
        <c:axId val="324103552"/>
      </c:barChart>
      <c:catAx>
        <c:axId val="324100416"/>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Financial Year</a:t>
                </a:r>
              </a:p>
            </c:rich>
          </c:tx>
          <c:layout>
            <c:manualLayout>
              <c:xMode val="edge"/>
              <c:yMode val="edge"/>
              <c:x val="0.48569014158441448"/>
              <c:y val="0.91018854055464149"/>
            </c:manualLayout>
          </c:layout>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quot;FY&quot;\ 0\ &quot;E&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3552"/>
        <c:crosses val="autoZero"/>
        <c:auto val="1"/>
        <c:lblAlgn val="ctr"/>
        <c:lblOffset val="100"/>
        <c:noMultiLvlLbl val="1"/>
      </c:catAx>
      <c:valAx>
        <c:axId val="3241035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Growth %</a:t>
                </a:r>
              </a:p>
            </c:rich>
          </c:tx>
          <c:layout>
            <c:manualLayout>
              <c:xMode val="edge"/>
              <c:yMode val="edge"/>
              <c:x val="2.320674719978285E-2"/>
              <c:y val="0.41138819447894059"/>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0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0461540795834583"/>
          <c:y val="3.1101729753660309E-2"/>
        </c:manualLayout>
      </c:layout>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'Projected P &amp; L'!$B$42</c:f>
              <c:strCache>
                <c:ptCount val="1"/>
                <c:pt idx="0">
                  <c:v>EBITDA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'Projected P &amp; L'!$C$40:$G$40</c:f>
              <c:numCache>
                <c:formatCode>"FY"\ 0\ "E"</c:formatCode>
                <c:ptCount val="5"/>
                <c:pt idx="0">
                  <c:v>2023</c:v>
                </c:pt>
                <c:pt idx="1">
                  <c:v>2024</c:v>
                </c:pt>
                <c:pt idx="2">
                  <c:v>2025</c:v>
                </c:pt>
                <c:pt idx="3">
                  <c:v>2026</c:v>
                </c:pt>
                <c:pt idx="4">
                  <c:v>2027</c:v>
                </c:pt>
              </c:numCache>
            </c:numRef>
          </c:cat>
          <c:val>
            <c:numRef>
              <c:f>'Projected P &amp; L'!$C$42:$G$42</c:f>
              <c:numCache>
                <c:formatCode>0.00%</c:formatCode>
                <c:ptCount val="5"/>
                <c:pt idx="0">
                  <c:v>0.16236498306625041</c:v>
                </c:pt>
                <c:pt idx="1">
                  <c:v>0.19472413091429483</c:v>
                </c:pt>
                <c:pt idx="2">
                  <c:v>0.22463641780842378</c:v>
                </c:pt>
                <c:pt idx="3">
                  <c:v>0.69103107230050642</c:v>
                </c:pt>
                <c:pt idx="4">
                  <c:v>0.6833598589533435</c:v>
                </c:pt>
              </c:numCache>
            </c:numRef>
          </c:val>
        </c:ser>
        <c:dLbls>
          <c:dLblPos val="outEnd"/>
          <c:showLegendKey val="0"/>
          <c:showVal val="1"/>
          <c:showCatName val="0"/>
          <c:showSerName val="0"/>
          <c:showPercent val="0"/>
          <c:showBubbleSize val="0"/>
        </c:dLbls>
        <c:gapWidth val="219"/>
        <c:overlap val="-27"/>
        <c:axId val="324104728"/>
        <c:axId val="324105120"/>
      </c:barChart>
      <c:catAx>
        <c:axId val="324104728"/>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Financial</a:t>
                </a:r>
                <a:r>
                  <a:rPr lang="en-IN" b="1" i="1" baseline="0"/>
                  <a:t> Year</a:t>
                </a:r>
                <a:endParaRPr lang="en-IN" b="1" i="1"/>
              </a:p>
            </c:rich>
          </c:tx>
          <c:layout/>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quot;FY&quot;\ 0\ &quot;E&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5120"/>
        <c:crosses val="autoZero"/>
        <c:auto val="1"/>
        <c:lblAlgn val="ctr"/>
        <c:lblOffset val="100"/>
        <c:noMultiLvlLbl val="0"/>
      </c:catAx>
      <c:valAx>
        <c:axId val="324105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EBITDA Margin %</a:t>
                </a:r>
              </a:p>
            </c:rich>
          </c:tx>
          <c:layout>
            <c:manualLayout>
              <c:xMode val="edge"/>
              <c:yMode val="edge"/>
              <c:x val="2.0720015649322056E-2"/>
              <c:y val="0.32699143028808147"/>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4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b="1">
                <a:solidFill>
                  <a:schemeClr val="bg1"/>
                </a:solidFill>
              </a:rPr>
              <a:t>EBITDA Margin %</a:t>
            </a:r>
          </a:p>
        </c:rich>
      </c:tx>
      <c:layout>
        <c:manualLayout>
          <c:xMode val="edge"/>
          <c:yMode val="edge"/>
          <c:x val="0.41598887418143637"/>
          <c:y val="3.5928132419214352E-2"/>
        </c:manualLayout>
      </c:layout>
      <c:overlay val="0"/>
      <c:spPr>
        <a:solidFill>
          <a:srgbClr val="002060"/>
        </a:solid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'Historical P&amp;L'!$B$36</c:f>
              <c:strCache>
                <c:ptCount val="1"/>
                <c:pt idx="0">
                  <c:v>EBITDA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'Historical P&amp;L'!$C$34:$J$34</c:f>
              <c:numCache>
                <c:formatCode>"FY"\ 0\ "A"</c:formatCode>
                <c:ptCount val="8"/>
                <c:pt idx="0">
                  <c:v>2015</c:v>
                </c:pt>
                <c:pt idx="1">
                  <c:v>2016</c:v>
                </c:pt>
                <c:pt idx="2">
                  <c:v>2017</c:v>
                </c:pt>
                <c:pt idx="3">
                  <c:v>2018</c:v>
                </c:pt>
                <c:pt idx="4">
                  <c:v>2019</c:v>
                </c:pt>
                <c:pt idx="5">
                  <c:v>2020</c:v>
                </c:pt>
                <c:pt idx="6">
                  <c:v>2021</c:v>
                </c:pt>
                <c:pt idx="7" formatCode="&quot;FY&quot;\ 0\ &quot;P&quot;">
                  <c:v>2022</c:v>
                </c:pt>
              </c:numCache>
            </c:numRef>
          </c:cat>
          <c:val>
            <c:numRef>
              <c:f>'Historical P&amp;L'!$C$36:$J$36</c:f>
              <c:numCache>
                <c:formatCode>0.00%</c:formatCode>
                <c:ptCount val="8"/>
                <c:pt idx="0">
                  <c:v>0.7086717317264869</c:v>
                </c:pt>
                <c:pt idx="1">
                  <c:v>0.74786220376252133</c:v>
                </c:pt>
                <c:pt idx="2">
                  <c:v>0.70954750059227678</c:v>
                </c:pt>
                <c:pt idx="3">
                  <c:v>0.76338132152085636</c:v>
                </c:pt>
                <c:pt idx="4">
                  <c:v>0.43563988095238093</c:v>
                </c:pt>
                <c:pt idx="5">
                  <c:v>0.40566483084185673</c:v>
                </c:pt>
                <c:pt idx="6">
                  <c:v>-1.4531435349940747E-2</c:v>
                </c:pt>
                <c:pt idx="7">
                  <c:v>0.2992219048557076</c:v>
                </c:pt>
              </c:numCache>
            </c:numRef>
          </c:val>
        </c:ser>
        <c:dLbls>
          <c:dLblPos val="outEnd"/>
          <c:showLegendKey val="0"/>
          <c:showVal val="1"/>
          <c:showCatName val="0"/>
          <c:showSerName val="0"/>
          <c:showPercent val="0"/>
          <c:showBubbleSize val="0"/>
        </c:dLbls>
        <c:gapWidth val="219"/>
        <c:overlap val="-27"/>
        <c:axId val="324100024"/>
        <c:axId val="324099632"/>
      </c:barChart>
      <c:catAx>
        <c:axId val="3241000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baseline="0"/>
                  <a:t>For Financial Year</a:t>
                </a:r>
                <a:endParaRPr lang="en-IN" b="1" i="1"/>
              </a:p>
            </c:rich>
          </c:tx>
          <c:layout>
            <c:manualLayout>
              <c:xMode val="edge"/>
              <c:yMode val="edge"/>
              <c:x val="0.46042373165266298"/>
              <c:y val="0.9153491708396841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FY&quot;\ 0\ &quot;A&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099632"/>
        <c:crosses val="autoZero"/>
        <c:auto val="1"/>
        <c:lblAlgn val="ctr"/>
        <c:lblOffset val="100"/>
        <c:noMultiLvlLbl val="1"/>
      </c:catAx>
      <c:valAx>
        <c:axId val="324099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a:t>EBITDA Margin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00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solidFill>
                  <a:schemeClr val="bg1"/>
                </a:solidFill>
              </a:rPr>
              <a:t>EBIT Margin %</a:t>
            </a:r>
          </a:p>
        </c:rich>
      </c:tx>
      <c:layout>
        <c:manualLayout>
          <c:xMode val="edge"/>
          <c:yMode val="edge"/>
          <c:x val="0.41784309552720855"/>
          <c:y val="3.6199089290453512E-2"/>
        </c:manualLayout>
      </c:layout>
      <c:overlay val="0"/>
      <c:spPr>
        <a:solidFill>
          <a:srgbClr val="002060"/>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'Historical P&amp;L'!$B$37</c:f>
              <c:strCache>
                <c:ptCount val="1"/>
                <c:pt idx="0">
                  <c:v>EBIT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'Historical P&amp;L'!$C$34:$J$34</c:f>
              <c:numCache>
                <c:formatCode>"FY"\ 0\ "A"</c:formatCode>
                <c:ptCount val="8"/>
                <c:pt idx="0">
                  <c:v>2015</c:v>
                </c:pt>
                <c:pt idx="1">
                  <c:v>2016</c:v>
                </c:pt>
                <c:pt idx="2">
                  <c:v>2017</c:v>
                </c:pt>
                <c:pt idx="3">
                  <c:v>2018</c:v>
                </c:pt>
                <c:pt idx="4">
                  <c:v>2019</c:v>
                </c:pt>
                <c:pt idx="5">
                  <c:v>2020</c:v>
                </c:pt>
                <c:pt idx="6">
                  <c:v>2021</c:v>
                </c:pt>
                <c:pt idx="7" formatCode="&quot;FY&quot;\ 0\ &quot;P&quot;">
                  <c:v>2022</c:v>
                </c:pt>
              </c:numCache>
            </c:numRef>
          </c:cat>
          <c:val>
            <c:numRef>
              <c:f>'Historical P&amp;L'!$C$37:$J$37</c:f>
              <c:numCache>
                <c:formatCode>0.00%</c:formatCode>
                <c:ptCount val="8"/>
                <c:pt idx="0">
                  <c:v>0.42939481268011537</c:v>
                </c:pt>
                <c:pt idx="1">
                  <c:v>0.42022966039579768</c:v>
                </c:pt>
                <c:pt idx="2">
                  <c:v>0.28334517886756705</c:v>
                </c:pt>
                <c:pt idx="3">
                  <c:v>0.4693613879660391</c:v>
                </c:pt>
                <c:pt idx="4">
                  <c:v>0.15438988095238093</c:v>
                </c:pt>
                <c:pt idx="5">
                  <c:v>2.6907946498819731E-2</c:v>
                </c:pt>
                <c:pt idx="6">
                  <c:v>-0.39383155397390279</c:v>
                </c:pt>
                <c:pt idx="7">
                  <c:v>1.5857382054565113E-2</c:v>
                </c:pt>
              </c:numCache>
            </c:numRef>
          </c:val>
        </c:ser>
        <c:dLbls>
          <c:dLblPos val="outEnd"/>
          <c:showLegendKey val="0"/>
          <c:showVal val="1"/>
          <c:showCatName val="0"/>
          <c:showSerName val="0"/>
          <c:showPercent val="0"/>
          <c:showBubbleSize val="0"/>
        </c:dLbls>
        <c:gapWidth val="219"/>
        <c:overlap val="-27"/>
        <c:axId val="324100808"/>
        <c:axId val="324103160"/>
      </c:barChart>
      <c:catAx>
        <c:axId val="3241008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a:t>For Financial year</a:t>
                </a:r>
              </a:p>
            </c:rich>
          </c:tx>
          <c:layout>
            <c:manualLayout>
              <c:xMode val="edge"/>
              <c:yMode val="edge"/>
              <c:x val="0.51312571706979737"/>
              <c:y val="0.9189455187568815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FY&quot;\ 0\ &quot;A&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3160"/>
        <c:crosses val="autoZero"/>
        <c:auto val="1"/>
        <c:lblAlgn val="ctr"/>
        <c:lblOffset val="100"/>
        <c:noMultiLvlLbl val="1"/>
      </c:catAx>
      <c:valAx>
        <c:axId val="3241031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b="1" i="1"/>
                  <a:t>EBIT Margin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08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2812587665194851"/>
          <c:y val="3.3385492689037136E-2"/>
        </c:manualLayout>
      </c:layout>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'Historical P&amp;L'!$B$38</c:f>
              <c:strCache>
                <c:ptCount val="1"/>
                <c:pt idx="0">
                  <c:v>PAT Margin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'Historical P&amp;L'!$C$34:$J$34</c:f>
              <c:numCache>
                <c:formatCode>"FY"\ 0\ "A"</c:formatCode>
                <c:ptCount val="8"/>
                <c:pt idx="0">
                  <c:v>2015</c:v>
                </c:pt>
                <c:pt idx="1">
                  <c:v>2016</c:v>
                </c:pt>
                <c:pt idx="2">
                  <c:v>2017</c:v>
                </c:pt>
                <c:pt idx="3">
                  <c:v>2018</c:v>
                </c:pt>
                <c:pt idx="4">
                  <c:v>2019</c:v>
                </c:pt>
                <c:pt idx="5">
                  <c:v>2020</c:v>
                </c:pt>
                <c:pt idx="6">
                  <c:v>2021</c:v>
                </c:pt>
                <c:pt idx="7" formatCode="&quot;FY&quot;\ 0\ &quot;P&quot;">
                  <c:v>2022</c:v>
                </c:pt>
              </c:numCache>
            </c:numRef>
          </c:cat>
          <c:val>
            <c:numRef>
              <c:f>'Historical P&amp;L'!$C$38:$J$38</c:f>
              <c:numCache>
                <c:formatCode>0.00%</c:formatCode>
                <c:ptCount val="8"/>
                <c:pt idx="0">
                  <c:v>-6.5479304044225532E-3</c:v>
                </c:pt>
                <c:pt idx="1">
                  <c:v>-4.4052734585437797E-3</c:v>
                </c:pt>
                <c:pt idx="2">
                  <c:v>-6.6341726908827415E-3</c:v>
                </c:pt>
                <c:pt idx="3">
                  <c:v>1.3047303732101171E-3</c:v>
                </c:pt>
                <c:pt idx="4">
                  <c:v>-1.9099436649659869E-3</c:v>
                </c:pt>
                <c:pt idx="5">
                  <c:v>-1.983359342742943E-3</c:v>
                </c:pt>
                <c:pt idx="6">
                  <c:v>-6.2332987170881839E-3</c:v>
                </c:pt>
                <c:pt idx="7">
                  <c:v>-1.0961996803966818E-4</c:v>
                </c:pt>
              </c:numCache>
            </c:numRef>
          </c:val>
        </c:ser>
        <c:dLbls>
          <c:dLblPos val="outEnd"/>
          <c:showLegendKey val="0"/>
          <c:showVal val="1"/>
          <c:showCatName val="0"/>
          <c:showSerName val="0"/>
          <c:showPercent val="0"/>
          <c:showBubbleSize val="0"/>
        </c:dLbls>
        <c:gapWidth val="219"/>
        <c:overlap val="-27"/>
        <c:axId val="324103944"/>
        <c:axId val="324099240"/>
      </c:barChart>
      <c:catAx>
        <c:axId val="324103944"/>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Finacial Year</a:t>
                </a:r>
              </a:p>
            </c:rich>
          </c:tx>
          <c:layout>
            <c:manualLayout>
              <c:xMode val="edge"/>
              <c:yMode val="edge"/>
              <c:x val="0.50958923692371538"/>
              <c:y val="0.92355840014291857"/>
            </c:manualLayout>
          </c:layout>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quot;FY&quot;\ 0\ &quot;A&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099240"/>
        <c:crosses val="autoZero"/>
        <c:auto val="1"/>
        <c:lblAlgn val="ctr"/>
        <c:lblOffset val="100"/>
        <c:noMultiLvlLbl val="1"/>
      </c:catAx>
      <c:valAx>
        <c:axId val="32409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PAT Margin %</a:t>
                </a:r>
              </a:p>
            </c:rich>
          </c:tx>
          <c:layout>
            <c:manualLayout>
              <c:xMode val="edge"/>
              <c:yMode val="edge"/>
              <c:x val="1.5617374328940947E-2"/>
              <c:y val="0.40252731384813828"/>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4103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6086491895662332"/>
          <c:y val="3.0962743225909476E-2"/>
        </c:manualLayout>
      </c:layout>
      <c:overlay val="0"/>
      <c:spPr>
        <a:solidFill>
          <a:srgbClr val="002060"/>
        </a:solidFill>
        <a:ln>
          <a:noFill/>
        </a:ln>
        <a:effectLst/>
      </c:spPr>
      <c:txPr>
        <a:bodyPr rot="0" spcFirstLastPara="1" vertOverflow="ellipsis" vert="horz" wrap="square" anchor="ctr" anchorCtr="1"/>
        <a:lstStyle/>
        <a:p>
          <a:pPr>
            <a:defRPr sz="1200" b="1" i="0" u="none" strike="noStrike" kern="1200" spc="0" baseline="0">
              <a:solidFill>
                <a:schemeClr val="bg1"/>
              </a:solidFill>
              <a:latin typeface="+mn-lt"/>
              <a:ea typeface="+mn-ea"/>
              <a:cs typeface="+mn-cs"/>
            </a:defRPr>
          </a:pPr>
          <a:endParaRPr lang="en-US"/>
        </a:p>
      </c:txPr>
    </c:title>
    <c:autoTitleDeleted val="0"/>
    <c:plotArea>
      <c:layout/>
      <c:barChart>
        <c:barDir val="col"/>
        <c:grouping val="clustered"/>
        <c:varyColors val="0"/>
        <c:ser>
          <c:idx val="0"/>
          <c:order val="0"/>
          <c:tx>
            <c:strRef>
              <c:f>'Historical P&amp;L'!$B$39</c:f>
              <c:strCache>
                <c:ptCount val="1"/>
                <c:pt idx="0">
                  <c:v>Revenue growth Rate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0"/>
          </c:trendline>
          <c:cat>
            <c:numRef>
              <c:f>'Historical P&amp;L'!$C$34:$J$34</c:f>
              <c:numCache>
                <c:formatCode>"FY"\ 0\ "A"</c:formatCode>
                <c:ptCount val="8"/>
                <c:pt idx="0">
                  <c:v>2015</c:v>
                </c:pt>
                <c:pt idx="1">
                  <c:v>2016</c:v>
                </c:pt>
                <c:pt idx="2">
                  <c:v>2017</c:v>
                </c:pt>
                <c:pt idx="3">
                  <c:v>2018</c:v>
                </c:pt>
                <c:pt idx="4">
                  <c:v>2019</c:v>
                </c:pt>
                <c:pt idx="5">
                  <c:v>2020</c:v>
                </c:pt>
                <c:pt idx="6">
                  <c:v>2021</c:v>
                </c:pt>
                <c:pt idx="7" formatCode="&quot;FY&quot;\ 0\ &quot;P&quot;">
                  <c:v>2022</c:v>
                </c:pt>
              </c:numCache>
            </c:numRef>
          </c:cat>
          <c:val>
            <c:numRef>
              <c:f>'Historical P&amp;L'!$C$39:$J$39</c:f>
              <c:numCache>
                <c:formatCode>0.00%</c:formatCode>
                <c:ptCount val="8"/>
                <c:pt idx="1">
                  <c:v>7.2308095362850322E-2</c:v>
                </c:pt>
                <c:pt idx="2">
                  <c:v>3.1272904959687375E-2</c:v>
                </c:pt>
                <c:pt idx="3">
                  <c:v>0.28358208955223874</c:v>
                </c:pt>
                <c:pt idx="4">
                  <c:v>-7.7519379844961378E-3</c:v>
                </c:pt>
                <c:pt idx="5">
                  <c:v>0.18210565476190466</c:v>
                </c:pt>
                <c:pt idx="6">
                  <c:v>6.1211644374508323E-2</c:v>
                </c:pt>
                <c:pt idx="7">
                  <c:v>0.50548635824436539</c:v>
                </c:pt>
              </c:numCache>
            </c:numRef>
          </c:val>
        </c:ser>
        <c:dLbls>
          <c:dLblPos val="outEnd"/>
          <c:showLegendKey val="0"/>
          <c:showVal val="1"/>
          <c:showCatName val="0"/>
          <c:showSerName val="0"/>
          <c:showPercent val="0"/>
          <c:showBubbleSize val="0"/>
        </c:dLbls>
        <c:gapWidth val="219"/>
        <c:overlap val="-27"/>
        <c:axId val="325666616"/>
        <c:axId val="325668968"/>
      </c:barChart>
      <c:catAx>
        <c:axId val="325666616"/>
        <c:scaling>
          <c:orientation val="minMax"/>
        </c:scaling>
        <c:delete val="0"/>
        <c:axPos val="b"/>
        <c:title>
          <c:tx>
            <c:rich>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Financial Year</a:t>
                </a:r>
              </a:p>
            </c:rich>
          </c:tx>
          <c:layout>
            <c:manualLayout>
              <c:xMode val="edge"/>
              <c:yMode val="edge"/>
              <c:x val="0.48569014158441448"/>
              <c:y val="0.91018854055464149"/>
            </c:manualLayout>
          </c:layout>
          <c:overlay val="0"/>
          <c:spPr>
            <a:noFill/>
            <a:ln>
              <a:noFill/>
            </a:ln>
            <a:effectLst/>
          </c:spPr>
          <c:txPr>
            <a:bodyPr rot="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quot;FY&quot;\ 0\ &quot;A&quot;"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5668968"/>
        <c:crosses val="autoZero"/>
        <c:auto val="1"/>
        <c:lblAlgn val="ctr"/>
        <c:lblOffset val="100"/>
        <c:noMultiLvlLbl val="1"/>
      </c:catAx>
      <c:valAx>
        <c:axId val="3256689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r>
                  <a:rPr lang="en-IN" b="1" i="1"/>
                  <a:t>Growth %</a:t>
                </a:r>
              </a:p>
            </c:rich>
          </c:tx>
          <c:layout>
            <c:manualLayout>
              <c:xMode val="edge"/>
              <c:yMode val="edge"/>
              <c:x val="2.320674719978285E-2"/>
              <c:y val="0.41138819447894059"/>
            </c:manualLayout>
          </c:layout>
          <c:overlay val="0"/>
          <c:spPr>
            <a:noFill/>
            <a:ln>
              <a:noFill/>
            </a:ln>
            <a:effectLst/>
          </c:spPr>
          <c:txPr>
            <a:bodyPr rot="-5400000" spcFirstLastPara="1" vertOverflow="ellipsis" vert="horz" wrap="square" anchor="ctr" anchorCtr="1"/>
            <a:lstStyle/>
            <a:p>
              <a:pPr>
                <a:defRPr sz="1000" b="1" i="1"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5666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538162</xdr:colOff>
      <xdr:row>27</xdr:row>
      <xdr:rowOff>171450</xdr:rowOff>
    </xdr:from>
    <xdr:to>
      <xdr:col>15</xdr:col>
      <xdr:colOff>295276</xdr:colOff>
      <xdr:row>44</xdr:row>
      <xdr:rowOff>114300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238126</xdr:colOff>
      <xdr:row>47</xdr:row>
      <xdr:rowOff>4762</xdr:rowOff>
    </xdr:from>
    <xdr:to>
      <xdr:col>13</xdr:col>
      <xdr:colOff>352425</xdr:colOff>
      <xdr:row>63</xdr:row>
      <xdr:rowOff>142876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9524</xdr:colOff>
      <xdr:row>65</xdr:row>
      <xdr:rowOff>4761</xdr:rowOff>
    </xdr:from>
    <xdr:to>
      <xdr:col>5</xdr:col>
      <xdr:colOff>857249</xdr:colOff>
      <xdr:row>81</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238125</xdr:colOff>
      <xdr:row>64</xdr:row>
      <xdr:rowOff>180975</xdr:rowOff>
    </xdr:from>
    <xdr:to>
      <xdr:col>13</xdr:col>
      <xdr:colOff>733425</xdr:colOff>
      <xdr:row>81</xdr:row>
      <xdr:rowOff>142875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4761</xdr:colOff>
      <xdr:row>47</xdr:row>
      <xdr:rowOff>0</xdr:rowOff>
    </xdr:from>
    <xdr:to>
      <xdr:col>5</xdr:col>
      <xdr:colOff>838200</xdr:colOff>
      <xdr:row>63</xdr:row>
      <xdr:rowOff>114300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261936</xdr:colOff>
      <xdr:row>41</xdr:row>
      <xdr:rowOff>19049</xdr:rowOff>
    </xdr:from>
    <xdr:to>
      <xdr:col>7</xdr:col>
      <xdr:colOff>28575</xdr:colOff>
      <xdr:row>58</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409575</xdr:colOff>
      <xdr:row>41</xdr:row>
      <xdr:rowOff>33336</xdr:rowOff>
    </xdr:from>
    <xdr:to>
      <xdr:col>15</xdr:col>
      <xdr:colOff>495300</xdr:colOff>
      <xdr:row>58</xdr:row>
      <xdr:rowOff>38099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28574</xdr:colOff>
      <xdr:row>60</xdr:row>
      <xdr:rowOff>14286</xdr:rowOff>
    </xdr:from>
    <xdr:to>
      <xdr:col>7</xdr:col>
      <xdr:colOff>76199</xdr:colOff>
      <xdr:row>77</xdr:row>
      <xdr:rowOff>104775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447674</xdr:colOff>
      <xdr:row>59</xdr:row>
      <xdr:rowOff>85725</xdr:rowOff>
    </xdr:from>
    <xdr:to>
      <xdr:col>15</xdr:col>
      <xdr:colOff>504825</xdr:colOff>
      <xdr:row>77</xdr:row>
      <xdr:rowOff>38100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election activeCell="D32" sqref="D32"/>
    </sheetView>
  </sheetViews>
  <sheetFormatPr defaultRowHeight="15" x14ac:dyDescent="0.25"/>
  <cols>
    <col min="1" max="1" width="4.5703125" customWidth="1"/>
    <col min="2" max="2" width="38.28515625" customWidth="1"/>
    <col min="3" max="7" width="13.7109375" customWidth="1"/>
    <col min="8" max="16" width="11.7109375" customWidth="1"/>
    <col min="17" max="17" width="12.5703125" bestFit="1" customWidth="1"/>
    <col min="19" max="19" width="10" bestFit="1" customWidth="1"/>
  </cols>
  <sheetData>
    <row r="1" spans="1:7" ht="12.75" customHeight="1" x14ac:dyDescent="0.25"/>
    <row r="2" spans="1:7" ht="18.75" customHeight="1" x14ac:dyDescent="0.25">
      <c r="B2" s="74" t="s">
        <v>97</v>
      </c>
      <c r="C2" s="3"/>
      <c r="D2" s="3"/>
      <c r="E2" s="3"/>
      <c r="F2" s="3"/>
      <c r="G2" s="3"/>
    </row>
    <row r="3" spans="1:7" ht="12.75" customHeight="1" x14ac:dyDescent="0.25"/>
    <row r="4" spans="1:7" ht="18.75" customHeight="1" x14ac:dyDescent="0.25">
      <c r="B4" s="46" t="s">
        <v>108</v>
      </c>
      <c r="C4" s="1"/>
      <c r="D4" s="1"/>
      <c r="E4" s="1"/>
      <c r="F4" s="1"/>
      <c r="G4" s="1"/>
    </row>
    <row r="5" spans="1:7" ht="11.25" customHeight="1" x14ac:dyDescent="0.25"/>
    <row r="6" spans="1:7" ht="18" customHeight="1" x14ac:dyDescent="0.25">
      <c r="B6" s="75" t="s">
        <v>79</v>
      </c>
      <c r="C6" s="96">
        <v>2023</v>
      </c>
      <c r="D6" s="96">
        <f>C6+1</f>
        <v>2024</v>
      </c>
      <c r="E6" s="96">
        <f t="shared" ref="E6:G6" si="0">D6+1</f>
        <v>2025</v>
      </c>
      <c r="F6" s="96">
        <f t="shared" si="0"/>
        <v>2026</v>
      </c>
      <c r="G6" s="96">
        <f t="shared" si="0"/>
        <v>2027</v>
      </c>
    </row>
    <row r="7" spans="1:7" hidden="1" x14ac:dyDescent="0.25">
      <c r="B7" s="57"/>
      <c r="C7" s="57"/>
      <c r="D7" s="57"/>
      <c r="E7" s="58"/>
      <c r="F7" s="58"/>
      <c r="G7" s="58"/>
    </row>
    <row r="8" spans="1:7" ht="16.5" hidden="1" customHeight="1" x14ac:dyDescent="0.25">
      <c r="B8" t="s">
        <v>85</v>
      </c>
      <c r="C8" s="34">
        <f>'Projected P &amp; L'!C18</f>
        <v>10.889446199151195</v>
      </c>
      <c r="D8" s="34">
        <f>'Projected P &amp; L'!D18</f>
        <v>14.046051030054286</v>
      </c>
      <c r="E8" s="34">
        <f>'Projected P &amp; L'!E18</f>
        <v>17.43602989635788</v>
      </c>
      <c r="F8" s="34">
        <f>'Projected P &amp; L'!F18</f>
        <v>57.742583623620618</v>
      </c>
      <c r="G8" s="34">
        <f>'Projected P &amp; L'!G18</f>
        <v>35.683395276576107</v>
      </c>
    </row>
    <row r="9" spans="1:7" hidden="1" x14ac:dyDescent="0.25">
      <c r="A9" s="97" t="s">
        <v>110</v>
      </c>
      <c r="B9" t="s">
        <v>109</v>
      </c>
      <c r="C9" s="35">
        <f>'Projected P &amp; L'!C21</f>
        <v>28.7675175</v>
      </c>
      <c r="D9" s="35">
        <f>'Projected P &amp; L'!D21</f>
        <v>28.7675175</v>
      </c>
      <c r="E9" s="35">
        <f>'Projected P &amp; L'!E21</f>
        <v>28.7675175</v>
      </c>
      <c r="F9" s="35">
        <f>'Projected P &amp; L'!F21</f>
        <v>28.7675175</v>
      </c>
      <c r="G9" s="35">
        <f>'Projected P &amp; L'!G21</f>
        <v>16.781051874999999</v>
      </c>
    </row>
    <row r="10" spans="1:7" ht="18" hidden="1" customHeight="1" x14ac:dyDescent="0.25">
      <c r="B10" t="s">
        <v>88</v>
      </c>
      <c r="C10" s="34">
        <f>C8-C9</f>
        <v>-17.878071300848806</v>
      </c>
      <c r="D10" s="34">
        <f t="shared" ref="D10:G10" si="1">D8-D9</f>
        <v>-14.721466469945714</v>
      </c>
      <c r="E10" s="34">
        <f t="shared" si="1"/>
        <v>-11.33148760364212</v>
      </c>
      <c r="F10" s="34">
        <f t="shared" si="1"/>
        <v>28.975066123620618</v>
      </c>
      <c r="G10" s="34">
        <f t="shared" si="1"/>
        <v>18.902343401576108</v>
      </c>
    </row>
    <row r="11" spans="1:7" ht="18" hidden="1" customHeight="1" x14ac:dyDescent="0.25">
      <c r="A11" s="19">
        <v>0</v>
      </c>
      <c r="B11" t="s">
        <v>113</v>
      </c>
      <c r="C11" s="19">
        <f>(1-$A$11)</f>
        <v>1</v>
      </c>
      <c r="D11" s="19">
        <f t="shared" ref="D11:G11" si="2">(1-$A$11)</f>
        <v>1</v>
      </c>
      <c r="E11" s="19">
        <f t="shared" si="2"/>
        <v>1</v>
      </c>
      <c r="F11" s="19">
        <f t="shared" si="2"/>
        <v>1</v>
      </c>
      <c r="G11" s="19">
        <f t="shared" si="2"/>
        <v>1</v>
      </c>
    </row>
    <row r="12" spans="1:7" hidden="1" x14ac:dyDescent="0.25">
      <c r="B12" t="s">
        <v>112</v>
      </c>
      <c r="C12" s="34">
        <f>C10*C11</f>
        <v>-17.878071300848806</v>
      </c>
      <c r="D12" s="34">
        <f t="shared" ref="D12:G12" si="3">D10*D11</f>
        <v>-14.721466469945714</v>
      </c>
      <c r="E12" s="34">
        <f t="shared" si="3"/>
        <v>-11.33148760364212</v>
      </c>
      <c r="F12" s="34">
        <f t="shared" si="3"/>
        <v>28.975066123620618</v>
      </c>
      <c r="G12" s="34">
        <f t="shared" si="3"/>
        <v>18.902343401576108</v>
      </c>
    </row>
    <row r="13" spans="1:7" hidden="1" x14ac:dyDescent="0.25">
      <c r="B13" t="s">
        <v>114</v>
      </c>
      <c r="C13" s="34">
        <f>C12</f>
        <v>-17.878071300848806</v>
      </c>
      <c r="D13" s="34">
        <f t="shared" ref="D13:G13" si="4">D12</f>
        <v>-14.721466469945714</v>
      </c>
      <c r="E13" s="34">
        <f t="shared" si="4"/>
        <v>-11.33148760364212</v>
      </c>
      <c r="F13" s="34">
        <f t="shared" si="4"/>
        <v>28.975066123620618</v>
      </c>
      <c r="G13" s="34">
        <f t="shared" si="4"/>
        <v>18.902343401576108</v>
      </c>
    </row>
    <row r="14" spans="1:7" hidden="1" x14ac:dyDescent="0.25">
      <c r="B14" t="s">
        <v>115</v>
      </c>
      <c r="C14" s="35">
        <f>'Projected P &amp; L'!C21</f>
        <v>28.7675175</v>
      </c>
      <c r="D14" s="35">
        <f>'Projected P &amp; L'!D21</f>
        <v>28.7675175</v>
      </c>
      <c r="E14" s="35">
        <f>'Projected P &amp; L'!E21</f>
        <v>28.7675175</v>
      </c>
      <c r="F14" s="35">
        <f>'Projected P &amp; L'!F21</f>
        <v>28.7675175</v>
      </c>
      <c r="G14" s="35">
        <f>'Projected P &amp; L'!G21</f>
        <v>16.781051874999999</v>
      </c>
    </row>
    <row r="15" spans="1:7" hidden="1" x14ac:dyDescent="0.25">
      <c r="B15" t="s">
        <v>116</v>
      </c>
      <c r="C15" s="35">
        <v>0</v>
      </c>
      <c r="D15" s="35">
        <v>0</v>
      </c>
      <c r="E15" s="35">
        <v>0</v>
      </c>
      <c r="F15" s="35">
        <v>0</v>
      </c>
      <c r="G15" s="35">
        <v>0</v>
      </c>
    </row>
    <row r="16" spans="1:7" hidden="1" x14ac:dyDescent="0.25">
      <c r="B16" t="s">
        <v>117</v>
      </c>
      <c r="C16" s="35">
        <v>0</v>
      </c>
      <c r="D16" s="35">
        <v>0</v>
      </c>
      <c r="E16" s="35">
        <v>0</v>
      </c>
      <c r="F16" s="35">
        <v>0</v>
      </c>
      <c r="G16" s="35">
        <v>0</v>
      </c>
    </row>
    <row r="17" spans="2:9" ht="18" hidden="1" customHeight="1" x14ac:dyDescent="0.25">
      <c r="B17" s="98" t="s">
        <v>118</v>
      </c>
      <c r="C17" s="99">
        <f>C13+C14-C15-C16</f>
        <v>10.889446199151195</v>
      </c>
      <c r="D17" s="99">
        <f t="shared" ref="D17:G17" si="5">D13+D14-D15-D16</f>
        <v>14.046051030054286</v>
      </c>
      <c r="E17" s="99">
        <f t="shared" si="5"/>
        <v>17.43602989635788</v>
      </c>
      <c r="F17" s="99">
        <f t="shared" si="5"/>
        <v>57.742583623620618</v>
      </c>
      <c r="G17" s="99">
        <f t="shared" si="5"/>
        <v>35.683395276576107</v>
      </c>
    </row>
    <row r="18" spans="2:9" hidden="1" x14ac:dyDescent="0.25"/>
    <row r="19" spans="2:9" x14ac:dyDescent="0.25">
      <c r="B19" t="s">
        <v>119</v>
      </c>
      <c r="C19" s="35">
        <f>4/12</f>
        <v>0.33333333333333331</v>
      </c>
      <c r="D19" s="35">
        <f>C19+1</f>
        <v>1.3333333333333333</v>
      </c>
      <c r="E19" s="35">
        <f t="shared" ref="E19:F19" si="6">D19+1</f>
        <v>2.333333333333333</v>
      </c>
      <c r="F19" s="35">
        <f t="shared" si="6"/>
        <v>3.333333333333333</v>
      </c>
      <c r="G19" s="35">
        <f>F19+(7/12)</f>
        <v>3.9166666666666665</v>
      </c>
    </row>
    <row r="20" spans="2:9" x14ac:dyDescent="0.25">
      <c r="B20" t="s">
        <v>120</v>
      </c>
      <c r="C20" s="35">
        <f>1/(1+$C$22)^C19</f>
        <v>0.95017212615193647</v>
      </c>
      <c r="D20" s="35">
        <f t="shared" ref="D20:G20" si="7">1/(1+$C$22)^D19</f>
        <v>0.81509671708988252</v>
      </c>
      <c r="E20" s="35">
        <f t="shared" si="7"/>
        <v>0.69922347743598878</v>
      </c>
      <c r="F20" s="35">
        <f t="shared" si="7"/>
        <v>0.59982264821680442</v>
      </c>
      <c r="G20" s="35">
        <f t="shared" si="7"/>
        <v>0.5485002885617134</v>
      </c>
    </row>
    <row r="22" spans="2:9" x14ac:dyDescent="0.25">
      <c r="B22" t="s">
        <v>121</v>
      </c>
      <c r="C22" s="100">
        <v>0.16571703238397267</v>
      </c>
    </row>
    <row r="24" spans="2:9" x14ac:dyDescent="0.25">
      <c r="B24" t="s">
        <v>122</v>
      </c>
      <c r="C24" s="34">
        <f>C17*C20</f>
        <v>10.346848247664614</v>
      </c>
      <c r="D24" s="34">
        <f t="shared" ref="D24:G24" si="8">D17*D20</f>
        <v>11.448890082674211</v>
      </c>
      <c r="E24" s="34">
        <f t="shared" si="8"/>
        <v>12.191681456809221</v>
      </c>
      <c r="F24" s="34">
        <f t="shared" si="8"/>
        <v>34.635309424000404</v>
      </c>
      <c r="G24" s="34">
        <f t="shared" si="8"/>
        <v>19.572352606063674</v>
      </c>
      <c r="I24" s="34"/>
    </row>
    <row r="26" spans="2:9" ht="19.5" customHeight="1" x14ac:dyDescent="0.25">
      <c r="B26" s="46" t="s">
        <v>123</v>
      </c>
      <c r="C26" s="107">
        <f>SUM(C24:E24)</f>
        <v>33.987419787148042</v>
      </c>
      <c r="D26" s="46" t="s">
        <v>152</v>
      </c>
      <c r="E26" s="46"/>
      <c r="F26" s="46"/>
      <c r="G26" s="46"/>
    </row>
    <row r="28" spans="2:9" ht="15.75" thickBot="1" x14ac:dyDescent="0.3"/>
    <row r="29" spans="2:9" ht="17.25" customHeight="1" x14ac:dyDescent="0.25">
      <c r="B29" s="121" t="s">
        <v>146</v>
      </c>
      <c r="C29" s="121"/>
      <c r="E29" s="122" t="s">
        <v>147</v>
      </c>
      <c r="F29" s="123"/>
      <c r="G29" s="124"/>
    </row>
    <row r="30" spans="2:9" ht="12" customHeight="1" x14ac:dyDescent="0.25">
      <c r="E30" s="108"/>
      <c r="F30" s="109"/>
      <c r="G30" s="110"/>
    </row>
    <row r="31" spans="2:9" x14ac:dyDescent="0.25">
      <c r="B31" s="51" t="s">
        <v>124</v>
      </c>
      <c r="C31" s="102">
        <v>87.11</v>
      </c>
      <c r="E31" s="111" t="s">
        <v>140</v>
      </c>
      <c r="F31" s="112"/>
      <c r="G31" s="118" t="s">
        <v>148</v>
      </c>
    </row>
    <row r="32" spans="2:9" x14ac:dyDescent="0.25">
      <c r="B32" s="51" t="s">
        <v>125</v>
      </c>
      <c r="C32" s="102">
        <v>76.86</v>
      </c>
      <c r="E32" s="108"/>
      <c r="F32" s="109"/>
      <c r="G32" s="110"/>
    </row>
    <row r="33" spans="2:7" x14ac:dyDescent="0.25">
      <c r="B33" s="51" t="s">
        <v>126</v>
      </c>
      <c r="C33" s="102">
        <f>SUM(C31:C32)</f>
        <v>163.97</v>
      </c>
      <c r="E33" s="113" t="s">
        <v>150</v>
      </c>
      <c r="F33" s="114">
        <f>F34-1%</f>
        <v>0.15571703238397266</v>
      </c>
      <c r="G33" s="115">
        <v>36.770000000000003</v>
      </c>
    </row>
    <row r="34" spans="2:7" x14ac:dyDescent="0.25">
      <c r="B34" s="51"/>
      <c r="C34" s="102"/>
      <c r="E34" s="113" t="s">
        <v>149</v>
      </c>
      <c r="F34" s="114">
        <f>C41</f>
        <v>0.16571703238397267</v>
      </c>
      <c r="G34" s="119">
        <v>36.33</v>
      </c>
    </row>
    <row r="35" spans="2:7" ht="15.75" thickBot="1" x14ac:dyDescent="0.3">
      <c r="B35" s="102" t="s">
        <v>127</v>
      </c>
      <c r="C35" s="103">
        <f>C31/C33</f>
        <v>0.53125571750930045</v>
      </c>
      <c r="E35" s="116" t="s">
        <v>151</v>
      </c>
      <c r="F35" s="117">
        <f>F34+1%</f>
        <v>0.17571703238397268</v>
      </c>
      <c r="G35" s="120">
        <v>35.9</v>
      </c>
    </row>
    <row r="36" spans="2:7" x14ac:dyDescent="0.25">
      <c r="B36" s="102" t="s">
        <v>128</v>
      </c>
      <c r="C36" s="105">
        <f>C49</f>
        <v>0.13300000000000001</v>
      </c>
    </row>
    <row r="37" spans="2:7" x14ac:dyDescent="0.25">
      <c r="B37" s="102" t="s">
        <v>129</v>
      </c>
      <c r="C37" s="103">
        <f>C32/C33</f>
        <v>0.46874428249069949</v>
      </c>
    </row>
    <row r="38" spans="2:7" x14ac:dyDescent="0.25">
      <c r="B38" s="102" t="s">
        <v>130</v>
      </c>
      <c r="C38" s="101">
        <f>C53</f>
        <v>0.16013000000000002</v>
      </c>
    </row>
    <row r="39" spans="2:7" x14ac:dyDescent="0.25">
      <c r="B39" s="102" t="s">
        <v>121</v>
      </c>
      <c r="C39" s="105">
        <f>C35*C36+C37*C38</f>
        <v>0.14571703238397268</v>
      </c>
    </row>
    <row r="40" spans="2:7" x14ac:dyDescent="0.25">
      <c r="B40" s="102" t="s">
        <v>139</v>
      </c>
      <c r="C40" s="105">
        <v>0.02</v>
      </c>
    </row>
    <row r="41" spans="2:7" ht="16.5" customHeight="1" x14ac:dyDescent="0.25">
      <c r="B41" s="46" t="s">
        <v>140</v>
      </c>
      <c r="C41" s="106">
        <f>C39+C40</f>
        <v>0.16571703238397267</v>
      </c>
    </row>
    <row r="42" spans="2:7" x14ac:dyDescent="0.25">
      <c r="B42" s="51"/>
      <c r="C42" s="102"/>
    </row>
    <row r="43" spans="2:7" ht="17.25" customHeight="1" x14ac:dyDescent="0.25"/>
    <row r="44" spans="2:7" ht="16.5" customHeight="1" x14ac:dyDescent="0.25">
      <c r="B44" s="46" t="s">
        <v>131</v>
      </c>
      <c r="C44" s="104" t="s">
        <v>128</v>
      </c>
    </row>
    <row r="45" spans="2:7" ht="16.5" customHeight="1" x14ac:dyDescent="0.25"/>
    <row r="46" spans="2:7" ht="14.25" customHeight="1" x14ac:dyDescent="0.25">
      <c r="B46" t="s">
        <v>132</v>
      </c>
      <c r="C46" s="100">
        <v>0.13300000000000001</v>
      </c>
    </row>
    <row r="47" spans="2:7" ht="17.25" customHeight="1" x14ac:dyDescent="0.25">
      <c r="B47" t="s">
        <v>133</v>
      </c>
      <c r="C47" s="100">
        <v>0</v>
      </c>
    </row>
    <row r="48" spans="2:7" ht="16.5" customHeight="1" x14ac:dyDescent="0.25">
      <c r="B48" t="s">
        <v>111</v>
      </c>
      <c r="C48" s="19">
        <f>1-C47</f>
        <v>1</v>
      </c>
    </row>
    <row r="49" spans="1:4" ht="18" customHeight="1" x14ac:dyDescent="0.25">
      <c r="B49" t="s">
        <v>134</v>
      </c>
      <c r="C49" s="100">
        <f>C46*C48</f>
        <v>0.13300000000000001</v>
      </c>
    </row>
    <row r="50" spans="1:4" ht="16.5" customHeight="1" x14ac:dyDescent="0.25"/>
    <row r="51" spans="1:4" ht="15.75" customHeight="1" x14ac:dyDescent="0.25">
      <c r="B51" s="46" t="s">
        <v>145</v>
      </c>
      <c r="C51" s="104" t="s">
        <v>130</v>
      </c>
    </row>
    <row r="53" spans="1:4" x14ac:dyDescent="0.25">
      <c r="B53" t="s">
        <v>130</v>
      </c>
      <c r="C53" s="101">
        <f>C54+C55*C57</f>
        <v>0.16013000000000002</v>
      </c>
    </row>
    <row r="54" spans="1:4" x14ac:dyDescent="0.25">
      <c r="B54" t="s">
        <v>135</v>
      </c>
      <c r="C54" s="100">
        <v>7.2900000000000006E-2</v>
      </c>
      <c r="D54" t="s">
        <v>141</v>
      </c>
    </row>
    <row r="55" spans="1:4" x14ac:dyDescent="0.25">
      <c r="A55" t="s">
        <v>144</v>
      </c>
      <c r="B55" t="s">
        <v>136</v>
      </c>
      <c r="C55">
        <v>1.3</v>
      </c>
      <c r="D55" t="s">
        <v>143</v>
      </c>
    </row>
    <row r="56" spans="1:4" x14ac:dyDescent="0.25">
      <c r="B56" t="s">
        <v>137</v>
      </c>
      <c r="C56" s="19">
        <v>0.14000000000000001</v>
      </c>
      <c r="D56" t="s">
        <v>142</v>
      </c>
    </row>
    <row r="57" spans="1:4" x14ac:dyDescent="0.25">
      <c r="B57" t="s">
        <v>138</v>
      </c>
      <c r="C57" s="101">
        <f>C56-C54</f>
        <v>6.7100000000000007E-2</v>
      </c>
    </row>
  </sheetData>
  <mergeCells count="2">
    <mergeCell ref="B29:C29"/>
    <mergeCell ref="E29:G29"/>
  </mergeCells>
  <dataValidations count="1">
    <dataValidation type="list" allowBlank="1" showInputMessage="1" showErrorMessage="1" sqref="C22">
      <formula1>$F$33:$F$35</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9"/>
  <sheetViews>
    <sheetView showGridLines="0" topLeftCell="A10" zoomScale="90" zoomScaleNormal="90" workbookViewId="0">
      <selection activeCell="O21" sqref="O21"/>
    </sheetView>
  </sheetViews>
  <sheetFormatPr defaultRowHeight="15" x14ac:dyDescent="0.25"/>
  <cols>
    <col min="1" max="1" width="3.28515625" customWidth="1"/>
    <col min="2" max="2" width="15.42578125" customWidth="1"/>
    <col min="8" max="8" width="10.85546875" customWidth="1"/>
    <col min="10" max="10" width="10.42578125" customWidth="1"/>
    <col min="11" max="11" width="10.28515625" customWidth="1"/>
    <col min="15" max="15" width="9.42578125" customWidth="1"/>
    <col min="16" max="16" width="10.85546875" customWidth="1"/>
    <col min="17" max="17" width="10.140625" customWidth="1"/>
    <col min="21" max="21" width="13.85546875" customWidth="1"/>
    <col min="22" max="22" width="18.85546875" customWidth="1"/>
    <col min="23" max="23" width="21.42578125" customWidth="1"/>
  </cols>
  <sheetData>
    <row r="1" spans="2:17" ht="15.75" customHeight="1" x14ac:dyDescent="0.25"/>
    <row r="2" spans="2:17" ht="20.25" customHeight="1" x14ac:dyDescent="0.25">
      <c r="B2" s="2" t="s">
        <v>1</v>
      </c>
      <c r="C2" s="1"/>
      <c r="D2" s="1"/>
      <c r="E2" s="1"/>
      <c r="F2" s="1"/>
      <c r="G2" s="1"/>
      <c r="H2" s="1"/>
      <c r="I2" s="1"/>
      <c r="J2" s="1"/>
      <c r="K2" s="1"/>
      <c r="L2" s="1"/>
      <c r="M2" s="1"/>
      <c r="N2" s="1"/>
      <c r="O2" s="1"/>
      <c r="P2" s="1"/>
      <c r="Q2" s="1"/>
    </row>
    <row r="3" spans="2:17" ht="9" customHeight="1" x14ac:dyDescent="0.25"/>
    <row r="4" spans="2:17" ht="18" customHeight="1" x14ac:dyDescent="0.25">
      <c r="B4" s="4" t="s">
        <v>0</v>
      </c>
      <c r="C4" s="3"/>
      <c r="D4" s="3"/>
      <c r="E4" s="3"/>
      <c r="F4" s="3"/>
      <c r="G4" s="3"/>
      <c r="H4" s="3"/>
      <c r="I4" s="3"/>
      <c r="J4" s="3"/>
      <c r="K4" s="3"/>
      <c r="L4" s="3"/>
      <c r="M4" s="3"/>
      <c r="N4" s="3"/>
      <c r="O4" s="3"/>
      <c r="P4" s="3"/>
      <c r="Q4" s="3"/>
    </row>
    <row r="5" spans="2:17" ht="9" customHeight="1" x14ac:dyDescent="0.25"/>
    <row r="6" spans="2:17" x14ac:dyDescent="0.25">
      <c r="B6" s="128" t="s">
        <v>32</v>
      </c>
      <c r="C6" s="128"/>
      <c r="D6" s="128"/>
      <c r="E6" s="128"/>
      <c r="F6" s="128"/>
      <c r="G6" s="128"/>
      <c r="H6" s="128"/>
      <c r="I6" s="128"/>
      <c r="J6" s="128"/>
      <c r="K6" s="128"/>
      <c r="L6" s="128"/>
      <c r="M6" s="128"/>
      <c r="N6" s="128"/>
      <c r="O6" s="128"/>
      <c r="P6" s="128"/>
      <c r="Q6" s="128"/>
    </row>
    <row r="7" spans="2:17" x14ac:dyDescent="0.25">
      <c r="B7" s="129" t="s">
        <v>2</v>
      </c>
      <c r="C7" s="129"/>
      <c r="D7" s="129"/>
      <c r="E7" s="129"/>
      <c r="F7" s="129"/>
      <c r="G7" s="129"/>
      <c r="H7" s="129"/>
      <c r="I7" s="129"/>
      <c r="J7" s="129"/>
      <c r="K7" s="129"/>
      <c r="L7" s="129"/>
      <c r="M7" s="129"/>
      <c r="N7" s="129"/>
      <c r="O7" s="129"/>
      <c r="P7" s="129"/>
      <c r="Q7" s="129"/>
    </row>
    <row r="8" spans="2:17" ht="46.5" customHeight="1" x14ac:dyDescent="0.25">
      <c r="B8" s="17" t="s">
        <v>3</v>
      </c>
      <c r="C8" s="18" t="s">
        <v>33</v>
      </c>
      <c r="D8" s="18" t="s">
        <v>5</v>
      </c>
      <c r="E8" s="18" t="s">
        <v>34</v>
      </c>
      <c r="F8" s="18" t="s">
        <v>35</v>
      </c>
      <c r="G8" s="18" t="s">
        <v>36</v>
      </c>
      <c r="H8" s="18" t="s">
        <v>37</v>
      </c>
      <c r="I8" s="18" t="s">
        <v>38</v>
      </c>
      <c r="J8" s="18" t="s">
        <v>39</v>
      </c>
      <c r="K8" s="18" t="s">
        <v>40</v>
      </c>
      <c r="L8" s="18" t="s">
        <v>41</v>
      </c>
      <c r="M8" s="18" t="s">
        <v>42</v>
      </c>
      <c r="N8" s="18" t="s">
        <v>43</v>
      </c>
      <c r="O8" s="18" t="s">
        <v>16</v>
      </c>
      <c r="P8" s="17" t="s">
        <v>17</v>
      </c>
      <c r="Q8" s="18" t="s">
        <v>18</v>
      </c>
    </row>
    <row r="9" spans="2:17" ht="17.100000000000001" customHeight="1" x14ac:dyDescent="0.25">
      <c r="B9" s="5" t="s">
        <v>19</v>
      </c>
      <c r="C9" s="5"/>
      <c r="D9" s="5"/>
      <c r="E9" s="5"/>
      <c r="F9" s="5"/>
      <c r="G9" s="5"/>
      <c r="H9" s="5"/>
      <c r="I9" s="5"/>
      <c r="J9" s="5">
        <v>1.65</v>
      </c>
      <c r="K9" s="5">
        <v>2.1</v>
      </c>
      <c r="L9" s="5">
        <v>2.0499999999999998</v>
      </c>
      <c r="M9" s="5">
        <v>1.89</v>
      </c>
      <c r="N9" s="5">
        <v>2.0299999999999998</v>
      </c>
      <c r="O9" s="6">
        <f>SUM(C9:N9)</f>
        <v>9.7199999999999989</v>
      </c>
      <c r="P9" s="5">
        <f>AVERAGE(C9:N9)</f>
        <v>1.9439999999999997</v>
      </c>
      <c r="Q9" s="5"/>
    </row>
    <row r="10" spans="2:17" ht="17.100000000000001" customHeight="1" x14ac:dyDescent="0.25">
      <c r="B10" s="5" t="s">
        <v>20</v>
      </c>
      <c r="C10" s="5">
        <v>1.93</v>
      </c>
      <c r="D10" s="5">
        <v>2.06</v>
      </c>
      <c r="E10" s="5">
        <v>1.98</v>
      </c>
      <c r="F10" s="5">
        <v>1.94</v>
      </c>
      <c r="G10" s="5">
        <v>1.96</v>
      </c>
      <c r="H10" s="5">
        <v>2.11</v>
      </c>
      <c r="I10" s="5">
        <v>2.23</v>
      </c>
      <c r="J10" s="5">
        <v>2.13</v>
      </c>
      <c r="K10" s="5">
        <v>2.58</v>
      </c>
      <c r="L10" s="5">
        <v>2.5499999999999998</v>
      </c>
      <c r="M10" s="5">
        <v>2.3199999999999998</v>
      </c>
      <c r="N10" s="5">
        <v>2.4500000000000002</v>
      </c>
      <c r="O10" s="6">
        <f t="shared" ref="O10:O21" si="0">SUM(C10:N10)</f>
        <v>26.240000000000002</v>
      </c>
      <c r="P10" s="5">
        <f t="shared" ref="P10:P21" si="1">AVERAGE(C10:N10)</f>
        <v>2.186666666666667</v>
      </c>
      <c r="Q10" s="7">
        <f>P10/P9-1</f>
        <v>0.12482853223593993</v>
      </c>
    </row>
    <row r="11" spans="2:17" ht="17.100000000000001" customHeight="1" x14ac:dyDescent="0.25">
      <c r="B11" s="5" t="s">
        <v>21</v>
      </c>
      <c r="C11" s="5">
        <v>2.29</v>
      </c>
      <c r="D11" s="5">
        <v>2.5099999999999998</v>
      </c>
      <c r="E11" s="5">
        <v>2.42</v>
      </c>
      <c r="F11" s="5">
        <v>2.4700000000000002</v>
      </c>
      <c r="G11" s="5">
        <v>2.29</v>
      </c>
      <c r="H11" s="5">
        <v>2.61</v>
      </c>
      <c r="I11" s="5">
        <v>2.4500000000000002</v>
      </c>
      <c r="J11" s="5">
        <v>2.52</v>
      </c>
      <c r="K11" s="5">
        <v>2.74</v>
      </c>
      <c r="L11" s="5">
        <v>2.74</v>
      </c>
      <c r="M11" s="5">
        <v>3.05</v>
      </c>
      <c r="N11" s="5">
        <v>3.36</v>
      </c>
      <c r="O11" s="6">
        <f t="shared" si="0"/>
        <v>31.45</v>
      </c>
      <c r="P11" s="5">
        <f t="shared" si="1"/>
        <v>2.6208333333333331</v>
      </c>
      <c r="Q11" s="7">
        <f t="shared" ref="Q11:Q21" si="2">P11/P10-1</f>
        <v>0.1985518292682924</v>
      </c>
    </row>
    <row r="12" spans="2:17" ht="17.100000000000001" customHeight="1" x14ac:dyDescent="0.25">
      <c r="B12" s="5" t="s">
        <v>22</v>
      </c>
      <c r="C12" s="5">
        <v>3.26</v>
      </c>
      <c r="D12" s="5">
        <v>3.46</v>
      </c>
      <c r="E12" s="5">
        <v>3.32</v>
      </c>
      <c r="F12" s="5">
        <v>3.39</v>
      </c>
      <c r="G12" s="5">
        <v>2.85</v>
      </c>
      <c r="H12" s="5">
        <v>2.69</v>
      </c>
      <c r="I12" s="5">
        <v>2.81</v>
      </c>
      <c r="J12" s="5">
        <v>2.71</v>
      </c>
      <c r="K12" s="5">
        <v>3.24</v>
      </c>
      <c r="L12" s="5">
        <v>3.16</v>
      </c>
      <c r="M12" s="5">
        <v>2.9</v>
      </c>
      <c r="N12" s="5">
        <v>3.24</v>
      </c>
      <c r="O12" s="6">
        <f t="shared" si="0"/>
        <v>37.030000000000008</v>
      </c>
      <c r="P12" s="5">
        <f t="shared" si="1"/>
        <v>3.0858333333333339</v>
      </c>
      <c r="Q12" s="7">
        <f t="shared" si="2"/>
        <v>0.17742448330683658</v>
      </c>
    </row>
    <row r="13" spans="2:17" ht="17.100000000000001" customHeight="1" x14ac:dyDescent="0.25">
      <c r="B13" s="5" t="s">
        <v>23</v>
      </c>
      <c r="C13" s="5">
        <v>3.21</v>
      </c>
      <c r="D13" s="5">
        <v>3.5</v>
      </c>
      <c r="E13" s="5">
        <v>3.25</v>
      </c>
      <c r="F13" s="5">
        <v>3.15</v>
      </c>
      <c r="G13" s="5">
        <v>2.86</v>
      </c>
      <c r="H13" s="5">
        <v>3.02</v>
      </c>
      <c r="I13" s="5">
        <v>3.04</v>
      </c>
      <c r="J13" s="5">
        <v>2.79</v>
      </c>
      <c r="K13" s="5">
        <v>3.21</v>
      </c>
      <c r="L13" s="5">
        <v>3.22</v>
      </c>
      <c r="M13" s="5">
        <v>2.91</v>
      </c>
      <c r="N13" s="5">
        <v>3.06</v>
      </c>
      <c r="O13" s="6">
        <f t="shared" si="0"/>
        <v>37.22</v>
      </c>
      <c r="P13" s="5">
        <f t="shared" si="1"/>
        <v>3.1016666666666666</v>
      </c>
      <c r="Q13" s="7">
        <f t="shared" si="2"/>
        <v>5.1309748852279569E-3</v>
      </c>
    </row>
    <row r="14" spans="2:17" ht="17.100000000000001" customHeight="1" x14ac:dyDescent="0.25">
      <c r="B14" s="5" t="s">
        <v>24</v>
      </c>
      <c r="C14" s="5">
        <v>2.93</v>
      </c>
      <c r="D14" s="5">
        <v>3.24</v>
      </c>
      <c r="E14" s="5">
        <v>3.07</v>
      </c>
      <c r="F14" s="5">
        <v>3.11</v>
      </c>
      <c r="G14" s="5">
        <v>2.98</v>
      </c>
      <c r="H14" s="5">
        <v>3.03</v>
      </c>
      <c r="I14" s="5">
        <v>3.05</v>
      </c>
      <c r="J14" s="5">
        <v>3.1</v>
      </c>
      <c r="K14" s="5">
        <v>3.49</v>
      </c>
      <c r="L14" s="5">
        <v>3.49</v>
      </c>
      <c r="M14" s="5">
        <v>3.18</v>
      </c>
      <c r="N14" s="5">
        <v>3.37</v>
      </c>
      <c r="O14" s="6">
        <f t="shared" si="0"/>
        <v>38.04</v>
      </c>
      <c r="P14" s="5">
        <f t="shared" si="1"/>
        <v>3.17</v>
      </c>
      <c r="Q14" s="7">
        <f t="shared" si="2"/>
        <v>2.2031166039763628E-2</v>
      </c>
    </row>
    <row r="15" spans="2:17" ht="17.100000000000001" customHeight="1" x14ac:dyDescent="0.25">
      <c r="B15" s="5" t="s">
        <v>25</v>
      </c>
      <c r="C15" s="5">
        <v>3.31</v>
      </c>
      <c r="D15" s="5">
        <v>3.71</v>
      </c>
      <c r="E15" s="5">
        <v>3.47</v>
      </c>
      <c r="F15" s="5">
        <v>3.41</v>
      </c>
      <c r="G15" s="5">
        <v>3.47</v>
      </c>
      <c r="H15" s="5">
        <v>3.23</v>
      </c>
      <c r="I15" s="5">
        <v>3.51</v>
      </c>
      <c r="J15" s="5">
        <v>3.21</v>
      </c>
      <c r="K15" s="5">
        <v>2.21</v>
      </c>
      <c r="L15" s="5">
        <v>3.77</v>
      </c>
      <c r="M15" s="5">
        <v>3.62</v>
      </c>
      <c r="N15" s="5">
        <v>3.75</v>
      </c>
      <c r="O15" s="6">
        <f t="shared" si="0"/>
        <v>40.67</v>
      </c>
      <c r="P15" s="5">
        <f t="shared" si="1"/>
        <v>3.3891666666666667</v>
      </c>
      <c r="Q15" s="7">
        <f t="shared" si="2"/>
        <v>6.9137749737118837E-2</v>
      </c>
    </row>
    <row r="16" spans="2:17" ht="17.100000000000001" customHeight="1" x14ac:dyDescent="0.25">
      <c r="B16" s="5" t="s">
        <v>26</v>
      </c>
      <c r="C16" s="5">
        <v>3.55</v>
      </c>
      <c r="D16" s="5">
        <v>3.7</v>
      </c>
      <c r="E16" s="5">
        <v>3.59</v>
      </c>
      <c r="F16" s="5">
        <v>3.6</v>
      </c>
      <c r="G16" s="5">
        <v>3.69</v>
      </c>
      <c r="H16" s="5">
        <v>3.36</v>
      </c>
      <c r="I16" s="5">
        <v>3.68</v>
      </c>
      <c r="J16" s="5">
        <v>1.04</v>
      </c>
      <c r="K16" s="5">
        <v>3.81</v>
      </c>
      <c r="L16" s="5">
        <v>3.97</v>
      </c>
      <c r="M16" s="5">
        <v>3.73</v>
      </c>
      <c r="N16" s="5">
        <v>4.03</v>
      </c>
      <c r="O16" s="6">
        <f t="shared" si="0"/>
        <v>41.749999999999993</v>
      </c>
      <c r="P16" s="5">
        <f t="shared" si="1"/>
        <v>3.4791666666666661</v>
      </c>
      <c r="Q16" s="7">
        <f t="shared" si="2"/>
        <v>2.6555200393410194E-2</v>
      </c>
    </row>
    <row r="17" spans="2:20" ht="17.100000000000001" customHeight="1" x14ac:dyDescent="0.25">
      <c r="B17" s="8" t="s">
        <v>27</v>
      </c>
      <c r="C17" s="8">
        <v>3.94</v>
      </c>
      <c r="D17" s="8">
        <v>4.22</v>
      </c>
      <c r="E17" s="8">
        <v>3.99</v>
      </c>
      <c r="F17" s="8">
        <v>3.81</v>
      </c>
      <c r="G17" s="8">
        <v>4.13</v>
      </c>
      <c r="H17" s="8">
        <v>4.2</v>
      </c>
      <c r="I17" s="8">
        <v>4.12</v>
      </c>
      <c r="J17" s="8">
        <v>4.28</v>
      </c>
      <c r="K17" s="8">
        <v>4.7300000000000004</v>
      </c>
      <c r="L17" s="8">
        <v>4.5999999999999996</v>
      </c>
      <c r="M17" s="8">
        <v>3.9</v>
      </c>
      <c r="N17" s="8">
        <v>4.3099999999999996</v>
      </c>
      <c r="O17" s="6">
        <f t="shared" si="0"/>
        <v>50.230000000000004</v>
      </c>
      <c r="P17" s="5">
        <f t="shared" si="1"/>
        <v>4.185833333333334</v>
      </c>
      <c r="Q17" s="7">
        <f t="shared" si="2"/>
        <v>0.20311377245509021</v>
      </c>
    </row>
    <row r="18" spans="2:20" ht="17.100000000000001" customHeight="1" x14ac:dyDescent="0.25">
      <c r="B18" s="8" t="s">
        <v>28</v>
      </c>
      <c r="C18" s="8">
        <v>4.17</v>
      </c>
      <c r="D18" s="8">
        <v>4.59</v>
      </c>
      <c r="E18" s="9">
        <v>4.26</v>
      </c>
      <c r="F18" s="8">
        <v>3.98</v>
      </c>
      <c r="G18" s="8">
        <v>4.45</v>
      </c>
      <c r="H18" s="8">
        <v>4.24</v>
      </c>
      <c r="I18" s="8">
        <v>4.49</v>
      </c>
      <c r="J18" s="8">
        <v>3.45</v>
      </c>
      <c r="K18" s="8">
        <v>3.95</v>
      </c>
      <c r="L18" s="8">
        <v>3.88</v>
      </c>
      <c r="M18" s="8">
        <v>3.57</v>
      </c>
      <c r="N18" s="8">
        <v>3.96</v>
      </c>
      <c r="O18" s="6">
        <f t="shared" si="0"/>
        <v>48.990000000000009</v>
      </c>
      <c r="P18" s="5">
        <f t="shared" si="1"/>
        <v>4.0825000000000005</v>
      </c>
      <c r="Q18" s="7">
        <f t="shared" si="2"/>
        <v>-2.468644236512052E-2</v>
      </c>
    </row>
    <row r="19" spans="2:20" ht="17.100000000000001" customHeight="1" x14ac:dyDescent="0.25">
      <c r="B19" s="8" t="s">
        <v>29</v>
      </c>
      <c r="C19" s="8">
        <v>3.88</v>
      </c>
      <c r="D19" s="8">
        <v>4.28</v>
      </c>
      <c r="E19" s="9">
        <v>3.98</v>
      </c>
      <c r="F19" s="8">
        <v>3.99</v>
      </c>
      <c r="G19" s="8">
        <v>4.1100000000000003</v>
      </c>
      <c r="H19" s="8">
        <v>4.22</v>
      </c>
      <c r="I19" s="8">
        <v>4.2699999999999996</v>
      </c>
      <c r="J19" s="8">
        <v>4.28</v>
      </c>
      <c r="K19" s="8">
        <v>4.7</v>
      </c>
      <c r="L19" s="8">
        <v>4.51</v>
      </c>
      <c r="M19" s="8">
        <v>4.17</v>
      </c>
      <c r="N19" s="8">
        <v>3.23</v>
      </c>
      <c r="O19" s="6">
        <f t="shared" si="0"/>
        <v>49.62</v>
      </c>
      <c r="P19" s="5">
        <f t="shared" si="1"/>
        <v>4.1349999999999998</v>
      </c>
      <c r="Q19" s="7">
        <f t="shared" si="2"/>
        <v>1.2859767299448599E-2</v>
      </c>
    </row>
    <row r="20" spans="2:20" ht="17.100000000000001" customHeight="1" x14ac:dyDescent="0.25">
      <c r="B20" s="5" t="s">
        <v>30</v>
      </c>
      <c r="C20" s="5">
        <v>0.56000000000000005</v>
      </c>
      <c r="D20" s="5">
        <v>2.95</v>
      </c>
      <c r="E20" s="10">
        <v>3.22</v>
      </c>
      <c r="F20" s="5">
        <v>2.77</v>
      </c>
      <c r="G20" s="11">
        <v>3.18</v>
      </c>
      <c r="H20" s="11">
        <v>3.74</v>
      </c>
      <c r="I20" s="11">
        <v>4</v>
      </c>
      <c r="J20" s="11">
        <v>3.72</v>
      </c>
      <c r="K20" s="11">
        <v>4.34</v>
      </c>
      <c r="L20" s="8">
        <v>4.63</v>
      </c>
      <c r="M20" s="8">
        <v>4.53</v>
      </c>
      <c r="N20" s="8">
        <v>4.9800000000000004</v>
      </c>
      <c r="O20" s="6">
        <f t="shared" si="0"/>
        <v>42.620000000000005</v>
      </c>
      <c r="P20" s="5">
        <f t="shared" si="1"/>
        <v>3.5516666666666672</v>
      </c>
      <c r="Q20" s="7">
        <f t="shared" si="2"/>
        <v>-0.14107214832728721</v>
      </c>
    </row>
    <row r="21" spans="2:20" ht="17.100000000000001" customHeight="1" x14ac:dyDescent="0.25">
      <c r="B21" s="5" t="s">
        <v>31</v>
      </c>
      <c r="C21" s="5">
        <v>4.3</v>
      </c>
      <c r="D21" s="5">
        <v>2.91</v>
      </c>
      <c r="E21" s="10">
        <v>3.48</v>
      </c>
      <c r="F21" s="5">
        <v>4.75</v>
      </c>
      <c r="G21" s="5">
        <v>4.75</v>
      </c>
      <c r="H21" s="5">
        <v>5.08</v>
      </c>
      <c r="I21" s="5">
        <v>5.12</v>
      </c>
      <c r="J21" s="5">
        <v>4.5999999999999996</v>
      </c>
      <c r="K21" s="5">
        <v>5.78</v>
      </c>
      <c r="L21" s="5">
        <v>5.26</v>
      </c>
      <c r="M21" s="5">
        <v>4.8499999999999996</v>
      </c>
      <c r="N21" s="5">
        <v>5.47</v>
      </c>
      <c r="O21" s="6">
        <f t="shared" si="0"/>
        <v>56.349999999999994</v>
      </c>
      <c r="P21" s="5">
        <f t="shared" si="1"/>
        <v>4.6958333333333329</v>
      </c>
      <c r="Q21" s="7">
        <f t="shared" si="2"/>
        <v>0.32214922571562621</v>
      </c>
    </row>
    <row r="22" spans="2:20" ht="17.100000000000001" customHeight="1" x14ac:dyDescent="0.25">
      <c r="B22" s="12" t="s">
        <v>16</v>
      </c>
      <c r="C22" s="12">
        <f>SUM(C9:C21)</f>
        <v>37.330000000000005</v>
      </c>
      <c r="D22" s="12">
        <f t="shared" ref="D22:O22" si="3">SUM(D9:D21)</f>
        <v>41.129999999999995</v>
      </c>
      <c r="E22" s="12">
        <f t="shared" si="3"/>
        <v>40.029999999999994</v>
      </c>
      <c r="F22" s="12">
        <f t="shared" si="3"/>
        <v>40.370000000000005</v>
      </c>
      <c r="G22" s="12">
        <f t="shared" si="3"/>
        <v>40.72</v>
      </c>
      <c r="H22" s="12">
        <f t="shared" si="3"/>
        <v>41.529999999999994</v>
      </c>
      <c r="I22" s="12">
        <f t="shared" si="3"/>
        <v>42.77</v>
      </c>
      <c r="J22" s="12">
        <f t="shared" si="3"/>
        <v>39.480000000000004</v>
      </c>
      <c r="K22" s="12">
        <f t="shared" si="3"/>
        <v>46.88000000000001</v>
      </c>
      <c r="L22" s="12">
        <f t="shared" si="3"/>
        <v>47.83</v>
      </c>
      <c r="M22" s="12">
        <f t="shared" si="3"/>
        <v>44.620000000000005</v>
      </c>
      <c r="N22" s="12">
        <f t="shared" si="3"/>
        <v>47.239999999999995</v>
      </c>
      <c r="O22" s="12">
        <f t="shared" si="3"/>
        <v>509.93000000000006</v>
      </c>
      <c r="P22" s="13"/>
      <c r="Q22" s="14"/>
    </row>
    <row r="23" spans="2:20" ht="17.100000000000001" customHeight="1" x14ac:dyDescent="0.25">
      <c r="B23" s="130" t="s">
        <v>44</v>
      </c>
      <c r="C23" s="130"/>
      <c r="D23" s="130"/>
      <c r="E23" s="130"/>
      <c r="F23" s="130"/>
      <c r="G23" s="130"/>
      <c r="H23" s="130"/>
      <c r="I23" s="130"/>
      <c r="J23" s="130"/>
      <c r="K23" s="130"/>
      <c r="L23" s="130"/>
      <c r="M23" s="130"/>
      <c r="N23" s="130"/>
      <c r="O23" s="130"/>
      <c r="P23" s="15"/>
      <c r="Q23" s="16">
        <f>AVERAGE(Q10:Q21)</f>
        <v>8.300200922036223E-2</v>
      </c>
    </row>
    <row r="24" spans="2:20" ht="17.100000000000001" customHeight="1" x14ac:dyDescent="0.25">
      <c r="B24" s="130" t="s">
        <v>45</v>
      </c>
      <c r="C24" s="130"/>
      <c r="D24" s="130"/>
      <c r="E24" s="130"/>
      <c r="F24" s="130"/>
      <c r="G24" s="130"/>
      <c r="H24" s="130"/>
      <c r="I24" s="130"/>
      <c r="J24" s="130"/>
      <c r="K24" s="130"/>
      <c r="L24" s="130"/>
      <c r="M24" s="130"/>
      <c r="N24" s="130"/>
      <c r="O24" s="130"/>
      <c r="P24" s="15"/>
      <c r="Q24" s="16">
        <f>AVERAGE(Q12:Q21)</f>
        <v>6.7264374914011452E-2</v>
      </c>
    </row>
    <row r="26" spans="2:20" x14ac:dyDescent="0.25">
      <c r="G26" s="19"/>
      <c r="H26" s="19"/>
      <c r="I26" s="19"/>
      <c r="J26" s="19"/>
      <c r="K26" s="19"/>
      <c r="L26" s="19"/>
      <c r="M26" s="19"/>
    </row>
    <row r="30" spans="2:20" ht="19.5" customHeight="1" x14ac:dyDescent="0.25">
      <c r="B30" s="131" t="s">
        <v>46</v>
      </c>
      <c r="C30" s="132"/>
      <c r="D30" s="132"/>
      <c r="E30" s="132"/>
      <c r="F30" s="132"/>
      <c r="G30" s="132"/>
      <c r="H30" s="132"/>
      <c r="I30" s="132"/>
      <c r="J30" s="132"/>
      <c r="K30" s="132"/>
      <c r="L30" s="132"/>
      <c r="M30" s="132"/>
      <c r="N30" s="132"/>
      <c r="O30" s="132"/>
      <c r="P30" s="132"/>
      <c r="Q30" s="132"/>
      <c r="R30" s="132"/>
      <c r="S30" s="132"/>
      <c r="T30" s="133"/>
    </row>
    <row r="31" spans="2:20" ht="20.25" customHeight="1" x14ac:dyDescent="0.25">
      <c r="B31" s="125" t="s">
        <v>2</v>
      </c>
      <c r="C31" s="126"/>
      <c r="D31" s="126"/>
      <c r="E31" s="126"/>
      <c r="F31" s="126"/>
      <c r="G31" s="126"/>
      <c r="H31" s="126"/>
      <c r="I31" s="126"/>
      <c r="J31" s="126"/>
      <c r="K31" s="126"/>
      <c r="L31" s="126"/>
      <c r="M31" s="126"/>
      <c r="N31" s="126"/>
      <c r="O31" s="126"/>
      <c r="P31" s="126"/>
      <c r="Q31" s="126"/>
      <c r="R31" s="126"/>
      <c r="S31" s="126"/>
      <c r="T31" s="127"/>
    </row>
    <row r="32" spans="2:20" ht="49.5" customHeight="1" x14ac:dyDescent="0.25">
      <c r="B32" s="28" t="s">
        <v>3</v>
      </c>
      <c r="C32" s="29">
        <v>40268</v>
      </c>
      <c r="D32" s="29">
        <f>EDATE(C32,12)</f>
        <v>40633</v>
      </c>
      <c r="E32" s="29">
        <f t="shared" ref="E32:L32" si="4">EDATE(D32,12)</f>
        <v>40999</v>
      </c>
      <c r="F32" s="29">
        <f t="shared" si="4"/>
        <v>41364</v>
      </c>
      <c r="G32" s="29">
        <f t="shared" si="4"/>
        <v>41729</v>
      </c>
      <c r="H32" s="29">
        <f t="shared" si="4"/>
        <v>42094</v>
      </c>
      <c r="I32" s="29">
        <f t="shared" si="4"/>
        <v>42460</v>
      </c>
      <c r="J32" s="29">
        <f t="shared" si="4"/>
        <v>42825</v>
      </c>
      <c r="K32" s="29">
        <f t="shared" si="4"/>
        <v>43190</v>
      </c>
      <c r="L32" s="29">
        <f t="shared" si="4"/>
        <v>43555</v>
      </c>
      <c r="M32" s="29">
        <f t="shared" ref="M32" si="5">EDATE(L32,12)</f>
        <v>43921</v>
      </c>
      <c r="N32" s="29">
        <f t="shared" ref="N32" si="6">EDATE(M32,12)</f>
        <v>44286</v>
      </c>
      <c r="O32" s="29">
        <f t="shared" ref="O32" si="7">EDATE(N32,12)</f>
        <v>44651</v>
      </c>
      <c r="P32" s="29">
        <f t="shared" ref="P32" si="8">EDATE(O32,12)</f>
        <v>45016</v>
      </c>
      <c r="Q32" s="29">
        <f t="shared" ref="Q32" si="9">EDATE(P32,12)</f>
        <v>45382</v>
      </c>
      <c r="R32" s="29">
        <f t="shared" ref="R32" si="10">EDATE(Q32,12)</f>
        <v>45747</v>
      </c>
      <c r="S32" s="29">
        <f t="shared" ref="S32" si="11">EDATE(R32,12)</f>
        <v>46112</v>
      </c>
      <c r="T32" s="29">
        <f>EDATE(S32,7)</f>
        <v>46326</v>
      </c>
    </row>
    <row r="33" spans="2:23" ht="17.100000000000001" customHeight="1" x14ac:dyDescent="0.25">
      <c r="B33" s="21" t="s">
        <v>4</v>
      </c>
      <c r="C33" s="22"/>
      <c r="D33" s="22">
        <v>1.93</v>
      </c>
      <c r="E33" s="22">
        <v>2.29</v>
      </c>
      <c r="F33" s="22">
        <v>3.26</v>
      </c>
      <c r="G33" s="22">
        <v>3.21</v>
      </c>
      <c r="H33" s="22">
        <v>2.93</v>
      </c>
      <c r="I33" s="22">
        <v>3.31</v>
      </c>
      <c r="J33" s="22">
        <v>3.55</v>
      </c>
      <c r="K33" s="22">
        <v>3.94</v>
      </c>
      <c r="L33" s="22">
        <v>4.17</v>
      </c>
      <c r="M33" s="22">
        <v>3.88</v>
      </c>
      <c r="N33" s="22">
        <v>0.56000000000000005</v>
      </c>
      <c r="O33" s="22">
        <v>4.3</v>
      </c>
      <c r="P33" s="22"/>
      <c r="Q33" s="22"/>
      <c r="R33" s="22"/>
      <c r="S33" s="22"/>
      <c r="T33" s="22"/>
    </row>
    <row r="34" spans="2:23" ht="17.100000000000001" customHeight="1" x14ac:dyDescent="0.25">
      <c r="B34" s="21" t="s">
        <v>5</v>
      </c>
      <c r="C34" s="22"/>
      <c r="D34" s="22">
        <v>2.06</v>
      </c>
      <c r="E34" s="22">
        <v>2.5099999999999998</v>
      </c>
      <c r="F34" s="22">
        <v>3.46</v>
      </c>
      <c r="G34" s="22">
        <v>3.5</v>
      </c>
      <c r="H34" s="22">
        <v>3.24</v>
      </c>
      <c r="I34" s="22">
        <v>3.71</v>
      </c>
      <c r="J34" s="22">
        <v>3.7</v>
      </c>
      <c r="K34" s="22">
        <v>4.22</v>
      </c>
      <c r="L34" s="22">
        <v>4.59</v>
      </c>
      <c r="M34" s="22">
        <v>4.28</v>
      </c>
      <c r="N34" s="22">
        <v>2.95</v>
      </c>
      <c r="O34" s="22">
        <v>2.91</v>
      </c>
      <c r="P34" s="22"/>
      <c r="Q34" s="22"/>
      <c r="R34" s="22"/>
      <c r="S34" s="22"/>
      <c r="T34" s="22"/>
    </row>
    <row r="35" spans="2:23" ht="17.100000000000001" customHeight="1" x14ac:dyDescent="0.25">
      <c r="B35" s="21" t="s">
        <v>6</v>
      </c>
      <c r="C35" s="22"/>
      <c r="D35" s="22">
        <v>1.98</v>
      </c>
      <c r="E35" s="22">
        <v>2.42</v>
      </c>
      <c r="F35" s="22">
        <v>3.32</v>
      </c>
      <c r="G35" s="22">
        <v>3.25</v>
      </c>
      <c r="H35" s="22">
        <v>3.07</v>
      </c>
      <c r="I35" s="22">
        <v>3.47</v>
      </c>
      <c r="J35" s="22">
        <v>3.59</v>
      </c>
      <c r="K35" s="22">
        <v>3.99</v>
      </c>
      <c r="L35" s="22">
        <v>4.26</v>
      </c>
      <c r="M35" s="22">
        <v>3.98</v>
      </c>
      <c r="N35" s="22">
        <v>3.22</v>
      </c>
      <c r="O35" s="22">
        <v>3.48</v>
      </c>
      <c r="P35" s="22"/>
      <c r="Q35" s="22"/>
      <c r="R35" s="22"/>
      <c r="S35" s="22"/>
      <c r="T35" s="22"/>
    </row>
    <row r="36" spans="2:23" ht="17.100000000000001" customHeight="1" x14ac:dyDescent="0.25">
      <c r="B36" s="21" t="s">
        <v>7</v>
      </c>
      <c r="C36" s="22"/>
      <c r="D36" s="22">
        <v>1.94</v>
      </c>
      <c r="E36" s="22">
        <v>2.4700000000000002</v>
      </c>
      <c r="F36" s="22">
        <v>3.39</v>
      </c>
      <c r="G36" s="22">
        <v>3.15</v>
      </c>
      <c r="H36" s="22">
        <v>3.11</v>
      </c>
      <c r="I36" s="22">
        <v>3.41</v>
      </c>
      <c r="J36" s="22">
        <v>3.6</v>
      </c>
      <c r="K36" s="22">
        <v>3.81</v>
      </c>
      <c r="L36" s="22">
        <v>3.98</v>
      </c>
      <c r="M36" s="22">
        <v>3.99</v>
      </c>
      <c r="N36" s="22">
        <v>2.77</v>
      </c>
      <c r="O36" s="22">
        <v>4.75</v>
      </c>
      <c r="P36" s="22"/>
      <c r="Q36" s="22"/>
      <c r="R36" s="22"/>
      <c r="S36" s="22"/>
      <c r="T36" s="22"/>
    </row>
    <row r="37" spans="2:23" ht="17.100000000000001" customHeight="1" x14ac:dyDescent="0.25">
      <c r="B37" s="21" t="s">
        <v>8</v>
      </c>
      <c r="C37" s="22"/>
      <c r="D37" s="22">
        <v>1.96</v>
      </c>
      <c r="E37" s="22">
        <v>2.29</v>
      </c>
      <c r="F37" s="22">
        <v>2.85</v>
      </c>
      <c r="G37" s="22">
        <v>2.86</v>
      </c>
      <c r="H37" s="22">
        <v>2.98</v>
      </c>
      <c r="I37" s="22">
        <v>3.47</v>
      </c>
      <c r="J37" s="22">
        <v>3.69</v>
      </c>
      <c r="K37" s="22">
        <v>4.13</v>
      </c>
      <c r="L37" s="22">
        <v>4.45</v>
      </c>
      <c r="M37" s="22">
        <v>4.1100000000000003</v>
      </c>
      <c r="N37" s="22">
        <v>3.18</v>
      </c>
      <c r="O37" s="22">
        <v>4.75</v>
      </c>
      <c r="P37" s="22"/>
      <c r="Q37" s="22"/>
      <c r="R37" s="22"/>
      <c r="S37" s="22"/>
      <c r="T37" s="22"/>
    </row>
    <row r="38" spans="2:23" ht="17.100000000000001" customHeight="1" x14ac:dyDescent="0.25">
      <c r="B38" s="21" t="s">
        <v>9</v>
      </c>
      <c r="C38" s="22"/>
      <c r="D38" s="22">
        <v>2.11</v>
      </c>
      <c r="E38" s="22">
        <v>2.61</v>
      </c>
      <c r="F38" s="22">
        <v>2.69</v>
      </c>
      <c r="G38" s="22">
        <v>3.02</v>
      </c>
      <c r="H38" s="22">
        <v>3.03</v>
      </c>
      <c r="I38" s="22">
        <v>3.23</v>
      </c>
      <c r="J38" s="22">
        <v>3.36</v>
      </c>
      <c r="K38" s="22">
        <v>4.2</v>
      </c>
      <c r="L38" s="22">
        <v>4.24</v>
      </c>
      <c r="M38" s="22">
        <v>4.22</v>
      </c>
      <c r="N38" s="22">
        <v>3.74</v>
      </c>
      <c r="O38" s="22">
        <v>5.08</v>
      </c>
      <c r="P38" s="22"/>
      <c r="Q38" s="22"/>
      <c r="R38" s="22"/>
      <c r="S38" s="22"/>
      <c r="T38" s="22"/>
    </row>
    <row r="39" spans="2:23" ht="17.100000000000001" customHeight="1" x14ac:dyDescent="0.25">
      <c r="B39" s="21" t="s">
        <v>10</v>
      </c>
      <c r="C39" s="22"/>
      <c r="D39" s="22">
        <v>2.23</v>
      </c>
      <c r="E39" s="22">
        <v>2.4500000000000002</v>
      </c>
      <c r="F39" s="22">
        <v>2.81</v>
      </c>
      <c r="G39" s="22">
        <v>3.04</v>
      </c>
      <c r="H39" s="22">
        <v>3.05</v>
      </c>
      <c r="I39" s="22">
        <v>3.51</v>
      </c>
      <c r="J39" s="22">
        <v>3.68</v>
      </c>
      <c r="K39" s="22">
        <v>4.12</v>
      </c>
      <c r="L39" s="22">
        <v>4.49</v>
      </c>
      <c r="M39" s="22">
        <v>4.28</v>
      </c>
      <c r="N39" s="22">
        <v>4</v>
      </c>
      <c r="O39" s="22">
        <v>5.12</v>
      </c>
      <c r="P39" s="22"/>
      <c r="Q39" s="22"/>
      <c r="R39" s="22"/>
      <c r="S39" s="22"/>
      <c r="T39" s="22"/>
    </row>
    <row r="40" spans="2:23" ht="17.100000000000001" customHeight="1" x14ac:dyDescent="0.25">
      <c r="B40" s="21" t="s">
        <v>11</v>
      </c>
      <c r="C40" s="22">
        <v>1.65</v>
      </c>
      <c r="D40" s="22">
        <v>2.13</v>
      </c>
      <c r="E40" s="22">
        <v>2.52</v>
      </c>
      <c r="F40" s="22">
        <v>2.71</v>
      </c>
      <c r="G40" s="22">
        <v>2.79</v>
      </c>
      <c r="H40" s="22">
        <v>3.1</v>
      </c>
      <c r="I40" s="22">
        <v>3.21</v>
      </c>
      <c r="J40" s="22">
        <v>1.04</v>
      </c>
      <c r="K40" s="22">
        <v>4.28</v>
      </c>
      <c r="L40" s="22">
        <v>3.45</v>
      </c>
      <c r="M40" s="22">
        <v>4.28</v>
      </c>
      <c r="N40" s="22">
        <v>3.72</v>
      </c>
      <c r="O40" s="22">
        <v>4.5999999999999996</v>
      </c>
      <c r="P40" s="22"/>
      <c r="Q40" s="22"/>
      <c r="R40" s="22"/>
      <c r="S40" s="22"/>
      <c r="T40" s="22"/>
    </row>
    <row r="41" spans="2:23" ht="17.100000000000001" customHeight="1" x14ac:dyDescent="0.25">
      <c r="B41" s="21" t="s">
        <v>12</v>
      </c>
      <c r="C41" s="22">
        <v>2.1</v>
      </c>
      <c r="D41" s="22">
        <v>2.58</v>
      </c>
      <c r="E41" s="22">
        <v>2.74</v>
      </c>
      <c r="F41" s="22">
        <v>3.24</v>
      </c>
      <c r="G41" s="22">
        <v>3.21</v>
      </c>
      <c r="H41" s="22">
        <v>3.49</v>
      </c>
      <c r="I41" s="22">
        <v>2.21</v>
      </c>
      <c r="J41" s="22">
        <v>3.81</v>
      </c>
      <c r="K41" s="22">
        <v>4.7300000000000004</v>
      </c>
      <c r="L41" s="22">
        <v>3.95</v>
      </c>
      <c r="M41" s="22">
        <v>4.7</v>
      </c>
      <c r="N41" s="22">
        <v>4.34</v>
      </c>
      <c r="O41" s="22">
        <v>5.78</v>
      </c>
      <c r="P41" s="22"/>
      <c r="Q41" s="22"/>
      <c r="R41" s="22"/>
      <c r="S41" s="22"/>
      <c r="T41" s="22"/>
    </row>
    <row r="42" spans="2:23" ht="17.100000000000001" customHeight="1" x14ac:dyDescent="0.25">
      <c r="B42" s="21" t="s">
        <v>13</v>
      </c>
      <c r="C42" s="22">
        <v>2.0499999999999998</v>
      </c>
      <c r="D42" s="22">
        <v>2.5499999999999998</v>
      </c>
      <c r="E42" s="22">
        <v>2.74</v>
      </c>
      <c r="F42" s="22">
        <v>3.16</v>
      </c>
      <c r="G42" s="22">
        <v>3.22</v>
      </c>
      <c r="H42" s="22">
        <v>3.49</v>
      </c>
      <c r="I42" s="22">
        <v>3.77</v>
      </c>
      <c r="J42" s="22">
        <v>3.97</v>
      </c>
      <c r="K42" s="22">
        <v>4.5999999999999996</v>
      </c>
      <c r="L42" s="22">
        <v>3.87</v>
      </c>
      <c r="M42" s="22">
        <v>4.51</v>
      </c>
      <c r="N42" s="23">
        <v>4.63</v>
      </c>
      <c r="O42" s="22">
        <v>5.26</v>
      </c>
      <c r="P42" s="22"/>
      <c r="Q42" s="22"/>
      <c r="R42" s="22"/>
      <c r="S42" s="22"/>
      <c r="T42" s="22"/>
    </row>
    <row r="43" spans="2:23" ht="17.100000000000001" customHeight="1" x14ac:dyDescent="0.25">
      <c r="B43" s="21" t="s">
        <v>14</v>
      </c>
      <c r="C43" s="22">
        <v>1.89</v>
      </c>
      <c r="D43" s="22">
        <v>2.3199999999999998</v>
      </c>
      <c r="E43" s="22">
        <v>3.05</v>
      </c>
      <c r="F43" s="22">
        <v>2.9</v>
      </c>
      <c r="G43" s="22">
        <v>2.91</v>
      </c>
      <c r="H43" s="22">
        <v>3.18</v>
      </c>
      <c r="I43" s="22">
        <v>3.62</v>
      </c>
      <c r="J43" s="22">
        <v>3.73</v>
      </c>
      <c r="K43" s="22">
        <v>3.9</v>
      </c>
      <c r="L43" s="22">
        <v>3.57</v>
      </c>
      <c r="M43" s="22">
        <v>4.17</v>
      </c>
      <c r="N43" s="23">
        <v>4.53</v>
      </c>
      <c r="O43" s="22">
        <v>4.8499999999999996</v>
      </c>
      <c r="P43" s="22"/>
      <c r="Q43" s="22"/>
      <c r="R43" s="22"/>
      <c r="S43" s="22"/>
      <c r="T43" s="22"/>
    </row>
    <row r="44" spans="2:23" ht="17.100000000000001" customHeight="1" x14ac:dyDescent="0.25">
      <c r="B44" s="21" t="s">
        <v>15</v>
      </c>
      <c r="C44" s="22">
        <v>2.0299999999999998</v>
      </c>
      <c r="D44" s="22">
        <v>2.4500000000000002</v>
      </c>
      <c r="E44" s="22">
        <v>3.36</v>
      </c>
      <c r="F44" s="22">
        <v>3.24</v>
      </c>
      <c r="G44" s="22">
        <v>3.06</v>
      </c>
      <c r="H44" s="22">
        <v>3.37</v>
      </c>
      <c r="I44" s="22">
        <v>3.75</v>
      </c>
      <c r="J44" s="22">
        <v>4.03</v>
      </c>
      <c r="K44" s="22">
        <v>4.3099999999999996</v>
      </c>
      <c r="L44" s="22">
        <v>3.96</v>
      </c>
      <c r="M44" s="22">
        <v>3.23</v>
      </c>
      <c r="N44" s="23">
        <v>4.9800000000000004</v>
      </c>
      <c r="O44" s="22">
        <v>5.47</v>
      </c>
      <c r="P44" s="22"/>
      <c r="Q44" s="22"/>
      <c r="R44" s="22"/>
      <c r="S44" s="22"/>
      <c r="T44" s="22"/>
    </row>
    <row r="45" spans="2:23" ht="17.100000000000001" customHeight="1" x14ac:dyDescent="0.25">
      <c r="B45" s="20" t="s">
        <v>16</v>
      </c>
      <c r="C45" s="24">
        <f t="shared" ref="C45:O45" si="12">SUM(C33:C44)</f>
        <v>9.7199999999999989</v>
      </c>
      <c r="D45" s="24">
        <f t="shared" si="12"/>
        <v>26.240000000000002</v>
      </c>
      <c r="E45" s="24">
        <f t="shared" si="12"/>
        <v>31.45</v>
      </c>
      <c r="F45" s="24">
        <f t="shared" si="12"/>
        <v>37.030000000000008</v>
      </c>
      <c r="G45" s="24">
        <f t="shared" si="12"/>
        <v>37.22</v>
      </c>
      <c r="H45" s="24">
        <f t="shared" si="12"/>
        <v>38.04</v>
      </c>
      <c r="I45" s="24">
        <f t="shared" si="12"/>
        <v>40.67</v>
      </c>
      <c r="J45" s="24">
        <f t="shared" si="12"/>
        <v>41.749999999999993</v>
      </c>
      <c r="K45" s="24">
        <f t="shared" si="12"/>
        <v>50.230000000000004</v>
      </c>
      <c r="L45" s="24">
        <f t="shared" si="12"/>
        <v>48.980000000000004</v>
      </c>
      <c r="M45" s="24">
        <f t="shared" si="12"/>
        <v>49.63</v>
      </c>
      <c r="N45" s="24">
        <f t="shared" si="12"/>
        <v>42.620000000000005</v>
      </c>
      <c r="O45" s="24">
        <f t="shared" si="12"/>
        <v>56.349999999999994</v>
      </c>
      <c r="P45" s="24">
        <f>P46*12</f>
        <v>61.027163219567406</v>
      </c>
      <c r="Q45" s="24">
        <f>Q46*12</f>
        <v>66.092540383810501</v>
      </c>
      <c r="R45" s="24">
        <f>R46*12</f>
        <v>71.578354030144695</v>
      </c>
      <c r="S45" s="24">
        <f>S46*12</f>
        <v>77.519501231333123</v>
      </c>
      <c r="T45" s="24">
        <f>T46*12*(T32-S32)/(EDATE(S32,12)-S32)</f>
        <v>49.222213632002578</v>
      </c>
    </row>
    <row r="46" spans="2:23" ht="25.5" customHeight="1" x14ac:dyDescent="0.25">
      <c r="B46" s="33" t="s">
        <v>17</v>
      </c>
      <c r="C46" s="24">
        <f>AVERAGE(C33:C44)</f>
        <v>1.9439999999999997</v>
      </c>
      <c r="D46" s="24">
        <f t="shared" ref="D46:O46" si="13">AVERAGE(D33:D44)</f>
        <v>2.186666666666667</v>
      </c>
      <c r="E46" s="24">
        <f t="shared" si="13"/>
        <v>2.6208333333333331</v>
      </c>
      <c r="F46" s="24">
        <f t="shared" si="13"/>
        <v>3.0858333333333339</v>
      </c>
      <c r="G46" s="24">
        <f t="shared" si="13"/>
        <v>3.1016666666666666</v>
      </c>
      <c r="H46" s="24">
        <f t="shared" si="13"/>
        <v>3.17</v>
      </c>
      <c r="I46" s="24">
        <f t="shared" si="13"/>
        <v>3.3891666666666667</v>
      </c>
      <c r="J46" s="24">
        <f t="shared" si="13"/>
        <v>3.4791666666666661</v>
      </c>
      <c r="K46" s="24">
        <f t="shared" si="13"/>
        <v>4.185833333333334</v>
      </c>
      <c r="L46" s="24">
        <f t="shared" si="13"/>
        <v>4.081666666666667</v>
      </c>
      <c r="M46" s="24">
        <f t="shared" si="13"/>
        <v>4.1358333333333333</v>
      </c>
      <c r="N46" s="24">
        <f t="shared" si="13"/>
        <v>3.5516666666666672</v>
      </c>
      <c r="O46" s="24">
        <f t="shared" si="13"/>
        <v>4.6958333333333329</v>
      </c>
      <c r="P46" s="24">
        <f>O46*(1+P47)</f>
        <v>5.0855969349639505</v>
      </c>
      <c r="Q46" s="24">
        <f>P46*(1+Q47)</f>
        <v>5.5077116986508745</v>
      </c>
      <c r="R46" s="24">
        <f>Q46*(1+R47)</f>
        <v>5.9648628358453912</v>
      </c>
      <c r="S46" s="24">
        <f>R46*(1+S47)</f>
        <v>6.4599584359444266</v>
      </c>
      <c r="T46" s="24">
        <f>S46*(1+T47)</f>
        <v>6.9961479656078431</v>
      </c>
    </row>
    <row r="47" spans="2:23" ht="33" customHeight="1" x14ac:dyDescent="0.25">
      <c r="B47" s="30" t="s">
        <v>47</v>
      </c>
      <c r="C47" s="21"/>
      <c r="D47" s="31">
        <f>D46/C46-1</f>
        <v>0.12482853223593993</v>
      </c>
      <c r="E47" s="31">
        <f t="shared" ref="E47:M47" si="14">E46/D46-1</f>
        <v>0.1985518292682924</v>
      </c>
      <c r="F47" s="31">
        <f t="shared" si="14"/>
        <v>0.17742448330683658</v>
      </c>
      <c r="G47" s="31">
        <f t="shared" si="14"/>
        <v>5.1309748852279569E-3</v>
      </c>
      <c r="H47" s="31">
        <f t="shared" si="14"/>
        <v>2.2031166039763628E-2</v>
      </c>
      <c r="I47" s="31">
        <f t="shared" si="14"/>
        <v>6.9137749737118837E-2</v>
      </c>
      <c r="J47" s="31">
        <f t="shared" si="14"/>
        <v>2.6555200393410194E-2</v>
      </c>
      <c r="K47" s="31">
        <f t="shared" si="14"/>
        <v>0.20311377245509021</v>
      </c>
      <c r="L47" s="31">
        <f t="shared" si="14"/>
        <v>-2.4885526577742456E-2</v>
      </c>
      <c r="M47" s="31">
        <f t="shared" si="14"/>
        <v>1.3270722743977004E-2</v>
      </c>
      <c r="N47" s="31">
        <f>N46/M46-1</f>
        <v>-0.1412452145879507</v>
      </c>
      <c r="O47" s="31">
        <f>O46/N46-1</f>
        <v>0.32214922571562621</v>
      </c>
      <c r="P47" s="32">
        <f>Q23</f>
        <v>8.300200922036223E-2</v>
      </c>
      <c r="Q47" s="32">
        <f>P47</f>
        <v>8.300200922036223E-2</v>
      </c>
      <c r="R47" s="32">
        <f>Q47</f>
        <v>8.300200922036223E-2</v>
      </c>
      <c r="S47" s="32">
        <f>R47</f>
        <v>8.300200922036223E-2</v>
      </c>
      <c r="T47" s="32">
        <f>S47</f>
        <v>8.300200922036223E-2</v>
      </c>
    </row>
    <row r="48" spans="2:23" x14ac:dyDescent="0.25">
      <c r="B48" s="25"/>
      <c r="C48" s="25"/>
      <c r="D48" s="26"/>
      <c r="E48" s="26"/>
      <c r="F48" s="26"/>
      <c r="G48" s="26"/>
      <c r="H48" s="26"/>
      <c r="I48" s="26"/>
      <c r="J48" s="26"/>
      <c r="K48" s="26"/>
      <c r="L48" s="26"/>
      <c r="M48" s="26"/>
      <c r="N48" s="25"/>
      <c r="O48" s="27"/>
      <c r="P48" s="27"/>
      <c r="Q48" s="27"/>
      <c r="R48" s="27"/>
      <c r="S48" s="27"/>
      <c r="T48" s="27"/>
      <c r="U48" s="27"/>
      <c r="V48" s="27"/>
      <c r="W48" s="27"/>
    </row>
    <row r="49" spans="15:20" x14ac:dyDescent="0.25">
      <c r="O49" s="34"/>
      <c r="P49" s="35"/>
      <c r="Q49" s="35"/>
      <c r="R49" s="35"/>
      <c r="S49" s="35"/>
      <c r="T49" s="35"/>
    </row>
  </sheetData>
  <mergeCells count="6">
    <mergeCell ref="B31:T31"/>
    <mergeCell ref="B6:Q6"/>
    <mergeCell ref="B7:Q7"/>
    <mergeCell ref="B23:O23"/>
    <mergeCell ref="B24:O24"/>
    <mergeCell ref="B30:T30"/>
  </mergeCells>
  <pageMargins left="0.7" right="0.7" top="0.75" bottom="0.75" header="0.3" footer="0.3"/>
  <pageSetup orientation="portrait" r:id="rId1"/>
  <ignoredErrors>
    <ignoredError sqref="C45:O45 C46:O4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topLeftCell="A10" workbookViewId="0">
      <selection activeCell="A15" sqref="A15"/>
    </sheetView>
  </sheetViews>
  <sheetFormatPr defaultRowHeight="15" x14ac:dyDescent="0.25"/>
  <cols>
    <col min="1" max="1" width="4" customWidth="1"/>
    <col min="2" max="2" width="38.28515625" customWidth="1"/>
    <col min="3" max="7" width="13.7109375" customWidth="1"/>
    <col min="8" max="16" width="11.7109375" customWidth="1"/>
    <col min="17" max="17" width="12.5703125" bestFit="1" customWidth="1"/>
    <col min="19" max="19" width="10" bestFit="1" customWidth="1"/>
  </cols>
  <sheetData>
    <row r="1" spans="1:7" ht="12.75" customHeight="1" x14ac:dyDescent="0.25"/>
    <row r="2" spans="1:7" ht="18.75" customHeight="1" x14ac:dyDescent="0.25">
      <c r="B2" s="74" t="s">
        <v>97</v>
      </c>
      <c r="C2" s="3"/>
      <c r="D2" s="3"/>
      <c r="E2" s="3"/>
      <c r="F2" s="3"/>
      <c r="G2" s="3"/>
    </row>
    <row r="3" spans="1:7" ht="12.75" customHeight="1" x14ac:dyDescent="0.25"/>
    <row r="4" spans="1:7" ht="18.75" customHeight="1" x14ac:dyDescent="0.25">
      <c r="B4" s="46" t="s">
        <v>104</v>
      </c>
      <c r="C4" s="1"/>
      <c r="D4" s="1"/>
      <c r="E4" s="1"/>
      <c r="F4" s="1"/>
      <c r="G4" s="1"/>
    </row>
    <row r="5" spans="1:7" ht="11.25" customHeight="1" x14ac:dyDescent="0.25"/>
    <row r="6" spans="1:7" ht="18" customHeight="1" x14ac:dyDescent="0.25">
      <c r="B6" s="75" t="s">
        <v>82</v>
      </c>
      <c r="C6" s="96">
        <v>2023</v>
      </c>
      <c r="D6" s="96">
        <f>C6+1</f>
        <v>2024</v>
      </c>
      <c r="E6" s="96">
        <f t="shared" ref="E6:G6" si="0">D6+1</f>
        <v>2025</v>
      </c>
      <c r="F6" s="96">
        <f t="shared" si="0"/>
        <v>2026</v>
      </c>
      <c r="G6" s="96">
        <f t="shared" si="0"/>
        <v>2027</v>
      </c>
    </row>
    <row r="7" spans="1:7" x14ac:dyDescent="0.25">
      <c r="B7" s="57"/>
      <c r="C7" s="57"/>
      <c r="D7" s="57"/>
      <c r="E7" s="58"/>
      <c r="F7" s="58"/>
      <c r="G7" s="58"/>
    </row>
    <row r="8" spans="1:7" ht="16.5" customHeight="1" x14ac:dyDescent="0.25">
      <c r="B8" s="79" t="s">
        <v>105</v>
      </c>
      <c r="C8" s="82">
        <f>'RKA Toll Revenue'!P45</f>
        <v>61.027163219567406</v>
      </c>
      <c r="D8" s="82">
        <f>'RKA Toll Revenue'!Q45</f>
        <v>66.092540383810501</v>
      </c>
      <c r="E8" s="82">
        <f>'RKA Toll Revenue'!R45</f>
        <v>71.578354030144695</v>
      </c>
      <c r="F8" s="82">
        <f>'RKA Toll Revenue'!S45</f>
        <v>77.519501231333123</v>
      </c>
      <c r="G8" s="82">
        <f>'RKA Toll Revenue'!T45</f>
        <v>49.222213632002578</v>
      </c>
    </row>
    <row r="9" spans="1:7" x14ac:dyDescent="0.25">
      <c r="B9" s="79" t="s">
        <v>81</v>
      </c>
      <c r="C9" s="82">
        <f>'Other Income &amp; Expenditure'!E28</f>
        <v>6.0405381622504537</v>
      </c>
      <c r="D9" s="82">
        <f>'Other Income &amp; Expenditure'!F28</f>
        <v>6.0405381622504537</v>
      </c>
      <c r="E9" s="82">
        <f>'Other Income &amp; Expenditure'!G28</f>
        <v>6.0405381622504537</v>
      </c>
      <c r="F9" s="82">
        <f>'Other Income &amp; Expenditure'!H28</f>
        <v>6.0405381622504537</v>
      </c>
      <c r="G9" s="82">
        <f>'Other Income &amp; Expenditure'!I28</f>
        <v>2.9953622309255898</v>
      </c>
    </row>
    <row r="10" spans="1:7" ht="18" customHeight="1" x14ac:dyDescent="0.25">
      <c r="B10" s="83" t="s">
        <v>83</v>
      </c>
      <c r="C10" s="84">
        <f>SUM(C8:C9)</f>
        <v>67.067701381817855</v>
      </c>
      <c r="D10" s="84">
        <f t="shared" ref="D10:G10" si="1">SUM(D8:D9)</f>
        <v>72.133078546060958</v>
      </c>
      <c r="E10" s="84">
        <f t="shared" si="1"/>
        <v>77.618892192395151</v>
      </c>
      <c r="F10" s="84">
        <f t="shared" si="1"/>
        <v>83.56003939358358</v>
      </c>
      <c r="G10" s="84">
        <f t="shared" si="1"/>
        <v>52.217575862928172</v>
      </c>
    </row>
    <row r="11" spans="1:7" x14ac:dyDescent="0.25">
      <c r="B11" s="59"/>
      <c r="C11" s="60"/>
      <c r="D11" s="60"/>
      <c r="E11" s="60"/>
      <c r="F11" s="60"/>
      <c r="G11" s="60"/>
    </row>
    <row r="12" spans="1:7" x14ac:dyDescent="0.25">
      <c r="B12" t="s">
        <v>65</v>
      </c>
      <c r="C12" s="82">
        <f>'Other Income &amp; Expenditure'!D7/10^7</f>
        <v>15.27293669</v>
      </c>
      <c r="D12" s="82">
        <f>'Other Income &amp; Expenditure'!E7/10^7</f>
        <v>16.800230359000004</v>
      </c>
      <c r="E12" s="82">
        <f>'Other Income &amp; Expenditure'!F7/10^7</f>
        <v>18.480253394900007</v>
      </c>
      <c r="F12" s="82">
        <f>'Other Income &amp; Expenditure'!G7/10^7</f>
        <v>20.328278734390008</v>
      </c>
      <c r="G12" s="82">
        <f>'Other Income &amp; Expenditure'!H7/10^7</f>
        <v>13.043978854566925</v>
      </c>
    </row>
    <row r="13" spans="1:7" x14ac:dyDescent="0.25">
      <c r="B13" t="s">
        <v>66</v>
      </c>
      <c r="C13" s="82">
        <f>'Other Income &amp; Expenditure'!D8/10^7</f>
        <v>3.5398224150000006</v>
      </c>
      <c r="D13" s="82">
        <f>'Other Income &amp; Expenditure'!E8/10^7</f>
        <v>3.8584064323500007</v>
      </c>
      <c r="E13" s="82">
        <f>'Other Income &amp; Expenditure'!F8/10^7</f>
        <v>4.2056630112615014</v>
      </c>
      <c r="F13" s="82">
        <f>'Other Income &amp; Expenditure'!G8/10^7</f>
        <v>4.584172682275037</v>
      </c>
      <c r="G13" s="82">
        <f>'Other Income &amp; Expenditure'!H8/10^7</f>
        <v>2.9147697971465441</v>
      </c>
    </row>
    <row r="14" spans="1:7" x14ac:dyDescent="0.25">
      <c r="B14" t="s">
        <v>69</v>
      </c>
      <c r="C14" s="82">
        <f>'Other Income &amp; Expenditure'!D11/10^7</f>
        <v>0.69882941100000007</v>
      </c>
      <c r="D14" s="82">
        <f>'Other Income &amp; Expenditure'!E11/10^7</f>
        <v>0.76172405799000009</v>
      </c>
      <c r="E14" s="82">
        <f>'Other Income &amp; Expenditure'!F11/10^7</f>
        <v>0.83027922320910019</v>
      </c>
      <c r="F14" s="82">
        <f>'Other Income &amp; Expenditure'!G11/10^7</f>
        <v>0.90500435329791917</v>
      </c>
      <c r="G14" s="82">
        <f>'Other Income &amp; Expenditure'!H11/10^7</f>
        <v>0.57543193463859377</v>
      </c>
    </row>
    <row r="15" spans="1:7" x14ac:dyDescent="0.25">
      <c r="A15">
        <v>110</v>
      </c>
      <c r="B15" t="s">
        <v>106</v>
      </c>
      <c r="C15" s="35">
        <f>$A$15/3</f>
        <v>36.666666666666664</v>
      </c>
      <c r="D15" s="35">
        <f t="shared" ref="D15:E15" si="2">$A$15/3</f>
        <v>36.666666666666664</v>
      </c>
      <c r="E15" s="35">
        <f t="shared" si="2"/>
        <v>36.666666666666664</v>
      </c>
      <c r="F15" s="35">
        <v>0</v>
      </c>
      <c r="G15" s="35">
        <v>0</v>
      </c>
    </row>
    <row r="16" spans="1:7" ht="18" customHeight="1" x14ac:dyDescent="0.25">
      <c r="B16" s="83" t="s">
        <v>84</v>
      </c>
      <c r="C16" s="84">
        <f>SUM(C12:C15)</f>
        <v>56.178255182666661</v>
      </c>
      <c r="D16" s="84">
        <f t="shared" ref="D16:G16" si="3">SUM(D12:D15)</f>
        <v>58.087027516006671</v>
      </c>
      <c r="E16" s="84">
        <f t="shared" si="3"/>
        <v>60.182862296037271</v>
      </c>
      <c r="F16" s="84">
        <f t="shared" si="3"/>
        <v>25.817455769962962</v>
      </c>
      <c r="G16" s="84">
        <f t="shared" si="3"/>
        <v>16.534180586352061</v>
      </c>
    </row>
    <row r="17" spans="2:7" x14ac:dyDescent="0.25">
      <c r="B17" s="59"/>
      <c r="C17" s="60"/>
      <c r="D17" s="60"/>
      <c r="E17" s="60"/>
      <c r="F17" s="60"/>
      <c r="G17" s="60"/>
    </row>
    <row r="18" spans="2:7" x14ac:dyDescent="0.25">
      <c r="B18" s="59" t="s">
        <v>85</v>
      </c>
      <c r="C18" s="88">
        <f>C10-C16</f>
        <v>10.889446199151195</v>
      </c>
      <c r="D18" s="88">
        <f>D10-D16</f>
        <v>14.046051030054286</v>
      </c>
      <c r="E18" s="88">
        <f>E10-E16</f>
        <v>17.43602989635788</v>
      </c>
      <c r="F18" s="88">
        <f>F10-F16</f>
        <v>57.742583623620618</v>
      </c>
      <c r="G18" s="88">
        <f>G10-G16</f>
        <v>35.683395276576107</v>
      </c>
    </row>
    <row r="19" spans="2:7" x14ac:dyDescent="0.25">
      <c r="B19" s="63" t="s">
        <v>86</v>
      </c>
      <c r="C19" s="89">
        <f>C18/C10</f>
        <v>0.16236498306625041</v>
      </c>
      <c r="D19" s="89">
        <f>D18/D10</f>
        <v>0.19472413091429483</v>
      </c>
      <c r="E19" s="89">
        <f>E18/E10</f>
        <v>0.22463641780842378</v>
      </c>
      <c r="F19" s="89">
        <f>F18/F10</f>
        <v>0.69103107230050642</v>
      </c>
      <c r="G19" s="89">
        <f>G18/G10</f>
        <v>0.6833598589533435</v>
      </c>
    </row>
    <row r="20" spans="2:7" x14ac:dyDescent="0.25">
      <c r="B20" s="64"/>
      <c r="C20" s="69"/>
      <c r="D20" s="69"/>
      <c r="E20" s="69"/>
      <c r="F20" s="69"/>
      <c r="G20" s="69"/>
    </row>
    <row r="21" spans="2:7" x14ac:dyDescent="0.25">
      <c r="B21" s="64" t="s">
        <v>87</v>
      </c>
      <c r="C21" s="90">
        <f>'Other Income &amp; Expenditure'!D10/10^7</f>
        <v>28.7675175</v>
      </c>
      <c r="D21" s="90">
        <f>'Other Income &amp; Expenditure'!E10/10^7</f>
        <v>28.7675175</v>
      </c>
      <c r="E21" s="90">
        <f>'Other Income &amp; Expenditure'!F10/10^7</f>
        <v>28.7675175</v>
      </c>
      <c r="F21" s="90">
        <f>'Other Income &amp; Expenditure'!G10/10^7</f>
        <v>28.7675175</v>
      </c>
      <c r="G21" s="90">
        <f>'Other Income &amp; Expenditure'!H10/10^7</f>
        <v>16.781051874999999</v>
      </c>
    </row>
    <row r="22" spans="2:7" x14ac:dyDescent="0.25">
      <c r="B22" s="64"/>
      <c r="C22" s="71"/>
      <c r="D22" s="71"/>
      <c r="E22" s="71"/>
      <c r="F22" s="71"/>
      <c r="G22" s="71"/>
    </row>
    <row r="23" spans="2:7" x14ac:dyDescent="0.25">
      <c r="B23" s="59" t="s">
        <v>88</v>
      </c>
      <c r="C23" s="88">
        <f>C18-C21</f>
        <v>-17.878071300848806</v>
      </c>
      <c r="D23" s="88">
        <f t="shared" ref="D23:G23" si="4">D18-D21</f>
        <v>-14.721466469945714</v>
      </c>
      <c r="E23" s="88">
        <f t="shared" si="4"/>
        <v>-11.33148760364212</v>
      </c>
      <c r="F23" s="88">
        <f t="shared" si="4"/>
        <v>28.975066123620618</v>
      </c>
      <c r="G23" s="88">
        <f t="shared" si="4"/>
        <v>18.902343401576108</v>
      </c>
    </row>
    <row r="24" spans="2:7" x14ac:dyDescent="0.25">
      <c r="B24" s="63" t="s">
        <v>89</v>
      </c>
      <c r="C24" s="89">
        <f>C23/C10</f>
        <v>-0.26656752702867459</v>
      </c>
      <c r="D24" s="89">
        <f>D23/D10</f>
        <v>-0.20408759430037696</v>
      </c>
      <c r="E24" s="89">
        <f>E23/E10</f>
        <v>-0.14598878293128156</v>
      </c>
      <c r="F24" s="89">
        <f>F23/F10</f>
        <v>0.34675744930112562</v>
      </c>
      <c r="G24" s="89">
        <f>G23/G10</f>
        <v>0.3619919747173827</v>
      </c>
    </row>
    <row r="25" spans="2:7" x14ac:dyDescent="0.25">
      <c r="B25" s="65"/>
      <c r="C25" s="69"/>
      <c r="D25" s="69"/>
      <c r="E25" s="69"/>
      <c r="F25" s="69"/>
      <c r="G25" s="69"/>
    </row>
    <row r="26" spans="2:7" x14ac:dyDescent="0.25">
      <c r="B26" s="64" t="s">
        <v>90</v>
      </c>
      <c r="C26" s="90">
        <f>'Other Income &amp; Expenditure'!D9/10^7</f>
        <v>3.1033386648000003</v>
      </c>
      <c r="D26" s="90">
        <f>'Other Income &amp; Expenditure'!E9/10^7</f>
        <v>3.5160827072184002</v>
      </c>
      <c r="E26" s="90">
        <f>'Other Income &amp; Expenditure'!F9/10^7</f>
        <v>3.9837217072784474</v>
      </c>
      <c r="F26" s="90">
        <f>'Other Income &amp; Expenditure'!G9/10^7</f>
        <v>4.5135566943464811</v>
      </c>
      <c r="G26" s="90">
        <f>'Other Income &amp; Expenditure'!H9/10^7</f>
        <v>2.983084845238495</v>
      </c>
    </row>
    <row r="27" spans="2:7" x14ac:dyDescent="0.25">
      <c r="B27" s="64"/>
      <c r="C27" s="71"/>
      <c r="D27" s="71"/>
      <c r="E27" s="71"/>
      <c r="F27" s="71"/>
      <c r="G27" s="71"/>
    </row>
    <row r="28" spans="2:7" x14ac:dyDescent="0.25">
      <c r="B28" s="59" t="s">
        <v>91</v>
      </c>
      <c r="C28" s="88">
        <f>C23-C26</f>
        <v>-20.981409965648805</v>
      </c>
      <c r="D28" s="88">
        <f t="shared" ref="D28:G28" si="5">D23-D26</f>
        <v>-18.237549177164112</v>
      </c>
      <c r="E28" s="88">
        <f t="shared" si="5"/>
        <v>-15.315209310920569</v>
      </c>
      <c r="F28" s="88">
        <f t="shared" si="5"/>
        <v>24.461509429274138</v>
      </c>
      <c r="G28" s="88">
        <f t="shared" si="5"/>
        <v>15.919258556337613</v>
      </c>
    </row>
    <row r="29" spans="2:7" x14ac:dyDescent="0.25">
      <c r="B29" s="63" t="s">
        <v>92</v>
      </c>
      <c r="C29" s="89">
        <f>C28/C10</f>
        <v>-0.31283925844127547</v>
      </c>
      <c r="D29" s="89">
        <f>D28/D10</f>
        <v>-0.25283198145381286</v>
      </c>
      <c r="E29" s="89">
        <f>E28/E10</f>
        <v>-0.1973129076998229</v>
      </c>
      <c r="F29" s="89">
        <f>F28/F10</f>
        <v>0.29274171729450493</v>
      </c>
      <c r="G29" s="89">
        <f>G28/G10</f>
        <v>0.30486399058673036</v>
      </c>
    </row>
    <row r="30" spans="2:7" x14ac:dyDescent="0.25">
      <c r="B30" s="66"/>
      <c r="C30" s="69"/>
      <c r="D30" s="69"/>
      <c r="E30" s="69"/>
      <c r="F30" s="69"/>
      <c r="G30" s="69"/>
    </row>
    <row r="31" spans="2:7" x14ac:dyDescent="0.25">
      <c r="B31" s="64" t="s">
        <v>93</v>
      </c>
      <c r="C31" s="90">
        <v>0</v>
      </c>
      <c r="D31" s="90">
        <v>0</v>
      </c>
      <c r="E31" s="90">
        <v>0</v>
      </c>
      <c r="F31" s="90">
        <v>0</v>
      </c>
      <c r="G31" s="90">
        <v>0</v>
      </c>
    </row>
    <row r="32" spans="2:7" x14ac:dyDescent="0.25">
      <c r="B32" s="63" t="s">
        <v>94</v>
      </c>
      <c r="C32" s="91">
        <v>0</v>
      </c>
      <c r="D32" s="91">
        <v>0</v>
      </c>
      <c r="E32" s="91">
        <v>0</v>
      </c>
      <c r="F32" s="91">
        <v>0</v>
      </c>
      <c r="G32" s="91">
        <v>0</v>
      </c>
    </row>
    <row r="33" spans="2:7" x14ac:dyDescent="0.25">
      <c r="B33" s="65"/>
      <c r="C33" s="69"/>
      <c r="D33" s="69"/>
      <c r="E33" s="69"/>
      <c r="F33" s="69"/>
      <c r="G33" s="69"/>
    </row>
    <row r="34" spans="2:7" x14ac:dyDescent="0.25">
      <c r="B34" s="59" t="s">
        <v>95</v>
      </c>
      <c r="C34" s="92">
        <f>C28-C31</f>
        <v>-20.981409965648805</v>
      </c>
      <c r="D34" s="92">
        <f t="shared" ref="D34:G34" si="6">D28-D31</f>
        <v>-18.237549177164112</v>
      </c>
      <c r="E34" s="92">
        <f t="shared" si="6"/>
        <v>-15.315209310920569</v>
      </c>
      <c r="F34" s="92">
        <f t="shared" si="6"/>
        <v>24.461509429274138</v>
      </c>
      <c r="G34" s="92">
        <f t="shared" si="6"/>
        <v>15.919258556337613</v>
      </c>
    </row>
    <row r="35" spans="2:7" x14ac:dyDescent="0.25">
      <c r="B35" s="63" t="s">
        <v>96</v>
      </c>
      <c r="C35" s="89">
        <f>C34/C10</f>
        <v>-0.31283925844127547</v>
      </c>
      <c r="D35" s="89">
        <f>D34/D10</f>
        <v>-0.25283198145381286</v>
      </c>
      <c r="E35" s="89">
        <f>E34/E10</f>
        <v>-0.1973129076998229</v>
      </c>
      <c r="F35" s="89">
        <f>F34/F10</f>
        <v>0.29274171729450493</v>
      </c>
      <c r="G35" s="89">
        <f>G34/G10</f>
        <v>0.30486399058673036</v>
      </c>
    </row>
    <row r="38" spans="2:7" ht="17.25" customHeight="1" x14ac:dyDescent="0.25">
      <c r="B38" s="46" t="s">
        <v>107</v>
      </c>
      <c r="C38" s="1"/>
      <c r="D38" s="1"/>
      <c r="E38" s="1"/>
      <c r="F38" s="1"/>
      <c r="G38" s="1"/>
    </row>
    <row r="40" spans="2:7" ht="16.5" customHeight="1" x14ac:dyDescent="0.25">
      <c r="B40" s="75" t="s">
        <v>82</v>
      </c>
      <c r="C40" s="96">
        <v>2023</v>
      </c>
      <c r="D40" s="96">
        <f>C40+1</f>
        <v>2024</v>
      </c>
      <c r="E40" s="96">
        <f t="shared" ref="E40:G40" si="7">D40+1</f>
        <v>2025</v>
      </c>
      <c r="F40" s="96">
        <f t="shared" si="7"/>
        <v>2026</v>
      </c>
      <c r="G40" s="96">
        <f t="shared" si="7"/>
        <v>2027</v>
      </c>
    </row>
    <row r="41" spans="2:7" ht="11.25" customHeight="1" x14ac:dyDescent="0.25"/>
    <row r="42" spans="2:7" ht="17.25" customHeight="1" x14ac:dyDescent="0.25">
      <c r="B42" t="s">
        <v>100</v>
      </c>
      <c r="C42" s="93">
        <f>C18/C10</f>
        <v>0.16236498306625041</v>
      </c>
      <c r="D42" s="93">
        <f>D18/D10</f>
        <v>0.19472413091429483</v>
      </c>
      <c r="E42" s="93">
        <f>E18/E10</f>
        <v>0.22463641780842378</v>
      </c>
      <c r="F42" s="93">
        <f>F18/F10</f>
        <v>0.69103107230050642</v>
      </c>
      <c r="G42" s="93">
        <f>G18/G10</f>
        <v>0.6833598589533435</v>
      </c>
    </row>
    <row r="43" spans="2:7" ht="16.5" customHeight="1" x14ac:dyDescent="0.25">
      <c r="B43" t="s">
        <v>101</v>
      </c>
      <c r="C43" s="93">
        <f>C23/C10</f>
        <v>-0.26656752702867459</v>
      </c>
      <c r="D43" s="93">
        <f>D23/D10</f>
        <v>-0.20408759430037696</v>
      </c>
      <c r="E43" s="93">
        <f>E23/E10</f>
        <v>-0.14598878293128156</v>
      </c>
      <c r="F43" s="93">
        <f>F23/F10</f>
        <v>0.34675744930112562</v>
      </c>
      <c r="G43" s="93">
        <f>G23/G10</f>
        <v>0.3619919747173827</v>
      </c>
    </row>
    <row r="44" spans="2:7" ht="18" customHeight="1" x14ac:dyDescent="0.25">
      <c r="B44" t="s">
        <v>102</v>
      </c>
      <c r="C44" s="93">
        <f>C35/C10</f>
        <v>-4.6645293039085222E-3</v>
      </c>
      <c r="D44" s="93">
        <f>D35/D10</f>
        <v>-3.5050768184303359E-3</v>
      </c>
      <c r="E44" s="93">
        <f>E35/E10</f>
        <v>-2.5420732263318102E-3</v>
      </c>
      <c r="F44" s="93">
        <f>F35/F10</f>
        <v>3.5033697855937585E-3</v>
      </c>
      <c r="G44" s="93">
        <f>G35/G10</f>
        <v>5.8383405500669425E-3</v>
      </c>
    </row>
    <row r="45" spans="2:7" ht="16.5" customHeight="1" x14ac:dyDescent="0.25">
      <c r="B45" t="s">
        <v>103</v>
      </c>
      <c r="C45" s="78"/>
      <c r="D45" s="93">
        <f>D10/C10-1</f>
        <v>7.5526327276460581E-2</v>
      </c>
      <c r="E45" s="93">
        <f>E10/D10-1</f>
        <v>7.6051289601222205E-2</v>
      </c>
      <c r="F45" s="93">
        <f>F10/E10-1</f>
        <v>7.6542540525597946E-2</v>
      </c>
      <c r="G45" s="93">
        <f>G10/F10-1</f>
        <v>-0.37508914258676307</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2"/>
  <sheetViews>
    <sheetView showGridLines="0" tabSelected="1" workbookViewId="0">
      <selection activeCell="A8" sqref="A8"/>
    </sheetView>
  </sheetViews>
  <sheetFormatPr defaultRowHeight="15" x14ac:dyDescent="0.25"/>
  <cols>
    <col min="1" max="1" width="8.85546875" customWidth="1"/>
    <col min="2" max="2" width="33.5703125" customWidth="1"/>
    <col min="3" max="9" width="16.7109375" customWidth="1"/>
  </cols>
  <sheetData>
    <row r="2" spans="1:9" ht="18" customHeight="1" x14ac:dyDescent="0.25">
      <c r="B2" s="4" t="s">
        <v>78</v>
      </c>
      <c r="C2" s="3"/>
      <c r="D2" s="3"/>
      <c r="E2" s="3"/>
      <c r="F2" s="3"/>
      <c r="G2" s="3"/>
      <c r="H2" s="3"/>
      <c r="I2" s="3"/>
    </row>
    <row r="3" spans="1:9" ht="12.75" customHeight="1" x14ac:dyDescent="0.25"/>
    <row r="4" spans="1:9" ht="19.5" customHeight="1" x14ac:dyDescent="0.25">
      <c r="B4" s="46" t="s">
        <v>79</v>
      </c>
      <c r="C4" s="47">
        <v>2022</v>
      </c>
      <c r="D4" s="48">
        <f>C4+1</f>
        <v>2023</v>
      </c>
      <c r="E4" s="48">
        <f t="shared" ref="E4:H4" si="0">D4+1</f>
        <v>2024</v>
      </c>
      <c r="F4" s="48">
        <f t="shared" si="0"/>
        <v>2025</v>
      </c>
      <c r="G4" s="48">
        <f t="shared" si="0"/>
        <v>2026</v>
      </c>
      <c r="H4" s="48">
        <f t="shared" si="0"/>
        <v>2027</v>
      </c>
      <c r="I4" s="49"/>
    </row>
    <row r="5" spans="1:9" ht="14.25" customHeight="1" x14ac:dyDescent="0.25"/>
    <row r="6" spans="1:9" x14ac:dyDescent="0.25">
      <c r="B6" s="51" t="s">
        <v>80</v>
      </c>
    </row>
    <row r="7" spans="1:9" ht="17.25" customHeight="1" x14ac:dyDescent="0.25">
      <c r="A7" s="19">
        <v>0.1</v>
      </c>
      <c r="B7" t="s">
        <v>65</v>
      </c>
      <c r="C7" s="52">
        <f>672633583-357977034-175811670</f>
        <v>138844879</v>
      </c>
      <c r="D7" s="52">
        <f>C7*(1+$A$7)</f>
        <v>152729366.90000001</v>
      </c>
      <c r="E7" s="52">
        <f t="shared" ref="E7:G7" si="1">D7*(1+$A$7)</f>
        <v>168002303.59000003</v>
      </c>
      <c r="F7" s="52">
        <f t="shared" si="1"/>
        <v>184802533.94900006</v>
      </c>
      <c r="G7" s="52">
        <f t="shared" si="1"/>
        <v>203282787.34390008</v>
      </c>
      <c r="H7" s="52">
        <f>G7*(1+$A$7)*7/12</f>
        <v>130439788.54566924</v>
      </c>
    </row>
    <row r="8" spans="1:9" ht="18.75" customHeight="1" x14ac:dyDescent="0.25">
      <c r="A8" s="19">
        <v>0.09</v>
      </c>
      <c r="B8" t="s">
        <v>66</v>
      </c>
      <c r="C8" s="52">
        <v>32475435</v>
      </c>
      <c r="D8" s="52">
        <f>C8*(1+$A$8)</f>
        <v>35398224.150000006</v>
      </c>
      <c r="E8" s="52">
        <f t="shared" ref="E8:G8" si="2">D8*(1+$A$8)</f>
        <v>38584064.323500007</v>
      </c>
      <c r="F8" s="52">
        <f t="shared" si="2"/>
        <v>42056630.112615012</v>
      </c>
      <c r="G8" s="52">
        <f t="shared" si="2"/>
        <v>45841726.822750367</v>
      </c>
      <c r="H8" s="52">
        <f>G8*(1+$A$8)*7/12</f>
        <v>29147697.971465442</v>
      </c>
    </row>
    <row r="9" spans="1:9" ht="18.75" customHeight="1" x14ac:dyDescent="0.25">
      <c r="A9" s="100">
        <v>0.13300000000000001</v>
      </c>
      <c r="B9" t="s">
        <v>67</v>
      </c>
      <c r="C9" s="52">
        <v>27390456</v>
      </c>
      <c r="D9" s="52">
        <f>C9*(1+$A$9)</f>
        <v>31033386.648000002</v>
      </c>
      <c r="E9" s="52">
        <f t="shared" ref="E9:G9" si="3">D9*(1+$A$9)</f>
        <v>35160827.072184004</v>
      </c>
      <c r="F9" s="52">
        <f t="shared" si="3"/>
        <v>39837217.072784476</v>
      </c>
      <c r="G9" s="52">
        <f t="shared" si="3"/>
        <v>45135566.943464808</v>
      </c>
      <c r="H9" s="52">
        <f>G9*(1+$A$9)*7/12</f>
        <v>29830848.452384949</v>
      </c>
    </row>
    <row r="10" spans="1:9" ht="29.25" customHeight="1" x14ac:dyDescent="0.25">
      <c r="B10" s="50" t="s">
        <v>68</v>
      </c>
      <c r="C10" s="53">
        <v>287675175</v>
      </c>
      <c r="D10" s="87">
        <f>C10</f>
        <v>287675175</v>
      </c>
      <c r="E10" s="87">
        <f t="shared" ref="E10:G10" si="4">D10</f>
        <v>287675175</v>
      </c>
      <c r="F10" s="87">
        <f t="shared" si="4"/>
        <v>287675175</v>
      </c>
      <c r="G10" s="87">
        <f t="shared" si="4"/>
        <v>287675175</v>
      </c>
      <c r="H10" s="81">
        <f>G10*7/12</f>
        <v>167810518.75</v>
      </c>
    </row>
    <row r="11" spans="1:9" ht="17.25" customHeight="1" x14ac:dyDescent="0.25">
      <c r="A11" s="19">
        <v>0.09</v>
      </c>
      <c r="B11" t="s">
        <v>69</v>
      </c>
      <c r="C11" s="52">
        <v>6411279</v>
      </c>
      <c r="D11" s="52">
        <f>C11*(1+$A$11)</f>
        <v>6988294.1100000003</v>
      </c>
      <c r="E11" s="52">
        <f t="shared" ref="E11:G11" si="5">D11*(1+$A$11)</f>
        <v>7617240.5799000012</v>
      </c>
      <c r="F11" s="52">
        <f t="shared" si="5"/>
        <v>8302792.2320910022</v>
      </c>
      <c r="G11" s="52">
        <f t="shared" si="5"/>
        <v>9050043.5329791922</v>
      </c>
      <c r="H11" s="52">
        <f>G11*(1+$A$11)*7/12</f>
        <v>5754319.3463859372</v>
      </c>
    </row>
    <row r="12" spans="1:9" ht="16.5" customHeight="1" x14ac:dyDescent="0.25">
      <c r="B12" s="54" t="s">
        <v>16</v>
      </c>
      <c r="C12" s="55">
        <f>SUM(C7:C11)</f>
        <v>492797224</v>
      </c>
      <c r="D12" s="54"/>
      <c r="E12" s="54"/>
      <c r="F12" s="54"/>
      <c r="G12" s="54"/>
      <c r="H12" s="54"/>
      <c r="I12" s="54"/>
    </row>
    <row r="16" spans="1:9" ht="19.5" customHeight="1" x14ac:dyDescent="0.25">
      <c r="B16" s="46" t="s">
        <v>79</v>
      </c>
      <c r="C16" s="47">
        <v>2021</v>
      </c>
      <c r="D16" s="47">
        <f>C16+1</f>
        <v>2022</v>
      </c>
      <c r="E16" s="48">
        <f>D16+1</f>
        <v>2023</v>
      </c>
      <c r="F16" s="48">
        <f t="shared" ref="F16:I16" si="6">E16+1</f>
        <v>2024</v>
      </c>
      <c r="G16" s="48">
        <f t="shared" si="6"/>
        <v>2025</v>
      </c>
      <c r="H16" s="48">
        <f t="shared" si="6"/>
        <v>2026</v>
      </c>
      <c r="I16" s="48">
        <f t="shared" si="6"/>
        <v>2027</v>
      </c>
    </row>
    <row r="18" spans="2:9" x14ac:dyDescent="0.25">
      <c r="B18" s="51" t="s">
        <v>81</v>
      </c>
    </row>
    <row r="19" spans="2:9" ht="17.25" customHeight="1" x14ac:dyDescent="0.25">
      <c r="B19" t="s">
        <v>70</v>
      </c>
      <c r="C19" s="52">
        <v>123306841.82486631</v>
      </c>
      <c r="D19" s="52">
        <v>123306839.82486631</v>
      </c>
      <c r="E19" s="52">
        <v>57845442.62250454</v>
      </c>
      <c r="F19" s="52">
        <v>57845442.62250454</v>
      </c>
      <c r="G19" s="52">
        <v>57845442.62250454</v>
      </c>
      <c r="H19" s="52">
        <v>57845442.62250454</v>
      </c>
      <c r="I19" s="52">
        <v>27393683.309255898</v>
      </c>
    </row>
    <row r="20" spans="2:9" ht="17.25" customHeight="1" x14ac:dyDescent="0.25">
      <c r="B20" t="s">
        <v>71</v>
      </c>
      <c r="C20" s="52">
        <v>121158887</v>
      </c>
      <c r="D20" s="52">
        <v>293356109</v>
      </c>
      <c r="E20" s="35">
        <v>0</v>
      </c>
      <c r="F20" s="35">
        <v>0</v>
      </c>
      <c r="G20" s="35">
        <v>0</v>
      </c>
      <c r="H20" s="35">
        <v>0</v>
      </c>
      <c r="I20" s="35">
        <v>0</v>
      </c>
    </row>
    <row r="21" spans="2:9" ht="18" customHeight="1" x14ac:dyDescent="0.25">
      <c r="B21" t="s">
        <v>72</v>
      </c>
      <c r="C21" s="52">
        <v>0</v>
      </c>
      <c r="D21" s="52">
        <v>33059438</v>
      </c>
      <c r="E21" s="35">
        <v>0</v>
      </c>
      <c r="F21" s="35">
        <v>0</v>
      </c>
      <c r="G21" s="35">
        <v>0</v>
      </c>
      <c r="H21" s="35">
        <v>0</v>
      </c>
      <c r="I21" s="35">
        <v>0</v>
      </c>
    </row>
    <row r="22" spans="2:9" ht="17.25" customHeight="1" x14ac:dyDescent="0.25">
      <c r="B22" s="51" t="s">
        <v>73</v>
      </c>
      <c r="C22" s="52"/>
      <c r="D22" s="52"/>
    </row>
    <row r="23" spans="2:9" ht="17.25" customHeight="1" x14ac:dyDescent="0.25">
      <c r="B23" t="s">
        <v>74</v>
      </c>
      <c r="C23" s="52">
        <v>952200</v>
      </c>
      <c r="D23" s="52">
        <v>476100</v>
      </c>
      <c r="E23" s="52">
        <v>1000000</v>
      </c>
      <c r="F23" s="52">
        <v>1000000</v>
      </c>
      <c r="G23" s="52">
        <v>1000000</v>
      </c>
      <c r="H23" s="52">
        <v>1000000</v>
      </c>
      <c r="I23" s="52">
        <v>1000000</v>
      </c>
    </row>
    <row r="24" spans="2:9" ht="18" customHeight="1" x14ac:dyDescent="0.25">
      <c r="B24" t="s">
        <v>75</v>
      </c>
      <c r="C24" s="52"/>
      <c r="D24" s="52"/>
    </row>
    <row r="25" spans="2:9" ht="17.25" customHeight="1" x14ac:dyDescent="0.25">
      <c r="B25" t="s">
        <v>76</v>
      </c>
      <c r="C25" s="52">
        <v>2704192</v>
      </c>
      <c r="D25" s="52">
        <v>1559939</v>
      </c>
      <c r="E25" s="80">
        <f>D25</f>
        <v>1559939</v>
      </c>
      <c r="F25" s="80">
        <f t="shared" ref="F25:I25" si="7">E25</f>
        <v>1559939</v>
      </c>
      <c r="G25" s="80">
        <f t="shared" si="7"/>
        <v>1559939</v>
      </c>
      <c r="H25" s="80">
        <f t="shared" si="7"/>
        <v>1559939</v>
      </c>
      <c r="I25" s="80">
        <f t="shared" si="7"/>
        <v>1559939</v>
      </c>
    </row>
    <row r="26" spans="2:9" ht="16.5" customHeight="1" x14ac:dyDescent="0.25">
      <c r="B26" t="s">
        <v>77</v>
      </c>
      <c r="C26" s="52"/>
      <c r="D26" s="52"/>
    </row>
    <row r="27" spans="2:9" ht="17.25" customHeight="1" x14ac:dyDescent="0.25">
      <c r="B27" s="54" t="s">
        <v>16</v>
      </c>
      <c r="C27" s="56">
        <f>SUM(C19:C26)</f>
        <v>248122120.82486629</v>
      </c>
      <c r="D27" s="56">
        <f>SUM(D19:D26)</f>
        <v>451758425.82486629</v>
      </c>
      <c r="E27" s="56">
        <f t="shared" ref="E27:I27" si="8">SUM(E19:E26)</f>
        <v>60405381.62250454</v>
      </c>
      <c r="F27" s="56">
        <f t="shared" si="8"/>
        <v>60405381.62250454</v>
      </c>
      <c r="G27" s="56">
        <f t="shared" si="8"/>
        <v>60405381.62250454</v>
      </c>
      <c r="H27" s="56">
        <f t="shared" si="8"/>
        <v>60405381.62250454</v>
      </c>
      <c r="I27" s="56">
        <f t="shared" si="8"/>
        <v>29953622.309255898</v>
      </c>
    </row>
    <row r="28" spans="2:9" x14ac:dyDescent="0.25">
      <c r="C28" s="81">
        <f>C27/10^7</f>
        <v>24.812212082486628</v>
      </c>
      <c r="D28" s="81">
        <f t="shared" ref="D28:I28" si="9">D27/10^7</f>
        <v>45.175842582486631</v>
      </c>
      <c r="E28" s="81">
        <f t="shared" si="9"/>
        <v>6.0405381622504537</v>
      </c>
      <c r="F28" s="81">
        <f t="shared" si="9"/>
        <v>6.0405381622504537</v>
      </c>
      <c r="G28" s="81">
        <f t="shared" si="9"/>
        <v>6.0405381622504537</v>
      </c>
      <c r="H28" s="81">
        <f t="shared" si="9"/>
        <v>6.0405381622504537</v>
      </c>
      <c r="I28" s="81">
        <f t="shared" si="9"/>
        <v>2.9953622309255898</v>
      </c>
    </row>
    <row r="32" spans="2:9" x14ac:dyDescent="0.25">
      <c r="C32" s="8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showGridLines="0" workbookViewId="0">
      <selection activeCell="C19" sqref="C19"/>
    </sheetView>
  </sheetViews>
  <sheetFormatPr defaultRowHeight="15" x14ac:dyDescent="0.25"/>
  <cols>
    <col min="1" max="1" width="4.7109375" customWidth="1"/>
    <col min="2" max="2" width="11.28515625" customWidth="1"/>
    <col min="3" max="3" width="22.7109375" customWidth="1"/>
    <col min="4" max="4" width="23" customWidth="1"/>
  </cols>
  <sheetData>
    <row r="1" spans="2:4" ht="12" customHeight="1" x14ac:dyDescent="0.25"/>
    <row r="2" spans="2:4" ht="18.75" customHeight="1" x14ac:dyDescent="0.25">
      <c r="B2" s="4" t="s">
        <v>63</v>
      </c>
      <c r="C2" s="3"/>
      <c r="D2" s="3"/>
    </row>
    <row r="3" spans="2:4" ht="12.75" customHeight="1" x14ac:dyDescent="0.25"/>
    <row r="4" spans="2:4" x14ac:dyDescent="0.25">
      <c r="B4" s="134" t="s">
        <v>48</v>
      </c>
      <c r="C4" s="135"/>
      <c r="D4" s="136"/>
    </row>
    <row r="5" spans="2:4" x14ac:dyDescent="0.25">
      <c r="B5" s="137"/>
      <c r="C5" s="138"/>
      <c r="D5" s="139"/>
    </row>
    <row r="6" spans="2:4" x14ac:dyDescent="0.25">
      <c r="B6" s="36" t="s">
        <v>49</v>
      </c>
      <c r="C6" s="36" t="s">
        <v>50</v>
      </c>
      <c r="D6" s="36" t="s">
        <v>51</v>
      </c>
    </row>
    <row r="7" spans="2:4" x14ac:dyDescent="0.25">
      <c r="B7" s="37">
        <v>44287</v>
      </c>
      <c r="C7" s="38">
        <v>4.2972840000000003</v>
      </c>
      <c r="D7" s="38">
        <v>2.47363</v>
      </c>
    </row>
    <row r="8" spans="2:4" x14ac:dyDescent="0.25">
      <c r="B8" s="37">
        <v>44317</v>
      </c>
      <c r="C8" s="38">
        <v>2.9059810000000001</v>
      </c>
      <c r="D8" s="38">
        <v>1.43523</v>
      </c>
    </row>
    <row r="9" spans="2:4" x14ac:dyDescent="0.25">
      <c r="B9" s="37">
        <v>44348</v>
      </c>
      <c r="C9" s="38">
        <v>3.4803225000000002</v>
      </c>
      <c r="D9" s="38">
        <v>1.80748</v>
      </c>
    </row>
    <row r="10" spans="2:4" x14ac:dyDescent="0.25">
      <c r="B10" s="37">
        <v>44378</v>
      </c>
      <c r="C10" s="38">
        <v>4.754874</v>
      </c>
      <c r="D10" s="38">
        <v>2.6830500000000002</v>
      </c>
    </row>
    <row r="11" spans="2:4" x14ac:dyDescent="0.25">
      <c r="B11" s="37">
        <v>44409</v>
      </c>
      <c r="C11" s="38">
        <v>4.7529349999999999</v>
      </c>
      <c r="D11" s="38">
        <v>2.7685</v>
      </c>
    </row>
    <row r="12" spans="2:4" x14ac:dyDescent="0.25">
      <c r="B12" s="37">
        <v>44440</v>
      </c>
      <c r="C12" s="38">
        <v>5.0816644999999996</v>
      </c>
      <c r="D12" s="38">
        <v>2.84335</v>
      </c>
    </row>
    <row r="13" spans="2:4" x14ac:dyDescent="0.25">
      <c r="B13" s="37">
        <v>44470</v>
      </c>
      <c r="C13" s="38">
        <v>5.1164009999999998</v>
      </c>
      <c r="D13" s="38">
        <v>3.06447</v>
      </c>
    </row>
    <row r="14" spans="2:4" x14ac:dyDescent="0.25">
      <c r="B14" s="37">
        <v>44501</v>
      </c>
      <c r="C14" s="38">
        <v>4.6011699999999998</v>
      </c>
      <c r="D14" s="38">
        <v>2.7013099999999999</v>
      </c>
    </row>
    <row r="15" spans="2:4" x14ac:dyDescent="0.25">
      <c r="B15" s="37">
        <v>44531</v>
      </c>
      <c r="C15" s="38">
        <v>5.7777180000000001</v>
      </c>
      <c r="D15" s="38">
        <v>3.2225299999999999</v>
      </c>
    </row>
    <row r="16" spans="2:4" x14ac:dyDescent="0.25">
      <c r="B16" s="37">
        <v>44562</v>
      </c>
      <c r="C16" s="38">
        <v>5.2567399999999997</v>
      </c>
      <c r="D16" s="38">
        <v>2.8515000000000001</v>
      </c>
    </row>
    <row r="17" spans="2:4" x14ac:dyDescent="0.25">
      <c r="B17" s="37">
        <v>44593</v>
      </c>
      <c r="C17" s="38">
        <v>4.851159</v>
      </c>
      <c r="D17" s="38">
        <v>2.6468699999999998</v>
      </c>
    </row>
    <row r="18" spans="2:4" x14ac:dyDescent="0.25">
      <c r="B18" s="37">
        <v>44621</v>
      </c>
      <c r="C18" s="38">
        <v>5.4729834999999998</v>
      </c>
      <c r="D18" s="38">
        <v>3.0548700000000002</v>
      </c>
    </row>
    <row r="19" spans="2:4" x14ac:dyDescent="0.25">
      <c r="B19" s="36" t="s">
        <v>16</v>
      </c>
      <c r="C19" s="39">
        <f>SUM(C7:C18)</f>
        <v>56.349232499999999</v>
      </c>
      <c r="D19" s="39">
        <f>SUM(D7:D18)</f>
        <v>31.552790000000002</v>
      </c>
    </row>
  </sheetData>
  <mergeCells count="1">
    <mergeCell ref="B4:D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
  <sheetViews>
    <sheetView showGridLines="0" workbookViewId="0">
      <selection activeCell="E7" sqref="E7"/>
    </sheetView>
  </sheetViews>
  <sheetFormatPr defaultRowHeight="15" x14ac:dyDescent="0.25"/>
  <cols>
    <col min="1" max="1" width="5.28515625" customWidth="1"/>
    <col min="2" max="2" width="8.5703125" customWidth="1"/>
    <col min="3" max="3" width="28" customWidth="1"/>
    <col min="4" max="4" width="20.5703125" customWidth="1"/>
    <col min="5" max="5" width="16" customWidth="1"/>
    <col min="6" max="6" width="17.28515625" customWidth="1"/>
    <col min="7" max="7" width="43.85546875" customWidth="1"/>
  </cols>
  <sheetData>
    <row r="2" spans="2:7" ht="18.75" customHeight="1" x14ac:dyDescent="0.25">
      <c r="B2" s="4" t="s">
        <v>64</v>
      </c>
      <c r="C2" s="3"/>
      <c r="D2" s="3"/>
      <c r="E2" s="3"/>
      <c r="F2" s="3"/>
      <c r="G2" s="3"/>
    </row>
    <row r="4" spans="2:7" ht="18" customHeight="1" x14ac:dyDescent="0.25">
      <c r="B4" s="140" t="s">
        <v>52</v>
      </c>
      <c r="C4" s="140"/>
      <c r="D4" s="140"/>
      <c r="E4" s="140"/>
      <c r="F4" s="140"/>
      <c r="G4" s="140"/>
    </row>
    <row r="5" spans="2:7" x14ac:dyDescent="0.25">
      <c r="B5" s="141" t="s">
        <v>53</v>
      </c>
      <c r="C5" s="141"/>
      <c r="D5" s="141"/>
      <c r="E5" s="141"/>
      <c r="F5" s="141"/>
      <c r="G5" s="141"/>
    </row>
    <row r="6" spans="2:7" ht="36.75" customHeight="1" x14ac:dyDescent="0.25">
      <c r="B6" s="44" t="s">
        <v>54</v>
      </c>
      <c r="C6" s="44" t="s">
        <v>55</v>
      </c>
      <c r="D6" s="45" t="s">
        <v>56</v>
      </c>
      <c r="E6" s="45" t="s">
        <v>57</v>
      </c>
      <c r="F6" s="45" t="s">
        <v>58</v>
      </c>
      <c r="G6" s="44" t="s">
        <v>59</v>
      </c>
    </row>
    <row r="7" spans="2:7" ht="155.25" customHeight="1" x14ac:dyDescent="0.25">
      <c r="B7" s="42">
        <v>1</v>
      </c>
      <c r="C7" s="40" t="s">
        <v>60</v>
      </c>
      <c r="D7" s="41">
        <v>7.8823999999999996</v>
      </c>
      <c r="E7" s="41" t="s">
        <v>61</v>
      </c>
      <c r="F7" s="41">
        <v>132</v>
      </c>
      <c r="G7" s="43" t="s">
        <v>62</v>
      </c>
    </row>
    <row r="10" spans="2:7" x14ac:dyDescent="0.25">
      <c r="D10">
        <v>7.88</v>
      </c>
    </row>
    <row r="11" spans="2:7" x14ac:dyDescent="0.25">
      <c r="D11">
        <v>110</v>
      </c>
    </row>
    <row r="12" spans="2:7" x14ac:dyDescent="0.25">
      <c r="D12">
        <v>132</v>
      </c>
    </row>
    <row r="13" spans="2:7" x14ac:dyDescent="0.25">
      <c r="D13">
        <f>SUM(D10:D12)</f>
        <v>249.88</v>
      </c>
    </row>
  </sheetData>
  <mergeCells count="2">
    <mergeCell ref="B4:G4"/>
    <mergeCell ref="B5:G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9"/>
  <sheetViews>
    <sheetView showGridLines="0" topLeftCell="A55" zoomScaleNormal="100" workbookViewId="0">
      <selection activeCell="L10" sqref="L10"/>
    </sheetView>
  </sheetViews>
  <sheetFormatPr defaultRowHeight="15" x14ac:dyDescent="0.25"/>
  <cols>
    <col min="1" max="1" width="4" customWidth="1"/>
    <col min="2" max="2" width="32.5703125" customWidth="1"/>
    <col min="3" max="16" width="11.7109375" customWidth="1"/>
    <col min="17" max="17" width="12.5703125" bestFit="1" customWidth="1"/>
    <col min="19" max="19" width="10" bestFit="1" customWidth="1"/>
  </cols>
  <sheetData>
    <row r="1" spans="2:18" ht="12.75" customHeight="1" x14ac:dyDescent="0.25"/>
    <row r="2" spans="2:18" ht="18.75" customHeight="1" x14ac:dyDescent="0.25">
      <c r="B2" s="74" t="s">
        <v>97</v>
      </c>
      <c r="C2" s="3"/>
      <c r="D2" s="3"/>
      <c r="E2" s="3"/>
      <c r="F2" s="3"/>
      <c r="G2" s="3"/>
      <c r="H2" s="3"/>
      <c r="I2" s="3"/>
      <c r="J2" s="3"/>
    </row>
    <row r="3" spans="2:18" ht="12.75" customHeight="1" x14ac:dyDescent="0.25"/>
    <row r="4" spans="2:18" ht="18.75" customHeight="1" x14ac:dyDescent="0.25">
      <c r="B4" s="46" t="s">
        <v>98</v>
      </c>
      <c r="C4" s="1"/>
      <c r="D4" s="1"/>
      <c r="E4" s="1"/>
      <c r="F4" s="1"/>
      <c r="G4" s="1"/>
      <c r="H4" s="1"/>
      <c r="I4" s="1"/>
      <c r="J4" s="1"/>
    </row>
    <row r="5" spans="2:18" ht="11.25" customHeight="1" x14ac:dyDescent="0.25"/>
    <row r="6" spans="2:18" ht="18" customHeight="1" x14ac:dyDescent="0.25">
      <c r="B6" s="75" t="s">
        <v>82</v>
      </c>
      <c r="C6" s="94">
        <v>2015</v>
      </c>
      <c r="D6" s="94">
        <f>C6+1</f>
        <v>2016</v>
      </c>
      <c r="E6" s="94">
        <f t="shared" ref="E6:J6" si="0">D6+1</f>
        <v>2017</v>
      </c>
      <c r="F6" s="94">
        <f t="shared" si="0"/>
        <v>2018</v>
      </c>
      <c r="G6" s="94">
        <f t="shared" si="0"/>
        <v>2019</v>
      </c>
      <c r="H6" s="94">
        <f t="shared" si="0"/>
        <v>2020</v>
      </c>
      <c r="I6" s="94">
        <f t="shared" si="0"/>
        <v>2021</v>
      </c>
      <c r="J6" s="95">
        <f t="shared" si="0"/>
        <v>2022</v>
      </c>
    </row>
    <row r="7" spans="2:18" x14ac:dyDescent="0.25">
      <c r="B7" s="57"/>
      <c r="C7" s="57"/>
      <c r="D7" s="57"/>
      <c r="E7" s="58"/>
      <c r="F7" s="58"/>
      <c r="G7" s="58"/>
      <c r="H7" s="58"/>
      <c r="I7" s="58"/>
    </row>
    <row r="8" spans="2:18" x14ac:dyDescent="0.25">
      <c r="B8" s="59" t="s">
        <v>83</v>
      </c>
      <c r="C8" s="57">
        <v>38.17</v>
      </c>
      <c r="D8" s="57">
        <v>40.93</v>
      </c>
      <c r="E8" s="57">
        <v>42.21</v>
      </c>
      <c r="F8" s="57">
        <v>54.18</v>
      </c>
      <c r="G8" s="57">
        <v>53.76</v>
      </c>
      <c r="H8" s="57">
        <v>63.55</v>
      </c>
      <c r="I8" s="58">
        <v>67.44</v>
      </c>
      <c r="J8" s="67">
        <v>101.53</v>
      </c>
      <c r="L8" s="101">
        <f>(J8/C8)^(1/7)-1</f>
        <v>0.14999521238416058</v>
      </c>
    </row>
    <row r="9" spans="2:18" x14ac:dyDescent="0.25">
      <c r="B9" s="59"/>
      <c r="C9" s="60"/>
      <c r="D9" s="60"/>
      <c r="E9" s="60"/>
      <c r="F9" s="60"/>
      <c r="G9" s="60"/>
      <c r="H9" s="60"/>
      <c r="I9" s="61"/>
    </row>
    <row r="10" spans="2:18" x14ac:dyDescent="0.25">
      <c r="B10" s="59" t="s">
        <v>84</v>
      </c>
      <c r="C10" s="62">
        <v>11.12</v>
      </c>
      <c r="D10" s="62">
        <v>10.32</v>
      </c>
      <c r="E10" s="62">
        <v>12.26</v>
      </c>
      <c r="F10" s="62">
        <v>12.82</v>
      </c>
      <c r="G10" s="62">
        <v>30.34</v>
      </c>
      <c r="H10" s="62">
        <v>37.770000000000003</v>
      </c>
      <c r="I10" s="61">
        <v>68.42</v>
      </c>
      <c r="J10" s="71">
        <v>71.150000000000006</v>
      </c>
      <c r="L10" s="101">
        <f>(J10/C10)^(1/7)-1</f>
        <v>0.30362558057860101</v>
      </c>
    </row>
    <row r="11" spans="2:18" x14ac:dyDescent="0.25">
      <c r="B11" s="59"/>
      <c r="C11" s="60"/>
      <c r="D11" s="60"/>
      <c r="E11" s="60"/>
      <c r="F11" s="60"/>
      <c r="G11" s="60"/>
      <c r="H11" s="60"/>
      <c r="I11" s="60"/>
      <c r="J11" s="60"/>
    </row>
    <row r="12" spans="2:18" x14ac:dyDescent="0.25">
      <c r="B12" s="59" t="s">
        <v>85</v>
      </c>
      <c r="C12" s="67">
        <f>C8-C10</f>
        <v>27.050000000000004</v>
      </c>
      <c r="D12" s="67">
        <f t="shared" ref="D12:J12" si="1">D8-D10</f>
        <v>30.61</v>
      </c>
      <c r="E12" s="67">
        <f t="shared" si="1"/>
        <v>29.950000000000003</v>
      </c>
      <c r="F12" s="67">
        <f t="shared" si="1"/>
        <v>41.36</v>
      </c>
      <c r="G12" s="67">
        <f t="shared" si="1"/>
        <v>23.419999999999998</v>
      </c>
      <c r="H12" s="67">
        <f t="shared" si="1"/>
        <v>25.779999999999994</v>
      </c>
      <c r="I12" s="67">
        <f t="shared" si="1"/>
        <v>-0.98000000000000398</v>
      </c>
      <c r="J12" s="67">
        <f t="shared" si="1"/>
        <v>30.379999999999995</v>
      </c>
    </row>
    <row r="13" spans="2:18" x14ac:dyDescent="0.25">
      <c r="B13" s="63" t="s">
        <v>86</v>
      </c>
      <c r="C13" s="68">
        <f>C12/C8</f>
        <v>0.7086717317264869</v>
      </c>
      <c r="D13" s="68">
        <f t="shared" ref="D13:J13" si="2">D12/D8</f>
        <v>0.74786220376252133</v>
      </c>
      <c r="E13" s="68">
        <f t="shared" si="2"/>
        <v>0.70954750059227678</v>
      </c>
      <c r="F13" s="68">
        <f t="shared" si="2"/>
        <v>0.76338132152085636</v>
      </c>
      <c r="G13" s="68">
        <f t="shared" si="2"/>
        <v>0.43563988095238093</v>
      </c>
      <c r="H13" s="68">
        <f t="shared" si="2"/>
        <v>0.40566483084185673</v>
      </c>
      <c r="I13" s="68">
        <f t="shared" si="2"/>
        <v>-1.4531435349940747E-2</v>
      </c>
      <c r="J13" s="68">
        <f t="shared" si="2"/>
        <v>0.2992219048557076</v>
      </c>
    </row>
    <row r="14" spans="2:18" x14ac:dyDescent="0.25">
      <c r="B14" s="64"/>
      <c r="C14" s="69"/>
      <c r="D14" s="69"/>
      <c r="E14" s="69"/>
      <c r="F14" s="69"/>
      <c r="G14" s="69"/>
      <c r="H14" s="69"/>
      <c r="I14" s="70"/>
    </row>
    <row r="15" spans="2:18" x14ac:dyDescent="0.25">
      <c r="B15" s="64" t="s">
        <v>87</v>
      </c>
      <c r="C15" s="71">
        <v>10.66</v>
      </c>
      <c r="D15" s="71">
        <v>13.41</v>
      </c>
      <c r="E15" s="71">
        <v>17.989999999999998</v>
      </c>
      <c r="F15" s="71">
        <v>15.93</v>
      </c>
      <c r="G15" s="71">
        <v>15.12</v>
      </c>
      <c r="H15" s="71">
        <v>24.07</v>
      </c>
      <c r="I15" s="70">
        <v>25.58</v>
      </c>
      <c r="J15" s="71">
        <v>28.77</v>
      </c>
      <c r="K15" s="85"/>
      <c r="L15" s="85"/>
      <c r="M15" s="85"/>
      <c r="N15" s="85"/>
      <c r="O15" s="85"/>
      <c r="P15" s="85"/>
      <c r="Q15" s="85"/>
      <c r="R15" s="85"/>
    </row>
    <row r="16" spans="2:18" x14ac:dyDescent="0.25">
      <c r="B16" s="64"/>
      <c r="C16" s="71"/>
      <c r="D16" s="86"/>
      <c r="E16" s="86"/>
      <c r="F16" s="86"/>
      <c r="G16" s="86"/>
      <c r="H16" s="86"/>
      <c r="I16" s="86"/>
      <c r="J16" s="86"/>
    </row>
    <row r="17" spans="2:15" x14ac:dyDescent="0.25">
      <c r="B17" s="59" t="s">
        <v>88</v>
      </c>
      <c r="C17" s="67">
        <f>C12-C15</f>
        <v>16.390000000000004</v>
      </c>
      <c r="D17" s="67">
        <f t="shared" ref="D17:J17" si="3">D12-D15</f>
        <v>17.2</v>
      </c>
      <c r="E17" s="67">
        <f t="shared" si="3"/>
        <v>11.960000000000004</v>
      </c>
      <c r="F17" s="67">
        <f t="shared" si="3"/>
        <v>25.43</v>
      </c>
      <c r="G17" s="67">
        <f t="shared" si="3"/>
        <v>8.2999999999999989</v>
      </c>
      <c r="H17" s="67">
        <f t="shared" si="3"/>
        <v>1.7099999999999937</v>
      </c>
      <c r="I17" s="67">
        <f t="shared" si="3"/>
        <v>-26.560000000000002</v>
      </c>
      <c r="J17" s="67">
        <f t="shared" si="3"/>
        <v>1.6099999999999959</v>
      </c>
    </row>
    <row r="18" spans="2:15" x14ac:dyDescent="0.25">
      <c r="B18" s="63" t="s">
        <v>89</v>
      </c>
      <c r="C18" s="68">
        <f>C17/C8</f>
        <v>0.42939481268011537</v>
      </c>
      <c r="D18" s="68">
        <f t="shared" ref="D18:J18" si="4">D17/D8</f>
        <v>0.42022966039579768</v>
      </c>
      <c r="E18" s="68">
        <f t="shared" si="4"/>
        <v>0.28334517886756705</v>
      </c>
      <c r="F18" s="68">
        <f t="shared" si="4"/>
        <v>0.4693613879660391</v>
      </c>
      <c r="G18" s="68">
        <f t="shared" si="4"/>
        <v>0.15438988095238093</v>
      </c>
      <c r="H18" s="68">
        <f t="shared" si="4"/>
        <v>2.6907946498819731E-2</v>
      </c>
      <c r="I18" s="68">
        <f t="shared" si="4"/>
        <v>-0.39383155397390279</v>
      </c>
      <c r="J18" s="68">
        <f t="shared" si="4"/>
        <v>1.5857382054565113E-2</v>
      </c>
    </row>
    <row r="19" spans="2:15" x14ac:dyDescent="0.25">
      <c r="B19" s="65"/>
      <c r="C19" s="69"/>
      <c r="D19" s="69"/>
      <c r="E19" s="69"/>
      <c r="F19" s="69"/>
      <c r="G19" s="69"/>
      <c r="H19" s="69"/>
      <c r="I19" s="72"/>
    </row>
    <row r="20" spans="2:15" x14ac:dyDescent="0.25">
      <c r="B20" s="64" t="s">
        <v>90</v>
      </c>
      <c r="C20" s="71">
        <v>25.93</v>
      </c>
      <c r="D20" s="71">
        <v>24.58</v>
      </c>
      <c r="E20" s="71">
        <v>23.78</v>
      </c>
      <c r="F20" s="71">
        <v>21.6</v>
      </c>
      <c r="G20" s="71">
        <v>13.82</v>
      </c>
      <c r="H20" s="71">
        <v>9.7200000000000006</v>
      </c>
      <c r="I20" s="70">
        <v>1.79</v>
      </c>
      <c r="J20" s="71">
        <v>2.74</v>
      </c>
      <c r="K20" s="85"/>
      <c r="L20" s="85"/>
      <c r="M20" s="85"/>
      <c r="N20" s="85"/>
      <c r="O20" s="85"/>
    </row>
    <row r="21" spans="2:15" x14ac:dyDescent="0.25">
      <c r="B21" s="64"/>
      <c r="C21" s="71"/>
      <c r="D21" s="71"/>
      <c r="E21" s="71"/>
      <c r="F21" s="71"/>
      <c r="G21" s="71"/>
      <c r="H21" s="71"/>
      <c r="I21" s="71"/>
      <c r="J21" s="71"/>
    </row>
    <row r="22" spans="2:15" x14ac:dyDescent="0.25">
      <c r="B22" s="59" t="s">
        <v>91</v>
      </c>
      <c r="C22" s="67">
        <f>C17-C20</f>
        <v>-9.5399999999999956</v>
      </c>
      <c r="D22" s="67">
        <f t="shared" ref="D22:J22" si="5">D17-D20</f>
        <v>-7.379999999999999</v>
      </c>
      <c r="E22" s="67">
        <f t="shared" si="5"/>
        <v>-11.819999999999997</v>
      </c>
      <c r="F22" s="67">
        <f t="shared" si="5"/>
        <v>3.8299999999999983</v>
      </c>
      <c r="G22" s="67">
        <f t="shared" si="5"/>
        <v>-5.5200000000000014</v>
      </c>
      <c r="H22" s="67">
        <f t="shared" si="5"/>
        <v>-8.0100000000000069</v>
      </c>
      <c r="I22" s="67">
        <f t="shared" si="5"/>
        <v>-28.35</v>
      </c>
      <c r="J22" s="67">
        <f t="shared" si="5"/>
        <v>-1.1300000000000043</v>
      </c>
    </row>
    <row r="23" spans="2:15" x14ac:dyDescent="0.25">
      <c r="B23" s="63" t="s">
        <v>92</v>
      </c>
      <c r="C23" s="68">
        <f>C22/C8</f>
        <v>-0.24993450353680888</v>
      </c>
      <c r="D23" s="68">
        <f t="shared" ref="D23:J23" si="6">D22/D8</f>
        <v>-0.18030784265819691</v>
      </c>
      <c r="E23" s="68">
        <f t="shared" si="6"/>
        <v>-0.28002842928216054</v>
      </c>
      <c r="F23" s="68">
        <f t="shared" si="6"/>
        <v>7.0690291620524148E-2</v>
      </c>
      <c r="G23" s="68">
        <f t="shared" si="6"/>
        <v>-0.10267857142857145</v>
      </c>
      <c r="H23" s="68">
        <f t="shared" si="6"/>
        <v>-0.12604248623131403</v>
      </c>
      <c r="I23" s="68">
        <f t="shared" si="6"/>
        <v>-0.42037366548042709</v>
      </c>
      <c r="J23" s="68">
        <f t="shared" si="6"/>
        <v>-1.112971535506751E-2</v>
      </c>
    </row>
    <row r="24" spans="2:15" x14ac:dyDescent="0.25">
      <c r="B24" s="66"/>
      <c r="C24" s="69"/>
      <c r="D24" s="69"/>
      <c r="E24" s="69"/>
      <c r="F24" s="69"/>
      <c r="G24" s="69"/>
      <c r="H24" s="69"/>
      <c r="I24" s="70"/>
    </row>
    <row r="25" spans="2:15" x14ac:dyDescent="0.25">
      <c r="B25" s="64" t="s">
        <v>93</v>
      </c>
      <c r="C25" s="76">
        <v>0</v>
      </c>
      <c r="D25" s="76">
        <v>0</v>
      </c>
      <c r="E25" s="76">
        <v>0</v>
      </c>
      <c r="F25" s="76">
        <v>0</v>
      </c>
      <c r="G25" s="76">
        <v>0</v>
      </c>
      <c r="H25" s="76">
        <v>0</v>
      </c>
      <c r="I25" s="76">
        <v>0</v>
      </c>
      <c r="J25" s="76">
        <v>0</v>
      </c>
    </row>
    <row r="26" spans="2:15" x14ac:dyDescent="0.25">
      <c r="B26" s="63" t="s">
        <v>94</v>
      </c>
      <c r="C26" s="73">
        <v>0</v>
      </c>
      <c r="D26" s="73">
        <v>0</v>
      </c>
      <c r="E26" s="73">
        <v>0</v>
      </c>
      <c r="F26" s="73">
        <v>0</v>
      </c>
      <c r="G26" s="73">
        <v>0</v>
      </c>
      <c r="H26" s="73">
        <v>0</v>
      </c>
      <c r="I26" s="73">
        <v>0</v>
      </c>
      <c r="J26" s="73">
        <v>0</v>
      </c>
    </row>
    <row r="27" spans="2:15" x14ac:dyDescent="0.25">
      <c r="B27" s="65"/>
      <c r="C27" s="69"/>
      <c r="D27" s="69"/>
      <c r="E27" s="69"/>
      <c r="F27" s="69"/>
      <c r="G27" s="69"/>
      <c r="H27" s="69"/>
      <c r="I27" s="70"/>
    </row>
    <row r="28" spans="2:15" x14ac:dyDescent="0.25">
      <c r="B28" s="59" t="s">
        <v>95</v>
      </c>
      <c r="C28" s="77">
        <f>C22-C25</f>
        <v>-9.5399999999999956</v>
      </c>
      <c r="D28" s="77">
        <f t="shared" ref="D28:J28" si="7">D22-D25</f>
        <v>-7.379999999999999</v>
      </c>
      <c r="E28" s="77">
        <f t="shared" si="7"/>
        <v>-11.819999999999997</v>
      </c>
      <c r="F28" s="77">
        <f t="shared" si="7"/>
        <v>3.8299999999999983</v>
      </c>
      <c r="G28" s="77">
        <f t="shared" si="7"/>
        <v>-5.5200000000000014</v>
      </c>
      <c r="H28" s="77">
        <f t="shared" si="7"/>
        <v>-8.0100000000000069</v>
      </c>
      <c r="I28" s="77">
        <f t="shared" si="7"/>
        <v>-28.35</v>
      </c>
      <c r="J28" s="77">
        <f t="shared" si="7"/>
        <v>-1.1300000000000043</v>
      </c>
    </row>
    <row r="29" spans="2:15" x14ac:dyDescent="0.25">
      <c r="B29" s="63" t="s">
        <v>96</v>
      </c>
      <c r="C29" s="68">
        <f>C28/C8</f>
        <v>-0.24993450353680888</v>
      </c>
      <c r="D29" s="68">
        <f t="shared" ref="D29:J29" si="8">D28/D8</f>
        <v>-0.18030784265819691</v>
      </c>
      <c r="E29" s="68">
        <f t="shared" si="8"/>
        <v>-0.28002842928216054</v>
      </c>
      <c r="F29" s="68">
        <f t="shared" si="8"/>
        <v>7.0690291620524148E-2</v>
      </c>
      <c r="G29" s="68">
        <f t="shared" si="8"/>
        <v>-0.10267857142857145</v>
      </c>
      <c r="H29" s="68">
        <f t="shared" si="8"/>
        <v>-0.12604248623131403</v>
      </c>
      <c r="I29" s="68">
        <f t="shared" si="8"/>
        <v>-0.42037366548042709</v>
      </c>
      <c r="J29" s="68">
        <f t="shared" si="8"/>
        <v>-1.112971535506751E-2</v>
      </c>
    </row>
    <row r="32" spans="2:15" ht="17.25" customHeight="1" x14ac:dyDescent="0.25">
      <c r="B32" s="46" t="s">
        <v>99</v>
      </c>
      <c r="C32" s="1"/>
      <c r="D32" s="1"/>
      <c r="E32" s="1"/>
      <c r="F32" s="1"/>
      <c r="G32" s="1"/>
      <c r="H32" s="1"/>
      <c r="I32" s="1"/>
      <c r="J32" s="1"/>
    </row>
    <row r="34" spans="2:10" ht="16.5" customHeight="1" x14ac:dyDescent="0.25">
      <c r="B34" s="75" t="s">
        <v>82</v>
      </c>
      <c r="C34" s="94">
        <v>2015</v>
      </c>
      <c r="D34" s="94">
        <f>C34+1</f>
        <v>2016</v>
      </c>
      <c r="E34" s="94">
        <f t="shared" ref="E34:J34" si="9">D34+1</f>
        <v>2017</v>
      </c>
      <c r="F34" s="94">
        <f t="shared" si="9"/>
        <v>2018</v>
      </c>
      <c r="G34" s="94">
        <f t="shared" si="9"/>
        <v>2019</v>
      </c>
      <c r="H34" s="94">
        <f t="shared" si="9"/>
        <v>2020</v>
      </c>
      <c r="I34" s="94">
        <f t="shared" si="9"/>
        <v>2021</v>
      </c>
      <c r="J34" s="95">
        <f t="shared" si="9"/>
        <v>2022</v>
      </c>
    </row>
    <row r="35" spans="2:10" ht="11.25" customHeight="1" x14ac:dyDescent="0.25"/>
    <row r="36" spans="2:10" ht="17.25" customHeight="1" x14ac:dyDescent="0.25">
      <c r="B36" t="s">
        <v>100</v>
      </c>
      <c r="C36" s="78">
        <f>C12/C8</f>
        <v>0.7086717317264869</v>
      </c>
      <c r="D36" s="78">
        <f t="shared" ref="D36:J36" si="10">D12/D8</f>
        <v>0.74786220376252133</v>
      </c>
      <c r="E36" s="78">
        <f t="shared" si="10"/>
        <v>0.70954750059227678</v>
      </c>
      <c r="F36" s="78">
        <f t="shared" si="10"/>
        <v>0.76338132152085636</v>
      </c>
      <c r="G36" s="78">
        <f t="shared" si="10"/>
        <v>0.43563988095238093</v>
      </c>
      <c r="H36" s="78">
        <f t="shared" si="10"/>
        <v>0.40566483084185673</v>
      </c>
      <c r="I36" s="78">
        <f t="shared" si="10"/>
        <v>-1.4531435349940747E-2</v>
      </c>
      <c r="J36" s="78">
        <f t="shared" si="10"/>
        <v>0.2992219048557076</v>
      </c>
    </row>
    <row r="37" spans="2:10" ht="16.5" customHeight="1" x14ac:dyDescent="0.25">
      <c r="B37" t="s">
        <v>101</v>
      </c>
      <c r="C37" s="78">
        <f>C17/C8</f>
        <v>0.42939481268011537</v>
      </c>
      <c r="D37" s="78">
        <f t="shared" ref="D37:J37" si="11">D17/D8</f>
        <v>0.42022966039579768</v>
      </c>
      <c r="E37" s="78">
        <f t="shared" si="11"/>
        <v>0.28334517886756705</v>
      </c>
      <c r="F37" s="78">
        <f t="shared" si="11"/>
        <v>0.4693613879660391</v>
      </c>
      <c r="G37" s="78">
        <f t="shared" si="11"/>
        <v>0.15438988095238093</v>
      </c>
      <c r="H37" s="78">
        <f t="shared" si="11"/>
        <v>2.6907946498819731E-2</v>
      </c>
      <c r="I37" s="78">
        <f t="shared" si="11"/>
        <v>-0.39383155397390279</v>
      </c>
      <c r="J37" s="78">
        <f t="shared" si="11"/>
        <v>1.5857382054565113E-2</v>
      </c>
    </row>
    <row r="38" spans="2:10" ht="18" customHeight="1" x14ac:dyDescent="0.25">
      <c r="B38" t="s">
        <v>102</v>
      </c>
      <c r="C38" s="78">
        <f>C29/C8</f>
        <v>-6.5479304044225532E-3</v>
      </c>
      <c r="D38" s="78">
        <f t="shared" ref="D38:J38" si="12">D29/D8</f>
        <v>-4.4052734585437797E-3</v>
      </c>
      <c r="E38" s="78">
        <f t="shared" si="12"/>
        <v>-6.6341726908827415E-3</v>
      </c>
      <c r="F38" s="78">
        <f t="shared" si="12"/>
        <v>1.3047303732101171E-3</v>
      </c>
      <c r="G38" s="78">
        <f t="shared" si="12"/>
        <v>-1.9099436649659869E-3</v>
      </c>
      <c r="H38" s="78">
        <f t="shared" si="12"/>
        <v>-1.983359342742943E-3</v>
      </c>
      <c r="I38" s="78">
        <f t="shared" si="12"/>
        <v>-6.2332987170881839E-3</v>
      </c>
      <c r="J38" s="78">
        <f t="shared" si="12"/>
        <v>-1.0961996803966818E-4</v>
      </c>
    </row>
    <row r="39" spans="2:10" ht="16.5" customHeight="1" x14ac:dyDescent="0.25">
      <c r="B39" t="s">
        <v>103</v>
      </c>
      <c r="C39" s="78"/>
      <c r="D39" s="78">
        <f>D8/C8-1</f>
        <v>7.2308095362850322E-2</v>
      </c>
      <c r="E39" s="78">
        <f t="shared" ref="E39:J39" si="13">E8/D8-1</f>
        <v>3.1272904959687375E-2</v>
      </c>
      <c r="F39" s="78">
        <f t="shared" si="13"/>
        <v>0.28358208955223874</v>
      </c>
      <c r="G39" s="78">
        <f t="shared" si="13"/>
        <v>-7.7519379844961378E-3</v>
      </c>
      <c r="H39" s="78">
        <f t="shared" si="13"/>
        <v>0.18210565476190466</v>
      </c>
      <c r="I39" s="78">
        <f t="shared" si="13"/>
        <v>6.1211644374508323E-2</v>
      </c>
      <c r="J39" s="78">
        <f t="shared" si="13"/>
        <v>0.50548635824436539</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DCF, WACC &amp; SENSITIVITY</vt:lpstr>
      <vt:lpstr>RKA Toll Revenue</vt:lpstr>
      <vt:lpstr>Projected P &amp; L</vt:lpstr>
      <vt:lpstr>Other Income &amp; Expenditure</vt:lpstr>
      <vt:lpstr>Toll collection 2022</vt:lpstr>
      <vt:lpstr>MMR Details</vt:lpstr>
      <vt:lpstr>Historical P&amp;L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2022-12-02T06:11:34Z</dcterms:modified>
</cp:coreProperties>
</file>