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hishek Agarwal\Dropbox\Kanchansobha Finance Private Limited\Supreme Infra\BOT Companies\Data\Suyog\Valuation\"/>
    </mc:Choice>
  </mc:AlternateContent>
  <xr:revisionPtr revIDLastSave="0" documentId="13_ncr:1_{2A7B9125-2C3F-4BFA-AF36-CE69C906893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upreme Suyog " sheetId="6" r:id="rId1"/>
    <sheet name="Sheet1" sheetId="4" r:id="rId2"/>
    <sheet name="Sheet1 (2)" sheetId="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48" i="6" l="1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59" i="6" l="1"/>
  <c r="J112" i="6"/>
  <c r="C111" i="6"/>
  <c r="T73" i="6"/>
  <c r="S73" i="6"/>
  <c r="R73" i="6"/>
  <c r="Q73" i="6"/>
  <c r="P73" i="6"/>
  <c r="O73" i="6"/>
  <c r="N73" i="6"/>
  <c r="M73" i="6"/>
  <c r="L73" i="6"/>
  <c r="K73" i="6"/>
  <c r="J73" i="6"/>
  <c r="I73" i="6"/>
  <c r="H73" i="6"/>
  <c r="G73" i="6"/>
  <c r="H78" i="6"/>
  <c r="I78" i="6" s="1"/>
  <c r="J78" i="6" s="1"/>
  <c r="K78" i="6" s="1"/>
  <c r="L78" i="6" s="1"/>
  <c r="M78" i="6" s="1"/>
  <c r="N78" i="6" s="1"/>
  <c r="O78" i="6" s="1"/>
  <c r="P78" i="6" s="1"/>
  <c r="Q78" i="6" s="1"/>
  <c r="R78" i="6" s="1"/>
  <c r="S78" i="6" s="1"/>
  <c r="T78" i="6" s="1"/>
  <c r="G78" i="6"/>
  <c r="F78" i="6"/>
  <c r="F73" i="6"/>
  <c r="F72" i="6"/>
  <c r="F82" i="6" s="1"/>
  <c r="N88" i="6"/>
  <c r="N43" i="6" s="1"/>
  <c r="G98" i="6"/>
  <c r="H98" i="6" s="1"/>
  <c r="I98" i="6" s="1"/>
  <c r="J98" i="6" s="1"/>
  <c r="K98" i="6" s="1"/>
  <c r="L98" i="6" s="1"/>
  <c r="M98" i="6" s="1"/>
  <c r="N98" i="6" s="1"/>
  <c r="O98" i="6" s="1"/>
  <c r="P98" i="6" s="1"/>
  <c r="Q98" i="6" s="1"/>
  <c r="R98" i="6" s="1"/>
  <c r="S98" i="6" s="1"/>
  <c r="T98" i="6" s="1"/>
  <c r="G97" i="6"/>
  <c r="H97" i="6" s="1"/>
  <c r="I97" i="6" s="1"/>
  <c r="J97" i="6" s="1"/>
  <c r="K97" i="6" s="1"/>
  <c r="L97" i="6" s="1"/>
  <c r="M97" i="6" s="1"/>
  <c r="N97" i="6" s="1"/>
  <c r="O97" i="6" s="1"/>
  <c r="P97" i="6" s="1"/>
  <c r="Q97" i="6" s="1"/>
  <c r="R97" i="6" s="1"/>
  <c r="S97" i="6" s="1"/>
  <c r="T97" i="6" s="1"/>
  <c r="G96" i="6"/>
  <c r="H96" i="6" s="1"/>
  <c r="I96" i="6" s="1"/>
  <c r="J96" i="6" s="1"/>
  <c r="K96" i="6" s="1"/>
  <c r="G95" i="6"/>
  <c r="H95" i="6" s="1"/>
  <c r="I95" i="6" s="1"/>
  <c r="J95" i="6" s="1"/>
  <c r="K95" i="6" s="1"/>
  <c r="L95" i="6" s="1"/>
  <c r="M95" i="6" s="1"/>
  <c r="N95" i="6" s="1"/>
  <c r="O95" i="6" s="1"/>
  <c r="P95" i="6" s="1"/>
  <c r="Q95" i="6" s="1"/>
  <c r="R95" i="6" s="1"/>
  <c r="S95" i="6" s="1"/>
  <c r="T95" i="6" s="1"/>
  <c r="G94" i="6"/>
  <c r="H94" i="6" s="1"/>
  <c r="I94" i="6" s="1"/>
  <c r="J94" i="6" s="1"/>
  <c r="K94" i="6" s="1"/>
  <c r="G93" i="6"/>
  <c r="H93" i="6" s="1"/>
  <c r="I93" i="6" s="1"/>
  <c r="J93" i="6" s="1"/>
  <c r="E99" i="6"/>
  <c r="G77" i="6"/>
  <c r="H77" i="6" s="1"/>
  <c r="I77" i="6" s="1"/>
  <c r="J77" i="6" s="1"/>
  <c r="K77" i="6" s="1"/>
  <c r="L77" i="6" s="1"/>
  <c r="M77" i="6" s="1"/>
  <c r="N77" i="6" s="1"/>
  <c r="O77" i="6" s="1"/>
  <c r="P77" i="6" s="1"/>
  <c r="Q77" i="6" s="1"/>
  <c r="R77" i="6" s="1"/>
  <c r="S77" i="6" s="1"/>
  <c r="T77" i="6" s="1"/>
  <c r="G76" i="6"/>
  <c r="H76" i="6" s="1"/>
  <c r="I76" i="6" s="1"/>
  <c r="J76" i="6" s="1"/>
  <c r="K76" i="6" s="1"/>
  <c r="L76" i="6" s="1"/>
  <c r="M76" i="6" s="1"/>
  <c r="N76" i="6" s="1"/>
  <c r="O76" i="6" s="1"/>
  <c r="P76" i="6" s="1"/>
  <c r="Q76" i="6" s="1"/>
  <c r="R76" i="6" s="1"/>
  <c r="S76" i="6" s="1"/>
  <c r="T76" i="6" s="1"/>
  <c r="G83" i="6"/>
  <c r="F71" i="6"/>
  <c r="H83" i="6" l="1"/>
  <c r="L96" i="6"/>
  <c r="M96" i="6" s="1"/>
  <c r="N96" i="6" s="1"/>
  <c r="O96" i="6" s="1"/>
  <c r="P96" i="6" s="1"/>
  <c r="Q96" i="6" s="1"/>
  <c r="R96" i="6" s="1"/>
  <c r="S96" i="6" s="1"/>
  <c r="T96" i="6" s="1"/>
  <c r="J99" i="6"/>
  <c r="J88" i="6" s="1"/>
  <c r="J43" i="6" s="1"/>
  <c r="K93" i="6"/>
  <c r="H99" i="6"/>
  <c r="H88" i="6" s="1"/>
  <c r="H43" i="6" s="1"/>
  <c r="L94" i="6"/>
  <c r="M94" i="6" s="1"/>
  <c r="N94" i="6" s="1"/>
  <c r="O94" i="6" s="1"/>
  <c r="P94" i="6" s="1"/>
  <c r="Q94" i="6" s="1"/>
  <c r="R94" i="6" s="1"/>
  <c r="S94" i="6" s="1"/>
  <c r="T94" i="6" s="1"/>
  <c r="G99" i="6"/>
  <c r="I99" i="6"/>
  <c r="I88" i="6" s="1"/>
  <c r="I43" i="6" s="1"/>
  <c r="I83" i="6"/>
  <c r="F81" i="6"/>
  <c r="F83" i="6"/>
  <c r="J83" i="6" l="1"/>
  <c r="G88" i="6"/>
  <c r="G43" i="6" s="1"/>
  <c r="L93" i="6"/>
  <c r="K99" i="6"/>
  <c r="K88" i="6" s="1"/>
  <c r="K43" i="6" s="1"/>
  <c r="K83" i="6"/>
  <c r="M83" i="6"/>
  <c r="L83" i="6"/>
  <c r="F84" i="6"/>
  <c r="M93" i="6" l="1"/>
  <c r="L99" i="6"/>
  <c r="L88" i="6" s="1"/>
  <c r="N83" i="6"/>
  <c r="G90" i="6" l="1"/>
  <c r="L43" i="6"/>
  <c r="I90" i="6"/>
  <c r="K90" i="6"/>
  <c r="J90" i="6"/>
  <c r="L90" i="6"/>
  <c r="H90" i="6"/>
  <c r="N93" i="6"/>
  <c r="M99" i="6"/>
  <c r="M88" i="6" s="1"/>
  <c r="M43" i="6" s="1"/>
  <c r="J89" i="6"/>
  <c r="O83" i="6"/>
  <c r="O93" i="6" l="1"/>
  <c r="N99" i="6"/>
  <c r="P83" i="6"/>
  <c r="P93" i="6" l="1"/>
  <c r="O99" i="6"/>
  <c r="O88" i="6" s="1"/>
  <c r="O43" i="6" s="1"/>
  <c r="Q83" i="6"/>
  <c r="Q93" i="6" l="1"/>
  <c r="P99" i="6"/>
  <c r="P88" i="6" s="1"/>
  <c r="P43" i="6" s="1"/>
  <c r="R83" i="6"/>
  <c r="F54" i="6"/>
  <c r="F66" i="6" s="1"/>
  <c r="G50" i="6"/>
  <c r="F52" i="6"/>
  <c r="F64" i="6" s="1"/>
  <c r="F51" i="6"/>
  <c r="C44" i="6"/>
  <c r="E111" i="6"/>
  <c r="C110" i="6"/>
  <c r="E109" i="6"/>
  <c r="C19" i="6"/>
  <c r="E108" i="6"/>
  <c r="E107" i="6"/>
  <c r="E106" i="6"/>
  <c r="C9" i="6"/>
  <c r="C15" i="6" s="1"/>
  <c r="G72" i="6" l="1"/>
  <c r="G82" i="6" s="1"/>
  <c r="G71" i="6"/>
  <c r="G81" i="6" s="1"/>
  <c r="E110" i="6"/>
  <c r="E117" i="6" s="1"/>
  <c r="C25" i="6" s="1"/>
  <c r="R93" i="6"/>
  <c r="Q99" i="6"/>
  <c r="Q88" i="6" s="1"/>
  <c r="Q43" i="6" s="1"/>
  <c r="O89" i="6"/>
  <c r="T83" i="6"/>
  <c r="S83" i="6"/>
  <c r="H50" i="6"/>
  <c r="F53" i="6"/>
  <c r="F65" i="6" s="1"/>
  <c r="F63" i="6"/>
  <c r="G54" i="6"/>
  <c r="G66" i="6" s="1"/>
  <c r="G51" i="6"/>
  <c r="G63" i="6" s="1"/>
  <c r="G52" i="6"/>
  <c r="H32" i="6"/>
  <c r="C11" i="6"/>
  <c r="I50" i="6" l="1"/>
  <c r="I54" i="6" s="1"/>
  <c r="I66" i="6" s="1"/>
  <c r="H71" i="6"/>
  <c r="H81" i="6" s="1"/>
  <c r="H72" i="6"/>
  <c r="G84" i="6"/>
  <c r="G36" i="6" s="1"/>
  <c r="H52" i="6"/>
  <c r="H64" i="6" s="1"/>
  <c r="H51" i="6"/>
  <c r="H63" i="6" s="1"/>
  <c r="Q90" i="6"/>
  <c r="M90" i="6"/>
  <c r="O90" i="6"/>
  <c r="N90" i="6"/>
  <c r="P90" i="6"/>
  <c r="S93" i="6"/>
  <c r="R99" i="6"/>
  <c r="H54" i="6"/>
  <c r="H66" i="6" s="1"/>
  <c r="H82" i="6"/>
  <c r="F67" i="6"/>
  <c r="G53" i="6"/>
  <c r="G65" i="6" s="1"/>
  <c r="G64" i="6"/>
  <c r="I52" i="6"/>
  <c r="I64" i="6" s="1"/>
  <c r="J50" i="6"/>
  <c r="I32" i="6"/>
  <c r="C12" i="6"/>
  <c r="H34" i="6" s="1"/>
  <c r="C16" i="6"/>
  <c r="G69" i="6"/>
  <c r="G87" i="6" s="1"/>
  <c r="G102" i="6" s="1"/>
  <c r="I51" i="6" l="1"/>
  <c r="I53" i="6" s="1"/>
  <c r="I65" i="6" s="1"/>
  <c r="J71" i="6"/>
  <c r="J72" i="6"/>
  <c r="J82" i="6" s="1"/>
  <c r="I72" i="6"/>
  <c r="I82" i="6" s="1"/>
  <c r="I71" i="6"/>
  <c r="I81" i="6" s="1"/>
  <c r="R88" i="6"/>
  <c r="R43" i="6" s="1"/>
  <c r="H53" i="6"/>
  <c r="T93" i="6"/>
  <c r="S99" i="6"/>
  <c r="H84" i="6"/>
  <c r="H36" i="6" s="1"/>
  <c r="J54" i="6"/>
  <c r="J66" i="6" s="1"/>
  <c r="J81" i="6"/>
  <c r="G67" i="6"/>
  <c r="I63" i="6"/>
  <c r="J51" i="6"/>
  <c r="J63" i="6" s="1"/>
  <c r="K50" i="6"/>
  <c r="J52" i="6"/>
  <c r="J64" i="6" s="1"/>
  <c r="H69" i="6"/>
  <c r="H87" i="6" s="1"/>
  <c r="H102" i="6" s="1"/>
  <c r="E34" i="6"/>
  <c r="G34" i="6"/>
  <c r="F34" i="6"/>
  <c r="J32" i="6"/>
  <c r="I34" i="6"/>
  <c r="H67" i="6" l="1"/>
  <c r="H35" i="6" s="1"/>
  <c r="H65" i="6"/>
  <c r="I84" i="6"/>
  <c r="I36" i="6" s="1"/>
  <c r="K72" i="6"/>
  <c r="K82" i="6" s="1"/>
  <c r="K71" i="6"/>
  <c r="K81" i="6" s="1"/>
  <c r="S88" i="6"/>
  <c r="S43" i="6" s="1"/>
  <c r="T99" i="6"/>
  <c r="H37" i="6"/>
  <c r="J84" i="6"/>
  <c r="J36" i="6" s="1"/>
  <c r="K54" i="6"/>
  <c r="K66" i="6" s="1"/>
  <c r="G35" i="6"/>
  <c r="G37" i="6" s="1"/>
  <c r="F35" i="6"/>
  <c r="I67" i="6"/>
  <c r="J53" i="6"/>
  <c r="L50" i="6"/>
  <c r="K52" i="6"/>
  <c r="K64" i="6" s="1"/>
  <c r="K51" i="6"/>
  <c r="F37" i="6"/>
  <c r="F40" i="6"/>
  <c r="F41" i="6" s="1"/>
  <c r="J34" i="6"/>
  <c r="K32" i="6"/>
  <c r="I69" i="6"/>
  <c r="I87" i="6" s="1"/>
  <c r="I102" i="6" s="1"/>
  <c r="J65" i="6" l="1"/>
  <c r="J67" i="6" s="1"/>
  <c r="J35" i="6" s="1"/>
  <c r="J37" i="6" s="1"/>
  <c r="L71" i="6"/>
  <c r="L81" i="6" s="1"/>
  <c r="L72" i="6"/>
  <c r="L82" i="6" s="1"/>
  <c r="T88" i="6"/>
  <c r="T43" i="6" s="1"/>
  <c r="V88" i="6"/>
  <c r="U88" i="6"/>
  <c r="K84" i="6"/>
  <c r="K36" i="6" s="1"/>
  <c r="L54" i="6"/>
  <c r="L66" i="6" s="1"/>
  <c r="G40" i="6"/>
  <c r="G41" i="6" s="1"/>
  <c r="I35" i="6"/>
  <c r="K53" i="6"/>
  <c r="K65" i="6" s="1"/>
  <c r="K63" i="6"/>
  <c r="L52" i="6"/>
  <c r="L64" i="6" s="1"/>
  <c r="L51" i="6"/>
  <c r="M50" i="6"/>
  <c r="L32" i="6"/>
  <c r="K34" i="6"/>
  <c r="J69" i="6"/>
  <c r="J87" i="6" s="1"/>
  <c r="J102" i="6" s="1"/>
  <c r="F45" i="6"/>
  <c r="T89" i="6" l="1"/>
  <c r="M72" i="6"/>
  <c r="M71" i="6"/>
  <c r="T90" i="6"/>
  <c r="S90" i="6"/>
  <c r="R90" i="6"/>
  <c r="G45" i="6"/>
  <c r="L84" i="6"/>
  <c r="L36" i="6" s="1"/>
  <c r="I37" i="6"/>
  <c r="M54" i="6"/>
  <c r="M66" i="6" s="1"/>
  <c r="M82" i="6"/>
  <c r="M81" i="6"/>
  <c r="H40" i="6"/>
  <c r="K67" i="6"/>
  <c r="K35" i="6" s="1"/>
  <c r="L53" i="6"/>
  <c r="L65" i="6" s="1"/>
  <c r="L63" i="6"/>
  <c r="M52" i="6"/>
  <c r="M64" i="6" s="1"/>
  <c r="M51" i="6"/>
  <c r="N50" i="6"/>
  <c r="M32" i="6"/>
  <c r="L34" i="6"/>
  <c r="K69" i="6"/>
  <c r="K87" i="6" s="1"/>
  <c r="K102" i="6" s="1"/>
  <c r="N71" i="6" l="1"/>
  <c r="N72" i="6"/>
  <c r="N82" i="6" s="1"/>
  <c r="M84" i="6"/>
  <c r="M36" i="6" s="1"/>
  <c r="I40" i="6"/>
  <c r="J40" i="6" s="1"/>
  <c r="K37" i="6"/>
  <c r="H41" i="6"/>
  <c r="H45" i="6" s="1"/>
  <c r="N54" i="6"/>
  <c r="N66" i="6" s="1"/>
  <c r="N81" i="6"/>
  <c r="L67" i="6"/>
  <c r="L35" i="6" s="1"/>
  <c r="M53" i="6"/>
  <c r="M65" i="6" s="1"/>
  <c r="M63" i="6"/>
  <c r="N51" i="6"/>
  <c r="N63" i="6" s="1"/>
  <c r="O50" i="6"/>
  <c r="N52" i="6"/>
  <c r="L69" i="6"/>
  <c r="L87" i="6" s="1"/>
  <c r="L102" i="6" s="1"/>
  <c r="N32" i="6"/>
  <c r="M34" i="6"/>
  <c r="O72" i="6" l="1"/>
  <c r="O71" i="6"/>
  <c r="I41" i="6"/>
  <c r="I45" i="6" s="1"/>
  <c r="L37" i="6"/>
  <c r="N84" i="6"/>
  <c r="N36" i="6" s="1"/>
  <c r="O54" i="6"/>
  <c r="O66" i="6" s="1"/>
  <c r="O81" i="6"/>
  <c r="O82" i="6"/>
  <c r="M67" i="6"/>
  <c r="M35" i="6" s="1"/>
  <c r="N53" i="6"/>
  <c r="N65" i="6" s="1"/>
  <c r="N64" i="6"/>
  <c r="O51" i="6"/>
  <c r="O63" i="6" s="1"/>
  <c r="O52" i="6"/>
  <c r="O64" i="6" s="1"/>
  <c r="P50" i="6"/>
  <c r="N34" i="6"/>
  <c r="O32" i="6"/>
  <c r="M69" i="6"/>
  <c r="M87" i="6" s="1"/>
  <c r="M102" i="6" s="1"/>
  <c r="J41" i="6"/>
  <c r="K40" i="6"/>
  <c r="P71" i="6" l="1"/>
  <c r="P81" i="6" s="1"/>
  <c r="P72" i="6"/>
  <c r="P82" i="6" s="1"/>
  <c r="J45" i="6"/>
  <c r="M37" i="6"/>
  <c r="O84" i="6"/>
  <c r="O36" i="6" s="1"/>
  <c r="P54" i="6"/>
  <c r="P66" i="6" s="1"/>
  <c r="N67" i="6"/>
  <c r="N35" i="6" s="1"/>
  <c r="O53" i="6"/>
  <c r="O65" i="6" s="1"/>
  <c r="O67" i="6" s="1"/>
  <c r="O35" i="6" s="1"/>
  <c r="P52" i="6"/>
  <c r="P64" i="6" s="1"/>
  <c r="P51" i="6"/>
  <c r="Q50" i="6"/>
  <c r="N69" i="6"/>
  <c r="N87" i="6" s="1"/>
  <c r="N102" i="6" s="1"/>
  <c r="K41" i="6"/>
  <c r="L40" i="6"/>
  <c r="P32" i="6"/>
  <c r="O34" i="6"/>
  <c r="Q72" i="6" l="1"/>
  <c r="Q82" i="6" s="1"/>
  <c r="Q71" i="6"/>
  <c r="Q81" i="6" s="1"/>
  <c r="K45" i="6"/>
  <c r="N37" i="6"/>
  <c r="O37" i="6"/>
  <c r="P84" i="6"/>
  <c r="P36" i="6" s="1"/>
  <c r="Q54" i="6"/>
  <c r="Q66" i="6" s="1"/>
  <c r="P53" i="6"/>
  <c r="P65" i="6" s="1"/>
  <c r="P63" i="6"/>
  <c r="Q52" i="6"/>
  <c r="Q64" i="6" s="1"/>
  <c r="Q51" i="6"/>
  <c r="Q63" i="6" s="1"/>
  <c r="R50" i="6"/>
  <c r="Q32" i="6"/>
  <c r="P34" i="6"/>
  <c r="O69" i="6"/>
  <c r="O87" i="6" s="1"/>
  <c r="O102" i="6" s="1"/>
  <c r="L41" i="6"/>
  <c r="L45" i="6" s="1"/>
  <c r="M40" i="6"/>
  <c r="R72" i="6" l="1"/>
  <c r="R71" i="6"/>
  <c r="Q84" i="6"/>
  <c r="Q36" i="6" s="1"/>
  <c r="R54" i="6"/>
  <c r="R66" i="6" s="1"/>
  <c r="R82" i="6"/>
  <c r="R81" i="6"/>
  <c r="P67" i="6"/>
  <c r="P35" i="6" s="1"/>
  <c r="Q53" i="6"/>
  <c r="Q65" i="6" s="1"/>
  <c r="Q67" i="6" s="1"/>
  <c r="Q35" i="6" s="1"/>
  <c r="R51" i="6"/>
  <c r="R63" i="6" s="1"/>
  <c r="S50" i="6"/>
  <c r="R52" i="6"/>
  <c r="R64" i="6" s="1"/>
  <c r="M41" i="6"/>
  <c r="N40" i="6"/>
  <c r="R32" i="6"/>
  <c r="Q34" i="6"/>
  <c r="P69" i="6"/>
  <c r="P87" i="6" s="1"/>
  <c r="P102" i="6" s="1"/>
  <c r="S72" i="6" l="1"/>
  <c r="S82" i="6" s="1"/>
  <c r="S71" i="6"/>
  <c r="S81" i="6" s="1"/>
  <c r="R84" i="6"/>
  <c r="R36" i="6" s="1"/>
  <c r="M45" i="6"/>
  <c r="Q37" i="6"/>
  <c r="P37" i="6"/>
  <c r="S54" i="6"/>
  <c r="S66" i="6" s="1"/>
  <c r="R53" i="6"/>
  <c r="R65" i="6" s="1"/>
  <c r="R67" i="6" s="1"/>
  <c r="R35" i="6" s="1"/>
  <c r="T50" i="6"/>
  <c r="S52" i="6"/>
  <c r="S64" i="6" s="1"/>
  <c r="S51" i="6"/>
  <c r="S63" i="6" s="1"/>
  <c r="N41" i="6"/>
  <c r="N45" i="6" s="1"/>
  <c r="O40" i="6"/>
  <c r="R34" i="6"/>
  <c r="S32" i="6"/>
  <c r="Q69" i="6"/>
  <c r="Q87" i="6" s="1"/>
  <c r="Q102" i="6" s="1"/>
  <c r="T71" i="6" l="1"/>
  <c r="T72" i="6"/>
  <c r="T82" i="6" s="1"/>
  <c r="R37" i="6"/>
  <c r="S84" i="6"/>
  <c r="S36" i="6" s="1"/>
  <c r="T54" i="6"/>
  <c r="T66" i="6" s="1"/>
  <c r="T81" i="6"/>
  <c r="S53" i="6"/>
  <c r="S65" i="6" s="1"/>
  <c r="S67" i="6" s="1"/>
  <c r="S35" i="6" s="1"/>
  <c r="T52" i="6"/>
  <c r="T64" i="6" s="1"/>
  <c r="T51" i="6"/>
  <c r="O41" i="6"/>
  <c r="O45" i="6" s="1"/>
  <c r="P40" i="6"/>
  <c r="R69" i="6"/>
  <c r="R87" i="6" s="1"/>
  <c r="R102" i="6" s="1"/>
  <c r="T32" i="6"/>
  <c r="S34" i="6"/>
  <c r="T84" i="6" l="1"/>
  <c r="T36" i="6" s="1"/>
  <c r="S37" i="6"/>
  <c r="T53" i="6"/>
  <c r="T65" i="6" s="1"/>
  <c r="T63" i="6"/>
  <c r="P41" i="6"/>
  <c r="Q40" i="6"/>
  <c r="T34" i="6"/>
  <c r="S69" i="6"/>
  <c r="S87" i="6" s="1"/>
  <c r="S102" i="6" s="1"/>
  <c r="P45" i="6" l="1"/>
  <c r="T67" i="6"/>
  <c r="T35" i="6" s="1"/>
  <c r="T69" i="6"/>
  <c r="T87" i="6" s="1"/>
  <c r="T102" i="6" s="1"/>
  <c r="Q41" i="6"/>
  <c r="R40" i="6"/>
  <c r="Q45" i="6" l="1"/>
  <c r="T37" i="6"/>
  <c r="R41" i="6"/>
  <c r="S40" i="6"/>
  <c r="T40" i="6" l="1"/>
  <c r="T41" i="6" s="1"/>
  <c r="T45" i="6" s="1"/>
  <c r="R45" i="6"/>
  <c r="S41" i="6"/>
  <c r="S45" i="6" l="1"/>
  <c r="C37" i="6" l="1"/>
  <c r="C41" i="6" l="1"/>
  <c r="C45" i="6" l="1"/>
</calcChain>
</file>

<file path=xl/sharedStrings.xml><?xml version="1.0" encoding="utf-8"?>
<sst xmlns="http://schemas.openxmlformats.org/spreadsheetml/2006/main" count="121" uniqueCount="92">
  <si>
    <t>Yes</t>
  </si>
  <si>
    <t>No</t>
  </si>
  <si>
    <t>Authority</t>
  </si>
  <si>
    <t>PWD, MH</t>
  </si>
  <si>
    <t>CA Start Date</t>
  </si>
  <si>
    <t>Total CA Period</t>
  </si>
  <si>
    <t>years</t>
  </si>
  <si>
    <t>CA End Date</t>
  </si>
  <si>
    <t>Expected Extension</t>
  </si>
  <si>
    <t>New CA End Date</t>
  </si>
  <si>
    <t>New CA End FY</t>
  </si>
  <si>
    <t>Valuation Date</t>
  </si>
  <si>
    <t>Balance Period (w/o extension)</t>
  </si>
  <si>
    <t>Balance Period (with extension)</t>
  </si>
  <si>
    <t>Revenue start Date</t>
  </si>
  <si>
    <t>Revenue start FY</t>
  </si>
  <si>
    <t>Current/Expected Toll per day</t>
  </si>
  <si>
    <t>Rs. Lakhs / day</t>
  </si>
  <si>
    <t>Increase in Revenue from FY24</t>
  </si>
  <si>
    <t>Traffic growth rate</t>
  </si>
  <si>
    <t>Tariff Growth every 3 years</t>
  </si>
  <si>
    <t>Current O&amp;M / lane km</t>
  </si>
  <si>
    <t>Rs. Lakhs</t>
  </si>
  <si>
    <t>O&amp;M growth rate</t>
  </si>
  <si>
    <t>MMR / lane km</t>
  </si>
  <si>
    <t>MMR growth</t>
  </si>
  <si>
    <t>Rs. Crores</t>
  </si>
  <si>
    <t>No of days</t>
  </si>
  <si>
    <t>Total revenue</t>
  </si>
  <si>
    <t>Operating expenses</t>
  </si>
  <si>
    <t>O&amp;M Expenses</t>
  </si>
  <si>
    <t>Total expenses</t>
  </si>
  <si>
    <t>MMR (Rs. Crores)</t>
  </si>
  <si>
    <t>MMR requirement (Rs. Crs)</t>
  </si>
  <si>
    <t>MMR expenses (Rs. Crs)</t>
  </si>
  <si>
    <t>MMR provisions (Rs. Crs.)</t>
  </si>
  <si>
    <t>Total</t>
  </si>
  <si>
    <t>Passanger-A</t>
  </si>
  <si>
    <t>Passanger-B</t>
  </si>
  <si>
    <t>Parkings 4 Wheelers</t>
  </si>
  <si>
    <t>Parkings 2 Wheelers</t>
  </si>
  <si>
    <t>Rent of Shopes</t>
  </si>
  <si>
    <t>Quarterly Pass</t>
  </si>
  <si>
    <t>Ticket Counter</t>
  </si>
  <si>
    <t>in 2 Shift</t>
  </si>
  <si>
    <t>Parking Staff</t>
  </si>
  <si>
    <t>Supervision Staff</t>
  </si>
  <si>
    <t>Staff Salary</t>
  </si>
  <si>
    <t>Lubricants</t>
  </si>
  <si>
    <t>No. of Months in Year</t>
  </si>
  <si>
    <t>Supervision Charges</t>
  </si>
  <si>
    <t>CASH FLOW</t>
  </si>
  <si>
    <t xml:space="preserve">Capex </t>
  </si>
  <si>
    <t>Revenue Schedule</t>
  </si>
  <si>
    <t>Price Per Passenger</t>
  </si>
  <si>
    <t>Freight</t>
  </si>
  <si>
    <t>Number of Passengers</t>
  </si>
  <si>
    <t>Revenue Per Day</t>
  </si>
  <si>
    <t>Sub Total</t>
  </si>
  <si>
    <t>Numbers</t>
  </si>
  <si>
    <t>Wire Rope</t>
  </si>
  <si>
    <t>Boggies</t>
  </si>
  <si>
    <t>HVAC</t>
  </si>
  <si>
    <t>100 Pillars</t>
  </si>
  <si>
    <t>Cabling</t>
  </si>
  <si>
    <t>Lighting</t>
  </si>
  <si>
    <t>5the Year</t>
  </si>
  <si>
    <t>YEs</t>
  </si>
  <si>
    <t>10th year</t>
  </si>
  <si>
    <t>Other Income</t>
  </si>
  <si>
    <t>Rates</t>
  </si>
  <si>
    <t>Total O &amp; M Expenses</t>
  </si>
  <si>
    <t>Water Expenses and Other Exp.</t>
  </si>
  <si>
    <t>O&amp; M Expenses (Monthly)</t>
  </si>
  <si>
    <t>2038</t>
  </si>
  <si>
    <t>2039</t>
  </si>
  <si>
    <t>Revenue per day (Rs. In Crs)</t>
  </si>
  <si>
    <t>Other Revenue Per Day (Rs. In Crs)</t>
  </si>
  <si>
    <t>Electricity for boggies trip</t>
  </si>
  <si>
    <t>Electricity - others</t>
  </si>
  <si>
    <t>Remarks - As no water is available at facilty</t>
  </si>
  <si>
    <t>Per trip time</t>
  </si>
  <si>
    <t>8 Minutes</t>
  </si>
  <si>
    <t>Unit Consumotion per trip</t>
  </si>
  <si>
    <t>15 Units</t>
  </si>
  <si>
    <t>Per Minute Consumotion (in units)</t>
  </si>
  <si>
    <t>Total Running Minutes Assumed</t>
  </si>
  <si>
    <t>Electricity is not available whole time, thatswhy only 4 hours of electricity assumed, for rest of the hours, electrcity assumed in others.</t>
  </si>
  <si>
    <t>3 Tikcet Counter and Per Shift 3 staff</t>
  </si>
  <si>
    <t>8 Persons per shift</t>
  </si>
  <si>
    <t>Support Staff (TT, Security Guard)</t>
  </si>
  <si>
    <t>9 Persons per shift (6 for 4 wheelers and 3 for 2 wheelers)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</si>
</sst>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₹&quot;\ #,##0.00;[Red]&quot;₹&quot;\ \-#,##0.00"/>
    <numFmt numFmtId="43" formatCode="_ * #,##0.00_ ;_ * \-#,##0.00_ ;_ * &quot;-&quot;??_ ;_ @_ "/>
    <numFmt numFmtId="164" formatCode="0.0"/>
    <numFmt numFmtId="165" formatCode="yyyy"/>
    <numFmt numFmtId="166" formatCode="_ * #,##0_ ;_ * \-#,##0_ ;_ * &quot;-&quot;??_ ;_ @_ "/>
    <numFmt numFmtId="167" formatCode="_(* #,##0.0_);_(* \(#,##0.0\);_(* &quot;-&quot;??_);_(@_)"/>
    <numFmt numFmtId="168" formatCode="0.0%"/>
    <numFmt numFmtId="169" formatCode="_ * #,##0.0_ ;_ * \-#,##0.0_ ;_ * &quot;-&quot;??_ ;_ @_ "/>
    <numFmt numFmtId="170" formatCode="_ * #,##0.000_ ;_ * \-#,##0.000_ ;_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indexed="9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u/>
      <sz val="10"/>
      <color indexed="9"/>
      <name val="Calibri"/>
      <family val="2"/>
    </font>
    <font>
      <b/>
      <u/>
      <sz val="11"/>
      <color indexed="9"/>
      <name val="Calibri"/>
      <family val="2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 val="singleAccounting"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Font="1" applyBorder="1"/>
    <xf numFmtId="0" fontId="0" fillId="0" borderId="1" xfId="0" applyFont="1" applyBorder="1"/>
    <xf numFmtId="15" fontId="3" fillId="0" borderId="2" xfId="0" applyNumberFormat="1" applyFont="1" applyBorder="1"/>
    <xf numFmtId="0" fontId="0" fillId="0" borderId="3" xfId="0" applyBorder="1"/>
    <xf numFmtId="0" fontId="0" fillId="0" borderId="4" xfId="0" applyFont="1" applyBorder="1"/>
    <xf numFmtId="164" fontId="3" fillId="0" borderId="0" xfId="0" applyNumberFormat="1" applyFont="1" applyBorder="1"/>
    <xf numFmtId="0" fontId="0" fillId="0" borderId="5" xfId="0" applyBorder="1"/>
    <xf numFmtId="15" fontId="3" fillId="0" borderId="0" xfId="0" applyNumberFormat="1" applyFont="1" applyBorder="1"/>
    <xf numFmtId="0" fontId="0" fillId="2" borderId="4" xfId="0" applyFont="1" applyFill="1" applyBorder="1"/>
    <xf numFmtId="164" fontId="3" fillId="2" borderId="0" xfId="0" applyNumberFormat="1" applyFont="1" applyFill="1" applyBorder="1"/>
    <xf numFmtId="0" fontId="0" fillId="2" borderId="5" xfId="0" applyFill="1" applyBorder="1"/>
    <xf numFmtId="0" fontId="0" fillId="0" borderId="4" xfId="0" applyFont="1" applyFill="1" applyBorder="1"/>
    <xf numFmtId="0" fontId="3" fillId="0" borderId="6" xfId="0" applyFont="1" applyFill="1" applyBorder="1"/>
    <xf numFmtId="1" fontId="3" fillId="0" borderId="7" xfId="0" applyNumberFormat="1" applyFont="1" applyBorder="1"/>
    <xf numFmtId="0" fontId="0" fillId="0" borderId="8" xfId="0" applyBorder="1"/>
    <xf numFmtId="0" fontId="0" fillId="0" borderId="0" xfId="0" applyFont="1" applyFill="1" applyBorder="1"/>
    <xf numFmtId="14" fontId="3" fillId="0" borderId="0" xfId="0" applyNumberFormat="1" applyFont="1" applyBorder="1"/>
    <xf numFmtId="0" fontId="0" fillId="0" borderId="1" xfId="0" applyFont="1" applyFill="1" applyBorder="1"/>
    <xf numFmtId="0" fontId="0" fillId="0" borderId="6" xfId="0" applyFont="1" applyBorder="1"/>
    <xf numFmtId="164" fontId="3" fillId="0" borderId="7" xfId="0" applyNumberFormat="1" applyFont="1" applyBorder="1"/>
    <xf numFmtId="0" fontId="0" fillId="0" borderId="2" xfId="0" applyBorder="1"/>
    <xf numFmtId="1" fontId="3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2" borderId="0" xfId="0" applyNumberFormat="1" applyFill="1" applyBorder="1"/>
    <xf numFmtId="0" fontId="0" fillId="2" borderId="0" xfId="0" applyFill="1" applyBorder="1"/>
    <xf numFmtId="0" fontId="0" fillId="2" borderId="6" xfId="0" applyFont="1" applyFill="1" applyBorder="1"/>
    <xf numFmtId="9" fontId="0" fillId="2" borderId="7" xfId="0" applyNumberFormat="1" applyFill="1" applyBorder="1"/>
    <xf numFmtId="0" fontId="0" fillId="2" borderId="7" xfId="0" applyFill="1" applyBorder="1"/>
    <xf numFmtId="0" fontId="0" fillId="2" borderId="8" xfId="0" applyFill="1" applyBorder="1"/>
    <xf numFmtId="164" fontId="0" fillId="0" borderId="2" xfId="0" applyNumberFormat="1" applyBorder="1"/>
    <xf numFmtId="0" fontId="0" fillId="0" borderId="1" xfId="0" applyBorder="1"/>
    <xf numFmtId="9" fontId="0" fillId="0" borderId="0" xfId="2" applyFont="1" applyBorder="1"/>
    <xf numFmtId="0" fontId="0" fillId="0" borderId="4" xfId="0" applyBorder="1"/>
    <xf numFmtId="0" fontId="0" fillId="0" borderId="6" xfId="0" applyBorder="1"/>
    <xf numFmtId="9" fontId="0" fillId="0" borderId="7" xfId="2" applyFont="1" applyBorder="1"/>
    <xf numFmtId="9" fontId="0" fillId="0" borderId="0" xfId="2" applyFont="1"/>
    <xf numFmtId="0" fontId="0" fillId="0" borderId="7" xfId="0" applyBorder="1"/>
    <xf numFmtId="0" fontId="4" fillId="3" borderId="0" xfId="0" applyFont="1" applyFill="1" applyBorder="1" applyAlignment="1">
      <alignment horizontal="center"/>
    </xf>
    <xf numFmtId="165" fontId="4" fillId="3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166" fontId="7" fillId="0" borderId="0" xfId="1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 applyBorder="1"/>
    <xf numFmtId="167" fontId="10" fillId="0" borderId="0" xfId="1" applyNumberFormat="1" applyFont="1" applyBorder="1"/>
    <xf numFmtId="167" fontId="9" fillId="0" borderId="0" xfId="1" applyNumberFormat="1" applyFont="1" applyBorder="1"/>
    <xf numFmtId="0" fontId="10" fillId="0" borderId="0" xfId="0" applyFont="1" applyBorder="1"/>
    <xf numFmtId="10" fontId="9" fillId="0" borderId="0" xfId="2" applyNumberFormat="1" applyFont="1" applyBorder="1"/>
    <xf numFmtId="0" fontId="11" fillId="0" borderId="0" xfId="0" applyFont="1" applyBorder="1" applyAlignment="1">
      <alignment horizontal="right"/>
    </xf>
    <xf numFmtId="168" fontId="11" fillId="0" borderId="0" xfId="2" applyNumberFormat="1" applyFont="1" applyBorder="1" applyAlignment="1">
      <alignment horizontal="right"/>
    </xf>
    <xf numFmtId="167" fontId="10" fillId="0" borderId="9" xfId="1" applyNumberFormat="1" applyFont="1" applyBorder="1"/>
    <xf numFmtId="0" fontId="10" fillId="0" borderId="9" xfId="0" applyFont="1" applyBorder="1"/>
    <xf numFmtId="0" fontId="3" fillId="0" borderId="0" xfId="0" applyFont="1"/>
    <xf numFmtId="168" fontId="12" fillId="0" borderId="0" xfId="2" applyNumberFormat="1" applyFont="1" applyBorder="1" applyAlignment="1">
      <alignment horizontal="center"/>
    </xf>
    <xf numFmtId="169" fontId="13" fillId="0" borderId="0" xfId="1" applyNumberFormat="1" applyFont="1"/>
    <xf numFmtId="164" fontId="3" fillId="0" borderId="0" xfId="0" applyNumberFormat="1" applyFont="1"/>
    <xf numFmtId="169" fontId="3" fillId="0" borderId="0" xfId="0" applyNumberFormat="1" applyFont="1"/>
    <xf numFmtId="169" fontId="0" fillId="0" borderId="0" xfId="1" applyNumberFormat="1" applyFont="1"/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1" fontId="0" fillId="0" borderId="0" xfId="0" applyNumberFormat="1"/>
    <xf numFmtId="168" fontId="0" fillId="0" borderId="0" xfId="0" applyNumberFormat="1" applyBorder="1"/>
    <xf numFmtId="0" fontId="2" fillId="0" borderId="0" xfId="0" applyFont="1"/>
    <xf numFmtId="0" fontId="10" fillId="0" borderId="10" xfId="0" applyFont="1" applyBorder="1"/>
    <xf numFmtId="0" fontId="14" fillId="3" borderId="0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166" fontId="0" fillId="0" borderId="0" xfId="1" applyNumberFormat="1" applyFont="1"/>
    <xf numFmtId="0" fontId="16" fillId="0" borderId="0" xfId="0" applyFont="1"/>
    <xf numFmtId="166" fontId="16" fillId="0" borderId="0" xfId="1" applyNumberFormat="1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64" fontId="17" fillId="0" borderId="0" xfId="0" applyNumberFormat="1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4" borderId="0" xfId="0" applyFill="1"/>
    <xf numFmtId="0" fontId="0" fillId="4" borderId="0" xfId="0" applyFill="1" applyBorder="1"/>
    <xf numFmtId="0" fontId="17" fillId="0" borderId="0" xfId="0" applyFont="1" applyAlignment="1">
      <alignment horizontal="center"/>
    </xf>
    <xf numFmtId="166" fontId="2" fillId="0" borderId="0" xfId="1" applyNumberFormat="1" applyFont="1"/>
    <xf numFmtId="170" fontId="9" fillId="0" borderId="0" xfId="1" applyNumberFormat="1" applyFont="1" applyBorder="1"/>
    <xf numFmtId="43" fontId="0" fillId="0" borderId="0" xfId="1" applyNumberFormat="1" applyFont="1"/>
    <xf numFmtId="0" fontId="16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7" fillId="0" borderId="0" xfId="0" applyFont="1"/>
    <xf numFmtId="166" fontId="17" fillId="0" borderId="0" xfId="1" applyNumberFormat="1" applyFont="1"/>
    <xf numFmtId="169" fontId="20" fillId="0" borderId="0" xfId="1" applyNumberFormat="1" applyFont="1"/>
    <xf numFmtId="0" fontId="2" fillId="4" borderId="0" xfId="0" applyFont="1" applyFill="1"/>
    <xf numFmtId="9" fontId="2" fillId="4" borderId="0" xfId="0" applyNumberFormat="1" applyFont="1" applyFill="1"/>
    <xf numFmtId="8" fontId="2" fillId="4" borderId="0" xfId="0" applyNumberFormat="1" applyFont="1" applyFill="1"/>
    <xf numFmtId="0" fontId="3" fillId="4" borderId="0" xfId="0" applyFont="1" applyFill="1"/>
    <xf numFmtId="9" fontId="0" fillId="4" borderId="0" xfId="0" applyNumberFormat="1" applyFill="1" applyBorder="1"/>
    <xf numFmtId="0" fontId="0" fillId="4" borderId="0" xfId="0" applyFill="1" applyBorder="1" applyAlignment="1">
      <alignment horizontal="center"/>
    </xf>
    <xf numFmtId="166" fontId="2" fillId="0" borderId="2" xfId="1" applyNumberFormat="1" applyFont="1" applyBorder="1"/>
    <xf numFmtId="165" fontId="4" fillId="3" borderId="0" xfId="0" quotePrefix="1" applyNumberFormat="1" applyFont="1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6" fontId="0" fillId="0" borderId="0" xfId="1" applyNumberFormat="1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62EED-F2AE-4954-844F-C7B3413B5D43}">
  <dimension ref="A3:V117"/>
  <sheetViews>
    <sheetView showGridLines="0" tabSelected="1" topLeftCell="A31" workbookViewId="0">
      <selection activeCell="A43" sqref="A43"/>
    </sheetView>
  </sheetViews>
  <sheetFormatPr defaultRowHeight="15" x14ac:dyDescent="0.25"/>
  <cols>
    <col min="2" max="2" width="29.7109375" customWidth="1"/>
    <col min="3" max="3" width="13.140625" customWidth="1"/>
    <col min="4" max="4" width="10" bestFit="1" customWidth="1"/>
    <col min="5" max="5" width="12.5703125" bestFit="1" customWidth="1"/>
    <col min="6" max="6" width="14.28515625" bestFit="1" customWidth="1"/>
    <col min="7" max="7" width="12.85546875" bestFit="1" customWidth="1"/>
    <col min="8" max="20" width="11.5703125" bestFit="1" customWidth="1"/>
  </cols>
  <sheetData>
    <row r="3" spans="2:12" x14ac:dyDescent="0.25">
      <c r="B3" s="1" t="s">
        <v>2</v>
      </c>
      <c r="C3" t="s">
        <v>3</v>
      </c>
      <c r="I3" s="90"/>
      <c r="J3" s="90"/>
      <c r="K3" s="91"/>
      <c r="L3" s="78"/>
    </row>
    <row r="4" spans="2:12" x14ac:dyDescent="0.25">
      <c r="B4" s="1" t="s">
        <v>49</v>
      </c>
      <c r="C4">
        <v>12</v>
      </c>
      <c r="I4" s="90"/>
      <c r="J4" s="90"/>
      <c r="K4" s="92"/>
      <c r="L4" s="78"/>
    </row>
    <row r="5" spans="2:12" x14ac:dyDescent="0.25">
      <c r="B5" s="1"/>
      <c r="I5" s="78"/>
      <c r="J5" s="78"/>
      <c r="K5" s="78"/>
      <c r="L5" s="78"/>
    </row>
    <row r="6" spans="2:12" x14ac:dyDescent="0.25">
      <c r="B6" s="1"/>
      <c r="I6" s="93"/>
      <c r="J6" s="93"/>
      <c r="K6" s="93"/>
      <c r="L6" s="93"/>
    </row>
    <row r="7" spans="2:12" x14ac:dyDescent="0.25">
      <c r="B7" s="2" t="s">
        <v>4</v>
      </c>
      <c r="C7" s="3">
        <v>40961</v>
      </c>
      <c r="D7" s="4"/>
    </row>
    <row r="8" spans="2:12" x14ac:dyDescent="0.25">
      <c r="B8" s="5" t="s">
        <v>5</v>
      </c>
      <c r="C8" s="6">
        <v>24.5</v>
      </c>
      <c r="D8" s="7" t="s">
        <v>6</v>
      </c>
    </row>
    <row r="9" spans="2:12" x14ac:dyDescent="0.25">
      <c r="B9" s="5" t="s">
        <v>7</v>
      </c>
      <c r="C9" s="8">
        <f>EDATE(C7,C8*12)</f>
        <v>49909</v>
      </c>
      <c r="D9" s="7"/>
    </row>
    <row r="10" spans="2:12" x14ac:dyDescent="0.25">
      <c r="B10" s="9" t="s">
        <v>8</v>
      </c>
      <c r="C10" s="10">
        <v>0</v>
      </c>
      <c r="D10" s="11" t="s">
        <v>6</v>
      </c>
    </row>
    <row r="11" spans="2:12" x14ac:dyDescent="0.25">
      <c r="B11" s="12" t="s">
        <v>9</v>
      </c>
      <c r="C11" s="8">
        <f>+EDATE(C9,C10*12)</f>
        <v>49909</v>
      </c>
      <c r="D11" s="7"/>
    </row>
    <row r="12" spans="2:12" x14ac:dyDescent="0.25">
      <c r="B12" s="13" t="s">
        <v>10</v>
      </c>
      <c r="C12" s="14">
        <f>IF(MONTH(C11)&gt;3,YEAR(C11)+1,YEAR(C11))</f>
        <v>2037</v>
      </c>
      <c r="D12" s="15"/>
    </row>
    <row r="13" spans="2:12" x14ac:dyDescent="0.25">
      <c r="B13" s="16"/>
      <c r="C13" s="17"/>
    </row>
    <row r="14" spans="2:12" x14ac:dyDescent="0.25">
      <c r="B14" s="18" t="s">
        <v>11</v>
      </c>
      <c r="C14" s="3">
        <v>44742</v>
      </c>
      <c r="D14" s="4"/>
    </row>
    <row r="15" spans="2:12" x14ac:dyDescent="0.25">
      <c r="B15" s="5" t="s">
        <v>12</v>
      </c>
      <c r="C15" s="6">
        <f>(C9-C14)/365</f>
        <v>14.156164383561643</v>
      </c>
      <c r="D15" s="7" t="s">
        <v>6</v>
      </c>
    </row>
    <row r="16" spans="2:12" x14ac:dyDescent="0.25">
      <c r="B16" s="19" t="s">
        <v>13</v>
      </c>
      <c r="C16" s="20">
        <f>(C11-C14)/365</f>
        <v>14.156164383561643</v>
      </c>
      <c r="D16" s="15" t="s">
        <v>6</v>
      </c>
    </row>
    <row r="17" spans="2:20" x14ac:dyDescent="0.25">
      <c r="B17" s="1"/>
    </row>
    <row r="18" spans="2:20" x14ac:dyDescent="0.25">
      <c r="B18" s="2" t="s">
        <v>14</v>
      </c>
      <c r="C18" s="3">
        <v>45108</v>
      </c>
      <c r="D18" s="21"/>
      <c r="E18" s="4"/>
    </row>
    <row r="19" spans="2:20" x14ac:dyDescent="0.25">
      <c r="B19" s="12" t="s">
        <v>15</v>
      </c>
      <c r="C19" s="22">
        <f>IF(MONTH(C18)&gt;3,YEAR(C18)+1,YEAR(C18))</f>
        <v>2024</v>
      </c>
      <c r="D19" s="23"/>
      <c r="E19" s="7"/>
    </row>
    <row r="20" spans="2:20" x14ac:dyDescent="0.25">
      <c r="B20" s="5" t="s">
        <v>16</v>
      </c>
      <c r="C20" s="24"/>
      <c r="D20" s="23" t="s">
        <v>17</v>
      </c>
      <c r="E20" s="7"/>
    </row>
    <row r="21" spans="2:20" x14ac:dyDescent="0.25">
      <c r="B21" s="9" t="s">
        <v>18</v>
      </c>
      <c r="C21" s="25">
        <v>0</v>
      </c>
      <c r="D21" s="26" t="s">
        <v>17</v>
      </c>
      <c r="E21" s="11"/>
    </row>
    <row r="22" spans="2:20" x14ac:dyDescent="0.25">
      <c r="B22" s="5" t="s">
        <v>19</v>
      </c>
      <c r="C22" s="64">
        <v>0.02</v>
      </c>
      <c r="D22" s="23"/>
      <c r="E22" s="7"/>
    </row>
    <row r="23" spans="2:20" x14ac:dyDescent="0.25">
      <c r="B23" s="27" t="s">
        <v>20</v>
      </c>
      <c r="C23" s="28">
        <v>0.03</v>
      </c>
      <c r="D23" s="29"/>
      <c r="E23" s="30"/>
    </row>
    <row r="25" spans="2:20" x14ac:dyDescent="0.25">
      <c r="B25" s="2" t="s">
        <v>21</v>
      </c>
      <c r="C25" s="31">
        <f>E117/10^5</f>
        <v>27.75</v>
      </c>
      <c r="D25" s="4" t="s">
        <v>22</v>
      </c>
      <c r="F25" s="79"/>
      <c r="G25" s="79"/>
      <c r="H25" s="79"/>
      <c r="I25" s="79"/>
    </row>
    <row r="26" spans="2:20" x14ac:dyDescent="0.25">
      <c r="B26" s="12" t="s">
        <v>23</v>
      </c>
      <c r="C26" s="33">
        <v>0.1</v>
      </c>
      <c r="D26" s="7"/>
      <c r="F26" s="79"/>
      <c r="G26" s="79"/>
      <c r="H26" s="79"/>
      <c r="I26" s="79"/>
    </row>
    <row r="27" spans="2:20" x14ac:dyDescent="0.25">
      <c r="B27" s="34" t="s">
        <v>24</v>
      </c>
      <c r="C27" s="24">
        <v>35</v>
      </c>
      <c r="D27" s="7" t="s">
        <v>22</v>
      </c>
      <c r="F27" s="79"/>
      <c r="G27" s="79"/>
      <c r="H27" s="79"/>
      <c r="I27" s="79"/>
    </row>
    <row r="28" spans="2:20" x14ac:dyDescent="0.25">
      <c r="B28" s="35" t="s">
        <v>25</v>
      </c>
      <c r="C28" s="36">
        <v>0.15</v>
      </c>
      <c r="D28" s="15"/>
      <c r="F28" s="79"/>
      <c r="G28" s="94"/>
      <c r="H28" s="79"/>
      <c r="I28" s="79"/>
    </row>
    <row r="29" spans="2:20" x14ac:dyDescent="0.25">
      <c r="C29" s="37"/>
      <c r="F29" s="79"/>
      <c r="G29" s="95"/>
      <c r="H29" s="79"/>
      <c r="I29" s="79"/>
    </row>
    <row r="30" spans="2:20" x14ac:dyDescent="0.25">
      <c r="C30" s="37"/>
    </row>
    <row r="31" spans="2:20" x14ac:dyDescent="0.25">
      <c r="B31" s="23"/>
    </row>
    <row r="32" spans="2:20" x14ac:dyDescent="0.25">
      <c r="B32" s="39" t="s">
        <v>26</v>
      </c>
      <c r="C32" s="39"/>
      <c r="D32" s="39"/>
      <c r="E32" s="40"/>
      <c r="F32" s="40"/>
      <c r="G32" s="40">
        <v>45382</v>
      </c>
      <c r="H32" s="40">
        <f t="shared" ref="H32:T32" si="0">EOMONTH(G32,12)</f>
        <v>45747</v>
      </c>
      <c r="I32" s="40">
        <f t="shared" si="0"/>
        <v>46112</v>
      </c>
      <c r="J32" s="40">
        <f t="shared" si="0"/>
        <v>46477</v>
      </c>
      <c r="K32" s="40">
        <f t="shared" si="0"/>
        <v>46843</v>
      </c>
      <c r="L32" s="40">
        <f t="shared" si="0"/>
        <v>47208</v>
      </c>
      <c r="M32" s="40">
        <f t="shared" si="0"/>
        <v>47573</v>
      </c>
      <c r="N32" s="40">
        <f t="shared" si="0"/>
        <v>47938</v>
      </c>
      <c r="O32" s="40">
        <f t="shared" si="0"/>
        <v>48304</v>
      </c>
      <c r="P32" s="40">
        <f t="shared" si="0"/>
        <v>48669</v>
      </c>
      <c r="Q32" s="40">
        <f t="shared" si="0"/>
        <v>49034</v>
      </c>
      <c r="R32" s="40">
        <f t="shared" si="0"/>
        <v>49399</v>
      </c>
      <c r="S32" s="40">
        <f t="shared" si="0"/>
        <v>49765</v>
      </c>
      <c r="T32" s="40">
        <f t="shared" si="0"/>
        <v>50130</v>
      </c>
    </row>
    <row r="33" spans="1:20" x14ac:dyDescent="0.25">
      <c r="B33" s="41"/>
      <c r="C33" s="41"/>
      <c r="D33" s="41"/>
      <c r="E33" s="41"/>
      <c r="F33" s="41"/>
      <c r="G33" s="41"/>
      <c r="H33" s="41"/>
    </row>
    <row r="34" spans="1:20" s="45" customFormat="1" x14ac:dyDescent="0.25">
      <c r="A34"/>
      <c r="B34" s="42" t="s">
        <v>27</v>
      </c>
      <c r="C34" s="43"/>
      <c r="D34" s="43"/>
      <c r="E34" s="44">
        <f>IF(OR(YEAR(E32)&lt;$C$19,YEAR(E32)&gt;$C$12),0,IF(AND($C$18&gt;D32,$C$18&lt;=E32),E32-$C$18,IF(AND($C$11&gt;D32,$C$11&lt;=E32),$C$11-D32,E32-D32)))</f>
        <v>0</v>
      </c>
      <c r="F34" s="44">
        <f t="shared" ref="F34:T34" si="1">IF(OR(YEAR(F32)&lt;$C$19,YEAR(F32)&gt;$C$12),0,IF(AND($C$18&gt;E32,$C$18&lt;=F32),F32-$C$18,IF(AND($C$11&gt;E32,$C$11&lt;=F32),$C$11-E32,F32-E32)))</f>
        <v>0</v>
      </c>
      <c r="G34" s="44">
        <f t="shared" si="1"/>
        <v>274</v>
      </c>
      <c r="H34" s="44">
        <f t="shared" si="1"/>
        <v>365</v>
      </c>
      <c r="I34" s="44">
        <f t="shared" si="1"/>
        <v>365</v>
      </c>
      <c r="J34" s="44">
        <f t="shared" si="1"/>
        <v>365</v>
      </c>
      <c r="K34" s="44">
        <f t="shared" si="1"/>
        <v>366</v>
      </c>
      <c r="L34" s="44">
        <f t="shared" si="1"/>
        <v>365</v>
      </c>
      <c r="M34" s="44">
        <f t="shared" si="1"/>
        <v>365</v>
      </c>
      <c r="N34" s="44">
        <f t="shared" si="1"/>
        <v>365</v>
      </c>
      <c r="O34" s="44">
        <f t="shared" si="1"/>
        <v>366</v>
      </c>
      <c r="P34" s="44">
        <f t="shared" si="1"/>
        <v>365</v>
      </c>
      <c r="Q34" s="44">
        <f t="shared" si="1"/>
        <v>365</v>
      </c>
      <c r="R34" s="44">
        <f t="shared" si="1"/>
        <v>365</v>
      </c>
      <c r="S34" s="44">
        <f t="shared" si="1"/>
        <v>366</v>
      </c>
      <c r="T34" s="44">
        <f t="shared" si="1"/>
        <v>144</v>
      </c>
    </row>
    <row r="35" spans="1:20" x14ac:dyDescent="0.25">
      <c r="B35" s="46" t="s">
        <v>76</v>
      </c>
      <c r="C35" s="47"/>
      <c r="D35" s="47"/>
      <c r="E35" s="47"/>
      <c r="F35" s="48">
        <f>C20</f>
        <v>0</v>
      </c>
      <c r="G35" s="82">
        <f>(G67)/10^7</f>
        <v>2.3605860000000003E-2</v>
      </c>
      <c r="H35" s="82">
        <f t="shared" ref="H35:T35" si="2">(H67)/10^7</f>
        <v>2.4077977200000003E-2</v>
      </c>
      <c r="I35" s="82">
        <f t="shared" si="2"/>
        <v>2.6261714376E-2</v>
      </c>
      <c r="J35" s="82">
        <f t="shared" si="2"/>
        <v>2.6786948663520004E-2</v>
      </c>
      <c r="K35" s="82">
        <f t="shared" si="2"/>
        <v>2.9242684153555205E-2</v>
      </c>
      <c r="L35" s="82">
        <f t="shared" si="2"/>
        <v>2.9827537836626311E-2</v>
      </c>
      <c r="M35" s="82">
        <f t="shared" si="2"/>
        <v>3.2266580404268282E-2</v>
      </c>
      <c r="N35" s="82">
        <f t="shared" si="2"/>
        <v>3.2911912012353647E-2</v>
      </c>
      <c r="O35" s="82">
        <f t="shared" si="2"/>
        <v>3.5648416229434925E-2</v>
      </c>
      <c r="P35" s="82">
        <f t="shared" si="2"/>
        <v>3.6361384554023615E-2</v>
      </c>
      <c r="Q35" s="82">
        <f t="shared" si="2"/>
        <v>3.9082984635769105E-2</v>
      </c>
      <c r="R35" s="82">
        <f t="shared" si="2"/>
        <v>3.9864644328484494E-2</v>
      </c>
      <c r="S35" s="82">
        <f t="shared" si="2"/>
        <v>4.2736882250302081E-2</v>
      </c>
      <c r="T35" s="82">
        <f t="shared" si="2"/>
        <v>4.3769749528321605E-2</v>
      </c>
    </row>
    <row r="36" spans="1:20" x14ac:dyDescent="0.25">
      <c r="B36" s="46" t="s">
        <v>77</v>
      </c>
      <c r="C36" s="47"/>
      <c r="D36" s="47"/>
      <c r="E36" s="47"/>
      <c r="F36" s="48"/>
      <c r="G36" s="82">
        <f>G84/10^7</f>
        <v>2.7581340000000002E-3</v>
      </c>
      <c r="H36" s="82">
        <f t="shared" ref="H36:T36" si="3">H84/10^7</f>
        <v>2.8817820804000003E-3</v>
      </c>
      <c r="I36" s="82">
        <f t="shared" si="3"/>
        <v>3.01120934866824E-3</v>
      </c>
      <c r="J36" s="82">
        <f t="shared" si="3"/>
        <v>3.1466939095608532E-3</v>
      </c>
      <c r="K36" s="82">
        <f t="shared" si="3"/>
        <v>3.2885275102701329E-3</v>
      </c>
      <c r="L36" s="82">
        <f t="shared" si="3"/>
        <v>3.4370162178418663E-3</v>
      </c>
      <c r="M36" s="82">
        <f t="shared" si="3"/>
        <v>3.5924811304832919E-3</v>
      </c>
      <c r="N36" s="82">
        <f t="shared" si="3"/>
        <v>3.7552591244649331E-3</v>
      </c>
      <c r="O36" s="82">
        <f t="shared" si="3"/>
        <v>3.9257036384054197E-3</v>
      </c>
      <c r="P36" s="82">
        <f t="shared" si="3"/>
        <v>4.1041854968185722E-3</v>
      </c>
      <c r="Q36" s="82">
        <f t="shared" si="3"/>
        <v>4.2910937748967259E-3</v>
      </c>
      <c r="R36" s="82">
        <f t="shared" si="3"/>
        <v>4.4868367066038068E-3</v>
      </c>
      <c r="S36" s="82">
        <f t="shared" si="3"/>
        <v>4.6918426382561865E-3</v>
      </c>
      <c r="T36" s="82">
        <f t="shared" si="3"/>
        <v>4.9065610298791229E-3</v>
      </c>
    </row>
    <row r="37" spans="1:20" x14ac:dyDescent="0.25">
      <c r="B37" s="49" t="s">
        <v>28</v>
      </c>
      <c r="C37" s="47">
        <f>SUM(F37:T37)</f>
        <v>174.83669598346893</v>
      </c>
      <c r="D37" s="47"/>
      <c r="E37" s="47"/>
      <c r="F37" s="47">
        <f>+F34*F35/100</f>
        <v>0</v>
      </c>
      <c r="G37" s="47">
        <f>(G35+G36)*G34</f>
        <v>7.2237343560000005</v>
      </c>
      <c r="H37" s="47">
        <f t="shared" ref="H37:T37" si="4">(H35+H36)*H34</f>
        <v>9.8403121373460003</v>
      </c>
      <c r="I37" s="47">
        <f t="shared" si="4"/>
        <v>10.684617159503908</v>
      </c>
      <c r="J37" s="47">
        <f t="shared" si="4"/>
        <v>10.925779539174513</v>
      </c>
      <c r="K37" s="47">
        <f t="shared" si="4"/>
        <v>11.906423468960075</v>
      </c>
      <c r="L37" s="47">
        <f t="shared" si="4"/>
        <v>12.141562229880885</v>
      </c>
      <c r="M37" s="47">
        <f t="shared" si="4"/>
        <v>13.088557460184324</v>
      </c>
      <c r="N37" s="47">
        <f t="shared" si="4"/>
        <v>13.383517464938782</v>
      </c>
      <c r="O37" s="47">
        <f t="shared" si="4"/>
        <v>14.484127871629566</v>
      </c>
      <c r="P37" s="47">
        <f t="shared" si="4"/>
        <v>14.769933068557398</v>
      </c>
      <c r="Q37" s="47">
        <f t="shared" si="4"/>
        <v>15.831538619893028</v>
      </c>
      <c r="R37" s="47">
        <f t="shared" si="4"/>
        <v>16.18829057780723</v>
      </c>
      <c r="S37" s="47">
        <f t="shared" si="4"/>
        <v>17.358913309212326</v>
      </c>
      <c r="T37" s="47">
        <f t="shared" si="4"/>
        <v>7.0093887203809047</v>
      </c>
    </row>
    <row r="38" spans="1:20" x14ac:dyDescent="0.25">
      <c r="B38" s="46"/>
      <c r="C38" s="46"/>
      <c r="D38" s="46"/>
      <c r="E38" s="46"/>
      <c r="F38" s="48"/>
      <c r="G38" s="50"/>
      <c r="H38" s="50"/>
    </row>
    <row r="39" spans="1:20" x14ac:dyDescent="0.25">
      <c r="B39" s="49" t="s">
        <v>29</v>
      </c>
      <c r="C39" s="49"/>
      <c r="D39" s="49"/>
      <c r="E39" s="49"/>
      <c r="F39" s="47"/>
      <c r="G39" s="47"/>
      <c r="H39" s="47"/>
    </row>
    <row r="40" spans="1:20" x14ac:dyDescent="0.25">
      <c r="B40" s="46" t="s">
        <v>30</v>
      </c>
      <c r="C40" s="46"/>
      <c r="D40" s="46"/>
      <c r="E40" s="46"/>
      <c r="F40" s="48">
        <f>+$C$25*$C$5*$C$4*(F34/365)/100</f>
        <v>0</v>
      </c>
      <c r="G40" s="48">
        <f>IF(G37&gt;0,+$C$25*$C$4/100*(1+$C$26),0)</f>
        <v>3.6630000000000003</v>
      </c>
      <c r="H40" s="48">
        <f t="shared" ref="H40:S40" si="5">IF(H37&gt;0,G40*(1+$C$26),0)</f>
        <v>4.029300000000001</v>
      </c>
      <c r="I40" s="48">
        <f t="shared" si="5"/>
        <v>4.4322300000000014</v>
      </c>
      <c r="J40" s="48">
        <f t="shared" si="5"/>
        <v>4.875453000000002</v>
      </c>
      <c r="K40" s="48">
        <f t="shared" si="5"/>
        <v>5.3629983000000028</v>
      </c>
      <c r="L40" s="48">
        <f t="shared" si="5"/>
        <v>5.8992981300000036</v>
      </c>
      <c r="M40" s="48">
        <f t="shared" si="5"/>
        <v>6.4892279430000048</v>
      </c>
      <c r="N40" s="48">
        <f t="shared" si="5"/>
        <v>7.1381507373000055</v>
      </c>
      <c r="O40" s="48">
        <f t="shared" si="5"/>
        <v>7.8519658110300066</v>
      </c>
      <c r="P40" s="48">
        <f t="shared" si="5"/>
        <v>8.6371623921330087</v>
      </c>
      <c r="Q40" s="48">
        <f t="shared" si="5"/>
        <v>9.5008786313463105</v>
      </c>
      <c r="R40" s="48">
        <f t="shared" si="5"/>
        <v>10.450966494480943</v>
      </c>
      <c r="S40" s="48">
        <f t="shared" si="5"/>
        <v>11.496063143929037</v>
      </c>
      <c r="T40" s="48">
        <f>IF(T37&gt;0,S40*(1+$C$26),0)*144/365</f>
        <v>4.9889764438311222</v>
      </c>
    </row>
    <row r="41" spans="1:20" x14ac:dyDescent="0.25">
      <c r="B41" s="49" t="s">
        <v>31</v>
      </c>
      <c r="C41" s="47">
        <f>SUM(F41:T41)</f>
        <v>94.815671027050442</v>
      </c>
      <c r="D41" s="49"/>
      <c r="E41" s="49"/>
      <c r="F41" s="47">
        <f t="shared" ref="F41:T41" si="6">+SUM(F40:F40)</f>
        <v>0</v>
      </c>
      <c r="G41" s="47">
        <f t="shared" si="6"/>
        <v>3.6630000000000003</v>
      </c>
      <c r="H41" s="47">
        <f t="shared" si="6"/>
        <v>4.029300000000001</v>
      </c>
      <c r="I41" s="47">
        <f t="shared" si="6"/>
        <v>4.4322300000000014</v>
      </c>
      <c r="J41" s="47">
        <f t="shared" si="6"/>
        <v>4.875453000000002</v>
      </c>
      <c r="K41" s="47">
        <f t="shared" si="6"/>
        <v>5.3629983000000028</v>
      </c>
      <c r="L41" s="47">
        <f t="shared" si="6"/>
        <v>5.8992981300000036</v>
      </c>
      <c r="M41" s="47">
        <f t="shared" si="6"/>
        <v>6.4892279430000048</v>
      </c>
      <c r="N41" s="47">
        <f t="shared" si="6"/>
        <v>7.1381507373000055</v>
      </c>
      <c r="O41" s="47">
        <f t="shared" si="6"/>
        <v>7.8519658110300066</v>
      </c>
      <c r="P41" s="47">
        <f t="shared" si="6"/>
        <v>8.6371623921330087</v>
      </c>
      <c r="Q41" s="47">
        <f t="shared" si="6"/>
        <v>9.5008786313463105</v>
      </c>
      <c r="R41" s="47">
        <f t="shared" si="6"/>
        <v>10.450966494480943</v>
      </c>
      <c r="S41" s="47">
        <f t="shared" si="6"/>
        <v>11.496063143929037</v>
      </c>
      <c r="T41" s="47">
        <f t="shared" si="6"/>
        <v>4.9889764438311222</v>
      </c>
    </row>
    <row r="42" spans="1:20" x14ac:dyDescent="0.25">
      <c r="B42" s="49"/>
      <c r="C42" s="47"/>
      <c r="D42" s="49"/>
      <c r="E42" s="49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x14ac:dyDescent="0.25">
      <c r="B43" s="49" t="s">
        <v>52</v>
      </c>
      <c r="C43" s="47"/>
      <c r="D43" s="49"/>
      <c r="E43" s="49"/>
      <c r="F43" s="47"/>
      <c r="G43" s="47">
        <f>G88</f>
        <v>11.2</v>
      </c>
      <c r="H43" s="47">
        <f t="shared" ref="H43:T43" si="7">H88</f>
        <v>0</v>
      </c>
      <c r="I43" s="47">
        <f t="shared" si="7"/>
        <v>0</v>
      </c>
      <c r="J43" s="47">
        <f t="shared" si="7"/>
        <v>0</v>
      </c>
      <c r="K43" s="47">
        <f t="shared" si="7"/>
        <v>0</v>
      </c>
      <c r="L43" s="47">
        <f t="shared" si="7"/>
        <v>5.3603825625000017</v>
      </c>
      <c r="M43" s="47">
        <f t="shared" si="7"/>
        <v>0</v>
      </c>
      <c r="N43" s="47">
        <f t="shared" si="7"/>
        <v>0</v>
      </c>
      <c r="O43" s="47">
        <f t="shared" si="7"/>
        <v>0</v>
      </c>
      <c r="P43" s="47">
        <f t="shared" si="7"/>
        <v>0</v>
      </c>
      <c r="Q43" s="47">
        <f t="shared" si="7"/>
        <v>18.243619819907352</v>
      </c>
      <c r="R43" s="47">
        <f t="shared" si="7"/>
        <v>0</v>
      </c>
      <c r="S43" s="47">
        <f t="shared" si="7"/>
        <v>0</v>
      </c>
      <c r="T43" s="47">
        <f t="shared" si="7"/>
        <v>0</v>
      </c>
    </row>
    <row r="44" spans="1:20" x14ac:dyDescent="0.25">
      <c r="B44" s="46"/>
      <c r="C44" s="47">
        <f>SUM(F44:T44)</f>
        <v>0</v>
      </c>
      <c r="D44" s="46"/>
      <c r="E44" s="46"/>
      <c r="F44" s="48"/>
      <c r="G44" s="48"/>
      <c r="H44" s="50"/>
    </row>
    <row r="45" spans="1:20" x14ac:dyDescent="0.25">
      <c r="B45" s="66" t="s">
        <v>51</v>
      </c>
      <c r="C45" s="53">
        <f>SUM(F45:T45)</f>
        <v>45.217022574011153</v>
      </c>
      <c r="D45" s="54"/>
      <c r="E45" s="54"/>
      <c r="F45" s="53">
        <f>+F37-F41</f>
        <v>0</v>
      </c>
      <c r="G45" s="53">
        <f t="shared" ref="G45:T45" si="8">+G37-G41-G43</f>
        <v>-7.6392656439999991</v>
      </c>
      <c r="H45" s="53">
        <f t="shared" si="8"/>
        <v>5.8110121373459993</v>
      </c>
      <c r="I45" s="53">
        <f t="shared" si="8"/>
        <v>6.2523871595039067</v>
      </c>
      <c r="J45" s="53">
        <f t="shared" si="8"/>
        <v>6.0503265391745114</v>
      </c>
      <c r="K45" s="53">
        <f t="shared" si="8"/>
        <v>6.5434251689600718</v>
      </c>
      <c r="L45" s="53">
        <f t="shared" si="8"/>
        <v>0.88188153738087927</v>
      </c>
      <c r="M45" s="53">
        <f t="shared" si="8"/>
        <v>6.5993295171843194</v>
      </c>
      <c r="N45" s="53">
        <f t="shared" si="8"/>
        <v>6.2453667276387765</v>
      </c>
      <c r="O45" s="53">
        <f t="shared" si="8"/>
        <v>6.6321620605995593</v>
      </c>
      <c r="P45" s="53">
        <f t="shared" si="8"/>
        <v>6.1327706764243892</v>
      </c>
      <c r="Q45" s="53">
        <f t="shared" si="8"/>
        <v>-11.912959831360634</v>
      </c>
      <c r="R45" s="53">
        <f t="shared" si="8"/>
        <v>5.7373240833262873</v>
      </c>
      <c r="S45" s="53">
        <f t="shared" si="8"/>
        <v>5.8628501652832892</v>
      </c>
      <c r="T45" s="53">
        <f t="shared" si="8"/>
        <v>2.0204122765497825</v>
      </c>
    </row>
    <row r="46" spans="1:20" x14ac:dyDescent="0.25">
      <c r="B46" s="51"/>
      <c r="C46" s="51"/>
      <c r="D46" s="51"/>
      <c r="E46" s="51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</row>
    <row r="48" spans="1:20" x14ac:dyDescent="0.25">
      <c r="B48" s="68" t="s">
        <v>53</v>
      </c>
      <c r="C48" s="39"/>
      <c r="D48" s="39"/>
      <c r="E48" s="40"/>
      <c r="F48" s="40"/>
      <c r="G48" s="40">
        <f>G32</f>
        <v>45382</v>
      </c>
      <c r="H48" s="40">
        <f t="shared" ref="H48:T48" si="9">H32</f>
        <v>45747</v>
      </c>
      <c r="I48" s="40">
        <f t="shared" si="9"/>
        <v>46112</v>
      </c>
      <c r="J48" s="40">
        <f t="shared" si="9"/>
        <v>46477</v>
      </c>
      <c r="K48" s="40">
        <f t="shared" si="9"/>
        <v>46843</v>
      </c>
      <c r="L48" s="40">
        <f t="shared" si="9"/>
        <v>47208</v>
      </c>
      <c r="M48" s="40">
        <f t="shared" si="9"/>
        <v>47573</v>
      </c>
      <c r="N48" s="40">
        <f t="shared" si="9"/>
        <v>47938</v>
      </c>
      <c r="O48" s="40">
        <f t="shared" si="9"/>
        <v>48304</v>
      </c>
      <c r="P48" s="40">
        <f t="shared" si="9"/>
        <v>48669</v>
      </c>
      <c r="Q48" s="40">
        <f t="shared" si="9"/>
        <v>49034</v>
      </c>
      <c r="R48" s="40">
        <f t="shared" si="9"/>
        <v>49399</v>
      </c>
      <c r="S48" s="40">
        <f t="shared" si="9"/>
        <v>49765</v>
      </c>
      <c r="T48" s="40">
        <f t="shared" si="9"/>
        <v>50130</v>
      </c>
    </row>
    <row r="50" spans="2:20" x14ac:dyDescent="0.25">
      <c r="B50" s="70" t="s">
        <v>56</v>
      </c>
      <c r="F50">
        <v>1800</v>
      </c>
      <c r="G50" s="63">
        <f>F50*102%</f>
        <v>1836</v>
      </c>
      <c r="H50" s="63">
        <f t="shared" ref="H50:T50" si="10">G50*102%</f>
        <v>1872.72</v>
      </c>
      <c r="I50" s="63">
        <f t="shared" si="10"/>
        <v>1910.1744000000001</v>
      </c>
      <c r="J50" s="63">
        <f t="shared" si="10"/>
        <v>1948.3778880000002</v>
      </c>
      <c r="K50" s="63">
        <f t="shared" si="10"/>
        <v>1987.3454457600003</v>
      </c>
      <c r="L50" s="63">
        <f t="shared" si="10"/>
        <v>2027.0923546752003</v>
      </c>
      <c r="M50" s="63">
        <f t="shared" si="10"/>
        <v>2067.6342017687043</v>
      </c>
      <c r="N50" s="63">
        <f t="shared" si="10"/>
        <v>2108.9868858040786</v>
      </c>
      <c r="O50" s="63">
        <f t="shared" si="10"/>
        <v>2151.1666235201601</v>
      </c>
      <c r="P50" s="63">
        <f t="shared" si="10"/>
        <v>2194.1899559905632</v>
      </c>
      <c r="Q50" s="63">
        <f t="shared" si="10"/>
        <v>2238.0737551103743</v>
      </c>
      <c r="R50" s="63">
        <f t="shared" si="10"/>
        <v>2282.8352302125818</v>
      </c>
      <c r="S50" s="63">
        <f t="shared" si="10"/>
        <v>2328.4919348168337</v>
      </c>
      <c r="T50" s="63">
        <f t="shared" si="10"/>
        <v>2375.0617735131705</v>
      </c>
    </row>
    <row r="51" spans="2:20" x14ac:dyDescent="0.25">
      <c r="B51" t="s">
        <v>37</v>
      </c>
      <c r="F51">
        <f>F50*80%</f>
        <v>1440</v>
      </c>
      <c r="G51" s="63">
        <f>G50*80%</f>
        <v>1468.8000000000002</v>
      </c>
      <c r="H51" s="63">
        <f t="shared" ref="H51:T51" si="11">H50*80%</f>
        <v>1498.1760000000002</v>
      </c>
      <c r="I51" s="63">
        <f t="shared" si="11"/>
        <v>1528.1395200000002</v>
      </c>
      <c r="J51" s="63">
        <f t="shared" si="11"/>
        <v>1558.7023104000002</v>
      </c>
      <c r="K51" s="63">
        <f t="shared" si="11"/>
        <v>1589.8763566080004</v>
      </c>
      <c r="L51" s="63">
        <f t="shared" si="11"/>
        <v>1621.6738837401604</v>
      </c>
      <c r="M51" s="63">
        <f t="shared" si="11"/>
        <v>1654.1073614149636</v>
      </c>
      <c r="N51" s="63">
        <f t="shared" si="11"/>
        <v>1687.189508643263</v>
      </c>
      <c r="O51" s="63">
        <f t="shared" si="11"/>
        <v>1720.9332988161282</v>
      </c>
      <c r="P51" s="63">
        <f t="shared" si="11"/>
        <v>1755.3519647924506</v>
      </c>
      <c r="Q51" s="63">
        <f t="shared" si="11"/>
        <v>1790.4590040882995</v>
      </c>
      <c r="R51" s="63">
        <f t="shared" si="11"/>
        <v>1826.2681841700655</v>
      </c>
      <c r="S51" s="63">
        <f t="shared" si="11"/>
        <v>1862.7935478534671</v>
      </c>
      <c r="T51" s="63">
        <f t="shared" si="11"/>
        <v>1900.0494188105365</v>
      </c>
    </row>
    <row r="52" spans="2:20" x14ac:dyDescent="0.25">
      <c r="B52" t="s">
        <v>38</v>
      </c>
      <c r="F52">
        <f>F50*18%</f>
        <v>324</v>
      </c>
      <c r="G52" s="63">
        <f>G50*18%</f>
        <v>330.47999999999996</v>
      </c>
      <c r="H52" s="63">
        <f t="shared" ref="H52:T52" si="12">H50*18%</f>
        <v>337.08960000000002</v>
      </c>
      <c r="I52" s="63">
        <f t="shared" si="12"/>
        <v>343.83139199999999</v>
      </c>
      <c r="J52" s="63">
        <f t="shared" si="12"/>
        <v>350.70801984000002</v>
      </c>
      <c r="K52" s="63">
        <f t="shared" si="12"/>
        <v>357.72218023680006</v>
      </c>
      <c r="L52" s="63">
        <f t="shared" si="12"/>
        <v>364.87662384153606</v>
      </c>
      <c r="M52" s="63">
        <f t="shared" si="12"/>
        <v>372.17415631836678</v>
      </c>
      <c r="N52" s="63">
        <f t="shared" si="12"/>
        <v>379.61763944473415</v>
      </c>
      <c r="O52" s="63">
        <f t="shared" si="12"/>
        <v>387.20999223362878</v>
      </c>
      <c r="P52" s="63">
        <f t="shared" si="12"/>
        <v>394.95419207830139</v>
      </c>
      <c r="Q52" s="63">
        <f t="shared" si="12"/>
        <v>402.85327591986737</v>
      </c>
      <c r="R52" s="63">
        <f t="shared" si="12"/>
        <v>410.91034143826471</v>
      </c>
      <c r="S52" s="63">
        <f t="shared" si="12"/>
        <v>419.12854826703006</v>
      </c>
      <c r="T52" s="63">
        <f t="shared" si="12"/>
        <v>427.51111923237067</v>
      </c>
    </row>
    <row r="53" spans="2:20" x14ac:dyDescent="0.25">
      <c r="B53" t="s">
        <v>42</v>
      </c>
      <c r="F53">
        <f>F50-F51-F52</f>
        <v>36</v>
      </c>
      <c r="G53" s="63">
        <f>G50-G51-G52</f>
        <v>36.719999999999857</v>
      </c>
      <c r="H53" s="63">
        <f t="shared" ref="H53:T53" si="13">H50-H51-H52</f>
        <v>37.45439999999985</v>
      </c>
      <c r="I53" s="63">
        <f t="shared" si="13"/>
        <v>38.203487999999936</v>
      </c>
      <c r="J53" s="63">
        <f t="shared" si="13"/>
        <v>38.967557759999977</v>
      </c>
      <c r="K53" s="63">
        <f t="shared" si="13"/>
        <v>39.746908915199867</v>
      </c>
      <c r="L53" s="63">
        <f t="shared" si="13"/>
        <v>40.541847093503918</v>
      </c>
      <c r="M53" s="63">
        <f t="shared" si="13"/>
        <v>41.352684035373898</v>
      </c>
      <c r="N53" s="63">
        <f t="shared" si="13"/>
        <v>42.179737716081434</v>
      </c>
      <c r="O53" s="63">
        <f t="shared" si="13"/>
        <v>43.023332470403147</v>
      </c>
      <c r="P53" s="63">
        <f t="shared" si="13"/>
        <v>43.883799119811215</v>
      </c>
      <c r="Q53" s="63">
        <f t="shared" si="13"/>
        <v>44.761475102207498</v>
      </c>
      <c r="R53" s="63">
        <f t="shared" si="13"/>
        <v>45.656704604251559</v>
      </c>
      <c r="S53" s="63">
        <f t="shared" si="13"/>
        <v>46.569838696336546</v>
      </c>
      <c r="T53" s="63">
        <f t="shared" si="13"/>
        <v>47.501235470263282</v>
      </c>
    </row>
    <row r="54" spans="2:20" x14ac:dyDescent="0.25">
      <c r="B54" t="s">
        <v>55</v>
      </c>
      <c r="F54" s="63">
        <f>F50*75%</f>
        <v>1350</v>
      </c>
      <c r="G54" s="63">
        <f t="shared" ref="G54:T54" si="14">G50*75%</f>
        <v>1377</v>
      </c>
      <c r="H54" s="63">
        <f t="shared" si="14"/>
        <v>1404.54</v>
      </c>
      <c r="I54" s="63">
        <f t="shared" si="14"/>
        <v>1432.6308000000001</v>
      </c>
      <c r="J54" s="63">
        <f t="shared" si="14"/>
        <v>1461.2834160000002</v>
      </c>
      <c r="K54" s="63">
        <f t="shared" si="14"/>
        <v>1490.5090843200003</v>
      </c>
      <c r="L54" s="63">
        <f t="shared" si="14"/>
        <v>1520.3192660064003</v>
      </c>
      <c r="M54" s="63">
        <f t="shared" si="14"/>
        <v>1550.7256513265284</v>
      </c>
      <c r="N54" s="63">
        <f t="shared" si="14"/>
        <v>1581.7401643530588</v>
      </c>
      <c r="O54" s="63">
        <f t="shared" si="14"/>
        <v>1613.3749676401201</v>
      </c>
      <c r="P54" s="63">
        <f t="shared" si="14"/>
        <v>1645.6424669929224</v>
      </c>
      <c r="Q54" s="63">
        <f t="shared" si="14"/>
        <v>1678.5553163327809</v>
      </c>
      <c r="R54" s="63">
        <f t="shared" si="14"/>
        <v>1712.1264226594362</v>
      </c>
      <c r="S54" s="63">
        <f t="shared" si="14"/>
        <v>1746.3689511126254</v>
      </c>
      <c r="T54" s="63">
        <f t="shared" si="14"/>
        <v>1781.2963301348777</v>
      </c>
    </row>
    <row r="56" spans="2:20" x14ac:dyDescent="0.25">
      <c r="B56" s="70" t="s">
        <v>54</v>
      </c>
    </row>
    <row r="57" spans="2:20" x14ac:dyDescent="0.25">
      <c r="B57" t="s">
        <v>37</v>
      </c>
      <c r="E57">
        <v>130</v>
      </c>
      <c r="F57">
        <v>130</v>
      </c>
      <c r="G57">
        <v>140</v>
      </c>
      <c r="H57">
        <v>140</v>
      </c>
      <c r="I57">
        <v>150</v>
      </c>
      <c r="J57">
        <v>150</v>
      </c>
      <c r="K57">
        <v>160</v>
      </c>
      <c r="L57">
        <v>160</v>
      </c>
      <c r="M57">
        <v>170</v>
      </c>
      <c r="N57">
        <v>170</v>
      </c>
      <c r="O57">
        <v>180</v>
      </c>
      <c r="P57">
        <v>180</v>
      </c>
      <c r="Q57">
        <v>190</v>
      </c>
      <c r="R57">
        <v>190</v>
      </c>
      <c r="S57">
        <v>200</v>
      </c>
      <c r="T57">
        <v>200</v>
      </c>
    </row>
    <row r="58" spans="2:20" x14ac:dyDescent="0.25">
      <c r="B58" t="s">
        <v>38</v>
      </c>
      <c r="E58">
        <v>130</v>
      </c>
      <c r="F58">
        <v>65</v>
      </c>
      <c r="G58">
        <v>70</v>
      </c>
      <c r="H58">
        <v>70</v>
      </c>
      <c r="I58">
        <v>75</v>
      </c>
      <c r="J58">
        <v>75</v>
      </c>
      <c r="K58">
        <v>80</v>
      </c>
      <c r="L58">
        <v>80</v>
      </c>
      <c r="M58">
        <v>85</v>
      </c>
      <c r="N58">
        <v>85</v>
      </c>
      <c r="O58">
        <v>90</v>
      </c>
      <c r="P58">
        <v>90</v>
      </c>
      <c r="Q58">
        <v>95</v>
      </c>
      <c r="R58">
        <v>95</v>
      </c>
      <c r="S58">
        <v>100</v>
      </c>
      <c r="T58">
        <v>100</v>
      </c>
    </row>
    <row r="59" spans="2:20" x14ac:dyDescent="0.25">
      <c r="B59" t="s">
        <v>42</v>
      </c>
      <c r="F59" s="63">
        <f>950</f>
        <v>950</v>
      </c>
      <c r="G59">
        <v>1000</v>
      </c>
      <c r="H59">
        <v>1000</v>
      </c>
      <c r="I59">
        <v>1050</v>
      </c>
      <c r="J59">
        <v>1050</v>
      </c>
      <c r="K59">
        <v>1100</v>
      </c>
      <c r="L59">
        <v>1100</v>
      </c>
      <c r="M59">
        <v>1150</v>
      </c>
      <c r="N59">
        <v>1150</v>
      </c>
      <c r="O59">
        <v>1200</v>
      </c>
      <c r="P59">
        <v>1200</v>
      </c>
      <c r="Q59">
        <v>1250</v>
      </c>
      <c r="R59">
        <v>1250</v>
      </c>
      <c r="S59">
        <v>1300</v>
      </c>
      <c r="T59">
        <v>1300</v>
      </c>
    </row>
    <row r="60" spans="2:20" x14ac:dyDescent="0.25">
      <c r="B60" t="s">
        <v>55</v>
      </c>
      <c r="F60">
        <v>4</v>
      </c>
      <c r="G60">
        <v>5</v>
      </c>
      <c r="H60">
        <v>5</v>
      </c>
      <c r="I60">
        <v>5</v>
      </c>
      <c r="J60">
        <v>5</v>
      </c>
      <c r="K60">
        <v>6</v>
      </c>
      <c r="L60">
        <v>6</v>
      </c>
      <c r="M60">
        <v>6</v>
      </c>
      <c r="N60">
        <v>6</v>
      </c>
      <c r="O60">
        <v>7</v>
      </c>
      <c r="P60">
        <v>7</v>
      </c>
      <c r="Q60">
        <v>7</v>
      </c>
      <c r="R60">
        <v>7</v>
      </c>
      <c r="S60">
        <v>7</v>
      </c>
      <c r="T60">
        <v>8</v>
      </c>
    </row>
    <row r="62" spans="2:20" x14ac:dyDescent="0.25">
      <c r="B62" s="70" t="s">
        <v>57</v>
      </c>
    </row>
    <row r="63" spans="2:20" x14ac:dyDescent="0.25">
      <c r="B63" t="s">
        <v>37</v>
      </c>
      <c r="F63" s="69">
        <f>F51*F57</f>
        <v>187200</v>
      </c>
      <c r="G63" s="69">
        <f t="shared" ref="G63:T63" si="15">G51*G57</f>
        <v>205632.00000000003</v>
      </c>
      <c r="H63" s="69">
        <f t="shared" si="15"/>
        <v>209744.64000000001</v>
      </c>
      <c r="I63" s="69">
        <f t="shared" si="15"/>
        <v>229220.92800000001</v>
      </c>
      <c r="J63" s="69">
        <f t="shared" si="15"/>
        <v>233805.34656000003</v>
      </c>
      <c r="K63" s="69">
        <f t="shared" si="15"/>
        <v>254380.21705728007</v>
      </c>
      <c r="L63" s="69">
        <f t="shared" si="15"/>
        <v>259467.82139842567</v>
      </c>
      <c r="M63" s="69">
        <f t="shared" si="15"/>
        <v>281198.2514405438</v>
      </c>
      <c r="N63" s="69">
        <f t="shared" si="15"/>
        <v>286822.21646935469</v>
      </c>
      <c r="O63" s="69">
        <f t="shared" si="15"/>
        <v>309767.9937869031</v>
      </c>
      <c r="P63" s="69">
        <f t="shared" si="15"/>
        <v>315963.35366264114</v>
      </c>
      <c r="Q63" s="69">
        <f t="shared" si="15"/>
        <v>340187.21077677689</v>
      </c>
      <c r="R63" s="69">
        <f t="shared" si="15"/>
        <v>346990.95499231247</v>
      </c>
      <c r="S63" s="69">
        <f t="shared" si="15"/>
        <v>372558.70957069343</v>
      </c>
      <c r="T63" s="69">
        <f t="shared" si="15"/>
        <v>380009.88376210729</v>
      </c>
    </row>
    <row r="64" spans="2:20" x14ac:dyDescent="0.25">
      <c r="B64" t="s">
        <v>38</v>
      </c>
      <c r="F64" s="69">
        <f t="shared" ref="F64:T66" si="16">F52*F58</f>
        <v>21060</v>
      </c>
      <c r="G64" s="69">
        <f t="shared" si="16"/>
        <v>23133.599999999999</v>
      </c>
      <c r="H64" s="69">
        <f t="shared" si="16"/>
        <v>23596.272000000001</v>
      </c>
      <c r="I64" s="69">
        <f t="shared" si="16"/>
        <v>25787.3544</v>
      </c>
      <c r="J64" s="69">
        <f t="shared" si="16"/>
        <v>26303.101488</v>
      </c>
      <c r="K64" s="69">
        <f t="shared" si="16"/>
        <v>28617.774418944005</v>
      </c>
      <c r="L64" s="69">
        <f t="shared" si="16"/>
        <v>29190.129907322884</v>
      </c>
      <c r="M64" s="69">
        <f t="shared" si="16"/>
        <v>31634.803287061175</v>
      </c>
      <c r="N64" s="69">
        <f t="shared" si="16"/>
        <v>32267.499352802402</v>
      </c>
      <c r="O64" s="69">
        <f t="shared" si="16"/>
        <v>34848.899301026591</v>
      </c>
      <c r="P64" s="69">
        <f t="shared" si="16"/>
        <v>35545.877287047122</v>
      </c>
      <c r="Q64" s="69">
        <f t="shared" si="16"/>
        <v>38271.061212387402</v>
      </c>
      <c r="R64" s="69">
        <f t="shared" si="16"/>
        <v>39036.482436635146</v>
      </c>
      <c r="S64" s="69">
        <f t="shared" si="16"/>
        <v>41912.854826703006</v>
      </c>
      <c r="T64" s="69">
        <f t="shared" si="16"/>
        <v>42751.111923237069</v>
      </c>
    </row>
    <row r="65" spans="2:20" x14ac:dyDescent="0.25">
      <c r="B65" t="s">
        <v>42</v>
      </c>
      <c r="F65" s="69">
        <f>(F53*F59)/90</f>
        <v>380</v>
      </c>
      <c r="G65" s="69">
        <f t="shared" ref="G65:T65" si="17">(G53*G59)/90</f>
        <v>407.99999999999841</v>
      </c>
      <c r="H65" s="69">
        <f t="shared" si="17"/>
        <v>416.15999999999832</v>
      </c>
      <c r="I65" s="69">
        <f t="shared" si="17"/>
        <v>445.70735999999931</v>
      </c>
      <c r="J65" s="69">
        <f t="shared" si="17"/>
        <v>454.62150719999977</v>
      </c>
      <c r="K65" s="69">
        <f t="shared" si="17"/>
        <v>485.79555340799834</v>
      </c>
      <c r="L65" s="69">
        <f t="shared" si="17"/>
        <v>495.51146447615901</v>
      </c>
      <c r="M65" s="69">
        <f t="shared" si="17"/>
        <v>528.39540711866653</v>
      </c>
      <c r="N65" s="69">
        <f t="shared" si="17"/>
        <v>538.96331526104052</v>
      </c>
      <c r="O65" s="69">
        <f t="shared" si="17"/>
        <v>573.64443293870863</v>
      </c>
      <c r="P65" s="69">
        <f t="shared" si="17"/>
        <v>585.11732159748294</v>
      </c>
      <c r="Q65" s="69">
        <f t="shared" si="17"/>
        <v>621.68715419732644</v>
      </c>
      <c r="R65" s="69">
        <f t="shared" si="17"/>
        <v>634.12089728127171</v>
      </c>
      <c r="S65" s="69">
        <f t="shared" si="17"/>
        <v>672.67544783597236</v>
      </c>
      <c r="T65" s="69">
        <f t="shared" si="17"/>
        <v>686.12895679269184</v>
      </c>
    </row>
    <row r="66" spans="2:20" x14ac:dyDescent="0.25">
      <c r="B66" t="s">
        <v>55</v>
      </c>
      <c r="F66" s="69">
        <f t="shared" si="16"/>
        <v>5400</v>
      </c>
      <c r="G66" s="69">
        <f t="shared" si="16"/>
        <v>6885</v>
      </c>
      <c r="H66" s="69">
        <f t="shared" si="16"/>
        <v>7022.7</v>
      </c>
      <c r="I66" s="69">
        <f t="shared" si="16"/>
        <v>7163.1540000000005</v>
      </c>
      <c r="J66" s="69">
        <f t="shared" si="16"/>
        <v>7306.4170800000011</v>
      </c>
      <c r="K66" s="69">
        <f t="shared" si="16"/>
        <v>8943.0545059200012</v>
      </c>
      <c r="L66" s="69">
        <f t="shared" si="16"/>
        <v>9121.9155960384014</v>
      </c>
      <c r="M66" s="69">
        <f t="shared" si="16"/>
        <v>9304.3539079591701</v>
      </c>
      <c r="N66" s="69">
        <f t="shared" si="16"/>
        <v>9490.4409861183522</v>
      </c>
      <c r="O66" s="69">
        <f t="shared" si="16"/>
        <v>11293.62477348084</v>
      </c>
      <c r="P66" s="69">
        <f t="shared" si="16"/>
        <v>11519.497268950458</v>
      </c>
      <c r="Q66" s="69">
        <f t="shared" si="16"/>
        <v>11749.887214329467</v>
      </c>
      <c r="R66" s="69">
        <f t="shared" si="16"/>
        <v>11984.884958616054</v>
      </c>
      <c r="S66" s="69">
        <f t="shared" si="16"/>
        <v>12224.582657788378</v>
      </c>
      <c r="T66" s="69">
        <f t="shared" si="16"/>
        <v>14250.370641079022</v>
      </c>
    </row>
    <row r="67" spans="2:20" x14ac:dyDescent="0.25">
      <c r="E67" t="s">
        <v>58</v>
      </c>
      <c r="F67" s="71">
        <f>SUM(F63:F66)</f>
        <v>214040</v>
      </c>
      <c r="G67" s="71">
        <f t="shared" ref="G67:T67" si="18">SUM(G63:G66)</f>
        <v>236058.60000000003</v>
      </c>
      <c r="H67" s="71">
        <f t="shared" si="18"/>
        <v>240779.77200000003</v>
      </c>
      <c r="I67" s="71">
        <f t="shared" si="18"/>
        <v>262617.14376000001</v>
      </c>
      <c r="J67" s="71">
        <f t="shared" si="18"/>
        <v>267869.48663520004</v>
      </c>
      <c r="K67" s="71">
        <f t="shared" si="18"/>
        <v>292426.84153555206</v>
      </c>
      <c r="L67" s="71">
        <f t="shared" si="18"/>
        <v>298275.37836626312</v>
      </c>
      <c r="M67" s="71">
        <f t="shared" si="18"/>
        <v>322665.80404268281</v>
      </c>
      <c r="N67" s="71">
        <f t="shared" si="18"/>
        <v>329119.1201235365</v>
      </c>
      <c r="O67" s="71">
        <f t="shared" si="18"/>
        <v>356484.16229434923</v>
      </c>
      <c r="P67" s="71">
        <f t="shared" si="18"/>
        <v>363613.84554023616</v>
      </c>
      <c r="Q67" s="71">
        <f t="shared" si="18"/>
        <v>390829.84635769104</v>
      </c>
      <c r="R67" s="71">
        <f t="shared" si="18"/>
        <v>398646.44328484492</v>
      </c>
      <c r="S67" s="71">
        <f t="shared" si="18"/>
        <v>427368.82250302081</v>
      </c>
      <c r="T67" s="71">
        <f t="shared" si="18"/>
        <v>437697.49528321606</v>
      </c>
    </row>
    <row r="68" spans="2:20" x14ac:dyDescent="0.25"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</row>
    <row r="69" spans="2:20" x14ac:dyDescent="0.25">
      <c r="B69" s="39" t="s">
        <v>69</v>
      </c>
      <c r="C69" s="39"/>
      <c r="D69" s="40"/>
      <c r="E69" s="40"/>
      <c r="F69" s="40"/>
      <c r="G69" s="40">
        <f t="shared" ref="G69:T69" si="19">G48</f>
        <v>45382</v>
      </c>
      <c r="H69" s="40">
        <f t="shared" si="19"/>
        <v>45747</v>
      </c>
      <c r="I69" s="40">
        <f t="shared" si="19"/>
        <v>46112</v>
      </c>
      <c r="J69" s="40">
        <f t="shared" si="19"/>
        <v>46477</v>
      </c>
      <c r="K69" s="40">
        <f t="shared" si="19"/>
        <v>46843</v>
      </c>
      <c r="L69" s="40">
        <f t="shared" si="19"/>
        <v>47208</v>
      </c>
      <c r="M69" s="40">
        <f t="shared" si="19"/>
        <v>47573</v>
      </c>
      <c r="N69" s="40">
        <f t="shared" si="19"/>
        <v>47938</v>
      </c>
      <c r="O69" s="40">
        <f t="shared" si="19"/>
        <v>48304</v>
      </c>
      <c r="P69" s="40">
        <f t="shared" si="19"/>
        <v>48669</v>
      </c>
      <c r="Q69" s="40">
        <f t="shared" si="19"/>
        <v>49034</v>
      </c>
      <c r="R69" s="40">
        <f t="shared" si="19"/>
        <v>49399</v>
      </c>
      <c r="S69" s="40">
        <f t="shared" si="19"/>
        <v>49765</v>
      </c>
      <c r="T69" s="40">
        <f t="shared" si="19"/>
        <v>50130</v>
      </c>
    </row>
    <row r="70" spans="2:20" x14ac:dyDescent="0.25">
      <c r="B70" s="70" t="s">
        <v>59</v>
      </c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</row>
    <row r="71" spans="2:20" x14ac:dyDescent="0.25">
      <c r="B71" s="61" t="s">
        <v>39</v>
      </c>
      <c r="F71">
        <f>F50*32%/4</f>
        <v>144</v>
      </c>
      <c r="G71" s="63">
        <f t="shared" ref="G71:T71" si="20">G50*32%/4</f>
        <v>146.88</v>
      </c>
      <c r="H71" s="63">
        <f t="shared" si="20"/>
        <v>149.8176</v>
      </c>
      <c r="I71" s="63">
        <f t="shared" si="20"/>
        <v>152.813952</v>
      </c>
      <c r="J71" s="63">
        <f t="shared" si="20"/>
        <v>155.87023104000002</v>
      </c>
      <c r="K71" s="63">
        <f t="shared" si="20"/>
        <v>158.98763566080004</v>
      </c>
      <c r="L71" s="63">
        <f t="shared" si="20"/>
        <v>162.16738837401604</v>
      </c>
      <c r="M71" s="63">
        <f t="shared" si="20"/>
        <v>165.41073614149636</v>
      </c>
      <c r="N71" s="63">
        <f t="shared" si="20"/>
        <v>168.7189508643263</v>
      </c>
      <c r="O71" s="63">
        <f t="shared" si="20"/>
        <v>172.09332988161282</v>
      </c>
      <c r="P71" s="63">
        <f t="shared" si="20"/>
        <v>175.53519647924506</v>
      </c>
      <c r="Q71" s="63">
        <f t="shared" si="20"/>
        <v>179.04590040882997</v>
      </c>
      <c r="R71" s="63">
        <f t="shared" si="20"/>
        <v>182.62681841700655</v>
      </c>
      <c r="S71" s="63">
        <f t="shared" si="20"/>
        <v>186.2793547853467</v>
      </c>
      <c r="T71" s="63">
        <f t="shared" si="20"/>
        <v>190.00494188105364</v>
      </c>
    </row>
    <row r="72" spans="2:20" x14ac:dyDescent="0.25">
      <c r="B72" s="61" t="s">
        <v>40</v>
      </c>
      <c r="F72">
        <f>F50*10%/2</f>
        <v>90</v>
      </c>
      <c r="G72" s="63">
        <f t="shared" ref="G72:T72" si="21">G50*10%/2</f>
        <v>91.800000000000011</v>
      </c>
      <c r="H72" s="63">
        <f t="shared" si="21"/>
        <v>93.63600000000001</v>
      </c>
      <c r="I72" s="63">
        <f t="shared" si="21"/>
        <v>95.508720000000011</v>
      </c>
      <c r="J72" s="63">
        <f t="shared" si="21"/>
        <v>97.418894400000013</v>
      </c>
      <c r="K72" s="63">
        <f t="shared" si="21"/>
        <v>99.367272288000024</v>
      </c>
      <c r="L72" s="63">
        <f t="shared" si="21"/>
        <v>101.35461773376002</v>
      </c>
      <c r="M72" s="63">
        <f t="shared" si="21"/>
        <v>103.38171008843523</v>
      </c>
      <c r="N72" s="63">
        <f t="shared" si="21"/>
        <v>105.44934429020394</v>
      </c>
      <c r="O72" s="63">
        <f t="shared" si="21"/>
        <v>107.55833117600801</v>
      </c>
      <c r="P72" s="63">
        <f t="shared" si="21"/>
        <v>109.70949779952817</v>
      </c>
      <c r="Q72" s="63">
        <f t="shared" si="21"/>
        <v>111.90368775551872</v>
      </c>
      <c r="R72" s="63">
        <f t="shared" si="21"/>
        <v>114.1417615106291</v>
      </c>
      <c r="S72" s="63">
        <f t="shared" si="21"/>
        <v>116.42459674084169</v>
      </c>
      <c r="T72" s="63">
        <f t="shared" si="21"/>
        <v>118.75308867565853</v>
      </c>
    </row>
    <row r="73" spans="2:20" x14ac:dyDescent="0.25">
      <c r="B73" s="61" t="s">
        <v>41</v>
      </c>
      <c r="F73" s="63">
        <f>15000</f>
        <v>15000</v>
      </c>
      <c r="G73" s="63">
        <f>15000</f>
        <v>15000</v>
      </c>
      <c r="H73" s="63">
        <f>15000</f>
        <v>15000</v>
      </c>
      <c r="I73" s="63">
        <f>15000</f>
        <v>15000</v>
      </c>
      <c r="J73" s="63">
        <f>15000</f>
        <v>15000</v>
      </c>
      <c r="K73" s="63">
        <f>15000</f>
        <v>15000</v>
      </c>
      <c r="L73" s="63">
        <f>15000</f>
        <v>15000</v>
      </c>
      <c r="M73" s="63">
        <f>15000</f>
        <v>15000</v>
      </c>
      <c r="N73" s="63">
        <f>15000</f>
        <v>15000</v>
      </c>
      <c r="O73" s="63">
        <f>15000</f>
        <v>15000</v>
      </c>
      <c r="P73" s="63">
        <f>15000</f>
        <v>15000</v>
      </c>
      <c r="Q73" s="63">
        <f>15000</f>
        <v>15000</v>
      </c>
      <c r="R73" s="63">
        <f>15000</f>
        <v>15000</v>
      </c>
      <c r="S73" s="63">
        <f>15000</f>
        <v>15000</v>
      </c>
      <c r="T73" s="63">
        <f>15000</f>
        <v>15000</v>
      </c>
    </row>
    <row r="74" spans="2:20" x14ac:dyDescent="0.25">
      <c r="B74" s="62"/>
      <c r="H74" s="83"/>
    </row>
    <row r="75" spans="2:20" x14ac:dyDescent="0.25">
      <c r="B75" s="84" t="s">
        <v>70</v>
      </c>
      <c r="H75" s="83"/>
    </row>
    <row r="76" spans="2:20" x14ac:dyDescent="0.25">
      <c r="B76" s="61" t="s">
        <v>39</v>
      </c>
      <c r="F76">
        <v>100</v>
      </c>
      <c r="G76" s="69">
        <f>F76*1.03</f>
        <v>103</v>
      </c>
      <c r="H76" s="69">
        <f t="shared" ref="H76:T76" si="22">G76*1.03</f>
        <v>106.09</v>
      </c>
      <c r="I76" s="69">
        <f t="shared" si="22"/>
        <v>109.2727</v>
      </c>
      <c r="J76" s="69">
        <f t="shared" si="22"/>
        <v>112.550881</v>
      </c>
      <c r="K76" s="69">
        <f t="shared" si="22"/>
        <v>115.92740743</v>
      </c>
      <c r="L76" s="69">
        <f t="shared" si="22"/>
        <v>119.4052296529</v>
      </c>
      <c r="M76" s="69">
        <f t="shared" si="22"/>
        <v>122.987386542487</v>
      </c>
      <c r="N76" s="69">
        <f t="shared" si="22"/>
        <v>126.67700813876162</v>
      </c>
      <c r="O76" s="69">
        <f t="shared" si="22"/>
        <v>130.47731838292447</v>
      </c>
      <c r="P76" s="69">
        <f t="shared" si="22"/>
        <v>134.39163793441222</v>
      </c>
      <c r="Q76" s="69">
        <f t="shared" si="22"/>
        <v>138.4233870724446</v>
      </c>
      <c r="R76" s="69">
        <f t="shared" si="22"/>
        <v>142.57608868461793</v>
      </c>
      <c r="S76" s="69">
        <f t="shared" si="22"/>
        <v>146.85337134515646</v>
      </c>
      <c r="T76" s="69">
        <f t="shared" si="22"/>
        <v>151.25897248551115</v>
      </c>
    </row>
    <row r="77" spans="2:20" x14ac:dyDescent="0.25">
      <c r="B77" s="61" t="s">
        <v>40</v>
      </c>
      <c r="F77">
        <v>50</v>
      </c>
      <c r="G77" s="69">
        <f t="shared" ref="G77:T78" si="23">F77*1.03</f>
        <v>51.5</v>
      </c>
      <c r="H77" s="69">
        <f t="shared" si="23"/>
        <v>53.045000000000002</v>
      </c>
      <c r="I77" s="69">
        <f t="shared" si="23"/>
        <v>54.63635</v>
      </c>
      <c r="J77" s="69">
        <f t="shared" si="23"/>
        <v>56.275440500000002</v>
      </c>
      <c r="K77" s="69">
        <f t="shared" si="23"/>
        <v>57.963703715000001</v>
      </c>
      <c r="L77" s="69">
        <f t="shared" si="23"/>
        <v>59.702614826450002</v>
      </c>
      <c r="M77" s="69">
        <f t="shared" si="23"/>
        <v>61.493693271243501</v>
      </c>
      <c r="N77" s="69">
        <f t="shared" si="23"/>
        <v>63.338504069380811</v>
      </c>
      <c r="O77" s="69">
        <f t="shared" si="23"/>
        <v>65.238659191462233</v>
      </c>
      <c r="P77" s="69">
        <f t="shared" si="23"/>
        <v>67.195818967206108</v>
      </c>
      <c r="Q77" s="69">
        <f t="shared" si="23"/>
        <v>69.211693536222299</v>
      </c>
      <c r="R77" s="69">
        <f t="shared" si="23"/>
        <v>71.288044342308964</v>
      </c>
      <c r="S77" s="69">
        <f t="shared" si="23"/>
        <v>73.42668567257823</v>
      </c>
      <c r="T77" s="69">
        <f t="shared" si="23"/>
        <v>75.629486242755576</v>
      </c>
    </row>
    <row r="78" spans="2:20" x14ac:dyDescent="0.25">
      <c r="B78" s="61" t="s">
        <v>41</v>
      </c>
      <c r="F78">
        <f>15/30</f>
        <v>0.5</v>
      </c>
      <c r="G78" s="60">
        <f t="shared" si="23"/>
        <v>0.51500000000000001</v>
      </c>
      <c r="H78" s="60">
        <f t="shared" si="23"/>
        <v>0.53044999999999998</v>
      </c>
      <c r="I78" s="60">
        <f t="shared" si="23"/>
        <v>0.5463635</v>
      </c>
      <c r="J78" s="60">
        <f t="shared" si="23"/>
        <v>0.56275440500000007</v>
      </c>
      <c r="K78" s="60">
        <f t="shared" si="23"/>
        <v>0.57963703715000003</v>
      </c>
      <c r="L78" s="60">
        <f t="shared" si="23"/>
        <v>0.59702614826450007</v>
      </c>
      <c r="M78" s="60">
        <f t="shared" si="23"/>
        <v>0.6149369327124351</v>
      </c>
      <c r="N78" s="60">
        <f t="shared" si="23"/>
        <v>0.63338504069380819</v>
      </c>
      <c r="O78" s="60">
        <f t="shared" si="23"/>
        <v>0.65238659191462245</v>
      </c>
      <c r="P78" s="60">
        <f t="shared" si="23"/>
        <v>0.67195818967206111</v>
      </c>
      <c r="Q78" s="60">
        <f t="shared" si="23"/>
        <v>0.69211693536222296</v>
      </c>
      <c r="R78" s="60">
        <f t="shared" si="23"/>
        <v>0.71288044342308965</v>
      </c>
      <c r="S78" s="60">
        <f t="shared" si="23"/>
        <v>0.7342668567257824</v>
      </c>
      <c r="T78" s="60">
        <f t="shared" si="23"/>
        <v>0.75629486242755595</v>
      </c>
    </row>
    <row r="79" spans="2:20" x14ac:dyDescent="0.25">
      <c r="B79" s="62"/>
      <c r="H79" s="83"/>
    </row>
    <row r="80" spans="2:20" x14ac:dyDescent="0.25">
      <c r="B80" s="85" t="s">
        <v>69</v>
      </c>
      <c r="H80" s="83"/>
    </row>
    <row r="81" spans="2:22" x14ac:dyDescent="0.25">
      <c r="B81" s="61" t="s">
        <v>39</v>
      </c>
      <c r="F81" s="69">
        <f>F71*F76</f>
        <v>14400</v>
      </c>
      <c r="G81" s="69">
        <f t="shared" ref="G81:T81" si="24">G71*G76</f>
        <v>15128.64</v>
      </c>
      <c r="H81" s="69">
        <f t="shared" si="24"/>
        <v>15894.149184</v>
      </c>
      <c r="I81" s="69">
        <f t="shared" si="24"/>
        <v>16698.3931327104</v>
      </c>
      <c r="J81" s="69">
        <f t="shared" si="24"/>
        <v>17543.331825225549</v>
      </c>
      <c r="K81" s="69">
        <f t="shared" si="24"/>
        <v>18431.024415581964</v>
      </c>
      <c r="L81" s="69">
        <f t="shared" si="24"/>
        <v>19363.634251010411</v>
      </c>
      <c r="M81" s="69">
        <f t="shared" si="24"/>
        <v>20343.434144111536</v>
      </c>
      <c r="N81" s="69">
        <f t="shared" si="24"/>
        <v>21372.811911803587</v>
      </c>
      <c r="O81" s="69">
        <f t="shared" si="24"/>
        <v>22454.276194540846</v>
      </c>
      <c r="P81" s="69">
        <f t="shared" si="24"/>
        <v>23590.462569984611</v>
      </c>
      <c r="Q81" s="69">
        <f t="shared" si="24"/>
        <v>24784.139976025835</v>
      </c>
      <c r="R81" s="69">
        <f t="shared" si="24"/>
        <v>26038.217458812742</v>
      </c>
      <c r="S81" s="69">
        <f t="shared" si="24"/>
        <v>27355.751262228667</v>
      </c>
      <c r="T81" s="69">
        <f t="shared" si="24"/>
        <v>28739.95227609744</v>
      </c>
    </row>
    <row r="82" spans="2:22" x14ac:dyDescent="0.25">
      <c r="B82" s="61" t="s">
        <v>40</v>
      </c>
      <c r="F82" s="69">
        <f>F72*F77</f>
        <v>4500</v>
      </c>
      <c r="G82" s="69">
        <f t="shared" ref="G82:T82" si="25">G72*G77</f>
        <v>4727.7000000000007</v>
      </c>
      <c r="H82" s="69">
        <f t="shared" si="25"/>
        <v>4966.921620000001</v>
      </c>
      <c r="I82" s="69">
        <f t="shared" si="25"/>
        <v>5218.2478539720005</v>
      </c>
      <c r="J82" s="69">
        <f t="shared" si="25"/>
        <v>5482.2911953829844</v>
      </c>
      <c r="K82" s="69">
        <f t="shared" si="25"/>
        <v>5759.6951298693639</v>
      </c>
      <c r="L82" s="69">
        <f t="shared" si="25"/>
        <v>6051.1357034407538</v>
      </c>
      <c r="M82" s="69">
        <f t="shared" si="25"/>
        <v>6357.323170034856</v>
      </c>
      <c r="N82" s="69">
        <f t="shared" si="25"/>
        <v>6679.0037224386206</v>
      </c>
      <c r="O82" s="69">
        <f t="shared" si="25"/>
        <v>7016.961310794014</v>
      </c>
      <c r="P82" s="69">
        <f t="shared" si="25"/>
        <v>7372.0195531201916</v>
      </c>
      <c r="Q82" s="69">
        <f t="shared" si="25"/>
        <v>7745.0437425080736</v>
      </c>
      <c r="R82" s="69">
        <f t="shared" si="25"/>
        <v>8136.9429558789816</v>
      </c>
      <c r="S82" s="69">
        <f t="shared" si="25"/>
        <v>8548.6722694464588</v>
      </c>
      <c r="T82" s="69">
        <f t="shared" si="25"/>
        <v>8981.2350862804506</v>
      </c>
    </row>
    <row r="83" spans="2:22" x14ac:dyDescent="0.25">
      <c r="B83" s="61" t="s">
        <v>41</v>
      </c>
      <c r="F83" s="69">
        <f>F73*F78</f>
        <v>7500</v>
      </c>
      <c r="G83" s="69">
        <f t="shared" ref="G83:T83" si="26">G73*G78</f>
        <v>7725</v>
      </c>
      <c r="H83" s="69">
        <f t="shared" si="26"/>
        <v>7956.75</v>
      </c>
      <c r="I83" s="69">
        <f t="shared" si="26"/>
        <v>8195.4524999999994</v>
      </c>
      <c r="J83" s="69">
        <f t="shared" si="26"/>
        <v>8441.3160750000006</v>
      </c>
      <c r="K83" s="69">
        <f t="shared" si="26"/>
        <v>8694.5555572499998</v>
      </c>
      <c r="L83" s="69">
        <f t="shared" si="26"/>
        <v>8955.3922239675012</v>
      </c>
      <c r="M83" s="69">
        <f t="shared" si="26"/>
        <v>9224.053990686527</v>
      </c>
      <c r="N83" s="69">
        <f t="shared" si="26"/>
        <v>9500.7756104071232</v>
      </c>
      <c r="O83" s="69">
        <f t="shared" si="26"/>
        <v>9785.7988787193372</v>
      </c>
      <c r="P83" s="69">
        <f t="shared" si="26"/>
        <v>10079.372845080916</v>
      </c>
      <c r="Q83" s="69">
        <f t="shared" si="26"/>
        <v>10381.754030433345</v>
      </c>
      <c r="R83" s="69">
        <f t="shared" si="26"/>
        <v>10693.206651346345</v>
      </c>
      <c r="S83" s="69">
        <f t="shared" si="26"/>
        <v>11014.002850886736</v>
      </c>
      <c r="T83" s="69">
        <f t="shared" si="26"/>
        <v>11344.422936413339</v>
      </c>
    </row>
    <row r="84" spans="2:22" x14ac:dyDescent="0.25">
      <c r="B84" s="86" t="s">
        <v>36</v>
      </c>
      <c r="C84" s="87"/>
      <c r="D84" s="87"/>
      <c r="E84" s="87"/>
      <c r="F84" s="88">
        <f>SUM(F81:F83)</f>
        <v>26400</v>
      </c>
      <c r="G84" s="88">
        <f t="shared" ref="G84:T84" si="27">SUM(G81:G83)</f>
        <v>27581.34</v>
      </c>
      <c r="H84" s="88">
        <f t="shared" si="27"/>
        <v>28817.820804000003</v>
      </c>
      <c r="I84" s="88">
        <f t="shared" si="27"/>
        <v>30112.093486682399</v>
      </c>
      <c r="J84" s="88">
        <f t="shared" si="27"/>
        <v>31466.939095608534</v>
      </c>
      <c r="K84" s="88">
        <f t="shared" si="27"/>
        <v>32885.275102701329</v>
      </c>
      <c r="L84" s="88">
        <f t="shared" si="27"/>
        <v>34370.162178418665</v>
      </c>
      <c r="M84" s="88">
        <f t="shared" si="27"/>
        <v>35924.811304832918</v>
      </c>
      <c r="N84" s="88">
        <f t="shared" si="27"/>
        <v>37552.591244649331</v>
      </c>
      <c r="O84" s="88">
        <f t="shared" si="27"/>
        <v>39257.036384054198</v>
      </c>
      <c r="P84" s="88">
        <f t="shared" si="27"/>
        <v>41041.854968185718</v>
      </c>
      <c r="Q84" s="88">
        <f t="shared" si="27"/>
        <v>42910.937748967255</v>
      </c>
      <c r="R84" s="88">
        <f t="shared" si="27"/>
        <v>44868.367066038067</v>
      </c>
      <c r="S84" s="88">
        <f t="shared" si="27"/>
        <v>46918.426382561869</v>
      </c>
      <c r="T84" s="88">
        <f t="shared" si="27"/>
        <v>49065.610298791231</v>
      </c>
    </row>
    <row r="85" spans="2:22" x14ac:dyDescent="0.25">
      <c r="B85" s="86"/>
      <c r="C85" s="87"/>
      <c r="D85" s="87"/>
      <c r="E85" s="87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</row>
    <row r="87" spans="2:22" x14ac:dyDescent="0.25">
      <c r="B87" s="67" t="s">
        <v>32</v>
      </c>
      <c r="C87" s="39"/>
      <c r="D87" s="39"/>
      <c r="E87" s="40"/>
      <c r="F87" s="40"/>
      <c r="G87" s="40">
        <f>G69</f>
        <v>45382</v>
      </c>
      <c r="H87" s="40">
        <f>H69</f>
        <v>45747</v>
      </c>
      <c r="I87" s="40">
        <f>I69</f>
        <v>46112</v>
      </c>
      <c r="J87" s="40">
        <f>J69</f>
        <v>46477</v>
      </c>
      <c r="K87" s="40">
        <f>K69</f>
        <v>46843</v>
      </c>
      <c r="L87" s="40">
        <f>L69</f>
        <v>47208</v>
      </c>
      <c r="M87" s="40">
        <f>M69</f>
        <v>47573</v>
      </c>
      <c r="N87" s="40">
        <f>N69</f>
        <v>47938</v>
      </c>
      <c r="O87" s="40">
        <f>O69</f>
        <v>48304</v>
      </c>
      <c r="P87" s="40">
        <f>P69</f>
        <v>48669</v>
      </c>
      <c r="Q87" s="40">
        <f>Q69</f>
        <v>49034</v>
      </c>
      <c r="R87" s="40">
        <f>R69</f>
        <v>49399</v>
      </c>
      <c r="S87" s="40">
        <f>S69</f>
        <v>49765</v>
      </c>
      <c r="T87" s="40">
        <f>T69</f>
        <v>50130</v>
      </c>
      <c r="U87" s="97" t="s">
        <v>74</v>
      </c>
      <c r="V87" s="97" t="s">
        <v>75</v>
      </c>
    </row>
    <row r="88" spans="2:22" x14ac:dyDescent="0.25">
      <c r="B88" s="55" t="s">
        <v>33</v>
      </c>
      <c r="C88" s="56">
        <v>0.05</v>
      </c>
      <c r="D88" s="57"/>
      <c r="E88" s="57"/>
      <c r="F88" s="57"/>
      <c r="G88" s="57">
        <f>G99</f>
        <v>11.2</v>
      </c>
      <c r="H88" s="57">
        <f>H99*0</f>
        <v>0</v>
      </c>
      <c r="I88" s="57">
        <f>I99*0</f>
        <v>0</v>
      </c>
      <c r="J88" s="57">
        <f>J99*0</f>
        <v>0</v>
      </c>
      <c r="K88" s="57">
        <f>K99*0</f>
        <v>0</v>
      </c>
      <c r="L88" s="57">
        <f>L99-L94-L96</f>
        <v>5.3603825625000017</v>
      </c>
      <c r="M88" s="57">
        <f>M99*0</f>
        <v>0</v>
      </c>
      <c r="N88" s="57">
        <f>N1669*0</f>
        <v>0</v>
      </c>
      <c r="O88" s="57">
        <f>O99*0</f>
        <v>0</v>
      </c>
      <c r="P88" s="57">
        <f>P99*0</f>
        <v>0</v>
      </c>
      <c r="Q88" s="57">
        <f t="shared" ref="Q88" si="28">Q99</f>
        <v>18.243619819907352</v>
      </c>
      <c r="R88" s="57">
        <f>R99*0</f>
        <v>0</v>
      </c>
      <c r="S88" s="57">
        <f>S99*0</f>
        <v>0</v>
      </c>
      <c r="T88" s="57">
        <f>T99*0</f>
        <v>0</v>
      </c>
      <c r="U88" s="57">
        <f>U99*0</f>
        <v>0</v>
      </c>
      <c r="V88" s="57">
        <f>V99-V94-V96</f>
        <v>0</v>
      </c>
    </row>
    <row r="89" spans="2:22" x14ac:dyDescent="0.25">
      <c r="B89" s="55" t="s">
        <v>34</v>
      </c>
      <c r="C89" s="57"/>
      <c r="D89" s="57"/>
      <c r="E89" s="57"/>
      <c r="F89" s="57"/>
      <c r="G89" s="57">
        <v>0</v>
      </c>
      <c r="H89" s="57">
        <v>0</v>
      </c>
      <c r="I89" s="57">
        <v>0</v>
      </c>
      <c r="J89" s="57">
        <f>J88</f>
        <v>0</v>
      </c>
      <c r="K89" s="57">
        <v>0</v>
      </c>
      <c r="L89" s="57">
        <v>0</v>
      </c>
      <c r="M89" s="57">
        <v>0</v>
      </c>
      <c r="N89" s="57">
        <v>0</v>
      </c>
      <c r="O89" s="57">
        <f>O88</f>
        <v>0</v>
      </c>
      <c r="P89" s="57"/>
      <c r="Q89" s="57">
        <v>0</v>
      </c>
      <c r="R89" s="57">
        <v>0</v>
      </c>
      <c r="S89" s="57">
        <v>0</v>
      </c>
      <c r="T89" s="57">
        <f>T88</f>
        <v>0</v>
      </c>
    </row>
    <row r="90" spans="2:22" x14ac:dyDescent="0.25">
      <c r="B90" s="55" t="s">
        <v>35</v>
      </c>
      <c r="F90" s="58"/>
      <c r="G90" s="58">
        <f>$L$88/5</f>
        <v>1.0720765125000002</v>
      </c>
      <c r="H90" s="58">
        <f>$L$88/5</f>
        <v>1.0720765125000002</v>
      </c>
      <c r="I90" s="58">
        <f t="shared" ref="I90:L90" si="29">$L$88/5</f>
        <v>1.0720765125000002</v>
      </c>
      <c r="J90" s="58">
        <f t="shared" si="29"/>
        <v>1.0720765125000002</v>
      </c>
      <c r="K90" s="58">
        <f t="shared" si="29"/>
        <v>1.0720765125000002</v>
      </c>
      <c r="L90" s="58">
        <f t="shared" si="29"/>
        <v>1.0720765125000002</v>
      </c>
      <c r="M90" s="59">
        <f>$Q$88/5</f>
        <v>3.6487239639814701</v>
      </c>
      <c r="N90" s="59">
        <f t="shared" ref="N90:Q90" si="30">$Q$88/5</f>
        <v>3.6487239639814701</v>
      </c>
      <c r="O90" s="59">
        <f t="shared" si="30"/>
        <v>3.6487239639814701</v>
      </c>
      <c r="P90" s="59">
        <f t="shared" si="30"/>
        <v>3.6487239639814701</v>
      </c>
      <c r="Q90" s="59">
        <f t="shared" si="30"/>
        <v>3.6487239639814701</v>
      </c>
      <c r="R90" s="59">
        <f>$V$88/5</f>
        <v>0</v>
      </c>
      <c r="S90" s="59">
        <f t="shared" ref="S90:T90" si="31">$V$88/5</f>
        <v>0</v>
      </c>
      <c r="T90" s="59">
        <f t="shared" si="31"/>
        <v>0</v>
      </c>
    </row>
    <row r="91" spans="2:22" x14ac:dyDescent="0.25">
      <c r="B91" s="55"/>
      <c r="F91" s="58"/>
      <c r="G91" s="58"/>
      <c r="H91" s="58"/>
      <c r="I91" s="58"/>
      <c r="J91" s="58"/>
      <c r="K91" s="59"/>
      <c r="L91" s="59"/>
      <c r="M91" s="59"/>
      <c r="N91" s="59"/>
      <c r="O91" s="59"/>
      <c r="P91" s="59"/>
      <c r="Q91" s="59"/>
      <c r="R91" s="59"/>
      <c r="S91" s="59"/>
      <c r="T91" s="59"/>
    </row>
    <row r="92" spans="2:22" x14ac:dyDescent="0.25">
      <c r="C92" s="80" t="s">
        <v>66</v>
      </c>
      <c r="D92" s="80" t="s">
        <v>68</v>
      </c>
      <c r="F92" s="58"/>
      <c r="G92" s="58"/>
      <c r="H92" s="58"/>
      <c r="I92" s="58"/>
      <c r="J92" s="58"/>
      <c r="K92" s="59"/>
      <c r="L92" s="59"/>
      <c r="M92" s="59"/>
      <c r="N92" s="59"/>
      <c r="O92" s="59"/>
      <c r="P92" s="59"/>
      <c r="Q92" s="59"/>
      <c r="R92" s="59"/>
      <c r="S92" s="59"/>
      <c r="T92" s="59"/>
    </row>
    <row r="93" spans="2:22" x14ac:dyDescent="0.25">
      <c r="B93" s="45" t="s">
        <v>60</v>
      </c>
      <c r="C93" s="73" t="s">
        <v>0</v>
      </c>
      <c r="D93" s="73" t="s">
        <v>0</v>
      </c>
      <c r="E93" s="75">
        <v>1.5</v>
      </c>
      <c r="F93" s="58"/>
      <c r="G93" s="57">
        <f>E93</f>
        <v>1.5</v>
      </c>
      <c r="H93" s="57">
        <f t="shared" ref="H93:T93" si="32">G93*(1+$C$88)</f>
        <v>1.5750000000000002</v>
      </c>
      <c r="I93" s="57">
        <f t="shared" si="32"/>
        <v>1.6537500000000003</v>
      </c>
      <c r="J93" s="57">
        <f t="shared" si="32"/>
        <v>1.7364375000000003</v>
      </c>
      <c r="K93" s="57">
        <f t="shared" si="32"/>
        <v>1.8232593750000003</v>
      </c>
      <c r="L93" s="57">
        <f t="shared" si="32"/>
        <v>1.9144223437500005</v>
      </c>
      <c r="M93" s="57">
        <f t="shared" si="32"/>
        <v>2.0101434609375008</v>
      </c>
      <c r="N93" s="57">
        <f t="shared" si="32"/>
        <v>2.1106506339843758</v>
      </c>
      <c r="O93" s="57">
        <f t="shared" si="32"/>
        <v>2.2161831656835949</v>
      </c>
      <c r="P93" s="57">
        <f t="shared" si="32"/>
        <v>2.3269923239677746</v>
      </c>
      <c r="Q93" s="57">
        <f t="shared" si="32"/>
        <v>2.4433419401661634</v>
      </c>
      <c r="R93" s="57">
        <f t="shared" si="32"/>
        <v>2.5655090371744715</v>
      </c>
      <c r="S93" s="57">
        <f t="shared" si="32"/>
        <v>2.6937844890331952</v>
      </c>
      <c r="T93" s="57">
        <f t="shared" si="32"/>
        <v>2.828473713484855</v>
      </c>
      <c r="U93" s="57"/>
      <c r="V93" s="57"/>
    </row>
    <row r="94" spans="2:22" x14ac:dyDescent="0.25">
      <c r="B94" t="s">
        <v>61</v>
      </c>
      <c r="C94" s="72" t="s">
        <v>1</v>
      </c>
      <c r="D94" s="73" t="s">
        <v>0</v>
      </c>
      <c r="E94" s="76">
        <v>2</v>
      </c>
      <c r="F94" s="58"/>
      <c r="G94" s="57">
        <f t="shared" ref="G94:G98" si="33">E94</f>
        <v>2</v>
      </c>
      <c r="H94" s="57">
        <f t="shared" ref="H94:T94" si="34">G94*(1+$C$88)</f>
        <v>2.1</v>
      </c>
      <c r="I94" s="57">
        <f t="shared" si="34"/>
        <v>2.2050000000000001</v>
      </c>
      <c r="J94" s="57">
        <f t="shared" si="34"/>
        <v>2.3152500000000003</v>
      </c>
      <c r="K94" s="57">
        <f t="shared" si="34"/>
        <v>2.4310125000000005</v>
      </c>
      <c r="L94" s="57">
        <f t="shared" si="34"/>
        <v>2.5525631250000007</v>
      </c>
      <c r="M94" s="57">
        <f t="shared" si="34"/>
        <v>2.6801912812500008</v>
      </c>
      <c r="N94" s="57">
        <f t="shared" si="34"/>
        <v>2.8142008453125009</v>
      </c>
      <c r="O94" s="57">
        <f t="shared" si="34"/>
        <v>2.954910887578126</v>
      </c>
      <c r="P94" s="57">
        <f t="shared" si="34"/>
        <v>3.1026564319570324</v>
      </c>
      <c r="Q94" s="57">
        <f t="shared" si="34"/>
        <v>3.257789253554884</v>
      </c>
      <c r="R94" s="57">
        <f t="shared" si="34"/>
        <v>3.4206787162326284</v>
      </c>
      <c r="S94" s="57">
        <f t="shared" si="34"/>
        <v>3.5917126520442602</v>
      </c>
      <c r="T94" s="57">
        <f t="shared" si="34"/>
        <v>3.7712982846464733</v>
      </c>
      <c r="U94" s="57"/>
      <c r="V94" s="57"/>
    </row>
    <row r="95" spans="2:22" x14ac:dyDescent="0.25">
      <c r="B95" t="s">
        <v>62</v>
      </c>
      <c r="C95" s="72" t="s">
        <v>0</v>
      </c>
      <c r="D95" s="73" t="s">
        <v>0</v>
      </c>
      <c r="E95" s="76">
        <v>0.7</v>
      </c>
      <c r="F95" s="58"/>
      <c r="G95" s="57">
        <f t="shared" si="33"/>
        <v>0.7</v>
      </c>
      <c r="H95" s="57">
        <f t="shared" ref="H95:T95" si="35">G95*(1+$C$88)</f>
        <v>0.73499999999999999</v>
      </c>
      <c r="I95" s="57">
        <f t="shared" si="35"/>
        <v>0.77175000000000005</v>
      </c>
      <c r="J95" s="57">
        <f t="shared" si="35"/>
        <v>0.81033750000000004</v>
      </c>
      <c r="K95" s="57">
        <f t="shared" si="35"/>
        <v>0.85085437500000005</v>
      </c>
      <c r="L95" s="57">
        <f t="shared" si="35"/>
        <v>0.89339709375000009</v>
      </c>
      <c r="M95" s="57">
        <f t="shared" si="35"/>
        <v>0.93806694843750016</v>
      </c>
      <c r="N95" s="57">
        <f t="shared" si="35"/>
        <v>0.98497029585937523</v>
      </c>
      <c r="O95" s="57">
        <f t="shared" si="35"/>
        <v>1.034218810652344</v>
      </c>
      <c r="P95" s="57">
        <f t="shared" si="35"/>
        <v>1.0859297511849613</v>
      </c>
      <c r="Q95" s="57">
        <f t="shared" si="35"/>
        <v>1.1402262387442095</v>
      </c>
      <c r="R95" s="57">
        <f t="shared" si="35"/>
        <v>1.1972375506814199</v>
      </c>
      <c r="S95" s="57">
        <f t="shared" si="35"/>
        <v>1.257099428215491</v>
      </c>
      <c r="T95" s="57">
        <f t="shared" si="35"/>
        <v>1.3199543996262657</v>
      </c>
      <c r="U95" s="57"/>
      <c r="V95" s="57"/>
    </row>
    <row r="96" spans="2:22" x14ac:dyDescent="0.25">
      <c r="B96" t="s">
        <v>63</v>
      </c>
      <c r="C96" s="72" t="s">
        <v>1</v>
      </c>
      <c r="D96" s="73" t="s">
        <v>0</v>
      </c>
      <c r="E96" s="76">
        <v>5</v>
      </c>
      <c r="F96" s="58"/>
      <c r="G96" s="57">
        <f t="shared" si="33"/>
        <v>5</v>
      </c>
      <c r="H96" s="57">
        <f t="shared" ref="H96:T96" si="36">G96*(1+$C$88)</f>
        <v>5.25</v>
      </c>
      <c r="I96" s="57">
        <f t="shared" si="36"/>
        <v>5.5125000000000002</v>
      </c>
      <c r="J96" s="57">
        <f t="shared" si="36"/>
        <v>5.7881250000000009</v>
      </c>
      <c r="K96" s="57">
        <f t="shared" si="36"/>
        <v>6.0775312500000007</v>
      </c>
      <c r="L96" s="57">
        <f t="shared" si="36"/>
        <v>6.3814078125000009</v>
      </c>
      <c r="M96" s="57">
        <f t="shared" si="36"/>
        <v>6.7004782031250016</v>
      </c>
      <c r="N96" s="57">
        <f t="shared" si="36"/>
        <v>7.0355021132812521</v>
      </c>
      <c r="O96" s="57">
        <f t="shared" si="36"/>
        <v>7.3872772189453153</v>
      </c>
      <c r="P96" s="57">
        <f t="shared" si="36"/>
        <v>7.7566410798925816</v>
      </c>
      <c r="Q96" s="57">
        <f t="shared" si="36"/>
        <v>8.1444731338872103</v>
      </c>
      <c r="R96" s="57">
        <f t="shared" si="36"/>
        <v>8.5516967905815715</v>
      </c>
      <c r="S96" s="57">
        <f t="shared" si="36"/>
        <v>8.9792816301106502</v>
      </c>
      <c r="T96" s="57">
        <f t="shared" si="36"/>
        <v>9.4282457116161833</v>
      </c>
      <c r="U96" s="57"/>
      <c r="V96" s="57"/>
    </row>
    <row r="97" spans="2:22" x14ac:dyDescent="0.25">
      <c r="B97" t="s">
        <v>64</v>
      </c>
      <c r="C97" s="72" t="s">
        <v>0</v>
      </c>
      <c r="D97" s="73" t="s">
        <v>0</v>
      </c>
      <c r="E97" s="76">
        <v>1</v>
      </c>
      <c r="F97" s="58"/>
      <c r="G97" s="57">
        <f t="shared" si="33"/>
        <v>1</v>
      </c>
      <c r="H97" s="57">
        <f t="shared" ref="H97:T97" si="37">G97*(1+$C$88)</f>
        <v>1.05</v>
      </c>
      <c r="I97" s="57">
        <f t="shared" si="37"/>
        <v>1.1025</v>
      </c>
      <c r="J97" s="57">
        <f t="shared" si="37"/>
        <v>1.1576250000000001</v>
      </c>
      <c r="K97" s="57">
        <f t="shared" si="37"/>
        <v>1.2155062500000002</v>
      </c>
      <c r="L97" s="57">
        <f t="shared" si="37"/>
        <v>1.2762815625000004</v>
      </c>
      <c r="M97" s="57">
        <f t="shared" si="37"/>
        <v>1.3400956406250004</v>
      </c>
      <c r="N97" s="57">
        <f t="shared" si="37"/>
        <v>1.4071004226562505</v>
      </c>
      <c r="O97" s="57">
        <f t="shared" si="37"/>
        <v>1.477455443789063</v>
      </c>
      <c r="P97" s="57">
        <f t="shared" si="37"/>
        <v>1.5513282159785162</v>
      </c>
      <c r="Q97" s="57">
        <f t="shared" si="37"/>
        <v>1.628894626777442</v>
      </c>
      <c r="R97" s="57">
        <f t="shared" si="37"/>
        <v>1.7103393581163142</v>
      </c>
      <c r="S97" s="57">
        <f t="shared" si="37"/>
        <v>1.7958563260221301</v>
      </c>
      <c r="T97" s="57">
        <f t="shared" si="37"/>
        <v>1.8856491423232367</v>
      </c>
      <c r="U97" s="57"/>
      <c r="V97" s="57"/>
    </row>
    <row r="98" spans="2:22" x14ac:dyDescent="0.25">
      <c r="B98" t="s">
        <v>65</v>
      </c>
      <c r="C98" s="72" t="s">
        <v>67</v>
      </c>
      <c r="D98" s="73" t="s">
        <v>0</v>
      </c>
      <c r="E98" s="76">
        <v>1</v>
      </c>
      <c r="F98" s="58"/>
      <c r="G98" s="57">
        <f t="shared" si="33"/>
        <v>1</v>
      </c>
      <c r="H98" s="57">
        <f t="shared" ref="H98:T98" si="38">G98*(1+$C$88)</f>
        <v>1.05</v>
      </c>
      <c r="I98" s="57">
        <f t="shared" si="38"/>
        <v>1.1025</v>
      </c>
      <c r="J98" s="57">
        <f t="shared" si="38"/>
        <v>1.1576250000000001</v>
      </c>
      <c r="K98" s="57">
        <f t="shared" si="38"/>
        <v>1.2155062500000002</v>
      </c>
      <c r="L98" s="57">
        <f t="shared" si="38"/>
        <v>1.2762815625000004</v>
      </c>
      <c r="M98" s="57">
        <f t="shared" si="38"/>
        <v>1.3400956406250004</v>
      </c>
      <c r="N98" s="57">
        <f t="shared" si="38"/>
        <v>1.4071004226562505</v>
      </c>
      <c r="O98" s="57">
        <f t="shared" si="38"/>
        <v>1.477455443789063</v>
      </c>
      <c r="P98" s="57">
        <f t="shared" si="38"/>
        <v>1.5513282159785162</v>
      </c>
      <c r="Q98" s="57">
        <f t="shared" si="38"/>
        <v>1.628894626777442</v>
      </c>
      <c r="R98" s="57">
        <f t="shared" si="38"/>
        <v>1.7103393581163142</v>
      </c>
      <c r="S98" s="57">
        <f t="shared" si="38"/>
        <v>1.7958563260221301</v>
      </c>
      <c r="T98" s="57">
        <f t="shared" si="38"/>
        <v>1.8856491423232367</v>
      </c>
      <c r="U98" s="57"/>
      <c r="V98" s="57"/>
    </row>
    <row r="99" spans="2:22" ht="16.5" x14ac:dyDescent="0.35">
      <c r="E99" s="77">
        <f>SUM(E93:E98)</f>
        <v>11.2</v>
      </c>
      <c r="F99" s="74"/>
      <c r="G99" s="89">
        <f>SUM(G93:G98)</f>
        <v>11.2</v>
      </c>
      <c r="H99" s="89">
        <f t="shared" ref="H99:T99" si="39">SUM(H93:H98)</f>
        <v>11.760000000000002</v>
      </c>
      <c r="I99" s="89">
        <f t="shared" si="39"/>
        <v>12.347999999999999</v>
      </c>
      <c r="J99" s="89">
        <f t="shared" si="39"/>
        <v>12.965400000000001</v>
      </c>
      <c r="K99" s="89">
        <f t="shared" si="39"/>
        <v>13.613670000000003</v>
      </c>
      <c r="L99" s="89">
        <f t="shared" si="39"/>
        <v>14.294353500000003</v>
      </c>
      <c r="M99" s="89">
        <f t="shared" si="39"/>
        <v>15.009071175000003</v>
      </c>
      <c r="N99" s="89">
        <f t="shared" si="39"/>
        <v>15.759524733750006</v>
      </c>
      <c r="O99" s="89">
        <f t="shared" si="39"/>
        <v>16.547500970437508</v>
      </c>
      <c r="P99" s="89">
        <f t="shared" si="39"/>
        <v>17.374876018959384</v>
      </c>
      <c r="Q99" s="89">
        <f t="shared" si="39"/>
        <v>18.243619819907352</v>
      </c>
      <c r="R99" s="89">
        <f t="shared" si="39"/>
        <v>19.155800810902718</v>
      </c>
      <c r="S99" s="89">
        <f t="shared" si="39"/>
        <v>20.113590851447853</v>
      </c>
      <c r="T99" s="89">
        <f t="shared" si="39"/>
        <v>21.119270394020255</v>
      </c>
      <c r="U99" s="89"/>
      <c r="V99" s="89"/>
    </row>
    <row r="102" spans="2:22" x14ac:dyDescent="0.25">
      <c r="B102" s="67" t="s">
        <v>73</v>
      </c>
      <c r="C102" s="39"/>
      <c r="D102" s="39"/>
      <c r="E102" s="40"/>
      <c r="F102" s="40"/>
      <c r="G102" s="40">
        <f t="shared" ref="G102:T102" si="40">G87</f>
        <v>45382</v>
      </c>
      <c r="H102" s="40">
        <f t="shared" si="40"/>
        <v>45747</v>
      </c>
      <c r="I102" s="40">
        <f t="shared" si="40"/>
        <v>46112</v>
      </c>
      <c r="J102" s="40">
        <f t="shared" si="40"/>
        <v>46477</v>
      </c>
      <c r="K102" s="40">
        <f t="shared" si="40"/>
        <v>46843</v>
      </c>
      <c r="L102" s="40">
        <f t="shared" si="40"/>
        <v>47208</v>
      </c>
      <c r="M102" s="40">
        <f t="shared" si="40"/>
        <v>47573</v>
      </c>
      <c r="N102" s="40">
        <f t="shared" si="40"/>
        <v>47938</v>
      </c>
      <c r="O102" s="40">
        <f t="shared" si="40"/>
        <v>48304</v>
      </c>
      <c r="P102" s="40">
        <f t="shared" si="40"/>
        <v>48669</v>
      </c>
      <c r="Q102" s="40">
        <f t="shared" si="40"/>
        <v>49034</v>
      </c>
      <c r="R102" s="40">
        <f t="shared" si="40"/>
        <v>49399</v>
      </c>
      <c r="S102" s="40">
        <f t="shared" si="40"/>
        <v>49765</v>
      </c>
      <c r="T102" s="40">
        <f t="shared" si="40"/>
        <v>50130</v>
      </c>
    </row>
    <row r="104" spans="2:22" x14ac:dyDescent="0.25">
      <c r="B104" t="s">
        <v>44</v>
      </c>
    </row>
    <row r="105" spans="2:22" x14ac:dyDescent="0.25">
      <c r="B105" s="65" t="s">
        <v>47</v>
      </c>
    </row>
    <row r="106" spans="2:22" x14ac:dyDescent="0.25">
      <c r="B106" t="s">
        <v>43</v>
      </c>
      <c r="C106" s="102">
        <v>6</v>
      </c>
      <c r="D106" s="69">
        <v>15000</v>
      </c>
      <c r="E106" s="69">
        <f>C106*D106</f>
        <v>90000</v>
      </c>
      <c r="G106" t="s">
        <v>88</v>
      </c>
    </row>
    <row r="107" spans="2:22" x14ac:dyDescent="0.25">
      <c r="B107" t="s">
        <v>90</v>
      </c>
      <c r="C107" s="102">
        <v>16</v>
      </c>
      <c r="D107" s="69">
        <v>12000</v>
      </c>
      <c r="E107" s="69">
        <f>C107*D107</f>
        <v>192000</v>
      </c>
      <c r="G107" t="s">
        <v>89</v>
      </c>
    </row>
    <row r="108" spans="2:22" x14ac:dyDescent="0.25">
      <c r="B108" t="s">
        <v>45</v>
      </c>
      <c r="C108" s="102">
        <v>18</v>
      </c>
      <c r="D108" s="69">
        <v>9000</v>
      </c>
      <c r="E108" s="69">
        <f>C108*D108</f>
        <v>162000</v>
      </c>
      <c r="G108" t="s">
        <v>91</v>
      </c>
    </row>
    <row r="109" spans="2:22" x14ac:dyDescent="0.25">
      <c r="B109" t="s">
        <v>46</v>
      </c>
      <c r="C109" s="102">
        <v>6</v>
      </c>
      <c r="D109" s="69">
        <v>30000</v>
      </c>
      <c r="E109" s="69">
        <f>C109*D109</f>
        <v>180000</v>
      </c>
    </row>
    <row r="110" spans="2:22" x14ac:dyDescent="0.25">
      <c r="C110" s="102">
        <f>SUM(C106:C109)</f>
        <v>46</v>
      </c>
      <c r="D110" s="69"/>
      <c r="E110" s="96">
        <f>SUM(E106:E109)</f>
        <v>624000</v>
      </c>
      <c r="G110" s="32" t="s">
        <v>81</v>
      </c>
      <c r="H110" s="21"/>
      <c r="I110" s="21"/>
      <c r="J110" s="98" t="s">
        <v>82</v>
      </c>
    </row>
    <row r="111" spans="2:22" x14ac:dyDescent="0.25">
      <c r="B111" t="s">
        <v>78</v>
      </c>
      <c r="C111" s="102">
        <f>15/8*240*30</f>
        <v>13500</v>
      </c>
      <c r="D111" s="69">
        <v>26</v>
      </c>
      <c r="E111" s="69">
        <f>C111*D111</f>
        <v>351000</v>
      </c>
      <c r="G111" s="34" t="s">
        <v>83</v>
      </c>
      <c r="H111" s="23"/>
      <c r="I111" s="23"/>
      <c r="J111" s="99" t="s">
        <v>84</v>
      </c>
    </row>
    <row r="112" spans="2:22" x14ac:dyDescent="0.25">
      <c r="B112" t="s">
        <v>79</v>
      </c>
      <c r="C112" s="69"/>
      <c r="D112" s="69"/>
      <c r="E112" s="69">
        <v>200000</v>
      </c>
      <c r="G112" s="34" t="s">
        <v>85</v>
      </c>
      <c r="H112" s="23"/>
      <c r="I112" s="23"/>
      <c r="J112" s="100">
        <f>15/8</f>
        <v>1.875</v>
      </c>
    </row>
    <row r="113" spans="2:11" x14ac:dyDescent="0.25">
      <c r="B113" t="s">
        <v>48</v>
      </c>
      <c r="C113" s="69"/>
      <c r="D113" s="69"/>
      <c r="E113" s="69">
        <v>300000</v>
      </c>
      <c r="G113" s="35" t="s">
        <v>86</v>
      </c>
      <c r="H113" s="38"/>
      <c r="I113" s="38"/>
      <c r="J113" s="101">
        <v>240</v>
      </c>
      <c r="K113" t="s">
        <v>87</v>
      </c>
    </row>
    <row r="114" spans="2:11" x14ac:dyDescent="0.25">
      <c r="B114" t="s">
        <v>50</v>
      </c>
      <c r="C114" s="69"/>
      <c r="D114" s="69"/>
      <c r="E114" s="69">
        <v>500000</v>
      </c>
    </row>
    <row r="115" spans="2:11" x14ac:dyDescent="0.25">
      <c r="B115" t="s">
        <v>72</v>
      </c>
      <c r="C115" s="69"/>
      <c r="D115" s="69"/>
      <c r="E115" s="69">
        <v>800000</v>
      </c>
      <c r="F115" t="s">
        <v>80</v>
      </c>
    </row>
    <row r="116" spans="2:11" x14ac:dyDescent="0.25">
      <c r="C116" s="69"/>
      <c r="D116" s="69"/>
      <c r="E116" s="69"/>
    </row>
    <row r="117" spans="2:11" x14ac:dyDescent="0.25">
      <c r="B117" s="87" t="s">
        <v>71</v>
      </c>
      <c r="C117" s="69"/>
      <c r="D117" s="69"/>
      <c r="E117" s="81">
        <f>SUM(E110:E115)</f>
        <v>2775000</v>
      </c>
    </row>
  </sheetData>
  <dataConsolidate/>
  <dataValidations disablePrompts="1" count="1">
    <dataValidation type="list" allowBlank="1" showInputMessage="1" showErrorMessage="1" sqref="K6" xr:uid="{976816A1-E052-4B19-B5FB-33F3967FCFD6}">
      <formula1>#REF!</formula1>
    </dataValidation>
  </dataValidations>
  <pageMargins left="0.7" right="0.7" top="0.75" bottom="0.75" header="0.3" footer="0.3"/>
  <pageSetup orientation="portrait" r:id="rId1"/>
  <ignoredErrors>
    <ignoredError sqref="T40 E11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82EA6-EF12-4853-80E5-568C410621E6}">
  <dimension ref="A1"/>
  <sheetViews>
    <sheetView workbookViewId="0">
      <selection activeCell="J15" sqref="J1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80C56-F129-4445-9684-328A6D58A486}">
  <dimension ref="A1"/>
  <sheetViews>
    <sheetView workbookViewId="0">
      <selection activeCell="H21" sqref="H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Supreme Suyog </vt:lpstr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Siddharth Jain</dc:creator>
  <cp:lastModifiedBy>Abhishek Agarwal</cp:lastModifiedBy>
  <dcterms:created xsi:type="dcterms:W3CDTF">2022-07-01T07:53:04Z</dcterms:created>
  <dcterms:modified xsi:type="dcterms:W3CDTF">2022-08-01T13:54:45Z</dcterms:modified>
</cp:coreProperties>
</file>